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INH PHUOC\HON QUAN\QUY HOACH 2030\HO SO CONG BO\"/>
    </mc:Choice>
  </mc:AlternateContent>
  <xr:revisionPtr revIDLastSave="0" documentId="13_ncr:1_{B3AC66D3-8148-4B2B-835E-775FA9E80E46}" xr6:coauthVersionLast="36" xr6:coauthVersionMax="36" xr10:uidLastSave="{00000000-0000-0000-0000-000000000000}"/>
  <bookViews>
    <workbookView xWindow="0" yWindow="0" windowWidth="9600" windowHeight="11388" firstSheet="1" activeTab="8" xr2:uid="{3DD14940-1E5D-412B-994A-2919D642491F}"/>
  </bookViews>
  <sheets>
    <sheet name="CANDOI" sheetId="69" r:id="rId1"/>
    <sheet name="BIEU 01 CH" sheetId="161" r:id="rId2"/>
    <sheet name="BIEU 02 CH" sheetId="5" r:id="rId3"/>
    <sheet name="BIEU 03 CH" sheetId="158" r:id="rId4"/>
    <sheet name="BIEU 04 CH" sheetId="7" r:id="rId5"/>
    <sheet name="BIEU 05 CH" sheetId="163" r:id="rId6"/>
    <sheet name="BIEU 11 CH" sheetId="159" r:id="rId7"/>
    <sheet name="BIEU 12 CH" sheetId="162" r:id="rId8"/>
    <sheet name="PHULUC" sheetId="76" r:id="rId9"/>
    <sheet name="ngaigiao (2016)" sheetId="100" state="hidden" r:id="rId10"/>
    <sheet name="bauchinh (2016)" sheetId="101" state="hidden" r:id="rId11"/>
    <sheet name="binhba (2016)" sheetId="102" state="hidden" r:id="rId12"/>
    <sheet name="binhgia (2016)" sheetId="103" state="hidden" r:id="rId13"/>
    <sheet name="binhtrung (2016)" sheetId="104" state="hidden" r:id="rId14"/>
    <sheet name="cubi (2016)" sheetId="105" state="hidden" r:id="rId15"/>
    <sheet name="dabac (2016)" sheetId="106" state="hidden" r:id="rId16"/>
    <sheet name="kimlong (2016)" sheetId="107" state="hidden" r:id="rId17"/>
    <sheet name="langlon (2016)" sheetId="108" state="hidden" r:id="rId18"/>
    <sheet name="nghiathanh (2016)" sheetId="109" state="hidden" r:id="rId19"/>
    <sheet name="quangthanh (2016)" sheetId="110" state="hidden" r:id="rId20"/>
    <sheet name="sonbinh (2016)" sheetId="111" state="hidden" r:id="rId21"/>
    <sheet name="suoinghe (2016)" sheetId="112" state="hidden" r:id="rId22"/>
    <sheet name="suoirao (2016)" sheetId="113" state="hidden" r:id="rId23"/>
    <sheet name="xabang (2016)" sheetId="114" state="hidden" r:id="rId24"/>
    <sheet name="xuanson (2016)" sheetId="115" state="hidden" r:id="rId25"/>
    <sheet name="toanhuyen (2016)" sheetId="116" state="hidden" r:id="rId26"/>
    <sheet name="TNG (2016)" sheetId="117" state="hidden" r:id="rId27"/>
    <sheet name="XBC (2016)" sheetId="118" state="hidden" r:id="rId28"/>
    <sheet name="XBB (2016)" sheetId="119" state="hidden" r:id="rId29"/>
    <sheet name="XBG (2016)" sheetId="120" state="hidden" r:id="rId30"/>
    <sheet name="XBT (2016)" sheetId="121" state="hidden" r:id="rId31"/>
    <sheet name="XCB (2016)" sheetId="122" state="hidden" r:id="rId32"/>
    <sheet name="XDB (2016)" sheetId="123" state="hidden" r:id="rId33"/>
    <sheet name="XKL (2016)" sheetId="124" state="hidden" r:id="rId34"/>
    <sheet name="XLL (2016)" sheetId="125" state="hidden" r:id="rId35"/>
    <sheet name="XNT (2016)" sheetId="126" state="hidden" r:id="rId36"/>
    <sheet name="XQT (2016)" sheetId="127" state="hidden" r:id="rId37"/>
    <sheet name="XSB (2016)" sheetId="128" state="hidden" r:id="rId38"/>
    <sheet name="XSN (2016)" sheetId="129" state="hidden" r:id="rId39"/>
    <sheet name="XSR (2016)" sheetId="130" state="hidden" r:id="rId40"/>
    <sheet name="XXB (2016)" sheetId="131" state="hidden" r:id="rId41"/>
    <sheet name="XXS (2016)" sheetId="132" state="hidden" r:id="rId42"/>
  </sheets>
  <definedNames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8" hidden="1">PHULUC!$A$5:$L$8</definedName>
    <definedName name="_xlnm.Print_Area" localSheetId="1">'BIEU 01 CH'!$A$1:$R$63</definedName>
    <definedName name="_xlnm.Print_Area" localSheetId="4">'BIEU 04 CH'!$A$1:$Q$34</definedName>
    <definedName name="_xlnm.Print_Titles" localSheetId="1">'BIEU 01 CH'!$5:$8</definedName>
    <definedName name="_xlnm.Print_Titles" localSheetId="2">'BIEU 02 CH'!$5:$8</definedName>
    <definedName name="_xlnm.Print_Titles" localSheetId="3">'BIEU 03 CH'!$5:$8</definedName>
    <definedName name="_xlnm.Print_Titles" localSheetId="5">'BIEU 05 CH'!$5:$7</definedName>
    <definedName name="_xlnm.Print_Titles" localSheetId="6">'BIEU 11 CH'!$4:$5</definedName>
    <definedName name="_xlnm.Print_Titles" localSheetId="0">CANDOI!$1:$6</definedName>
    <definedName name="_xlnm.Print_Titles" localSheetId="8">PHULUC!$A:$H,PHULUC!$5:$7</definedName>
    <definedName name="_xlnm.Print_Titles">#N/A</definedName>
  </definedNames>
  <calcPr calcId="191029"/>
  <pivotCaches>
    <pivotCache cacheId="0" r:id="rId43"/>
  </pivotCaches>
</workbook>
</file>

<file path=xl/calcChain.xml><?xml version="1.0" encoding="utf-8"?>
<calcChain xmlns="http://schemas.openxmlformats.org/spreadsheetml/2006/main">
  <c r="BJ40" i="132" l="1"/>
  <c r="D40" i="132"/>
  <c r="BJ40" i="131"/>
  <c r="D40" i="131"/>
  <c r="BJ40" i="130"/>
  <c r="D40" i="130"/>
  <c r="BJ40" i="129"/>
  <c r="D40" i="129"/>
  <c r="BJ40" i="128"/>
  <c r="D40" i="128"/>
  <c r="BJ40" i="127"/>
  <c r="D40" i="127"/>
  <c r="BJ40" i="126"/>
  <c r="D40" i="126"/>
  <c r="BJ40" i="125"/>
  <c r="D40" i="125"/>
  <c r="BJ40" i="124"/>
  <c r="D40" i="124"/>
  <c r="BJ40" i="123"/>
  <c r="D40" i="123"/>
  <c r="BJ40" i="122"/>
  <c r="D40" i="122"/>
  <c r="BJ40" i="121"/>
  <c r="D40" i="121"/>
  <c r="BJ40" i="120"/>
  <c r="D40" i="120"/>
  <c r="BJ40" i="119"/>
  <c r="D40" i="119"/>
  <c r="BJ40" i="118"/>
  <c r="D40" i="118"/>
  <c r="BJ40" i="117"/>
  <c r="D40" i="117"/>
  <c r="C1" i="132"/>
  <c r="D8" i="132"/>
  <c r="D9" i="132"/>
  <c r="D10" i="132"/>
  <c r="D12" i="132"/>
  <c r="D13" i="132"/>
  <c r="D14" i="132"/>
  <c r="D15" i="132"/>
  <c r="D16" i="132"/>
  <c r="D17" i="132"/>
  <c r="D18" i="132"/>
  <c r="D20" i="132"/>
  <c r="BJ20" i="132"/>
  <c r="D21" i="132"/>
  <c r="BJ21" i="132"/>
  <c r="D22" i="132"/>
  <c r="BJ22" i="132"/>
  <c r="BJ19" i="132" s="1"/>
  <c r="D23" i="132"/>
  <c r="D24" i="132"/>
  <c r="D25" i="132"/>
  <c r="BJ25" i="132"/>
  <c r="D26" i="132"/>
  <c r="BJ26" i="132"/>
  <c r="D27" i="132"/>
  <c r="BJ27" i="132"/>
  <c r="D29" i="132"/>
  <c r="BJ29" i="132"/>
  <c r="D30" i="132"/>
  <c r="BJ30" i="132"/>
  <c r="D31" i="132"/>
  <c r="BJ31" i="132"/>
  <c r="D32" i="132"/>
  <c r="BJ32" i="132"/>
  <c r="BJ33" i="132"/>
  <c r="D34" i="132"/>
  <c r="BJ34" i="132"/>
  <c r="D35" i="132"/>
  <c r="BJ35" i="132"/>
  <c r="D36" i="132"/>
  <c r="BJ36" i="132"/>
  <c r="D37" i="132"/>
  <c r="BJ37" i="132"/>
  <c r="D38" i="132"/>
  <c r="BJ38" i="132"/>
  <c r="D39" i="132"/>
  <c r="BJ39" i="132"/>
  <c r="D41" i="132"/>
  <c r="D42" i="132"/>
  <c r="D43" i="132"/>
  <c r="BJ43" i="132"/>
  <c r="D44" i="132"/>
  <c r="BJ44" i="132"/>
  <c r="D45" i="132"/>
  <c r="BJ45" i="132"/>
  <c r="D46" i="132"/>
  <c r="BJ46" i="132"/>
  <c r="D47" i="132"/>
  <c r="D48" i="132"/>
  <c r="BJ48" i="132"/>
  <c r="D49" i="132"/>
  <c r="BJ49" i="132"/>
  <c r="D50" i="132"/>
  <c r="D51" i="132"/>
  <c r="BJ51" i="132"/>
  <c r="D52" i="132"/>
  <c r="BJ52" i="132"/>
  <c r="D53" i="132"/>
  <c r="BJ53" i="132"/>
  <c r="D54" i="132"/>
  <c r="BJ54" i="132"/>
  <c r="D55" i="132"/>
  <c r="D56" i="132"/>
  <c r="D57" i="132"/>
  <c r="BJ57" i="132"/>
  <c r="D58" i="132"/>
  <c r="C1" i="131"/>
  <c r="D8" i="131"/>
  <c r="D9" i="131"/>
  <c r="D10" i="131"/>
  <c r="D11" i="131"/>
  <c r="D12" i="131"/>
  <c r="D13" i="131"/>
  <c r="D14" i="131"/>
  <c r="D15" i="131"/>
  <c r="D16" i="131"/>
  <c r="D17" i="131"/>
  <c r="D18" i="131"/>
  <c r="D20" i="131"/>
  <c r="BJ20" i="131"/>
  <c r="D21" i="131"/>
  <c r="BJ21" i="131"/>
  <c r="D22" i="131"/>
  <c r="BJ22" i="131"/>
  <c r="BJ19" i="131" s="1"/>
  <c r="D23" i="131"/>
  <c r="D24" i="131"/>
  <c r="D25" i="131"/>
  <c r="BJ25" i="131"/>
  <c r="D26" i="131"/>
  <c r="BJ26" i="131"/>
  <c r="D27" i="131"/>
  <c r="BJ27" i="131"/>
  <c r="D29" i="131"/>
  <c r="BJ29" i="131"/>
  <c r="BJ54" i="131" s="1"/>
  <c r="D30" i="131"/>
  <c r="BJ30" i="131"/>
  <c r="D31" i="131"/>
  <c r="BJ31" i="131"/>
  <c r="D32" i="131"/>
  <c r="BJ32" i="131"/>
  <c r="BJ33" i="131"/>
  <c r="D34" i="131"/>
  <c r="BJ34" i="131"/>
  <c r="D35" i="131"/>
  <c r="BJ35" i="131"/>
  <c r="D36" i="131"/>
  <c r="BJ36" i="131"/>
  <c r="D37" i="131"/>
  <c r="BJ37" i="131"/>
  <c r="D38" i="131"/>
  <c r="BJ38" i="131"/>
  <c r="D39" i="131"/>
  <c r="BJ39" i="131"/>
  <c r="D41" i="131"/>
  <c r="D42" i="131"/>
  <c r="D43" i="131"/>
  <c r="BJ43" i="131"/>
  <c r="D44" i="131"/>
  <c r="BJ44" i="131"/>
  <c r="D45" i="131"/>
  <c r="BJ45" i="131"/>
  <c r="D46" i="131"/>
  <c r="BJ46" i="131"/>
  <c r="D47" i="131"/>
  <c r="D48" i="131"/>
  <c r="BJ48" i="131"/>
  <c r="D49" i="131"/>
  <c r="BJ49" i="131"/>
  <c r="D50" i="131"/>
  <c r="D51" i="131"/>
  <c r="BJ51" i="131"/>
  <c r="D52" i="131"/>
  <c r="BJ52" i="131"/>
  <c r="D53" i="131"/>
  <c r="BJ53" i="131"/>
  <c r="D54" i="131"/>
  <c r="D55" i="131"/>
  <c r="D56" i="131"/>
  <c r="D57" i="131"/>
  <c r="BJ57" i="131"/>
  <c r="D58" i="131"/>
  <c r="C1" i="130"/>
  <c r="D8" i="130"/>
  <c r="D9" i="130"/>
  <c r="D10" i="130"/>
  <c r="D11" i="130"/>
  <c r="D12" i="130"/>
  <c r="D13" i="130"/>
  <c r="D14" i="130"/>
  <c r="D15" i="130"/>
  <c r="D16" i="130"/>
  <c r="D17" i="130"/>
  <c r="D18" i="130"/>
  <c r="D20" i="130"/>
  <c r="BJ20" i="130"/>
  <c r="D21" i="130"/>
  <c r="BJ21" i="130"/>
  <c r="D22" i="130"/>
  <c r="BJ22" i="130"/>
  <c r="BJ19" i="130" s="1"/>
  <c r="D23" i="130"/>
  <c r="D24" i="130"/>
  <c r="D25" i="130"/>
  <c r="BJ25" i="130"/>
  <c r="D26" i="130"/>
  <c r="BJ26" i="130"/>
  <c r="D27" i="130"/>
  <c r="BJ27" i="130"/>
  <c r="D29" i="130"/>
  <c r="BJ29" i="130"/>
  <c r="D30" i="130"/>
  <c r="BJ30" i="130"/>
  <c r="D31" i="130"/>
  <c r="BJ31" i="130"/>
  <c r="D32" i="130"/>
  <c r="BJ32" i="130"/>
  <c r="D33" i="130"/>
  <c r="BJ33" i="130"/>
  <c r="D34" i="130"/>
  <c r="BJ34" i="130"/>
  <c r="D35" i="130"/>
  <c r="BJ35" i="130"/>
  <c r="D36" i="130"/>
  <c r="BJ36" i="130"/>
  <c r="D37" i="130"/>
  <c r="BJ37" i="130"/>
  <c r="D38" i="130"/>
  <c r="BJ38" i="130"/>
  <c r="D39" i="130"/>
  <c r="BJ39" i="130"/>
  <c r="D41" i="130"/>
  <c r="D42" i="130"/>
  <c r="D43" i="130"/>
  <c r="BJ43" i="130"/>
  <c r="D44" i="130"/>
  <c r="BJ44" i="130"/>
  <c r="D45" i="130"/>
  <c r="BJ45" i="130"/>
  <c r="D46" i="130"/>
  <c r="BJ46" i="130"/>
  <c r="D47" i="130"/>
  <c r="D48" i="130"/>
  <c r="BJ48" i="130"/>
  <c r="D49" i="130"/>
  <c r="BJ49" i="130"/>
  <c r="D50" i="130"/>
  <c r="D51" i="130"/>
  <c r="BJ51" i="130"/>
  <c r="D52" i="130"/>
  <c r="BJ52" i="130"/>
  <c r="D53" i="130"/>
  <c r="BJ53" i="130"/>
  <c r="D54" i="130"/>
  <c r="BJ54" i="130"/>
  <c r="D55" i="130"/>
  <c r="D56" i="130"/>
  <c r="D57" i="130"/>
  <c r="BJ57" i="130"/>
  <c r="D58" i="130"/>
  <c r="C1" i="129"/>
  <c r="D8" i="129"/>
  <c r="D10" i="129"/>
  <c r="D13" i="129"/>
  <c r="D14" i="129"/>
  <c r="D15" i="129"/>
  <c r="D17" i="129"/>
  <c r="D18" i="129"/>
  <c r="D20" i="129"/>
  <c r="BJ20" i="129"/>
  <c r="D21" i="129"/>
  <c r="BJ21" i="129"/>
  <c r="BJ22" i="129"/>
  <c r="BJ19" i="129" s="1"/>
  <c r="D23" i="129"/>
  <c r="D24" i="129"/>
  <c r="BJ25" i="129"/>
  <c r="BJ26" i="129"/>
  <c r="D27" i="129"/>
  <c r="BJ27" i="129"/>
  <c r="BJ29" i="129"/>
  <c r="BJ54" i="129" s="1"/>
  <c r="BJ30" i="129"/>
  <c r="D31" i="129"/>
  <c r="BJ31" i="129"/>
  <c r="D32" i="129"/>
  <c r="BJ32" i="129"/>
  <c r="D33" i="129"/>
  <c r="BJ33" i="129"/>
  <c r="D34" i="129"/>
  <c r="BJ34" i="129"/>
  <c r="D35" i="129"/>
  <c r="BJ35" i="129"/>
  <c r="D36" i="129"/>
  <c r="BJ36" i="129"/>
  <c r="D37" i="129"/>
  <c r="BJ37" i="129"/>
  <c r="D38" i="129"/>
  <c r="BJ38" i="129"/>
  <c r="D39" i="129"/>
  <c r="BJ39" i="129"/>
  <c r="D41" i="129"/>
  <c r="D42" i="129"/>
  <c r="D43" i="129"/>
  <c r="BJ43" i="129"/>
  <c r="BJ44" i="129"/>
  <c r="D45" i="129"/>
  <c r="BJ45" i="129"/>
  <c r="D46" i="129"/>
  <c r="BJ46" i="129"/>
  <c r="D47" i="129"/>
  <c r="D48" i="129"/>
  <c r="BJ48" i="129"/>
  <c r="D49" i="129"/>
  <c r="BJ49" i="129"/>
  <c r="D50" i="129"/>
  <c r="D51" i="129"/>
  <c r="BJ51" i="129"/>
  <c r="D52" i="129"/>
  <c r="BJ52" i="129"/>
  <c r="D53" i="129"/>
  <c r="BJ53" i="129"/>
  <c r="D54" i="129"/>
  <c r="D55" i="129"/>
  <c r="D56" i="129"/>
  <c r="D57" i="129"/>
  <c r="BJ57" i="129"/>
  <c r="C1" i="128"/>
  <c r="D8" i="128"/>
  <c r="D9" i="128"/>
  <c r="D10" i="128"/>
  <c r="D11" i="128"/>
  <c r="D12" i="128"/>
  <c r="D13" i="128"/>
  <c r="D14" i="128"/>
  <c r="D15" i="128"/>
  <c r="D16" i="128"/>
  <c r="D17" i="128"/>
  <c r="D18" i="128"/>
  <c r="D20" i="128"/>
  <c r="BJ20" i="128"/>
  <c r="D21" i="128"/>
  <c r="BJ21" i="128"/>
  <c r="D22" i="128"/>
  <c r="BJ22" i="128"/>
  <c r="BJ19" i="128" s="1"/>
  <c r="D23" i="128"/>
  <c r="D24" i="128"/>
  <c r="D25" i="128"/>
  <c r="BJ25" i="128"/>
  <c r="D26" i="128"/>
  <c r="BJ26" i="128"/>
  <c r="D27" i="128"/>
  <c r="BJ27" i="128"/>
  <c r="D29" i="128"/>
  <c r="BJ29" i="128"/>
  <c r="BJ54" i="128" s="1"/>
  <c r="D30" i="128"/>
  <c r="BJ30" i="128"/>
  <c r="D31" i="128"/>
  <c r="BJ31" i="128"/>
  <c r="D32" i="128"/>
  <c r="BJ32" i="128"/>
  <c r="D33" i="128"/>
  <c r="BJ33" i="128"/>
  <c r="D34" i="128"/>
  <c r="BJ34" i="128"/>
  <c r="D35" i="128"/>
  <c r="BJ35" i="128"/>
  <c r="D36" i="128"/>
  <c r="BJ36" i="128"/>
  <c r="D37" i="128"/>
  <c r="BJ37" i="128"/>
  <c r="D38" i="128"/>
  <c r="BJ38" i="128"/>
  <c r="D39" i="128"/>
  <c r="BJ39" i="128"/>
  <c r="D41" i="128"/>
  <c r="D42" i="128"/>
  <c r="D43" i="128"/>
  <c r="BJ43" i="128"/>
  <c r="D44" i="128"/>
  <c r="BJ44" i="128"/>
  <c r="D45" i="128"/>
  <c r="BJ45" i="128"/>
  <c r="D46" i="128"/>
  <c r="BJ46" i="128"/>
  <c r="D47" i="128"/>
  <c r="D48" i="128"/>
  <c r="BJ48" i="128"/>
  <c r="D49" i="128"/>
  <c r="BJ49" i="128"/>
  <c r="D50" i="128"/>
  <c r="D51" i="128"/>
  <c r="BJ51" i="128"/>
  <c r="D52" i="128"/>
  <c r="BJ52" i="128"/>
  <c r="D53" i="128"/>
  <c r="BJ53" i="128"/>
  <c r="D54" i="128"/>
  <c r="D55" i="128"/>
  <c r="D56" i="128"/>
  <c r="D57" i="128"/>
  <c r="BJ57" i="128"/>
  <c r="D58" i="128"/>
  <c r="C1" i="127"/>
  <c r="D8" i="127"/>
  <c r="D9" i="127"/>
  <c r="D10" i="127"/>
  <c r="D11" i="127"/>
  <c r="D12" i="127"/>
  <c r="D13" i="127"/>
  <c r="D14" i="127"/>
  <c r="D15" i="127"/>
  <c r="D16" i="127"/>
  <c r="D17" i="127"/>
  <c r="D18" i="127"/>
  <c r="D20" i="127"/>
  <c r="BJ20" i="127"/>
  <c r="D21" i="127"/>
  <c r="BJ21" i="127"/>
  <c r="D22" i="127"/>
  <c r="BJ22" i="127"/>
  <c r="BJ19" i="127" s="1"/>
  <c r="D23" i="127"/>
  <c r="D24" i="127"/>
  <c r="D25" i="127"/>
  <c r="BJ25" i="127"/>
  <c r="D26" i="127"/>
  <c r="BJ26" i="127"/>
  <c r="D27" i="127"/>
  <c r="BJ27" i="127"/>
  <c r="D29" i="127"/>
  <c r="BJ29" i="127"/>
  <c r="BJ54" i="127" s="1"/>
  <c r="D30" i="127"/>
  <c r="BJ30" i="127"/>
  <c r="D31" i="127"/>
  <c r="BJ31" i="127"/>
  <c r="D32" i="127"/>
  <c r="BJ32" i="127"/>
  <c r="D33" i="127"/>
  <c r="BJ33" i="127"/>
  <c r="D34" i="127"/>
  <c r="BJ34" i="127"/>
  <c r="D35" i="127"/>
  <c r="BJ35" i="127"/>
  <c r="D36" i="127"/>
  <c r="BJ36" i="127"/>
  <c r="D37" i="127"/>
  <c r="BJ37" i="127"/>
  <c r="D38" i="127"/>
  <c r="BJ38" i="127"/>
  <c r="D39" i="127"/>
  <c r="BJ39" i="127"/>
  <c r="D41" i="127"/>
  <c r="D42" i="127"/>
  <c r="D43" i="127"/>
  <c r="BJ43" i="127"/>
  <c r="D44" i="127"/>
  <c r="BJ44" i="127"/>
  <c r="D45" i="127"/>
  <c r="BJ45" i="127"/>
  <c r="D46" i="127"/>
  <c r="BJ46" i="127"/>
  <c r="D47" i="127"/>
  <c r="D48" i="127"/>
  <c r="BJ48" i="127"/>
  <c r="D49" i="127"/>
  <c r="BJ49" i="127"/>
  <c r="D50" i="127"/>
  <c r="D51" i="127"/>
  <c r="BJ51" i="127"/>
  <c r="D52" i="127"/>
  <c r="BJ52" i="127"/>
  <c r="D53" i="127"/>
  <c r="BJ53" i="127"/>
  <c r="D54" i="127"/>
  <c r="D55" i="127"/>
  <c r="D56" i="127"/>
  <c r="D57" i="127"/>
  <c r="BJ57" i="127"/>
  <c r="D58" i="127"/>
  <c r="C1" i="126"/>
  <c r="D8" i="126"/>
  <c r="D10" i="126"/>
  <c r="D13" i="126"/>
  <c r="D14" i="126"/>
  <c r="D15" i="126"/>
  <c r="D17" i="126"/>
  <c r="D18" i="126"/>
  <c r="D20" i="126"/>
  <c r="BJ20" i="126"/>
  <c r="D21" i="126"/>
  <c r="BJ21" i="126"/>
  <c r="D22" i="126"/>
  <c r="BJ22" i="126"/>
  <c r="BJ19" i="126"/>
  <c r="D23" i="126"/>
  <c r="D24" i="126"/>
  <c r="D25" i="126"/>
  <c r="BJ25" i="126"/>
  <c r="D26" i="126"/>
  <c r="BJ26" i="126"/>
  <c r="D27" i="126"/>
  <c r="BJ27" i="126"/>
  <c r="D29" i="126"/>
  <c r="BJ29" i="126"/>
  <c r="BJ54" i="126" s="1"/>
  <c r="D30" i="126"/>
  <c r="BJ30" i="126"/>
  <c r="D31" i="126"/>
  <c r="BJ31" i="126"/>
  <c r="D32" i="126"/>
  <c r="BJ32" i="126"/>
  <c r="D33" i="126"/>
  <c r="BJ33" i="126"/>
  <c r="D34" i="126"/>
  <c r="BJ34" i="126"/>
  <c r="BJ35" i="126"/>
  <c r="D36" i="126"/>
  <c r="BJ36" i="126"/>
  <c r="D37" i="126"/>
  <c r="BJ37" i="126"/>
  <c r="D38" i="126"/>
  <c r="BJ38" i="126"/>
  <c r="D39" i="126"/>
  <c r="BJ39" i="126"/>
  <c r="D41" i="126"/>
  <c r="D42" i="126"/>
  <c r="D43" i="126"/>
  <c r="BJ43" i="126"/>
  <c r="BJ44" i="126"/>
  <c r="D45" i="126"/>
  <c r="BJ45" i="126"/>
  <c r="D46" i="126"/>
  <c r="BJ46" i="126"/>
  <c r="D47" i="126"/>
  <c r="D48" i="126"/>
  <c r="BJ48" i="126"/>
  <c r="D49" i="126"/>
  <c r="BJ49" i="126"/>
  <c r="D50" i="126"/>
  <c r="D51" i="126"/>
  <c r="BJ51" i="126"/>
  <c r="D52" i="126"/>
  <c r="BJ52" i="126"/>
  <c r="D53" i="126"/>
  <c r="BJ53" i="126"/>
  <c r="D54" i="126"/>
  <c r="D55" i="126"/>
  <c r="D56" i="126"/>
  <c r="D57" i="126"/>
  <c r="BJ57" i="126"/>
  <c r="C1" i="125"/>
  <c r="D8" i="125"/>
  <c r="D9" i="125"/>
  <c r="D10" i="125"/>
  <c r="D11" i="125"/>
  <c r="D12" i="125"/>
  <c r="D13" i="125"/>
  <c r="D14" i="125"/>
  <c r="D15" i="125"/>
  <c r="D16" i="125"/>
  <c r="D17" i="125"/>
  <c r="D18" i="125"/>
  <c r="D20" i="125"/>
  <c r="BJ20" i="125"/>
  <c r="D21" i="125"/>
  <c r="BJ21" i="125"/>
  <c r="D22" i="125"/>
  <c r="BJ22" i="125"/>
  <c r="BJ19" i="125"/>
  <c r="D23" i="125"/>
  <c r="D24" i="125"/>
  <c r="D25" i="125"/>
  <c r="BJ25" i="125"/>
  <c r="D26" i="125"/>
  <c r="BJ26" i="125"/>
  <c r="D27" i="125"/>
  <c r="BJ27" i="125"/>
  <c r="D29" i="125"/>
  <c r="BJ29" i="125"/>
  <c r="D30" i="125"/>
  <c r="BJ30" i="125"/>
  <c r="D31" i="125"/>
  <c r="BJ31" i="125"/>
  <c r="D32" i="125"/>
  <c r="BJ32" i="125"/>
  <c r="D33" i="125"/>
  <c r="BJ33" i="125"/>
  <c r="D34" i="125"/>
  <c r="BJ34" i="125"/>
  <c r="D35" i="125"/>
  <c r="BJ35" i="125"/>
  <c r="D36" i="125"/>
  <c r="BJ36" i="125"/>
  <c r="D37" i="125"/>
  <c r="BJ37" i="125"/>
  <c r="D38" i="125"/>
  <c r="BJ38" i="125"/>
  <c r="D39" i="125"/>
  <c r="BJ39" i="125"/>
  <c r="D41" i="125"/>
  <c r="D42" i="125"/>
  <c r="D43" i="125"/>
  <c r="BJ43" i="125"/>
  <c r="D44" i="125"/>
  <c r="BJ44" i="125"/>
  <c r="D45" i="125"/>
  <c r="BJ45" i="125"/>
  <c r="D46" i="125"/>
  <c r="BJ46" i="125"/>
  <c r="D47" i="125"/>
  <c r="D48" i="125"/>
  <c r="BJ48" i="125"/>
  <c r="D49" i="125"/>
  <c r="BJ49" i="125"/>
  <c r="D50" i="125"/>
  <c r="D51" i="125"/>
  <c r="BJ51" i="125"/>
  <c r="D52" i="125"/>
  <c r="BJ52" i="125"/>
  <c r="D53" i="125"/>
  <c r="BJ53" i="125"/>
  <c r="D54" i="125"/>
  <c r="BJ54" i="125"/>
  <c r="D55" i="125"/>
  <c r="D56" i="125"/>
  <c r="D57" i="125"/>
  <c r="BJ57" i="125"/>
  <c r="D58" i="125"/>
  <c r="C1" i="124"/>
  <c r="D8" i="124"/>
  <c r="D9" i="124"/>
  <c r="D10" i="124"/>
  <c r="D11" i="124"/>
  <c r="D12" i="124"/>
  <c r="D13" i="124"/>
  <c r="D14" i="124"/>
  <c r="D15" i="124"/>
  <c r="D16" i="124"/>
  <c r="D17" i="124"/>
  <c r="D18" i="124"/>
  <c r="D20" i="124"/>
  <c r="BJ20" i="124"/>
  <c r="D21" i="124"/>
  <c r="BJ21" i="124"/>
  <c r="D22" i="124"/>
  <c r="BJ22" i="124"/>
  <c r="BJ19" i="124" s="1"/>
  <c r="D23" i="124"/>
  <c r="D24" i="124"/>
  <c r="D25" i="124"/>
  <c r="BJ25" i="124"/>
  <c r="D26" i="124"/>
  <c r="BJ26" i="124"/>
  <c r="D27" i="124"/>
  <c r="BJ27" i="124"/>
  <c r="D29" i="124"/>
  <c r="BJ29" i="124"/>
  <c r="D30" i="124"/>
  <c r="BJ30" i="124"/>
  <c r="D31" i="124"/>
  <c r="BJ31" i="124"/>
  <c r="D32" i="124"/>
  <c r="BJ32" i="124"/>
  <c r="D33" i="124"/>
  <c r="BJ33" i="124"/>
  <c r="D34" i="124"/>
  <c r="BJ34" i="124"/>
  <c r="D35" i="124"/>
  <c r="BJ35" i="124"/>
  <c r="D36" i="124"/>
  <c r="BJ36" i="124"/>
  <c r="D37" i="124"/>
  <c r="BJ37" i="124"/>
  <c r="D38" i="124"/>
  <c r="BJ38" i="124"/>
  <c r="D39" i="124"/>
  <c r="BJ39" i="124"/>
  <c r="D41" i="124"/>
  <c r="D42" i="124"/>
  <c r="D43" i="124"/>
  <c r="BJ43" i="124"/>
  <c r="D44" i="124"/>
  <c r="BJ44" i="124"/>
  <c r="D45" i="124"/>
  <c r="BJ45" i="124"/>
  <c r="D46" i="124"/>
  <c r="BJ46" i="124"/>
  <c r="D47" i="124"/>
  <c r="D48" i="124"/>
  <c r="BJ48" i="124"/>
  <c r="D49" i="124"/>
  <c r="BJ49" i="124"/>
  <c r="D50" i="124"/>
  <c r="D51" i="124"/>
  <c r="BJ51" i="124"/>
  <c r="D52" i="124"/>
  <c r="BJ52" i="124"/>
  <c r="D53" i="124"/>
  <c r="BJ53" i="124"/>
  <c r="D54" i="124"/>
  <c r="BJ54" i="124"/>
  <c r="D55" i="124"/>
  <c r="D56" i="124"/>
  <c r="D57" i="124"/>
  <c r="BJ57" i="124"/>
  <c r="D58" i="124"/>
  <c r="C1" i="123"/>
  <c r="D8" i="123"/>
  <c r="D9" i="123"/>
  <c r="D10" i="123"/>
  <c r="D12" i="123"/>
  <c r="D13" i="123"/>
  <c r="D14" i="123"/>
  <c r="D15" i="123"/>
  <c r="D16" i="123"/>
  <c r="D17" i="123"/>
  <c r="D18" i="123"/>
  <c r="D20" i="123"/>
  <c r="BJ20" i="123"/>
  <c r="D21" i="123"/>
  <c r="BJ21" i="123"/>
  <c r="D22" i="123"/>
  <c r="BJ22" i="123"/>
  <c r="BJ19" i="123"/>
  <c r="D23" i="123"/>
  <c r="D24" i="123"/>
  <c r="D25" i="123"/>
  <c r="BJ25" i="123"/>
  <c r="D26" i="123"/>
  <c r="BJ26" i="123"/>
  <c r="D27" i="123"/>
  <c r="BJ27" i="123"/>
  <c r="D29" i="123"/>
  <c r="BJ29" i="123"/>
  <c r="BJ54" i="123" s="1"/>
  <c r="D30" i="123"/>
  <c r="BJ30" i="123"/>
  <c r="D31" i="123"/>
  <c r="BJ31" i="123"/>
  <c r="D32" i="123"/>
  <c r="BJ32" i="123"/>
  <c r="D33" i="123"/>
  <c r="BJ33" i="123"/>
  <c r="D34" i="123"/>
  <c r="BJ34" i="123"/>
  <c r="D35" i="123"/>
  <c r="BJ35" i="123"/>
  <c r="D36" i="123"/>
  <c r="BJ36" i="123"/>
  <c r="D37" i="123"/>
  <c r="BJ37" i="123"/>
  <c r="D38" i="123"/>
  <c r="BJ38" i="123"/>
  <c r="D39" i="123"/>
  <c r="BJ39" i="123"/>
  <c r="D41" i="123"/>
  <c r="D42" i="123"/>
  <c r="D43" i="123"/>
  <c r="BJ43" i="123"/>
  <c r="D44" i="123"/>
  <c r="BJ44" i="123"/>
  <c r="D45" i="123"/>
  <c r="BJ45" i="123"/>
  <c r="D46" i="123"/>
  <c r="BJ46" i="123"/>
  <c r="D47" i="123"/>
  <c r="D48" i="123"/>
  <c r="BJ48" i="123"/>
  <c r="D49" i="123"/>
  <c r="BJ49" i="123"/>
  <c r="D50" i="123"/>
  <c r="D51" i="123"/>
  <c r="BJ51" i="123"/>
  <c r="D52" i="123"/>
  <c r="BJ52" i="123"/>
  <c r="D53" i="123"/>
  <c r="BJ53" i="123"/>
  <c r="D54" i="123"/>
  <c r="D55" i="123"/>
  <c r="D56" i="123"/>
  <c r="D57" i="123"/>
  <c r="BJ57" i="123"/>
  <c r="C1" i="122"/>
  <c r="D8" i="122"/>
  <c r="D9" i="122"/>
  <c r="D10" i="122"/>
  <c r="D11" i="122"/>
  <c r="D12" i="122"/>
  <c r="D13" i="122"/>
  <c r="D14" i="122"/>
  <c r="D15" i="122"/>
  <c r="D16" i="122"/>
  <c r="D17" i="122"/>
  <c r="D18" i="122"/>
  <c r="D20" i="122"/>
  <c r="BJ20" i="122"/>
  <c r="D21" i="122"/>
  <c r="BJ21" i="122"/>
  <c r="D22" i="122"/>
  <c r="BJ22" i="122"/>
  <c r="BJ19" i="122"/>
  <c r="D23" i="122"/>
  <c r="D24" i="122"/>
  <c r="D25" i="122"/>
  <c r="BJ25" i="122"/>
  <c r="D26" i="122"/>
  <c r="BJ26" i="122"/>
  <c r="D27" i="122"/>
  <c r="BJ27" i="122"/>
  <c r="D29" i="122"/>
  <c r="BJ29" i="122"/>
  <c r="BJ54" i="122" s="1"/>
  <c r="D30" i="122"/>
  <c r="BJ30" i="122"/>
  <c r="D31" i="122"/>
  <c r="BJ31" i="122"/>
  <c r="D32" i="122"/>
  <c r="BJ32" i="122"/>
  <c r="D33" i="122"/>
  <c r="BJ33" i="122"/>
  <c r="D34" i="122"/>
  <c r="BJ34" i="122"/>
  <c r="D35" i="122"/>
  <c r="BJ35" i="122"/>
  <c r="D36" i="122"/>
  <c r="BJ36" i="122"/>
  <c r="D37" i="122"/>
  <c r="BJ37" i="122"/>
  <c r="D38" i="122"/>
  <c r="BJ38" i="122"/>
  <c r="D39" i="122"/>
  <c r="BJ39" i="122"/>
  <c r="D41" i="122"/>
  <c r="D42" i="122"/>
  <c r="D43" i="122"/>
  <c r="BJ43" i="122"/>
  <c r="D44" i="122"/>
  <c r="BJ44" i="122"/>
  <c r="D45" i="122"/>
  <c r="BJ45" i="122"/>
  <c r="D46" i="122"/>
  <c r="BJ46" i="122"/>
  <c r="D47" i="122"/>
  <c r="D48" i="122"/>
  <c r="BJ48" i="122"/>
  <c r="D49" i="122"/>
  <c r="BJ49" i="122"/>
  <c r="D50" i="122"/>
  <c r="D51" i="122"/>
  <c r="BJ51" i="122"/>
  <c r="D52" i="122"/>
  <c r="BJ52" i="122"/>
  <c r="D53" i="122"/>
  <c r="BJ53" i="122"/>
  <c r="D54" i="122"/>
  <c r="D55" i="122"/>
  <c r="D56" i="122"/>
  <c r="D57" i="122"/>
  <c r="BJ57" i="122"/>
  <c r="D58" i="122"/>
  <c r="C1" i="121"/>
  <c r="D8" i="121"/>
  <c r="D9" i="121"/>
  <c r="D10" i="121"/>
  <c r="D11" i="121"/>
  <c r="D12" i="121"/>
  <c r="D13" i="121"/>
  <c r="D14" i="121"/>
  <c r="D15" i="121"/>
  <c r="D16" i="121"/>
  <c r="D17" i="121"/>
  <c r="D18" i="121"/>
  <c r="D20" i="121"/>
  <c r="BJ20" i="121"/>
  <c r="D21" i="121"/>
  <c r="BJ21" i="121"/>
  <c r="D22" i="121"/>
  <c r="BJ22" i="121"/>
  <c r="BJ19" i="121"/>
  <c r="D23" i="121"/>
  <c r="D24" i="121"/>
  <c r="D25" i="121"/>
  <c r="BJ25" i="121"/>
  <c r="D26" i="121"/>
  <c r="BJ26" i="121"/>
  <c r="D27" i="121"/>
  <c r="BJ27" i="121"/>
  <c r="D29" i="121"/>
  <c r="BJ29" i="121"/>
  <c r="BJ54" i="121" s="1"/>
  <c r="D30" i="121"/>
  <c r="BJ30" i="121"/>
  <c r="D31" i="121"/>
  <c r="BJ31" i="121"/>
  <c r="D32" i="121"/>
  <c r="BJ32" i="121"/>
  <c r="D33" i="121"/>
  <c r="BJ33" i="121"/>
  <c r="D34" i="121"/>
  <c r="BJ34" i="121"/>
  <c r="D35" i="121"/>
  <c r="BJ35" i="121"/>
  <c r="D36" i="121"/>
  <c r="BJ36" i="121"/>
  <c r="D37" i="121"/>
  <c r="BJ37" i="121"/>
  <c r="D38" i="121"/>
  <c r="BJ38" i="121"/>
  <c r="D39" i="121"/>
  <c r="BJ39" i="121"/>
  <c r="D41" i="121"/>
  <c r="D42" i="121"/>
  <c r="D43" i="121"/>
  <c r="BJ43" i="121"/>
  <c r="D44" i="121"/>
  <c r="BJ44" i="121"/>
  <c r="D45" i="121"/>
  <c r="BJ45" i="121"/>
  <c r="D46" i="121"/>
  <c r="BJ46" i="121"/>
  <c r="D47" i="121"/>
  <c r="D48" i="121"/>
  <c r="BJ48" i="121"/>
  <c r="D49" i="121"/>
  <c r="BJ49" i="121"/>
  <c r="D50" i="121"/>
  <c r="D51" i="121"/>
  <c r="BJ51" i="121"/>
  <c r="D52" i="121"/>
  <c r="BJ52" i="121"/>
  <c r="D53" i="121"/>
  <c r="BJ53" i="121"/>
  <c r="D54" i="121"/>
  <c r="D55" i="121"/>
  <c r="D56" i="121"/>
  <c r="D57" i="121"/>
  <c r="BJ57" i="121"/>
  <c r="D58" i="121"/>
  <c r="C1" i="120"/>
  <c r="D8" i="120"/>
  <c r="D9" i="120"/>
  <c r="D10" i="120"/>
  <c r="D11" i="120"/>
  <c r="D12" i="120"/>
  <c r="D13" i="120"/>
  <c r="D14" i="120"/>
  <c r="D15" i="120"/>
  <c r="D16" i="120"/>
  <c r="D17" i="120"/>
  <c r="D18" i="120"/>
  <c r="D20" i="120"/>
  <c r="BJ20" i="120"/>
  <c r="D21" i="120"/>
  <c r="BJ21" i="120"/>
  <c r="D22" i="120"/>
  <c r="BJ22" i="120"/>
  <c r="BJ19" i="120" s="1"/>
  <c r="D23" i="120"/>
  <c r="D24" i="120"/>
  <c r="D25" i="120"/>
  <c r="BJ25" i="120"/>
  <c r="D26" i="120"/>
  <c r="BJ26" i="120"/>
  <c r="D27" i="120"/>
  <c r="BJ27" i="120"/>
  <c r="D29" i="120"/>
  <c r="BJ29" i="120"/>
  <c r="D30" i="120"/>
  <c r="BJ30" i="120"/>
  <c r="D31" i="120"/>
  <c r="BJ31" i="120"/>
  <c r="D32" i="120"/>
  <c r="BJ32" i="120"/>
  <c r="D33" i="120"/>
  <c r="BJ33" i="120"/>
  <c r="D34" i="120"/>
  <c r="BJ34" i="120"/>
  <c r="D35" i="120"/>
  <c r="BJ35" i="120"/>
  <c r="D36" i="120"/>
  <c r="BJ36" i="120"/>
  <c r="D37" i="120"/>
  <c r="BJ37" i="120"/>
  <c r="D38" i="120"/>
  <c r="BJ38" i="120"/>
  <c r="D39" i="120"/>
  <c r="BJ39" i="120"/>
  <c r="D41" i="120"/>
  <c r="D42" i="120"/>
  <c r="D43" i="120"/>
  <c r="BJ43" i="120"/>
  <c r="D44" i="120"/>
  <c r="BJ44" i="120"/>
  <c r="D45" i="120"/>
  <c r="BJ45" i="120"/>
  <c r="D46" i="120"/>
  <c r="BJ46" i="120"/>
  <c r="D47" i="120"/>
  <c r="D48" i="120"/>
  <c r="BJ48" i="120"/>
  <c r="D49" i="120"/>
  <c r="BJ49" i="120"/>
  <c r="D50" i="120"/>
  <c r="D51" i="120"/>
  <c r="BJ51" i="120"/>
  <c r="D52" i="120"/>
  <c r="BJ52" i="120"/>
  <c r="D53" i="120"/>
  <c r="BJ53" i="120"/>
  <c r="D54" i="120"/>
  <c r="BJ54" i="120"/>
  <c r="D55" i="120"/>
  <c r="D56" i="120"/>
  <c r="D57" i="120"/>
  <c r="BJ57" i="120"/>
  <c r="D58" i="120"/>
  <c r="C1" i="119"/>
  <c r="D8" i="119"/>
  <c r="D9" i="119"/>
  <c r="D10" i="119"/>
  <c r="D11" i="119"/>
  <c r="D12" i="119"/>
  <c r="D13" i="119"/>
  <c r="D14" i="119"/>
  <c r="D15" i="119"/>
  <c r="D16" i="119"/>
  <c r="D17" i="119"/>
  <c r="D18" i="119"/>
  <c r="D20" i="119"/>
  <c r="BJ20" i="119"/>
  <c r="D21" i="119"/>
  <c r="BJ21" i="119"/>
  <c r="D22" i="119"/>
  <c r="BJ22" i="119"/>
  <c r="BJ19" i="119"/>
  <c r="D23" i="119"/>
  <c r="D24" i="119"/>
  <c r="D25" i="119"/>
  <c r="BJ25" i="119"/>
  <c r="D26" i="119"/>
  <c r="BJ26" i="119"/>
  <c r="D27" i="119"/>
  <c r="BJ27" i="119"/>
  <c r="D29" i="119"/>
  <c r="BJ29" i="119"/>
  <c r="BJ54" i="119"/>
  <c r="D30" i="119"/>
  <c r="BJ30" i="119"/>
  <c r="D31" i="119"/>
  <c r="BJ31" i="119"/>
  <c r="D32" i="119"/>
  <c r="BJ32" i="119"/>
  <c r="D33" i="119"/>
  <c r="BJ33" i="119"/>
  <c r="D34" i="119"/>
  <c r="BJ34" i="119"/>
  <c r="D35" i="119"/>
  <c r="BJ35" i="119"/>
  <c r="D36" i="119"/>
  <c r="BJ36" i="119"/>
  <c r="D37" i="119"/>
  <c r="BJ37" i="119"/>
  <c r="D38" i="119"/>
  <c r="BJ38" i="119"/>
  <c r="D39" i="119"/>
  <c r="BJ39" i="119"/>
  <c r="D41" i="119"/>
  <c r="D42" i="119"/>
  <c r="D43" i="119"/>
  <c r="BJ43" i="119"/>
  <c r="D44" i="119"/>
  <c r="BJ44" i="119"/>
  <c r="D45" i="119"/>
  <c r="BJ45" i="119"/>
  <c r="D46" i="119"/>
  <c r="BJ46" i="119"/>
  <c r="D47" i="119"/>
  <c r="D48" i="119"/>
  <c r="BJ48" i="119"/>
  <c r="D49" i="119"/>
  <c r="BJ49" i="119"/>
  <c r="D50" i="119"/>
  <c r="D51" i="119"/>
  <c r="BJ51" i="119"/>
  <c r="D52" i="119"/>
  <c r="BJ52" i="119"/>
  <c r="D53" i="119"/>
  <c r="BJ53" i="119"/>
  <c r="D54" i="119"/>
  <c r="D55" i="119"/>
  <c r="D56" i="119"/>
  <c r="D57" i="119"/>
  <c r="BJ57" i="119"/>
  <c r="D58" i="119"/>
  <c r="C1" i="118"/>
  <c r="D8" i="118"/>
  <c r="D9" i="118"/>
  <c r="D10" i="118"/>
  <c r="D11" i="118"/>
  <c r="D12" i="118"/>
  <c r="D13" i="118"/>
  <c r="D14" i="118"/>
  <c r="D15" i="118"/>
  <c r="D16" i="118"/>
  <c r="D17" i="118"/>
  <c r="D18" i="118"/>
  <c r="D20" i="118"/>
  <c r="BJ20" i="118"/>
  <c r="D21" i="118"/>
  <c r="BJ21" i="118"/>
  <c r="D22" i="118"/>
  <c r="BJ22" i="118"/>
  <c r="BJ19" i="118"/>
  <c r="D23" i="118"/>
  <c r="D24" i="118"/>
  <c r="D25" i="118"/>
  <c r="BJ25" i="118"/>
  <c r="D26" i="118"/>
  <c r="BJ26" i="118"/>
  <c r="D27" i="118"/>
  <c r="BJ27" i="118"/>
  <c r="D29" i="118"/>
  <c r="BJ29" i="118"/>
  <c r="BJ54" i="118"/>
  <c r="D30" i="118"/>
  <c r="BJ30" i="118"/>
  <c r="D31" i="118"/>
  <c r="BJ31" i="118"/>
  <c r="D32" i="118"/>
  <c r="BJ32" i="118"/>
  <c r="D33" i="118"/>
  <c r="BJ33" i="118"/>
  <c r="D34" i="118"/>
  <c r="BJ34" i="118"/>
  <c r="D35" i="118"/>
  <c r="BJ35" i="118"/>
  <c r="D36" i="118"/>
  <c r="BJ36" i="118"/>
  <c r="D37" i="118"/>
  <c r="BJ37" i="118"/>
  <c r="D38" i="118"/>
  <c r="BJ38" i="118"/>
  <c r="D39" i="118"/>
  <c r="BJ39" i="118"/>
  <c r="D41" i="118"/>
  <c r="D42" i="118"/>
  <c r="D43" i="118"/>
  <c r="BJ43" i="118"/>
  <c r="D44" i="118"/>
  <c r="BJ44" i="118"/>
  <c r="D45" i="118"/>
  <c r="BJ45" i="118"/>
  <c r="D46" i="118"/>
  <c r="BJ46" i="118"/>
  <c r="D47" i="118"/>
  <c r="D48" i="118"/>
  <c r="BJ48" i="118"/>
  <c r="D49" i="118"/>
  <c r="BJ49" i="118"/>
  <c r="D50" i="118"/>
  <c r="D51" i="118"/>
  <c r="BJ51" i="118"/>
  <c r="D52" i="118"/>
  <c r="BJ52" i="118"/>
  <c r="D53" i="118"/>
  <c r="BJ53" i="118"/>
  <c r="D54" i="118"/>
  <c r="D55" i="118"/>
  <c r="D56" i="118"/>
  <c r="D57" i="118"/>
  <c r="BJ57" i="118"/>
  <c r="D58" i="118"/>
  <c r="C1" i="117"/>
  <c r="D8" i="117"/>
  <c r="D9" i="117"/>
  <c r="D10" i="117"/>
  <c r="D11" i="117"/>
  <c r="D12" i="117"/>
  <c r="D13" i="117"/>
  <c r="D14" i="117"/>
  <c r="D15" i="117"/>
  <c r="D16" i="117"/>
  <c r="D17" i="117"/>
  <c r="D18" i="117"/>
  <c r="D20" i="117"/>
  <c r="BJ20" i="117"/>
  <c r="D21" i="117"/>
  <c r="BJ21" i="117"/>
  <c r="D22" i="117"/>
  <c r="BJ22" i="117"/>
  <c r="BJ19" i="117" s="1"/>
  <c r="D23" i="117"/>
  <c r="D24" i="117"/>
  <c r="D25" i="117"/>
  <c r="BJ25" i="117"/>
  <c r="D26" i="117"/>
  <c r="BJ26" i="117"/>
  <c r="D27" i="117"/>
  <c r="BJ27" i="117"/>
  <c r="D29" i="117"/>
  <c r="BJ29" i="117"/>
  <c r="D30" i="117"/>
  <c r="BJ30" i="117"/>
  <c r="D31" i="117"/>
  <c r="BJ31" i="117"/>
  <c r="D32" i="117"/>
  <c r="BJ32" i="117"/>
  <c r="D33" i="117"/>
  <c r="BJ33" i="117"/>
  <c r="D34" i="117"/>
  <c r="BJ34" i="117"/>
  <c r="D35" i="117"/>
  <c r="BJ35" i="117"/>
  <c r="D36" i="117"/>
  <c r="BJ36" i="117"/>
  <c r="D37" i="117"/>
  <c r="BJ37" i="117"/>
  <c r="D38" i="117"/>
  <c r="BJ38" i="117"/>
  <c r="D39" i="117"/>
  <c r="BJ39" i="117"/>
  <c r="D41" i="117"/>
  <c r="D42" i="117"/>
  <c r="D43" i="117"/>
  <c r="BJ43" i="117"/>
  <c r="D44" i="117"/>
  <c r="BJ44" i="117"/>
  <c r="D45" i="117"/>
  <c r="BJ45" i="117"/>
  <c r="D46" i="117"/>
  <c r="BJ46" i="117"/>
  <c r="D47" i="117"/>
  <c r="D48" i="117"/>
  <c r="BJ48" i="117"/>
  <c r="D49" i="117"/>
  <c r="BJ49" i="117"/>
  <c r="D50" i="117"/>
  <c r="D51" i="117"/>
  <c r="BJ51" i="117"/>
  <c r="D52" i="117"/>
  <c r="BJ52" i="117"/>
  <c r="D53" i="117"/>
  <c r="BJ53" i="117"/>
  <c r="D54" i="117"/>
  <c r="BJ54" i="117"/>
  <c r="D55" i="117"/>
  <c r="D56" i="117"/>
  <c r="D57" i="117"/>
  <c r="BJ57" i="117"/>
  <c r="D58" i="117"/>
  <c r="D6" i="118"/>
  <c r="D6" i="119"/>
  <c r="D6" i="121"/>
  <c r="D7" i="122"/>
  <c r="D7" i="124"/>
  <c r="D7" i="132"/>
  <c r="D9" i="126"/>
  <c r="D9" i="129"/>
  <c r="D11" i="129"/>
  <c r="D12" i="126"/>
  <c r="D16" i="129"/>
  <c r="D19" i="130"/>
  <c r="D25" i="129"/>
  <c r="D26" i="129"/>
  <c r="D19" i="117"/>
  <c r="D28" i="131"/>
  <c r="D29" i="129"/>
  <c r="D33" i="132"/>
  <c r="D44" i="129"/>
  <c r="D58" i="126"/>
  <c r="D58" i="123"/>
  <c r="D11" i="123"/>
  <c r="D11" i="126"/>
  <c r="D30" i="129"/>
  <c r="D22" i="129"/>
  <c r="D28" i="130"/>
  <c r="D7" i="130"/>
  <c r="D33" i="131"/>
  <c r="D28" i="132"/>
  <c r="D44" i="126"/>
  <c r="D35" i="126"/>
  <c r="D58" i="129"/>
  <c r="D12" i="129"/>
  <c r="D16" i="126"/>
  <c r="D11" i="132"/>
  <c r="D6" i="132"/>
  <c r="D6" i="130"/>
  <c r="D7" i="129"/>
  <c r="D6" i="129"/>
  <c r="D7" i="131"/>
  <c r="D6" i="131"/>
  <c r="D5" i="131"/>
  <c r="D5" i="130"/>
  <c r="D19" i="124" l="1"/>
  <c r="D28" i="124"/>
  <c r="D28" i="126"/>
  <c r="D28" i="120"/>
  <c r="D28" i="119"/>
  <c r="D28" i="127"/>
  <c r="D28" i="123"/>
  <c r="D7" i="123"/>
  <c r="D6" i="128"/>
  <c r="D28" i="129"/>
  <c r="D28" i="122"/>
  <c r="D7" i="121"/>
  <c r="D7" i="128"/>
  <c r="D28" i="118"/>
  <c r="D7" i="127"/>
  <c r="D28" i="117"/>
  <c r="D28" i="125"/>
  <c r="D28" i="128"/>
  <c r="D7" i="125"/>
  <c r="D28" i="121"/>
  <c r="D6" i="123"/>
  <c r="D7" i="119"/>
  <c r="D7" i="117"/>
  <c r="D7" i="126"/>
  <c r="D19" i="131"/>
  <c r="D6" i="126"/>
  <c r="D7" i="120"/>
  <c r="D7" i="118"/>
  <c r="D5" i="118" l="1"/>
  <c r="D19" i="122"/>
  <c r="D19" i="126"/>
  <c r="D19" i="125"/>
  <c r="D6" i="122"/>
  <c r="D19" i="118"/>
  <c r="D19" i="128"/>
  <c r="D19" i="119"/>
  <c r="D19" i="129"/>
  <c r="D6" i="125"/>
  <c r="D5" i="121"/>
  <c r="D6" i="117"/>
  <c r="D6" i="124"/>
  <c r="D19" i="120"/>
  <c r="D6" i="127"/>
  <c r="D6" i="120"/>
  <c r="D19" i="132"/>
  <c r="L58" i="132"/>
  <c r="AJ40" i="131"/>
  <c r="AK45" i="132"/>
  <c r="Q16" i="130"/>
  <c r="AG29" i="132"/>
  <c r="AS32" i="130"/>
  <c r="H40" i="132"/>
  <c r="AL20" i="131"/>
  <c r="AD40" i="131"/>
  <c r="AS48" i="131"/>
  <c r="O50" i="128"/>
  <c r="AC56" i="131"/>
  <c r="AF16" i="128"/>
  <c r="AH13" i="131"/>
  <c r="G47" i="131"/>
  <c r="K55" i="129"/>
  <c r="AW31" i="132"/>
  <c r="L49" i="132"/>
  <c r="S35" i="132"/>
  <c r="N14" i="129"/>
  <c r="W17" i="132"/>
  <c r="AG35" i="132"/>
  <c r="U26" i="130"/>
  <c r="AC55" i="132"/>
  <c r="AO52" i="131"/>
  <c r="AC50" i="132"/>
  <c r="AV35" i="132"/>
  <c r="AF52" i="132"/>
  <c r="AT9" i="131"/>
  <c r="AV16" i="129"/>
  <c r="Z43" i="127"/>
  <c r="AC40" i="132"/>
  <c r="K57" i="132"/>
  <c r="AJ23" i="131"/>
  <c r="AG42" i="132"/>
  <c r="J56" i="132"/>
  <c r="AE20" i="132"/>
  <c r="K26" i="132"/>
  <c r="Y20" i="128"/>
  <c r="AT10" i="132"/>
  <c r="AZ42" i="132"/>
  <c r="K52" i="130"/>
  <c r="L29" i="132"/>
  <c r="Y34" i="131"/>
  <c r="AB39" i="132"/>
  <c r="AM47" i="131"/>
  <c r="BC13" i="132"/>
  <c r="AB35" i="127"/>
  <c r="AF9" i="132"/>
  <c r="AW25" i="132"/>
  <c r="BE53" i="130"/>
  <c r="AQ53" i="132"/>
  <c r="AQ56" i="131"/>
  <c r="P36" i="132"/>
  <c r="AS43" i="130"/>
  <c r="AR26" i="132"/>
  <c r="M24" i="130"/>
  <c r="AR22" i="132"/>
  <c r="AF8" i="130"/>
  <c r="AD34" i="132"/>
  <c r="AT48" i="130"/>
  <c r="O51" i="127"/>
  <c r="AX30" i="132"/>
  <c r="BC49" i="132"/>
  <c r="AJ46" i="132"/>
  <c r="I41" i="129"/>
  <c r="S49" i="132"/>
  <c r="Z50" i="132"/>
  <c r="W50" i="127"/>
  <c r="AV12" i="132"/>
  <c r="BD45" i="132"/>
  <c r="U47" i="132"/>
  <c r="G24" i="131"/>
  <c r="T15" i="132"/>
  <c r="M53" i="127"/>
  <c r="AO39" i="132"/>
  <c r="BC38" i="130"/>
  <c r="M26" i="129"/>
  <c r="I24" i="129"/>
  <c r="G15" i="131"/>
  <c r="AW52" i="129"/>
  <c r="X20" i="131"/>
  <c r="BC40" i="131"/>
  <c r="AU9" i="132"/>
  <c r="Z32" i="132"/>
  <c r="Z56" i="131"/>
  <c r="AI42" i="128"/>
  <c r="Z43" i="131"/>
  <c r="AL52" i="128"/>
  <c r="BD33" i="132"/>
  <c r="BC41" i="132"/>
  <c r="AK51" i="131"/>
  <c r="X55" i="132"/>
  <c r="AQ47" i="130"/>
  <c r="BD46" i="132"/>
  <c r="AS22" i="129"/>
  <c r="AZ30" i="132"/>
  <c r="P49" i="130"/>
  <c r="AO44" i="132"/>
  <c r="BD17" i="132"/>
  <c r="AC45" i="128"/>
  <c r="AV54" i="132"/>
  <c r="H48" i="132"/>
  <c r="AV24" i="129"/>
  <c r="AN20" i="131"/>
  <c r="O40" i="129"/>
  <c r="X50" i="132"/>
  <c r="AK44" i="130"/>
  <c r="AX21" i="132"/>
  <c r="AI26" i="132"/>
  <c r="AM16" i="127"/>
  <c r="AL21" i="132"/>
  <c r="AJ43" i="130"/>
  <c r="K49" i="128"/>
  <c r="AX29" i="131"/>
  <c r="AY39" i="128"/>
  <c r="AH48" i="132"/>
  <c r="AL41" i="131"/>
  <c r="AT49" i="128"/>
  <c r="AR40" i="132"/>
  <c r="K53" i="131"/>
  <c r="AI57" i="132"/>
  <c r="AP33" i="130"/>
  <c r="Y45" i="132"/>
  <c r="AX16" i="130"/>
  <c r="AL25" i="132"/>
  <c r="W42" i="132"/>
  <c r="AI27" i="129"/>
  <c r="L21" i="132"/>
  <c r="BC37" i="130"/>
  <c r="AJ46" i="128"/>
  <c r="L43" i="132"/>
  <c r="S40" i="131"/>
  <c r="AR27" i="132"/>
  <c r="AN17" i="128"/>
  <c r="AU40" i="131"/>
  <c r="G51" i="131"/>
  <c r="Q54" i="129"/>
  <c r="U26" i="132"/>
  <c r="AV8" i="130"/>
  <c r="BA47" i="128"/>
  <c r="AD43" i="132"/>
  <c r="AQ14" i="132"/>
  <c r="AT14" i="132"/>
  <c r="AY21" i="132"/>
  <c r="S33" i="132"/>
  <c r="Z30" i="132"/>
  <c r="AE46" i="132"/>
  <c r="I24" i="132"/>
  <c r="H15" i="130"/>
  <c r="AG53" i="132"/>
  <c r="N54" i="132"/>
  <c r="U34" i="132"/>
  <c r="AR33" i="130"/>
  <c r="K44" i="132"/>
  <c r="O56" i="132"/>
  <c r="AC44" i="127"/>
  <c r="M49" i="132"/>
  <c r="H53" i="132"/>
  <c r="U48" i="129"/>
  <c r="S30" i="132"/>
  <c r="AW41" i="132"/>
  <c r="AR50" i="130"/>
  <c r="BB17" i="131"/>
  <c r="O57" i="131"/>
  <c r="BA14" i="128"/>
  <c r="K15" i="132"/>
  <c r="I58" i="132"/>
  <c r="Y17" i="131"/>
  <c r="AX11" i="132"/>
  <c r="S39" i="131"/>
  <c r="AZ13" i="132"/>
  <c r="N48" i="131"/>
  <c r="T57" i="132"/>
  <c r="N21" i="131"/>
  <c r="AK8" i="127"/>
  <c r="AW39" i="132"/>
  <c r="AK42" i="131"/>
  <c r="AT54" i="132"/>
  <c r="AV24" i="128"/>
  <c r="K20" i="131"/>
  <c r="AJ57" i="132"/>
  <c r="AC58" i="131"/>
  <c r="AM52" i="132"/>
  <c r="AT23" i="131"/>
  <c r="AM31" i="131"/>
  <c r="AB22" i="132"/>
  <c r="AX43" i="132"/>
  <c r="AX57" i="132"/>
  <c r="Y24" i="131"/>
  <c r="BD35" i="132"/>
  <c r="AL32" i="132"/>
  <c r="AS16" i="127"/>
  <c r="AD17" i="132"/>
  <c r="K37" i="132"/>
  <c r="U53" i="128"/>
  <c r="AF31" i="132"/>
  <c r="AN9" i="131"/>
  <c r="AB33" i="131"/>
  <c r="W35" i="132"/>
  <c r="P22" i="131"/>
  <c r="AH51" i="131"/>
  <c r="AK12" i="131"/>
  <c r="Q33" i="131"/>
  <c r="I48" i="132"/>
  <c r="H52" i="132"/>
  <c r="AI23" i="132"/>
  <c r="AV42" i="132"/>
  <c r="S13" i="129"/>
  <c r="AD11" i="132"/>
  <c r="J42" i="132"/>
  <c r="BB58" i="130"/>
  <c r="G34" i="132"/>
  <c r="N53" i="132"/>
  <c r="V24" i="129"/>
  <c r="AJ15" i="132"/>
  <c r="O25" i="132"/>
  <c r="AJ54" i="130"/>
  <c r="Q46" i="132"/>
  <c r="Y55" i="131"/>
  <c r="AV46" i="128"/>
  <c r="J30" i="132"/>
  <c r="AB49" i="132"/>
  <c r="M12" i="129"/>
  <c r="AM10" i="132"/>
  <c r="L16" i="129"/>
  <c r="AX50" i="132"/>
  <c r="AU24" i="130"/>
  <c r="P20" i="132"/>
  <c r="AP13" i="130"/>
  <c r="AL22" i="132"/>
  <c r="AN54" i="132"/>
  <c r="G35" i="129"/>
  <c r="H29" i="132"/>
  <c r="V43" i="130"/>
  <c r="H18" i="127"/>
  <c r="G24" i="132"/>
  <c r="AO8" i="130"/>
  <c r="AN54" i="128"/>
  <c r="X52" i="132"/>
  <c r="AG11" i="132"/>
  <c r="X8" i="132"/>
  <c r="AG46" i="132"/>
  <c r="AP39" i="128"/>
  <c r="AD10" i="132"/>
  <c r="AJ32" i="131"/>
  <c r="AM45" i="132"/>
  <c r="AN45" i="129"/>
  <c r="S52" i="132"/>
  <c r="BA29" i="129"/>
  <c r="BB33" i="132"/>
  <c r="O49" i="132"/>
  <c r="AB20" i="132"/>
  <c r="AX32" i="132"/>
  <c r="AP37" i="131"/>
  <c r="AT10" i="131"/>
  <c r="I18" i="132"/>
  <c r="H43" i="132"/>
  <c r="V17" i="132"/>
  <c r="BD16" i="129"/>
  <c r="AJ58" i="132"/>
  <c r="AE35" i="129"/>
  <c r="AI45" i="132"/>
  <c r="Z43" i="132"/>
  <c r="AQ24" i="129"/>
  <c r="J31" i="132"/>
  <c r="AC49" i="130"/>
  <c r="BC24" i="132"/>
  <c r="AQ43" i="130"/>
  <c r="N58" i="131"/>
  <c r="AI47" i="128"/>
  <c r="N35" i="132"/>
  <c r="Q16" i="129"/>
  <c r="G40" i="132"/>
  <c r="AI16" i="129"/>
  <c r="K25" i="132"/>
  <c r="AT38" i="132"/>
  <c r="BA11" i="132"/>
  <c r="AX40" i="130"/>
  <c r="AP24" i="132"/>
  <c r="M32" i="132"/>
  <c r="AL36" i="128"/>
  <c r="N24" i="132"/>
  <c r="BD37" i="132"/>
  <c r="H26" i="128"/>
  <c r="AD45" i="132"/>
  <c r="O40" i="132"/>
  <c r="AM20" i="130"/>
  <c r="L54" i="132"/>
  <c r="AX44" i="130"/>
  <c r="AG26" i="132"/>
  <c r="AS33" i="132"/>
  <c r="AN13" i="129"/>
  <c r="AY56" i="132"/>
  <c r="AH54" i="132"/>
  <c r="AK50" i="129"/>
  <c r="AL42" i="132"/>
  <c r="H57" i="130"/>
  <c r="Y43" i="132"/>
  <c r="Z15" i="129"/>
  <c r="AS9" i="129"/>
  <c r="AM22" i="131"/>
  <c r="AO55" i="130"/>
  <c r="BD15" i="131"/>
  <c r="G17" i="132"/>
  <c r="H58" i="127"/>
  <c r="P8" i="132"/>
  <c r="AS58" i="127"/>
  <c r="L9" i="132"/>
  <c r="AQ40" i="131"/>
  <c r="I37" i="131"/>
  <c r="J34" i="132"/>
  <c r="AN47" i="131"/>
  <c r="AC35" i="132"/>
  <c r="K16" i="132"/>
  <c r="U52" i="132"/>
  <c r="BD39" i="132"/>
  <c r="AT55" i="131"/>
  <c r="I9" i="131"/>
  <c r="BE44" i="131"/>
  <c r="AG31" i="132"/>
  <c r="P57" i="131"/>
  <c r="U31" i="128"/>
  <c r="K55" i="132"/>
  <c r="BA31" i="132"/>
  <c r="T44" i="132"/>
  <c r="AI38" i="127"/>
  <c r="AC49" i="132"/>
  <c r="AY55" i="132"/>
  <c r="AL33" i="129"/>
  <c r="AO16" i="132"/>
  <c r="Y37" i="132"/>
  <c r="AU34" i="132"/>
  <c r="BC17" i="132"/>
  <c r="AI49" i="131"/>
  <c r="BB37" i="132"/>
  <c r="AM20" i="131"/>
  <c r="W18" i="132"/>
  <c r="AS15" i="129"/>
  <c r="AQ32" i="132"/>
  <c r="AX10" i="132"/>
  <c r="J35" i="127"/>
  <c r="AY34" i="132"/>
  <c r="H49" i="132"/>
  <c r="AW23" i="127"/>
  <c r="AL31" i="132"/>
  <c r="AX49" i="130"/>
  <c r="J25" i="132"/>
  <c r="AJ24" i="130"/>
  <c r="AM34" i="132"/>
  <c r="AK47" i="131"/>
  <c r="M37" i="132"/>
  <c r="U39" i="128"/>
  <c r="AQ18" i="132"/>
  <c r="U58" i="129"/>
  <c r="AI21" i="132"/>
  <c r="AM57" i="131"/>
  <c r="AI57" i="127"/>
  <c r="Q48" i="132"/>
  <c r="BB42" i="130"/>
  <c r="AS18" i="127"/>
  <c r="BD29" i="132"/>
  <c r="AS51" i="132"/>
  <c r="Q8" i="132"/>
  <c r="U25" i="132"/>
  <c r="P46" i="128"/>
  <c r="AC57" i="132"/>
  <c r="X35" i="132"/>
  <c r="K33" i="132"/>
  <c r="H52" i="131"/>
  <c r="AR36" i="131"/>
  <c r="AT38" i="131"/>
  <c r="K41" i="132"/>
  <c r="AT46" i="130"/>
  <c r="P13" i="132"/>
  <c r="Q43" i="131"/>
  <c r="BD27" i="132"/>
  <c r="BB35" i="132"/>
  <c r="AH45" i="130"/>
  <c r="Y9" i="132"/>
  <c r="V26" i="132"/>
  <c r="BB18" i="129"/>
  <c r="J54" i="132"/>
  <c r="AR17" i="132"/>
  <c r="U18" i="132"/>
  <c r="AH55" i="132"/>
  <c r="AE46" i="129"/>
  <c r="AR33" i="132"/>
  <c r="AB14" i="130"/>
  <c r="AE53" i="132"/>
  <c r="AL36" i="130"/>
  <c r="Y54" i="132"/>
  <c r="M20" i="131"/>
  <c r="AN29" i="132"/>
  <c r="P51" i="132"/>
  <c r="AD14" i="127"/>
  <c r="V12" i="132"/>
  <c r="AL47" i="131"/>
  <c r="AM55" i="131"/>
  <c r="AI37" i="129"/>
  <c r="AG12" i="131"/>
  <c r="AV51" i="131"/>
  <c r="BA9" i="128"/>
  <c r="I30" i="131"/>
  <c r="AK15" i="128"/>
  <c r="N10" i="132"/>
  <c r="M13" i="131"/>
  <c r="AU57" i="130"/>
  <c r="T29" i="131"/>
  <c r="BD47" i="128"/>
  <c r="AQ35" i="132"/>
  <c r="AK9" i="132"/>
  <c r="AT51" i="131"/>
  <c r="W46" i="132"/>
  <c r="Z15" i="131"/>
  <c r="AG14" i="131"/>
  <c r="N53" i="131"/>
  <c r="BE27" i="132"/>
  <c r="AU20" i="132"/>
  <c r="P48" i="132"/>
  <c r="L55" i="132"/>
  <c r="AP50" i="132"/>
  <c r="AO49" i="132"/>
  <c r="Y36" i="129"/>
  <c r="X45" i="132"/>
  <c r="V36" i="130"/>
  <c r="BD20" i="132"/>
  <c r="AS8" i="130"/>
  <c r="L40" i="132"/>
  <c r="Q26" i="132"/>
  <c r="AT48" i="131"/>
  <c r="K42" i="128"/>
  <c r="AR10" i="132"/>
  <c r="T15" i="128"/>
  <c r="Y57" i="132"/>
  <c r="S50" i="131"/>
  <c r="G47" i="129"/>
  <c r="BD50" i="132"/>
  <c r="BB57" i="132"/>
  <c r="V31" i="129"/>
  <c r="Y30" i="132"/>
  <c r="AF51" i="132"/>
  <c r="G21" i="132"/>
  <c r="AZ17" i="130"/>
  <c r="AK26" i="131"/>
  <c r="AM8" i="132"/>
  <c r="AP33" i="132"/>
  <c r="X48" i="132"/>
  <c r="AF40" i="131"/>
  <c r="BD10" i="132"/>
  <c r="AY41" i="127"/>
  <c r="G49" i="132"/>
  <c r="AI40" i="131"/>
  <c r="AT36" i="129"/>
  <c r="Q49" i="132"/>
  <c r="Q54" i="132"/>
  <c r="H34" i="129"/>
  <c r="AE33" i="132"/>
  <c r="V32" i="130"/>
  <c r="Z14" i="132"/>
  <c r="M35" i="132"/>
  <c r="V49" i="130"/>
  <c r="AP24" i="131"/>
  <c r="AV58" i="131"/>
  <c r="AL12" i="132"/>
  <c r="AE11" i="129"/>
  <c r="AI42" i="132"/>
  <c r="V54" i="130"/>
  <c r="AO31" i="132"/>
  <c r="H23" i="132"/>
  <c r="AI44" i="128"/>
  <c r="AO22" i="132"/>
  <c r="BE43" i="130"/>
  <c r="AY42" i="128"/>
  <c r="AV27" i="132"/>
  <c r="AE11" i="130"/>
  <c r="J32" i="128"/>
  <c r="AM26" i="131"/>
  <c r="G15" i="132"/>
  <c r="AC13" i="130"/>
  <c r="AI49" i="132"/>
  <c r="P54" i="132"/>
  <c r="AX49" i="127"/>
  <c r="W34" i="132"/>
  <c r="BB48" i="132"/>
  <c r="U42" i="132"/>
  <c r="AM35" i="131"/>
  <c r="AS49" i="132"/>
  <c r="AX29" i="130"/>
  <c r="T35" i="132"/>
  <c r="AJ29" i="132"/>
  <c r="AU16" i="129"/>
  <c r="K10" i="132"/>
  <c r="Y9" i="129"/>
  <c r="AQ52" i="132"/>
  <c r="I24" i="131"/>
  <c r="AI22" i="127"/>
  <c r="Y16" i="131"/>
  <c r="AI21" i="129"/>
  <c r="W35" i="127"/>
  <c r="AF13" i="129"/>
  <c r="Q38" i="127"/>
  <c r="AM10" i="131"/>
  <c r="AV16" i="131"/>
  <c r="AG25" i="131"/>
  <c r="T46" i="132"/>
  <c r="AI33" i="132"/>
  <c r="AH37" i="132"/>
  <c r="K53" i="132"/>
  <c r="K41" i="128"/>
  <c r="AW10" i="132"/>
  <c r="T51" i="128"/>
  <c r="AX35" i="132"/>
  <c r="AN20" i="132"/>
  <c r="AD16" i="131"/>
  <c r="AK56" i="132"/>
  <c r="AZ39" i="132"/>
  <c r="AY34" i="130"/>
  <c r="O44" i="132"/>
  <c r="X57" i="132"/>
  <c r="U17" i="132"/>
  <c r="U38" i="132"/>
  <c r="Z40" i="132"/>
  <c r="X55" i="131"/>
  <c r="BC42" i="132"/>
  <c r="AV44" i="132"/>
  <c r="M11" i="131"/>
  <c r="J24" i="132"/>
  <c r="BD29" i="127"/>
  <c r="AW40" i="131"/>
  <c r="N57" i="130"/>
  <c r="AF36" i="127"/>
  <c r="V38" i="132"/>
  <c r="G49" i="130"/>
  <c r="H25" i="127"/>
  <c r="AZ33" i="132"/>
  <c r="BC32" i="130"/>
  <c r="AU12" i="132"/>
  <c r="AR31" i="132"/>
  <c r="AP47" i="128"/>
  <c r="AJ55" i="132"/>
  <c r="AL21" i="131"/>
  <c r="AU46" i="131"/>
  <c r="AR41" i="128"/>
  <c r="AC40" i="131"/>
  <c r="AE56" i="131"/>
  <c r="AM54" i="128"/>
  <c r="AM33" i="132"/>
  <c r="AN39" i="132"/>
  <c r="BC51" i="130"/>
  <c r="L45" i="132"/>
  <c r="BD35" i="130"/>
  <c r="AX34" i="132"/>
  <c r="BD21" i="129"/>
  <c r="BC15" i="132"/>
  <c r="BA42" i="130"/>
  <c r="AD51" i="128"/>
  <c r="AW54" i="132"/>
  <c r="BA37" i="132"/>
  <c r="G10" i="132"/>
  <c r="T32" i="131"/>
  <c r="AZ10" i="132"/>
  <c r="AT52" i="129"/>
  <c r="BA22" i="132"/>
  <c r="AI37" i="132"/>
  <c r="AF42" i="128"/>
  <c r="AD30" i="132"/>
  <c r="AV9" i="132"/>
  <c r="AQ52" i="131"/>
  <c r="AI38" i="132"/>
  <c r="AR43" i="132"/>
  <c r="AM54" i="129"/>
  <c r="AU29" i="132"/>
  <c r="U49" i="132"/>
  <c r="AP12" i="132"/>
  <c r="O20" i="132"/>
  <c r="AR50" i="132"/>
  <c r="AZ21" i="132"/>
  <c r="AX47" i="129"/>
  <c r="H32" i="132"/>
  <c r="S50" i="130"/>
  <c r="I57" i="132"/>
  <c r="AN36" i="130"/>
  <c r="AS53" i="132"/>
  <c r="AZ46" i="129"/>
  <c r="M34" i="132"/>
  <c r="BD14" i="130"/>
  <c r="BE13" i="132"/>
  <c r="AO13" i="128"/>
  <c r="AT48" i="132"/>
  <c r="AC9" i="131"/>
  <c r="BB38" i="129"/>
  <c r="P58" i="131"/>
  <c r="AB17" i="128"/>
  <c r="K21" i="131"/>
  <c r="W13" i="131"/>
  <c r="BA46" i="130"/>
  <c r="BA22" i="131"/>
  <c r="BE34" i="131"/>
  <c r="AI14" i="132"/>
  <c r="AH10" i="131"/>
  <c r="G50" i="132"/>
  <c r="AH9" i="131"/>
  <c r="AL45" i="132"/>
  <c r="BE10" i="131"/>
  <c r="L36" i="132"/>
  <c r="T20" i="132"/>
  <c r="L15" i="132"/>
  <c r="BB57" i="130"/>
  <c r="T41" i="132"/>
  <c r="BB22" i="129"/>
  <c r="AI21" i="131"/>
  <c r="I15" i="132"/>
  <c r="Q46" i="128"/>
  <c r="BB51" i="132"/>
  <c r="Z29" i="132"/>
  <c r="G13" i="132"/>
  <c r="L39" i="130"/>
  <c r="BC25" i="132"/>
  <c r="S53" i="132"/>
  <c r="AR35" i="132"/>
  <c r="Y42" i="129"/>
  <c r="K27" i="129"/>
  <c r="AP17" i="130"/>
  <c r="AS57" i="132"/>
  <c r="O42" i="131"/>
  <c r="T55" i="132"/>
  <c r="AV40" i="132"/>
  <c r="H16" i="132"/>
  <c r="AQ55" i="132"/>
  <c r="BB44" i="127"/>
  <c r="AK47" i="132"/>
  <c r="AM21" i="131"/>
  <c r="AO38" i="127"/>
  <c r="AI34" i="132"/>
  <c r="AJ41" i="132"/>
  <c r="AR29" i="130"/>
  <c r="AX53" i="132"/>
  <c r="AP53" i="130"/>
  <c r="V40" i="131"/>
  <c r="AE49" i="129"/>
  <c r="P9" i="132"/>
  <c r="N26" i="129"/>
  <c r="G22" i="132"/>
  <c r="K32" i="128"/>
  <c r="AM56" i="132"/>
  <c r="M15" i="132"/>
  <c r="AH24" i="131"/>
  <c r="AN26" i="127"/>
  <c r="AR22" i="129"/>
  <c r="AY24" i="132"/>
  <c r="N40" i="132"/>
  <c r="AB48" i="132"/>
  <c r="AM15" i="132"/>
  <c r="AX57" i="131"/>
  <c r="X55" i="128"/>
  <c r="AW14" i="132"/>
  <c r="N45" i="131"/>
  <c r="AJ14" i="132"/>
  <c r="H37" i="132"/>
  <c r="U17" i="131"/>
  <c r="W49" i="131"/>
  <c r="AN15" i="132"/>
  <c r="N20" i="131"/>
  <c r="AX13" i="132"/>
  <c r="AG32" i="132"/>
  <c r="P44" i="128"/>
  <c r="BB13" i="132"/>
  <c r="Y38" i="132"/>
  <c r="AH40" i="127"/>
  <c r="Z42" i="132"/>
  <c r="AB12" i="132"/>
  <c r="AJ17" i="130"/>
  <c r="BE36" i="132"/>
  <c r="Z16" i="130"/>
  <c r="AG27" i="132"/>
  <c r="Y25" i="130"/>
  <c r="AJ16" i="132"/>
  <c r="AO30" i="130"/>
  <c r="G25" i="132"/>
  <c r="AX41" i="130"/>
  <c r="V43" i="132"/>
  <c r="AL27" i="129"/>
  <c r="I44" i="132"/>
  <c r="M55" i="132"/>
  <c r="J36" i="132"/>
  <c r="BA20" i="132"/>
  <c r="H17" i="130"/>
  <c r="BD8" i="132"/>
  <c r="AQ51" i="132"/>
  <c r="AY50" i="132"/>
  <c r="BE40" i="131"/>
  <c r="I55" i="130"/>
  <c r="AG10" i="131"/>
  <c r="AK35" i="129"/>
  <c r="I55" i="132"/>
  <c r="Y12" i="132"/>
  <c r="AE24" i="132"/>
  <c r="Y27" i="128"/>
  <c r="S51" i="132"/>
  <c r="AK13" i="132"/>
  <c r="S34" i="131"/>
  <c r="L11" i="129"/>
  <c r="M31" i="132"/>
  <c r="AR57" i="132"/>
  <c r="G31" i="131"/>
  <c r="T16" i="128"/>
  <c r="L37" i="132"/>
  <c r="AZ27" i="130"/>
  <c r="O23" i="131"/>
  <c r="AF58" i="129"/>
  <c r="Z12" i="131"/>
  <c r="AV46" i="132"/>
  <c r="AP44" i="132"/>
  <c r="AH10" i="132"/>
  <c r="X57" i="131"/>
  <c r="AO20" i="132"/>
  <c r="AZ35" i="128"/>
  <c r="AN18" i="132"/>
  <c r="AM14" i="131"/>
  <c r="Z9" i="132"/>
  <c r="BE29" i="127"/>
  <c r="AC26" i="132"/>
  <c r="AD46" i="132"/>
  <c r="AO27" i="132"/>
  <c r="J52" i="132"/>
  <c r="S49" i="131"/>
  <c r="AO56" i="132"/>
  <c r="AB52" i="132"/>
  <c r="M33" i="130"/>
  <c r="AF57" i="132"/>
  <c r="AE54" i="130"/>
  <c r="K58" i="132"/>
  <c r="AH13" i="132"/>
  <c r="AU58" i="132"/>
  <c r="Y53" i="129"/>
  <c r="AJ43" i="132"/>
  <c r="AM54" i="131"/>
  <c r="AY30" i="129"/>
  <c r="AO48" i="132"/>
  <c r="AP25" i="131"/>
  <c r="AE39" i="131"/>
  <c r="Z29" i="128"/>
  <c r="J38" i="128"/>
  <c r="H31" i="132"/>
  <c r="AV55" i="127"/>
  <c r="AI47" i="132"/>
  <c r="AL40" i="131"/>
  <c r="X50" i="127"/>
  <c r="AU58" i="128"/>
  <c r="AQ12" i="132"/>
  <c r="P30" i="130"/>
  <c r="AB26" i="128"/>
  <c r="AP15" i="132"/>
  <c r="Y52" i="131"/>
  <c r="O23" i="129"/>
  <c r="BC48" i="127"/>
  <c r="K17" i="131"/>
  <c r="AY10" i="128"/>
  <c r="BB8" i="132"/>
  <c r="AS16" i="132"/>
  <c r="AP49" i="128"/>
  <c r="AC13" i="132"/>
  <c r="U51" i="127"/>
  <c r="P25" i="131"/>
  <c r="AJ12" i="128"/>
  <c r="AD27" i="131"/>
  <c r="X20" i="132"/>
  <c r="S29" i="132"/>
  <c r="AP46" i="130"/>
  <c r="Y16" i="132"/>
  <c r="AF18" i="129"/>
  <c r="G37" i="127"/>
  <c r="AZ40" i="132"/>
  <c r="AQ16" i="131"/>
  <c r="AU41" i="132"/>
  <c r="H29" i="129"/>
  <c r="AC44" i="132"/>
  <c r="AE16" i="131"/>
  <c r="AG48" i="132"/>
  <c r="AG16" i="131"/>
  <c r="AO57" i="132"/>
  <c r="BD42" i="131"/>
  <c r="AP16" i="131"/>
  <c r="AF48" i="132"/>
  <c r="AU56" i="131"/>
  <c r="Z51" i="132"/>
  <c r="K8" i="131"/>
  <c r="M40" i="132"/>
  <c r="AC20" i="131"/>
  <c r="BB45" i="131"/>
  <c r="T10" i="132"/>
  <c r="AH25" i="132"/>
  <c r="AG45" i="132"/>
  <c r="AW56" i="132"/>
  <c r="AQ14" i="129"/>
  <c r="K27" i="132"/>
  <c r="AB52" i="131"/>
  <c r="AW57" i="128"/>
  <c r="AS10" i="131"/>
  <c r="O22" i="128"/>
  <c r="Z35" i="127"/>
  <c r="T52" i="132"/>
  <c r="Q25" i="130"/>
  <c r="N42" i="127"/>
  <c r="X40" i="132"/>
  <c r="AM25" i="132"/>
  <c r="AF13" i="130"/>
  <c r="AL23" i="128"/>
  <c r="N14" i="132"/>
  <c r="AF20" i="132"/>
  <c r="L47" i="131"/>
  <c r="AO53" i="130"/>
  <c r="X33" i="130"/>
  <c r="AH23" i="132"/>
  <c r="AY40" i="131"/>
  <c r="AI21" i="128"/>
  <c r="S26" i="132"/>
  <c r="BE8" i="132"/>
  <c r="W37" i="130"/>
  <c r="L53" i="132"/>
  <c r="AP47" i="132"/>
  <c r="AB51" i="132"/>
  <c r="AZ45" i="127"/>
  <c r="L20" i="131"/>
  <c r="U26" i="131"/>
  <c r="AL51" i="132"/>
  <c r="AK46" i="128"/>
  <c r="M26" i="128"/>
  <c r="AZ30" i="131"/>
  <c r="S57" i="132"/>
  <c r="AL48" i="132"/>
  <c r="AT42" i="129"/>
  <c r="AZ48" i="132"/>
  <c r="Y8" i="131"/>
  <c r="AP48" i="129"/>
  <c r="BE33" i="132"/>
  <c r="P49" i="132"/>
  <c r="AW55" i="132"/>
  <c r="AX41" i="129"/>
  <c r="Y47" i="132"/>
  <c r="AQ18" i="131"/>
  <c r="AQ38" i="127"/>
  <c r="AP8" i="132"/>
  <c r="AT8" i="128"/>
  <c r="I8" i="132"/>
  <c r="AQ23" i="132"/>
  <c r="AH8" i="132"/>
  <c r="BE31" i="132"/>
  <c r="AV43" i="131"/>
  <c r="Y33" i="129"/>
  <c r="N8" i="131"/>
  <c r="AZ9" i="128"/>
  <c r="AH14" i="132"/>
  <c r="AJ12" i="131"/>
  <c r="BA9" i="132"/>
  <c r="AF10" i="132"/>
  <c r="H15" i="132"/>
  <c r="AZ20" i="132"/>
  <c r="AT33" i="128"/>
  <c r="P27" i="131"/>
  <c r="AD46" i="128"/>
  <c r="G52" i="131"/>
  <c r="AS50" i="128"/>
  <c r="G30" i="132"/>
  <c r="W36" i="132"/>
  <c r="P9" i="129"/>
  <c r="AY9" i="132"/>
  <c r="AI24" i="132"/>
  <c r="AJ25" i="129"/>
  <c r="Q17" i="131"/>
  <c r="U29" i="132"/>
  <c r="AK22" i="132"/>
  <c r="AZ35" i="132"/>
  <c r="AV39" i="132"/>
  <c r="AH34" i="132"/>
  <c r="AN44" i="132"/>
  <c r="G10" i="131"/>
  <c r="AV20" i="132"/>
  <c r="G26" i="132"/>
  <c r="AB31" i="132"/>
  <c r="AW8" i="129"/>
  <c r="X29" i="132"/>
  <c r="AX45" i="132"/>
  <c r="AS26" i="127"/>
  <c r="T30" i="132"/>
  <c r="AM49" i="131"/>
  <c r="AZ37" i="131"/>
  <c r="T22" i="132"/>
  <c r="X38" i="130"/>
  <c r="AC23" i="132"/>
  <c r="N38" i="132"/>
  <c r="U29" i="130"/>
  <c r="AO40" i="131"/>
  <c r="G44" i="129"/>
  <c r="T53" i="132"/>
  <c r="Y14" i="131"/>
  <c r="AD39" i="127"/>
  <c r="AB55" i="132"/>
  <c r="AY18" i="132"/>
  <c r="AE41" i="132"/>
  <c r="AE38" i="130"/>
  <c r="P47" i="132"/>
  <c r="AL17" i="130"/>
  <c r="AN43" i="132"/>
  <c r="AM39" i="132"/>
  <c r="Q39" i="129"/>
  <c r="V17" i="131"/>
  <c r="AN32" i="128"/>
  <c r="V22" i="132"/>
  <c r="AB57" i="132"/>
  <c r="M36" i="132"/>
  <c r="AF25" i="132"/>
  <c r="BC48" i="132"/>
  <c r="AP55" i="132"/>
  <c r="AX8" i="131"/>
  <c r="H34" i="127"/>
  <c r="AX9" i="131"/>
  <c r="AR14" i="132"/>
  <c r="AK36" i="131"/>
  <c r="Y21" i="132"/>
  <c r="J44" i="128"/>
  <c r="AM23" i="132"/>
  <c r="AU23" i="132"/>
  <c r="AS38" i="130"/>
  <c r="S12" i="132"/>
  <c r="N40" i="131"/>
  <c r="AN45" i="131"/>
  <c r="AV48" i="129"/>
  <c r="K34" i="132"/>
  <c r="L31" i="131"/>
  <c r="AX9" i="128"/>
  <c r="Q38" i="132"/>
  <c r="O32" i="132"/>
  <c r="Q49" i="131"/>
  <c r="X54" i="132"/>
  <c r="Z35" i="129"/>
  <c r="BA29" i="132"/>
  <c r="AC57" i="129"/>
  <c r="N48" i="132"/>
  <c r="AI9" i="132"/>
  <c r="AW56" i="131"/>
  <c r="H39" i="130"/>
  <c r="AN56" i="127"/>
  <c r="AI51" i="132"/>
  <c r="AJ22" i="130"/>
  <c r="AP23" i="127"/>
  <c r="AZ56" i="132"/>
  <c r="AV14" i="130"/>
  <c r="AL46" i="132"/>
  <c r="AB14" i="132"/>
  <c r="Q43" i="132"/>
  <c r="AN14" i="132"/>
  <c r="O53" i="132"/>
  <c r="AT53" i="129"/>
  <c r="X43" i="132"/>
  <c r="W20" i="131"/>
  <c r="T31" i="129"/>
  <c r="T8" i="130"/>
  <c r="G14" i="132"/>
  <c r="AE36" i="132"/>
  <c r="BB50" i="132"/>
  <c r="AK58" i="131"/>
  <c r="AM34" i="128"/>
  <c r="AY20" i="129"/>
  <c r="AP21" i="132"/>
  <c r="AT18" i="132"/>
  <c r="AH51" i="132"/>
  <c r="BC13" i="131"/>
  <c r="Y8" i="128"/>
  <c r="G18" i="129"/>
  <c r="AH9" i="132"/>
  <c r="AG12" i="132"/>
  <c r="AZ17" i="132"/>
  <c r="AP31" i="132"/>
  <c r="AO14" i="130"/>
  <c r="S58" i="128"/>
  <c r="H8" i="130"/>
  <c r="P33" i="131"/>
  <c r="AO17" i="128"/>
  <c r="AB14" i="131"/>
  <c r="AQ30" i="132"/>
  <c r="S44" i="132"/>
  <c r="Z22" i="127"/>
  <c r="AU38" i="132"/>
  <c r="W32" i="131"/>
  <c r="H54" i="132"/>
  <c r="AI51" i="128"/>
  <c r="W26" i="131"/>
  <c r="W57" i="128"/>
  <c r="AX8" i="132"/>
  <c r="AH33" i="132"/>
  <c r="Z18" i="132"/>
  <c r="AJ45" i="131"/>
  <c r="X21" i="128"/>
  <c r="J40" i="132"/>
  <c r="H29" i="131"/>
  <c r="Q32" i="128"/>
  <c r="AL11" i="132"/>
  <c r="AL50" i="131"/>
  <c r="W45" i="132"/>
  <c r="BD11" i="130"/>
  <c r="AQ26" i="130"/>
  <c r="BB12" i="131"/>
  <c r="P8" i="131"/>
  <c r="AJ13" i="132"/>
  <c r="AG14" i="132"/>
  <c r="AF54" i="131"/>
  <c r="AP39" i="129"/>
  <c r="AT24" i="131"/>
  <c r="AN51" i="131"/>
  <c r="G51" i="129"/>
  <c r="P27" i="132"/>
  <c r="P53" i="130"/>
  <c r="AT22" i="132"/>
  <c r="H34" i="132"/>
  <c r="H21" i="129"/>
  <c r="AV31" i="132"/>
  <c r="J49" i="132"/>
  <c r="V30" i="132"/>
  <c r="Q35" i="132"/>
  <c r="M52" i="130"/>
  <c r="O24" i="132"/>
  <c r="U14" i="132"/>
  <c r="AC32" i="132"/>
  <c r="AE18" i="132"/>
  <c r="T22" i="131"/>
  <c r="AT37" i="132"/>
  <c r="AB57" i="131"/>
  <c r="M45" i="130"/>
  <c r="O8" i="129"/>
  <c r="AT51" i="132"/>
  <c r="S31" i="132"/>
  <c r="AV58" i="127"/>
  <c r="S9" i="132"/>
  <c r="AI22" i="131"/>
  <c r="K30" i="132"/>
  <c r="AV14" i="131"/>
  <c r="AL30" i="131"/>
  <c r="BB29" i="128"/>
  <c r="Q43" i="130"/>
  <c r="Y46" i="127"/>
  <c r="AG51" i="132"/>
  <c r="Q55" i="130"/>
  <c r="L41" i="127"/>
  <c r="AT41" i="132"/>
  <c r="X50" i="130"/>
  <c r="Q42" i="132"/>
  <c r="AM39" i="131"/>
  <c r="V33" i="127"/>
  <c r="AH56" i="132"/>
  <c r="AC21" i="131"/>
  <c r="AX50" i="129"/>
  <c r="AN27" i="132"/>
  <c r="AU43" i="127"/>
  <c r="AS30" i="131"/>
  <c r="AG33" i="128"/>
  <c r="H18" i="132"/>
  <c r="BC57" i="132"/>
  <c r="G56" i="130"/>
  <c r="AK14" i="132"/>
  <c r="AM9" i="131"/>
  <c r="AY33" i="131"/>
  <c r="AZ16" i="132"/>
  <c r="Z52" i="131"/>
  <c r="O43" i="132"/>
  <c r="O52" i="132"/>
  <c r="G45" i="132"/>
  <c r="AY11" i="132"/>
  <c r="AD18" i="132"/>
  <c r="J22" i="131"/>
  <c r="BD18" i="132"/>
  <c r="W8" i="132"/>
  <c r="V24" i="132"/>
  <c r="BB9" i="130"/>
  <c r="AS49" i="128"/>
  <c r="O30" i="132"/>
  <c r="AD30" i="130"/>
  <c r="P40" i="127"/>
  <c r="AQ12" i="131"/>
  <c r="AN9" i="132"/>
  <c r="AQ29" i="130"/>
  <c r="S11" i="132"/>
  <c r="Q41" i="130"/>
  <c r="AE42" i="132"/>
  <c r="G48" i="130"/>
  <c r="P9" i="128"/>
  <c r="Q25" i="132"/>
  <c r="U47" i="131"/>
  <c r="Y36" i="132"/>
  <c r="AX44" i="132"/>
  <c r="AJ18" i="130"/>
  <c r="L10" i="132"/>
  <c r="AM11" i="132"/>
  <c r="BD8" i="130"/>
  <c r="T17" i="132"/>
  <c r="AM16" i="131"/>
  <c r="G16" i="127"/>
  <c r="I53" i="132"/>
  <c r="I42" i="132"/>
  <c r="AV17" i="132"/>
  <c r="O24" i="130"/>
  <c r="X16" i="132"/>
  <c r="AT25" i="131"/>
  <c r="O12" i="132"/>
  <c r="AE27" i="132"/>
  <c r="Q40" i="131"/>
  <c r="I51" i="129"/>
  <c r="S55" i="132"/>
  <c r="U16" i="131"/>
  <c r="M43" i="132"/>
  <c r="AU15" i="129"/>
  <c r="BC43" i="132"/>
  <c r="P40" i="131"/>
  <c r="Q43" i="129"/>
  <c r="AS54" i="132"/>
  <c r="X52" i="130"/>
  <c r="BE39" i="127"/>
  <c r="N16" i="131"/>
  <c r="Q10" i="128"/>
  <c r="G29" i="129"/>
  <c r="AV25" i="132"/>
  <c r="W22" i="132"/>
  <c r="AX12" i="131"/>
  <c r="AT39" i="131"/>
  <c r="G18" i="132"/>
  <c r="AD39" i="131"/>
  <c r="T12" i="131"/>
  <c r="AS40" i="131"/>
  <c r="AD20" i="131"/>
  <c r="BD9" i="132"/>
  <c r="BC54" i="131"/>
  <c r="AD29" i="132"/>
  <c r="AO27" i="131"/>
  <c r="M35" i="128"/>
  <c r="AI16" i="132"/>
  <c r="M34" i="131"/>
  <c r="AD54" i="128"/>
  <c r="BB9" i="132"/>
  <c r="AM35" i="130"/>
  <c r="BD38" i="132"/>
  <c r="M44" i="132"/>
  <c r="V9" i="129"/>
  <c r="P30" i="132"/>
  <c r="I49" i="132"/>
  <c r="M17" i="132"/>
  <c r="AJ25" i="132"/>
  <c r="BE29" i="132"/>
  <c r="AF8" i="129"/>
  <c r="AV43" i="132"/>
  <c r="X24" i="129"/>
  <c r="AT16" i="132"/>
  <c r="I52" i="130"/>
  <c r="BD32" i="132"/>
  <c r="AR47" i="132"/>
  <c r="BA13" i="129"/>
  <c r="S42" i="132"/>
  <c r="AI31" i="130"/>
  <c r="P29" i="127"/>
  <c r="BA43" i="132"/>
  <c r="BC26" i="132"/>
  <c r="L8" i="131"/>
  <c r="M24" i="132"/>
  <c r="Q16" i="131"/>
  <c r="AY38" i="132"/>
  <c r="L50" i="130"/>
  <c r="AY42" i="132"/>
  <c r="BB14" i="131"/>
  <c r="Y45" i="129"/>
  <c r="BD52" i="132"/>
  <c r="J41" i="130"/>
  <c r="AW41" i="127"/>
  <c r="I14" i="131"/>
  <c r="AT31" i="132"/>
  <c r="AO29" i="132"/>
  <c r="AC47" i="132"/>
  <c r="BC16" i="130"/>
  <c r="AV36" i="132"/>
  <c r="AK58" i="132"/>
  <c r="AX44" i="131"/>
  <c r="AI41" i="129"/>
  <c r="AR18" i="132"/>
  <c r="W8" i="131"/>
  <c r="P14" i="128"/>
  <c r="Z21" i="132"/>
  <c r="N18" i="132"/>
  <c r="U41" i="132"/>
  <c r="AQ16" i="129"/>
  <c r="Z56" i="132"/>
  <c r="BB32" i="130"/>
  <c r="AE29" i="132"/>
  <c r="AW38" i="128"/>
  <c r="AW42" i="131"/>
  <c r="AF45" i="128"/>
  <c r="AD16" i="132"/>
  <c r="AW8" i="132"/>
  <c r="AX24" i="132"/>
  <c r="AM30" i="132"/>
  <c r="W42" i="131"/>
  <c r="AE20" i="131"/>
  <c r="N37" i="131"/>
  <c r="AE13" i="132"/>
  <c r="Z38" i="132"/>
  <c r="AV40" i="131"/>
  <c r="M57" i="132"/>
  <c r="AF56" i="132"/>
  <c r="AS36" i="129"/>
  <c r="T45" i="132"/>
  <c r="N58" i="132"/>
  <c r="AV58" i="129"/>
  <c r="BA48" i="132"/>
  <c r="AM36" i="131"/>
  <c r="BC16" i="132"/>
  <c r="AS34" i="132"/>
  <c r="AK50" i="130"/>
  <c r="V55" i="132"/>
  <c r="AD56" i="130"/>
  <c r="V45" i="132"/>
  <c r="I57" i="130"/>
  <c r="K39" i="132"/>
  <c r="U44" i="132"/>
  <c r="J34" i="128"/>
  <c r="AP9" i="131"/>
  <c r="AJ33" i="129"/>
  <c r="AL38" i="132"/>
  <c r="AS9" i="131"/>
  <c r="AB39" i="129"/>
  <c r="Z23" i="132"/>
  <c r="AE37" i="132"/>
  <c r="BD35" i="129"/>
  <c r="AM48" i="132"/>
  <c r="Z54" i="131"/>
  <c r="U9" i="132"/>
  <c r="Y21" i="129"/>
  <c r="L23" i="132"/>
  <c r="AM55" i="132"/>
  <c r="BA25" i="131"/>
  <c r="AG32" i="131"/>
  <c r="AG16" i="128"/>
  <c r="AQ13" i="129"/>
  <c r="AF21" i="132"/>
  <c r="P11" i="130"/>
  <c r="AQ39" i="131"/>
  <c r="G9" i="132"/>
  <c r="AK55" i="131"/>
  <c r="Y32" i="132"/>
  <c r="AF18" i="128"/>
  <c r="Z23" i="129"/>
  <c r="AR42" i="132"/>
  <c r="G32" i="130"/>
  <c r="AO23" i="127"/>
  <c r="AO43" i="132"/>
  <c r="I18" i="131"/>
  <c r="W44" i="131"/>
  <c r="AX52" i="128"/>
  <c r="BE25" i="131"/>
  <c r="AT58" i="128"/>
  <c r="AQ48" i="131"/>
  <c r="H38" i="132"/>
  <c r="BC47" i="132"/>
  <c r="AV52" i="131"/>
  <c r="K22" i="131"/>
  <c r="V39" i="131"/>
  <c r="K8" i="132"/>
  <c r="AO45" i="132"/>
  <c r="AK36" i="130"/>
  <c r="O46" i="131"/>
  <c r="S36" i="131"/>
  <c r="U13" i="132"/>
  <c r="Z10" i="132"/>
  <c r="AV22" i="132"/>
  <c r="AN24" i="131"/>
  <c r="AX37" i="131"/>
  <c r="AM53" i="131"/>
  <c r="AE30" i="132"/>
  <c r="BB39" i="132"/>
  <c r="Q37" i="132"/>
  <c r="AK46" i="132"/>
  <c r="AB27" i="132"/>
  <c r="U14" i="131"/>
  <c r="Q39" i="128"/>
  <c r="L39" i="132"/>
  <c r="AP23" i="128"/>
  <c r="AG58" i="132"/>
  <c r="AR46" i="132"/>
  <c r="AB42" i="130"/>
  <c r="S11" i="129"/>
  <c r="AI41" i="132"/>
  <c r="H24" i="132"/>
  <c r="S45" i="132"/>
  <c r="O49" i="130"/>
  <c r="AQ49" i="132"/>
  <c r="AF11" i="132"/>
  <c r="O14" i="132"/>
  <c r="AT9" i="129"/>
  <c r="P54" i="129"/>
  <c r="BE49" i="131"/>
  <c r="AL50" i="132"/>
  <c r="V53" i="130"/>
  <c r="AW53" i="132"/>
  <c r="N48" i="130"/>
  <c r="I30" i="132"/>
  <c r="AL49" i="132"/>
  <c r="H11" i="127"/>
  <c r="G46" i="132"/>
  <c r="AW55" i="130"/>
  <c r="AJ34" i="127"/>
  <c r="W56" i="132"/>
  <c r="AQ10" i="131"/>
  <c r="AB8" i="129"/>
  <c r="X49" i="127"/>
  <c r="AE21" i="131"/>
  <c r="K26" i="131"/>
  <c r="BC58" i="130"/>
  <c r="Q23" i="131"/>
  <c r="AD8" i="132"/>
  <c r="AM47" i="132"/>
  <c r="BE45" i="128"/>
  <c r="AP11" i="132"/>
  <c r="X50" i="128"/>
  <c r="S36" i="132"/>
  <c r="AO36" i="132"/>
  <c r="AT12" i="132"/>
  <c r="AT40" i="132"/>
  <c r="T13" i="132"/>
  <c r="AL8" i="132"/>
  <c r="Q24" i="132"/>
  <c r="AJ36" i="132"/>
  <c r="AP15" i="130"/>
  <c r="M27" i="132"/>
  <c r="AY24" i="130"/>
  <c r="AT23" i="132"/>
  <c r="AZ9" i="130"/>
  <c r="L20" i="132"/>
  <c r="BB32" i="132"/>
  <c r="AZ40" i="127"/>
  <c r="AZ23" i="132"/>
  <c r="K46" i="132"/>
  <c r="AL13" i="127"/>
  <c r="AO8" i="132"/>
  <c r="AG18" i="132"/>
  <c r="AH21" i="128"/>
  <c r="O39" i="132"/>
  <c r="AS22" i="130"/>
  <c r="N9" i="127"/>
  <c r="AD39" i="132"/>
  <c r="O47" i="132"/>
  <c r="P37" i="132"/>
  <c r="Z33" i="132"/>
  <c r="O58" i="132"/>
  <c r="BA8" i="132"/>
  <c r="AM52" i="130"/>
  <c r="V14" i="132"/>
  <c r="AG41" i="132"/>
  <c r="V16" i="129"/>
  <c r="T29" i="132"/>
  <c r="AO46" i="130"/>
  <c r="AL34" i="127"/>
  <c r="AT11" i="131"/>
  <c r="AI50" i="131"/>
  <c r="BE17" i="132"/>
  <c r="V31" i="130"/>
  <c r="AX48" i="132"/>
  <c r="BC21" i="129"/>
  <c r="AJ45" i="132"/>
  <c r="AM13" i="131"/>
  <c r="Q57" i="130"/>
  <c r="AM38" i="132"/>
  <c r="X38" i="132"/>
  <c r="AZ22" i="131"/>
  <c r="AQ47" i="131"/>
  <c r="BB30" i="132"/>
  <c r="BE46" i="132"/>
  <c r="AB12" i="127"/>
  <c r="X40" i="131"/>
  <c r="K45" i="131"/>
  <c r="AX18" i="132"/>
  <c r="AH42" i="132"/>
  <c r="AI13" i="132"/>
  <c r="AN12" i="132"/>
  <c r="W18" i="131"/>
  <c r="BE23" i="132"/>
  <c r="L25" i="130"/>
  <c r="Y40" i="132"/>
  <c r="G11" i="129"/>
  <c r="AH17" i="131"/>
  <c r="AH20" i="132"/>
  <c r="S22" i="132"/>
  <c r="AN45" i="128"/>
  <c r="AX13" i="131"/>
  <c r="AR55" i="131"/>
  <c r="AD38" i="130"/>
  <c r="Q16" i="127"/>
  <c r="AV51" i="132"/>
  <c r="AL46" i="130"/>
  <c r="AC21" i="127"/>
  <c r="AU39" i="132"/>
  <c r="P31" i="130"/>
  <c r="O40" i="128"/>
  <c r="J32" i="132"/>
  <c r="AZ40" i="131"/>
  <c r="Q53" i="132"/>
  <c r="AG13" i="131"/>
  <c r="AZ52" i="132"/>
  <c r="AQ15" i="132"/>
  <c r="BC41" i="131"/>
  <c r="X46" i="131"/>
  <c r="BC45" i="132"/>
  <c r="AK56" i="130"/>
  <c r="AB53" i="132"/>
  <c r="AB57" i="130"/>
  <c r="AN25" i="132"/>
  <c r="J26" i="130"/>
  <c r="BD15" i="132"/>
  <c r="Y18" i="131"/>
  <c r="AV15" i="132"/>
  <c r="W23" i="129"/>
  <c r="AP10" i="132"/>
  <c r="AC12" i="128"/>
  <c r="AV33" i="131"/>
  <c r="AY40" i="132"/>
  <c r="AC46" i="131"/>
  <c r="AS14" i="129"/>
  <c r="AB9" i="132"/>
  <c r="S14" i="131"/>
  <c r="O33" i="132"/>
  <c r="AY22" i="132"/>
  <c r="AN51" i="130"/>
  <c r="AO18" i="132"/>
  <c r="U15" i="129"/>
  <c r="Q15" i="132"/>
  <c r="AS31" i="132"/>
  <c r="AU47" i="131"/>
  <c r="N50" i="132"/>
  <c r="AU32" i="132"/>
  <c r="AV47" i="131"/>
  <c r="BD42" i="132"/>
  <c r="X24" i="132"/>
  <c r="BB47" i="132"/>
  <c r="AX40" i="131"/>
  <c r="AJ50" i="130"/>
  <c r="AI15" i="132"/>
  <c r="U14" i="128"/>
  <c r="AM24" i="131"/>
  <c r="S46" i="132"/>
  <c r="AY11" i="131"/>
  <c r="P58" i="132"/>
  <c r="AP14" i="131"/>
  <c r="BC36" i="132"/>
  <c r="AC51" i="132"/>
  <c r="V17" i="129"/>
  <c r="AE55" i="132"/>
  <c r="AX10" i="131"/>
  <c r="AC51" i="129"/>
  <c r="AM45" i="131"/>
  <c r="AP34" i="130"/>
  <c r="AW58" i="131"/>
  <c r="Y18" i="128"/>
  <c r="AX16" i="132"/>
  <c r="L9" i="131"/>
  <c r="AU21" i="131"/>
  <c r="P11" i="132"/>
  <c r="AR25" i="128"/>
  <c r="BA30" i="131"/>
  <c r="AN53" i="132"/>
  <c r="M30" i="131"/>
  <c r="AF26" i="131"/>
  <c r="AS41" i="131"/>
  <c r="AW45" i="132"/>
  <c r="Q27" i="132"/>
  <c r="AE52" i="131"/>
  <c r="AG10" i="132"/>
  <c r="P42" i="131"/>
  <c r="V15" i="132"/>
  <c r="AT9" i="130"/>
  <c r="AE35" i="132"/>
  <c r="I41" i="132"/>
  <c r="N32" i="132"/>
  <c r="O46" i="132"/>
  <c r="M25" i="132"/>
  <c r="P38" i="130"/>
  <c r="AC31" i="132"/>
  <c r="BD47" i="132"/>
  <c r="AJ13" i="129"/>
  <c r="O38" i="132"/>
  <c r="AK20" i="132"/>
  <c r="AO25" i="129"/>
  <c r="AQ9" i="132"/>
  <c r="AX29" i="132"/>
  <c r="AC20" i="130"/>
  <c r="M20" i="132"/>
  <c r="AL43" i="132"/>
  <c r="Z29" i="129"/>
  <c r="AD52" i="132"/>
  <c r="AZ25" i="130"/>
  <c r="BA51" i="132"/>
  <c r="BA38" i="128"/>
  <c r="BA15" i="132"/>
  <c r="I26" i="132"/>
  <c r="AT9" i="132"/>
  <c r="AG30" i="132"/>
  <c r="Z49" i="132"/>
  <c r="AS11" i="127"/>
  <c r="AP57" i="132"/>
  <c r="AX23" i="131"/>
  <c r="AK53" i="129"/>
  <c r="I25" i="131"/>
  <c r="AQ18" i="130"/>
  <c r="O22" i="132"/>
  <c r="AE26" i="132"/>
  <c r="K35" i="132"/>
  <c r="AE39" i="132"/>
  <c r="N21" i="127"/>
  <c r="AC41" i="132"/>
  <c r="AX25" i="131"/>
  <c r="AI41" i="131"/>
  <c r="I9" i="132"/>
  <c r="K24" i="131"/>
  <c r="AB9" i="131"/>
  <c r="M26" i="132"/>
  <c r="Y39" i="132"/>
  <c r="AB54" i="132"/>
  <c r="N18" i="129"/>
  <c r="AK18" i="131"/>
  <c r="W57" i="130"/>
  <c r="AR54" i="132"/>
  <c r="AV35" i="131"/>
  <c r="T41" i="128"/>
  <c r="X10" i="132"/>
  <c r="AM53" i="130"/>
  <c r="AF53" i="128"/>
  <c r="AU17" i="132"/>
  <c r="BC23" i="132"/>
  <c r="Q31" i="131"/>
  <c r="AI31" i="131"/>
  <c r="AQ17" i="132"/>
  <c r="Y35" i="128"/>
  <c r="X53" i="132"/>
  <c r="O45" i="132"/>
  <c r="Y52" i="129"/>
  <c r="J48" i="132"/>
  <c r="AW45" i="129"/>
  <c r="L44" i="132"/>
  <c r="BA57" i="132"/>
  <c r="AL38" i="129"/>
  <c r="AZ54" i="132"/>
  <c r="AP21" i="131"/>
  <c r="T36" i="132"/>
  <c r="V41" i="132"/>
  <c r="AH50" i="130"/>
  <c r="AD58" i="132"/>
  <c r="Z45" i="130"/>
  <c r="AQ48" i="132"/>
  <c r="BA17" i="132"/>
  <c r="Y50" i="132"/>
  <c r="G36" i="128"/>
  <c r="AL56" i="132"/>
  <c r="M8" i="131"/>
  <c r="P53" i="132"/>
  <c r="AI26" i="131"/>
  <c r="G27" i="132"/>
  <c r="AV50" i="130"/>
  <c r="AY14" i="132"/>
  <c r="U46" i="131"/>
  <c r="O17" i="132"/>
  <c r="AM53" i="128"/>
  <c r="AB17" i="132"/>
  <c r="Y48" i="127"/>
  <c r="V20" i="129"/>
  <c r="AI17" i="132"/>
  <c r="AR8" i="128"/>
  <c r="AY16" i="132"/>
  <c r="J55" i="131"/>
  <c r="X23" i="132"/>
  <c r="AT21" i="129"/>
  <c r="AB24" i="132"/>
  <c r="AD13" i="132"/>
  <c r="BE16" i="132"/>
  <c r="AP48" i="128"/>
  <c r="H22" i="132"/>
  <c r="AX15" i="132"/>
  <c r="J8" i="128"/>
  <c r="AZ25" i="131"/>
  <c r="AG9" i="128"/>
  <c r="AS32" i="129"/>
  <c r="N52" i="132"/>
  <c r="Q45" i="130"/>
  <c r="H44" i="132"/>
  <c r="AL31" i="131"/>
  <c r="AY20" i="128"/>
  <c r="O27" i="131"/>
  <c r="H55" i="131"/>
  <c r="AL26" i="128"/>
  <c r="BE12" i="132"/>
  <c r="AW13" i="131"/>
  <c r="G47" i="132"/>
  <c r="AD9" i="131"/>
  <c r="H40" i="131"/>
  <c r="BD51" i="128"/>
  <c r="H8" i="132"/>
  <c r="AT21" i="128"/>
  <c r="AS13" i="132"/>
  <c r="BC33" i="132"/>
  <c r="AJ33" i="132"/>
  <c r="AN15" i="127"/>
  <c r="AX23" i="132"/>
  <c r="AP22" i="131"/>
  <c r="O21" i="131"/>
  <c r="BB12" i="132"/>
  <c r="G33" i="131"/>
  <c r="AG23" i="131"/>
  <c r="AZ43" i="129"/>
  <c r="M40" i="131"/>
  <c r="I17" i="131"/>
  <c r="K36" i="132"/>
  <c r="BC57" i="130"/>
  <c r="AD26" i="132"/>
  <c r="P40" i="129"/>
  <c r="V33" i="132"/>
  <c r="AQ14" i="131"/>
  <c r="AZ29" i="132"/>
  <c r="Z8" i="130"/>
  <c r="I30" i="128"/>
  <c r="S43" i="132"/>
  <c r="H10" i="131"/>
  <c r="AJ9" i="132"/>
  <c r="Z41" i="132"/>
  <c r="N23" i="129"/>
  <c r="AO51" i="132"/>
  <c r="V25" i="132"/>
  <c r="AU36" i="127"/>
  <c r="AU56" i="132"/>
  <c r="AC38" i="132"/>
  <c r="O47" i="130"/>
  <c r="AG43" i="128"/>
  <c r="AF39" i="132"/>
  <c r="AR51" i="127"/>
  <c r="AH43" i="132"/>
  <c r="AS25" i="129"/>
  <c r="U57" i="132"/>
  <c r="BD21" i="132"/>
  <c r="AN50" i="128"/>
  <c r="AL55" i="132"/>
  <c r="Z21" i="130"/>
  <c r="J47" i="132"/>
  <c r="AS13" i="130"/>
  <c r="AK34" i="132"/>
  <c r="AI15" i="130"/>
  <c r="I56" i="132"/>
  <c r="AV41" i="130"/>
  <c r="P57" i="132"/>
  <c r="AR38" i="131"/>
  <c r="AG17" i="129"/>
  <c r="AX47" i="131"/>
  <c r="U10" i="131"/>
  <c r="AM51" i="129"/>
  <c r="AP29" i="132"/>
  <c r="AD15" i="132"/>
  <c r="H10" i="132"/>
  <c r="AW40" i="132"/>
  <c r="N57" i="131"/>
  <c r="X47" i="128"/>
  <c r="AZ11" i="131"/>
  <c r="AO51" i="128"/>
  <c r="AP41" i="132"/>
  <c r="AV37" i="132"/>
  <c r="AV30" i="132"/>
  <c r="AQ10" i="132"/>
  <c r="BA38" i="131"/>
  <c r="AQ16" i="132"/>
  <c r="Y50" i="131"/>
  <c r="BB38" i="132"/>
  <c r="AN39" i="130"/>
  <c r="G42" i="132"/>
  <c r="AN47" i="130"/>
  <c r="V56" i="132"/>
  <c r="P40" i="132"/>
  <c r="AB25" i="132"/>
  <c r="Z55" i="128"/>
  <c r="AP14" i="132"/>
  <c r="Q22" i="130"/>
  <c r="AI40" i="127"/>
  <c r="AZ41" i="132"/>
  <c r="H31" i="130"/>
  <c r="J15" i="127"/>
  <c r="AV41" i="132"/>
  <c r="Z11" i="132"/>
  <c r="J35" i="130"/>
  <c r="AD37" i="132"/>
  <c r="BB16" i="130"/>
  <c r="V36" i="132"/>
  <c r="W44" i="132"/>
  <c r="U30" i="132"/>
  <c r="AV56" i="132"/>
  <c r="AI11" i="132"/>
  <c r="AW18" i="130"/>
  <c r="N16" i="132"/>
  <c r="J38" i="132"/>
  <c r="Q51" i="132"/>
  <c r="AQ17" i="129"/>
  <c r="AI58" i="132"/>
  <c r="K26" i="130"/>
  <c r="AB40" i="131"/>
  <c r="M37" i="131"/>
  <c r="Q17" i="132"/>
  <c r="AF16" i="130"/>
  <c r="AG44" i="132"/>
  <c r="M46" i="132"/>
  <c r="AN10" i="128"/>
  <c r="Z23" i="131"/>
  <c r="AH40" i="129"/>
  <c r="M23" i="132"/>
  <c r="U56" i="132"/>
  <c r="Y11" i="132"/>
  <c r="AW13" i="128"/>
  <c r="Q50" i="132"/>
  <c r="AP42" i="132"/>
  <c r="AN34" i="130"/>
  <c r="AM43" i="131"/>
  <c r="AK31" i="131"/>
  <c r="AI54" i="132"/>
  <c r="H45" i="132"/>
  <c r="X27" i="132"/>
  <c r="AG8" i="132"/>
  <c r="P23" i="132"/>
  <c r="W21" i="132"/>
  <c r="H25" i="130"/>
  <c r="Q12" i="132"/>
  <c r="AD20" i="129"/>
  <c r="BD34" i="131"/>
  <c r="Q14" i="132"/>
  <c r="N49" i="131"/>
  <c r="G47" i="128"/>
  <c r="AO52" i="132"/>
  <c r="BA12" i="131"/>
  <c r="Q50" i="130"/>
  <c r="AS55" i="132"/>
  <c r="M16" i="130"/>
  <c r="Z47" i="132"/>
  <c r="O56" i="130"/>
  <c r="AV26" i="132"/>
  <c r="AJ38" i="131"/>
  <c r="X49" i="132"/>
  <c r="G52" i="129"/>
  <c r="AH45" i="132"/>
  <c r="AX57" i="129"/>
  <c r="AR56" i="132"/>
  <c r="G29" i="132"/>
  <c r="H27" i="128"/>
  <c r="Y17" i="132"/>
  <c r="AL30" i="132"/>
  <c r="L37" i="130"/>
  <c r="AF49" i="132"/>
  <c r="BC30" i="130"/>
  <c r="P10" i="132"/>
  <c r="L22" i="132"/>
  <c r="AS20" i="128"/>
  <c r="AK31" i="132"/>
  <c r="BD47" i="129"/>
  <c r="S18" i="132"/>
  <c r="AD47" i="127"/>
  <c r="AK16" i="131"/>
  <c r="AE24" i="131"/>
  <c r="AT13" i="128"/>
  <c r="AU27" i="131"/>
  <c r="M16" i="132"/>
  <c r="BB46" i="132"/>
  <c r="AS9" i="132"/>
  <c r="AX14" i="129"/>
  <c r="AJ24" i="132"/>
  <c r="L10" i="128"/>
  <c r="Z34" i="131"/>
  <c r="BE9" i="132"/>
  <c r="AK18" i="132"/>
  <c r="AY18" i="130"/>
  <c r="H18" i="130"/>
  <c r="V18" i="132"/>
  <c r="AC56" i="127"/>
  <c r="I22" i="129"/>
  <c r="X37" i="132"/>
  <c r="BD49" i="132"/>
  <c r="AC53" i="132"/>
  <c r="X56" i="132"/>
  <c r="G57" i="132"/>
  <c r="AT58" i="132"/>
  <c r="AP17" i="131"/>
  <c r="AF38" i="130"/>
  <c r="BE41" i="128"/>
  <c r="AM14" i="132"/>
  <c r="V57" i="132"/>
  <c r="AF17" i="127"/>
  <c r="AT30" i="132"/>
  <c r="BE56" i="131"/>
  <c r="AM20" i="128"/>
  <c r="AQ25" i="132"/>
  <c r="AC13" i="129"/>
  <c r="P21" i="130"/>
  <c r="U23" i="132"/>
  <c r="AK42" i="130"/>
  <c r="BC53" i="132"/>
  <c r="AJ8" i="128"/>
  <c r="AM58" i="132"/>
  <c r="AM27" i="131"/>
  <c r="AF57" i="131"/>
  <c r="N57" i="132"/>
  <c r="AC41" i="129"/>
  <c r="BA53" i="132"/>
  <c r="U47" i="129"/>
  <c r="AZ27" i="132"/>
  <c r="AN45" i="132"/>
  <c r="I47" i="132"/>
  <c r="G58" i="132"/>
  <c r="Q9" i="131"/>
  <c r="AN40" i="131"/>
  <c r="AS54" i="130"/>
  <c r="J15" i="132"/>
  <c r="AU39" i="131"/>
  <c r="P16" i="132"/>
  <c r="H17" i="132"/>
  <c r="AK11" i="131"/>
  <c r="BB31" i="129"/>
  <c r="N17" i="131"/>
  <c r="K27" i="128"/>
  <c r="AO23" i="132"/>
  <c r="AN21" i="131"/>
  <c r="AM18" i="132"/>
  <c r="BA16" i="131"/>
  <c r="BD8" i="131"/>
  <c r="AH16" i="132"/>
  <c r="I12" i="132"/>
  <c r="S16" i="132"/>
  <c r="AN23" i="131"/>
  <c r="AO10" i="132"/>
  <c r="L45" i="128"/>
  <c r="AG17" i="132"/>
  <c r="AD49" i="128"/>
  <c r="AD27" i="132"/>
  <c r="V22" i="129"/>
  <c r="W43" i="132"/>
  <c r="T24" i="129"/>
  <c r="V51" i="132"/>
  <c r="AB11" i="132"/>
  <c r="Z25" i="132"/>
  <c r="W8" i="130"/>
  <c r="G12" i="132"/>
  <c r="X44" i="132"/>
  <c r="V29" i="129"/>
  <c r="AJ30" i="132"/>
  <c r="AE47" i="132"/>
  <c r="AP46" i="132"/>
  <c r="W30" i="132"/>
  <c r="N27" i="132"/>
  <c r="U36" i="132"/>
  <c r="Z34" i="132"/>
  <c r="X26" i="132"/>
  <c r="AZ24" i="130"/>
  <c r="N38" i="131"/>
  <c r="AK35" i="128"/>
  <c r="N13" i="132"/>
  <c r="BD12" i="132"/>
  <c r="Z17" i="132"/>
  <c r="G35" i="132"/>
  <c r="BD34" i="130"/>
  <c r="X39" i="132"/>
  <c r="U33" i="131"/>
  <c r="M9" i="131"/>
  <c r="X56" i="130"/>
  <c r="AW20" i="132"/>
  <c r="Y31" i="130"/>
  <c r="O23" i="132"/>
  <c r="AG23" i="130"/>
  <c r="J26" i="131"/>
  <c r="AV25" i="131"/>
  <c r="AD56" i="132"/>
  <c r="Q31" i="128"/>
  <c r="J13" i="132"/>
  <c r="AN32" i="132"/>
  <c r="H26" i="132"/>
  <c r="BE44" i="132"/>
  <c r="AH57" i="132"/>
  <c r="AD21" i="131"/>
  <c r="AF52" i="130"/>
  <c r="AH50" i="132"/>
  <c r="H50" i="132"/>
  <c r="AJ30" i="131"/>
  <c r="I13" i="132"/>
  <c r="BC9" i="130"/>
  <c r="AZ25" i="132"/>
  <c r="AH31" i="130"/>
  <c r="G11" i="132"/>
  <c r="N8" i="132"/>
  <c r="AE47" i="129"/>
  <c r="AE17" i="131"/>
  <c r="O10" i="128"/>
  <c r="J37" i="132"/>
  <c r="AU16" i="132"/>
  <c r="M45" i="132"/>
  <c r="AK34" i="129"/>
  <c r="P35" i="132"/>
  <c r="BE39" i="132"/>
  <c r="AD55" i="132"/>
  <c r="AH40" i="131"/>
  <c r="AQ43" i="132"/>
  <c r="Z24" i="132"/>
  <c r="AI41" i="128"/>
  <c r="AQ41" i="132"/>
  <c r="S55" i="127"/>
  <c r="AV47" i="132"/>
  <c r="AL58" i="132"/>
  <c r="I17" i="127"/>
  <c r="Y14" i="132"/>
  <c r="T40" i="131"/>
  <c r="L8" i="132"/>
  <c r="T49" i="132"/>
  <c r="BA36" i="130"/>
  <c r="AW46" i="132"/>
  <c r="AE52" i="129"/>
  <c r="AJ56" i="132"/>
  <c r="S58" i="129"/>
  <c r="AY12" i="130"/>
  <c r="AH11" i="132"/>
  <c r="BC18" i="132"/>
  <c r="AR17" i="130"/>
  <c r="P21" i="132"/>
  <c r="AO21" i="131"/>
  <c r="S13" i="131"/>
  <c r="AM36" i="128"/>
  <c r="AJ15" i="129"/>
  <c r="U53" i="127"/>
  <c r="AN27" i="129"/>
  <c r="AN30" i="132"/>
  <c r="Z38" i="131"/>
  <c r="BE10" i="132"/>
  <c r="AO18" i="128"/>
  <c r="AB18" i="132"/>
  <c r="O54" i="127"/>
  <c r="BE21" i="129"/>
  <c r="T11" i="132"/>
  <c r="AS18" i="130"/>
  <c r="M50" i="128"/>
  <c r="AD14" i="131"/>
  <c r="AH9" i="128"/>
  <c r="Z17" i="131"/>
  <c r="J13" i="128"/>
  <c r="AV52" i="132"/>
  <c r="AI24" i="130"/>
  <c r="I43" i="132"/>
  <c r="AB45" i="131"/>
  <c r="AV58" i="132"/>
  <c r="AU23" i="131"/>
  <c r="U11" i="131"/>
  <c r="T47" i="132"/>
  <c r="AO25" i="132"/>
  <c r="AB12" i="131"/>
  <c r="S53" i="128"/>
  <c r="J38" i="131"/>
  <c r="M23" i="128"/>
  <c r="AZ24" i="131"/>
  <c r="AB38" i="132"/>
  <c r="AP18" i="130"/>
  <c r="I22" i="127"/>
  <c r="AT53" i="132"/>
  <c r="AY30" i="131"/>
  <c r="AG31" i="131"/>
  <c r="N44" i="131"/>
  <c r="AG31" i="129"/>
  <c r="BD54" i="132"/>
  <c r="AK54" i="131"/>
  <c r="O45" i="129"/>
  <c r="U15" i="131"/>
  <c r="AY31" i="132"/>
  <c r="AI57" i="130"/>
  <c r="AS18" i="132"/>
  <c r="AQ37" i="132"/>
  <c r="AN8" i="129"/>
  <c r="AS24" i="132"/>
  <c r="O29" i="132"/>
  <c r="X31" i="132"/>
  <c r="H12" i="132"/>
  <c r="W10" i="132"/>
  <c r="T11" i="130"/>
  <c r="AK10" i="130"/>
  <c r="AK54" i="132"/>
  <c r="BB41" i="132"/>
  <c r="P36" i="130"/>
  <c r="V11" i="132"/>
  <c r="AF50" i="130"/>
  <c r="P12" i="132"/>
  <c r="J51" i="132"/>
  <c r="G17" i="131"/>
  <c r="AX54" i="130"/>
  <c r="AC29" i="129"/>
  <c r="BE50" i="131"/>
  <c r="AW17" i="132"/>
  <c r="G48" i="132"/>
  <c r="AD44" i="132"/>
  <c r="U9" i="131"/>
  <c r="P15" i="132"/>
  <c r="AO40" i="132"/>
  <c r="AJ51" i="129"/>
  <c r="AZ14" i="131"/>
  <c r="BD13" i="132"/>
  <c r="AO37" i="132"/>
  <c r="AN23" i="132"/>
  <c r="AM17" i="129"/>
  <c r="S13" i="132"/>
  <c r="AH25" i="130"/>
  <c r="BE37" i="128"/>
  <c r="AU31" i="132"/>
  <c r="Z34" i="130"/>
  <c r="BE54" i="132"/>
  <c r="I33" i="131"/>
  <c r="H58" i="129"/>
  <c r="BA44" i="128"/>
  <c r="AK39" i="132"/>
  <c r="AW49" i="128"/>
  <c r="AP9" i="132"/>
  <c r="U46" i="132"/>
  <c r="N13" i="127"/>
  <c r="AF46" i="132"/>
  <c r="AP18" i="131"/>
  <c r="AJ8" i="132"/>
  <c r="AG35" i="129"/>
  <c r="AI35" i="132"/>
  <c r="G36" i="132"/>
  <c r="W12" i="130"/>
  <c r="AU30" i="132"/>
  <c r="Y13" i="129"/>
  <c r="P43" i="132"/>
  <c r="M54" i="132"/>
  <c r="P13" i="130"/>
  <c r="Q29" i="130"/>
  <c r="Y44" i="132"/>
  <c r="M50" i="132"/>
  <c r="AP52" i="132"/>
  <c r="AD41" i="130"/>
  <c r="V39" i="132"/>
  <c r="J14" i="132"/>
  <c r="AQ10" i="129"/>
  <c r="AJ39" i="127"/>
  <c r="J34" i="131"/>
  <c r="P52" i="132"/>
  <c r="AC42" i="131"/>
  <c r="AL37" i="128"/>
  <c r="S49" i="130"/>
  <c r="BE54" i="130"/>
  <c r="AD46" i="127"/>
  <c r="AM11" i="131"/>
  <c r="P26" i="131"/>
  <c r="AL42" i="129"/>
  <c r="AT8" i="131"/>
  <c r="BD43" i="130"/>
  <c r="Q13" i="132"/>
  <c r="K35" i="131"/>
  <c r="AG40" i="128"/>
  <c r="AV56" i="130"/>
  <c r="P56" i="130"/>
  <c r="AF46" i="127"/>
  <c r="AP23" i="131"/>
  <c r="BC12" i="131"/>
  <c r="BD56" i="129"/>
  <c r="AG8" i="131"/>
  <c r="AN26" i="131"/>
  <c r="BE20" i="131"/>
  <c r="N51" i="132"/>
  <c r="P45" i="131"/>
  <c r="AI46" i="132"/>
  <c r="J15" i="131"/>
  <c r="Y15" i="128"/>
  <c r="AY46" i="132"/>
  <c r="AM21" i="132"/>
  <c r="AU57" i="131"/>
  <c r="Z8" i="132"/>
  <c r="W33" i="132"/>
  <c r="BB37" i="130"/>
  <c r="AR36" i="130"/>
  <c r="AG24" i="132"/>
  <c r="AB8" i="128"/>
  <c r="BD16" i="132"/>
  <c r="O42" i="132"/>
  <c r="AN31" i="132"/>
  <c r="Q25" i="131"/>
  <c r="AI58" i="130"/>
  <c r="I15" i="131"/>
  <c r="AO16" i="128"/>
  <c r="AQ29" i="131"/>
  <c r="AY12" i="128"/>
  <c r="AL53" i="132"/>
  <c r="S16" i="131"/>
  <c r="AZ34" i="132"/>
  <c r="AJ35" i="130"/>
  <c r="W16" i="132"/>
  <c r="W51" i="132"/>
  <c r="X34" i="132"/>
  <c r="BD53" i="132"/>
  <c r="G21" i="127"/>
  <c r="Q47" i="132"/>
  <c r="AW11" i="132"/>
  <c r="AL34" i="131"/>
  <c r="BA12" i="132"/>
  <c r="L52" i="131"/>
  <c r="AW16" i="132"/>
  <c r="AF36" i="132"/>
  <c r="N16" i="130"/>
  <c r="AK29" i="130"/>
  <c r="AR12" i="132"/>
  <c r="AY23" i="132"/>
  <c r="AO14" i="132"/>
  <c r="AT33" i="132"/>
  <c r="Z15" i="132"/>
  <c r="BE26" i="132"/>
  <c r="AC12" i="131"/>
  <c r="AH15" i="132"/>
  <c r="AV32" i="132"/>
  <c r="AS33" i="130"/>
  <c r="AZ46" i="132"/>
  <c r="AB24" i="131"/>
  <c r="BD58" i="132"/>
  <c r="AP49" i="131"/>
  <c r="AU25" i="132"/>
  <c r="J9" i="132"/>
  <c r="AE50" i="132"/>
  <c r="AG46" i="131"/>
  <c r="AG11" i="131"/>
  <c r="U44" i="131"/>
  <c r="K48" i="132"/>
  <c r="J58" i="132"/>
  <c r="AI12" i="132"/>
  <c r="AY43" i="132"/>
  <c r="AY56" i="130"/>
  <c r="AE44" i="132"/>
  <c r="J33" i="132"/>
  <c r="AI40" i="132"/>
  <c r="P36" i="128"/>
  <c r="G38" i="131"/>
  <c r="AE14" i="127"/>
  <c r="BA31" i="127"/>
  <c r="V58" i="128"/>
  <c r="AO17" i="131"/>
  <c r="AI47" i="127"/>
  <c r="J10" i="126"/>
  <c r="AW56" i="128"/>
  <c r="W14" i="128"/>
  <c r="AR15" i="132"/>
  <c r="AZ44" i="132"/>
  <c r="Q14" i="131"/>
  <c r="AM34" i="129"/>
  <c r="X58" i="131"/>
  <c r="BB34" i="128"/>
  <c r="Q10" i="131"/>
  <c r="AB50" i="132"/>
  <c r="AQ54" i="132"/>
  <c r="AE14" i="132"/>
  <c r="N52" i="127"/>
  <c r="BA33" i="132"/>
  <c r="AK55" i="132"/>
  <c r="AZ22" i="132"/>
  <c r="U50" i="132"/>
  <c r="AH27" i="132"/>
  <c r="AI58" i="127"/>
  <c r="AH13" i="127"/>
  <c r="BA45" i="127"/>
  <c r="N38" i="129"/>
  <c r="AK41" i="127"/>
  <c r="AR11" i="127"/>
  <c r="H52" i="127"/>
  <c r="AD48" i="129"/>
  <c r="AV9" i="126"/>
  <c r="S15" i="127"/>
  <c r="AH47" i="130"/>
  <c r="AD54" i="132"/>
  <c r="T42" i="130"/>
  <c r="W48" i="132"/>
  <c r="AO38" i="132"/>
  <c r="M23" i="129"/>
  <c r="G32" i="132"/>
  <c r="X34" i="130"/>
  <c r="AI22" i="132"/>
  <c r="AD57" i="132"/>
  <c r="M10" i="131"/>
  <c r="AF13" i="132"/>
  <c r="V13" i="132"/>
  <c r="AK32" i="128"/>
  <c r="G53" i="132"/>
  <c r="O23" i="128"/>
  <c r="AO57" i="129"/>
  <c r="BC11" i="124"/>
  <c r="I32" i="127"/>
  <c r="AW37" i="131"/>
  <c r="AX52" i="129"/>
  <c r="G36" i="131"/>
  <c r="G17" i="126"/>
  <c r="AJ9" i="131"/>
  <c r="I31" i="132"/>
  <c r="AV14" i="132"/>
  <c r="AS58" i="132"/>
  <c r="W14" i="132"/>
  <c r="BB58" i="132"/>
  <c r="AT16" i="130"/>
  <c r="AQ38" i="130"/>
  <c r="AW44" i="132"/>
  <c r="H45" i="129"/>
  <c r="H25" i="132"/>
  <c r="N33" i="132"/>
  <c r="AI22" i="130"/>
  <c r="AW35" i="132"/>
  <c r="AP35" i="132"/>
  <c r="AU36" i="130"/>
  <c r="U33" i="132"/>
  <c r="AF47" i="132"/>
  <c r="P47" i="131"/>
  <c r="Z29" i="126"/>
  <c r="J22" i="126"/>
  <c r="S14" i="128"/>
  <c r="S45" i="130"/>
  <c r="AD17" i="126"/>
  <c r="BC32" i="126"/>
  <c r="AJ22" i="128"/>
  <c r="AF53" i="130"/>
  <c r="T57" i="126"/>
  <c r="N38" i="126"/>
  <c r="AF20" i="126"/>
  <c r="AB18" i="130"/>
  <c r="AS21" i="128"/>
  <c r="AC49" i="131"/>
  <c r="AM54" i="130"/>
  <c r="S48" i="127"/>
  <c r="N32" i="129"/>
  <c r="AD43" i="125"/>
  <c r="AI49" i="129"/>
  <c r="AV44" i="127"/>
  <c r="AN22" i="128"/>
  <c r="AZ50" i="131"/>
  <c r="T52" i="129"/>
  <c r="AR23" i="132"/>
  <c r="AJ54" i="127"/>
  <c r="Q36" i="131"/>
  <c r="AQ45" i="132"/>
  <c r="AD14" i="132"/>
  <c r="O21" i="132"/>
  <c r="K11" i="126"/>
  <c r="AG50" i="131"/>
  <c r="AU24" i="125"/>
  <c r="AP49" i="125"/>
  <c r="AC14" i="126"/>
  <c r="X15" i="130"/>
  <c r="H21" i="125"/>
  <c r="AH37" i="125"/>
  <c r="W22" i="126"/>
  <c r="N39" i="130"/>
  <c r="U44" i="125"/>
  <c r="AW43" i="125"/>
  <c r="AF10" i="131"/>
  <c r="U51" i="128"/>
  <c r="AV18" i="129"/>
  <c r="BC26" i="129"/>
  <c r="AU33" i="128"/>
  <c r="AT43" i="130"/>
  <c r="BE48" i="128"/>
  <c r="L58" i="130"/>
  <c r="X34" i="129"/>
  <c r="AN39" i="131"/>
  <c r="AT53" i="128"/>
  <c r="AZ58" i="130"/>
  <c r="AC56" i="129"/>
  <c r="AH52" i="131"/>
  <c r="L58" i="128"/>
  <c r="G13" i="129"/>
  <c r="BA33" i="129"/>
  <c r="BA34" i="129"/>
  <c r="J33" i="130"/>
  <c r="AW31" i="130"/>
  <c r="J24" i="126"/>
  <c r="AZ44" i="127"/>
  <c r="AV55" i="128"/>
  <c r="AS38" i="132"/>
  <c r="AO38" i="126"/>
  <c r="AE46" i="127"/>
  <c r="L21" i="128"/>
  <c r="N21" i="132"/>
  <c r="BD38" i="126"/>
  <c r="L40" i="126"/>
  <c r="AY26" i="128"/>
  <c r="AE54" i="132"/>
  <c r="AH17" i="126"/>
  <c r="AS30" i="127"/>
  <c r="AF57" i="129"/>
  <c r="AX40" i="127"/>
  <c r="AI54" i="128"/>
  <c r="I58" i="130"/>
  <c r="W44" i="127"/>
  <c r="X26" i="127"/>
  <c r="X46" i="127"/>
  <c r="AI53" i="129"/>
  <c r="AD8" i="126"/>
  <c r="AQ12" i="127"/>
  <c r="AR44" i="127"/>
  <c r="Z57" i="129"/>
  <c r="AC26" i="126"/>
  <c r="G17" i="127"/>
  <c r="AK47" i="127"/>
  <c r="AF45" i="132"/>
  <c r="N50" i="128"/>
  <c r="AC36" i="126"/>
  <c r="AV40" i="126"/>
  <c r="P38" i="126"/>
  <c r="AX34" i="128"/>
  <c r="K31" i="126"/>
  <c r="AI9" i="126"/>
  <c r="AF45" i="126"/>
  <c r="BC43" i="128"/>
  <c r="AI40" i="125"/>
  <c r="AV17" i="126"/>
  <c r="AT56" i="126"/>
  <c r="L33" i="128"/>
  <c r="T14" i="130"/>
  <c r="AO23" i="125"/>
  <c r="AO57" i="127"/>
  <c r="AJ36" i="131"/>
  <c r="M11" i="132"/>
  <c r="G33" i="128"/>
  <c r="AJ49" i="129"/>
  <c r="AN30" i="131"/>
  <c r="AP23" i="126"/>
  <c r="Y56" i="131"/>
  <c r="AX17" i="128"/>
  <c r="AZ36" i="131"/>
  <c r="BA39" i="126"/>
  <c r="BA8" i="130"/>
  <c r="W27" i="128"/>
  <c r="I44" i="131"/>
  <c r="AB32" i="126"/>
  <c r="AG22" i="132"/>
  <c r="U16" i="132"/>
  <c r="W11" i="132"/>
  <c r="AE43" i="125"/>
  <c r="AG9" i="129"/>
  <c r="X29" i="131"/>
  <c r="M42" i="131"/>
  <c r="BD48" i="125"/>
  <c r="M15" i="129"/>
  <c r="AD47" i="131"/>
  <c r="X36" i="131"/>
  <c r="X10" i="125"/>
  <c r="AJ47" i="129"/>
  <c r="T58" i="131"/>
  <c r="H47" i="131"/>
  <c r="AY29" i="125"/>
  <c r="BE57" i="129"/>
  <c r="AF16" i="131"/>
  <c r="AN14" i="127"/>
  <c r="X41" i="129"/>
  <c r="AP18" i="128"/>
  <c r="AD39" i="130"/>
  <c r="AW27" i="127"/>
  <c r="L47" i="129"/>
  <c r="AJ16" i="128"/>
  <c r="M10" i="130"/>
  <c r="Q37" i="127"/>
  <c r="AU52" i="129"/>
  <c r="J12" i="128"/>
  <c r="G33" i="130"/>
  <c r="Z31" i="127"/>
  <c r="AW46" i="129"/>
  <c r="BD56" i="128"/>
  <c r="BA53" i="129"/>
  <c r="AZ56" i="128"/>
  <c r="AC40" i="127"/>
  <c r="AX26" i="129"/>
  <c r="AN49" i="129"/>
  <c r="AL22" i="128"/>
  <c r="BC24" i="127"/>
  <c r="AP24" i="129"/>
  <c r="I31" i="129"/>
  <c r="V29" i="128"/>
  <c r="AP22" i="127"/>
  <c r="BC8" i="129"/>
  <c r="AZ34" i="128"/>
  <c r="W39" i="128"/>
  <c r="N46" i="130"/>
  <c r="AM20" i="127"/>
  <c r="AC12" i="129"/>
  <c r="G41" i="129"/>
  <c r="AS35" i="131"/>
  <c r="S9" i="127"/>
  <c r="Y18" i="129"/>
  <c r="AN53" i="129"/>
  <c r="AM26" i="130"/>
  <c r="BC12" i="127"/>
  <c r="AG25" i="129"/>
  <c r="AD57" i="129"/>
  <c r="T32" i="130"/>
  <c r="AW14" i="127"/>
  <c r="AH9" i="129"/>
  <c r="P14" i="132"/>
  <c r="AG21" i="132"/>
  <c r="AH8" i="127"/>
  <c r="M38" i="131"/>
  <c r="AJ11" i="125"/>
  <c r="J26" i="129"/>
  <c r="AY31" i="127"/>
  <c r="Z47" i="131"/>
  <c r="AF57" i="125"/>
  <c r="V54" i="129"/>
  <c r="AX32" i="127"/>
  <c r="W57" i="129"/>
  <c r="AJ33" i="125"/>
  <c r="I50" i="129"/>
  <c r="AZ45" i="126"/>
  <c r="G45" i="131"/>
  <c r="I43" i="130"/>
  <c r="AO12" i="132"/>
  <c r="AV13" i="131"/>
  <c r="U8" i="128"/>
  <c r="I27" i="130"/>
  <c r="AV8" i="132"/>
  <c r="H25" i="131"/>
  <c r="V13" i="128"/>
  <c r="AN35" i="130"/>
  <c r="U51" i="132"/>
  <c r="U34" i="131"/>
  <c r="AB23" i="128"/>
  <c r="AB56" i="130"/>
  <c r="AI20" i="131"/>
  <c r="BC42" i="131"/>
  <c r="AF54" i="132"/>
  <c r="G31" i="132"/>
  <c r="J22" i="132"/>
  <c r="T9" i="127"/>
  <c r="BA45" i="131"/>
  <c r="AX50" i="127"/>
  <c r="N57" i="126"/>
  <c r="AS47" i="127"/>
  <c r="AI33" i="131"/>
  <c r="AT23" i="126"/>
  <c r="AU12" i="126"/>
  <c r="AN20" i="127"/>
  <c r="AH21" i="132"/>
  <c r="AS39" i="132"/>
  <c r="AB11" i="131"/>
  <c r="K40" i="131"/>
  <c r="AU57" i="132"/>
  <c r="AX43" i="131"/>
  <c r="K18" i="132"/>
  <c r="AP10" i="127"/>
  <c r="K47" i="128"/>
  <c r="T50" i="132"/>
  <c r="AO51" i="127"/>
  <c r="AJ10" i="129"/>
  <c r="AB30" i="132"/>
  <c r="AF22" i="127"/>
  <c r="N36" i="132"/>
  <c r="S21" i="131"/>
  <c r="AU40" i="132"/>
  <c r="BB50" i="131"/>
  <c r="AN13" i="131"/>
  <c r="AP53" i="131"/>
  <c r="H53" i="129"/>
  <c r="AB54" i="131"/>
  <c r="M41" i="131"/>
  <c r="AY57" i="132"/>
  <c r="G11" i="130"/>
  <c r="S34" i="132"/>
  <c r="AR11" i="132"/>
  <c r="AV45" i="128"/>
  <c r="AC20" i="129"/>
  <c r="AV24" i="132"/>
  <c r="AS43" i="132"/>
  <c r="AE20" i="129"/>
  <c r="Q32" i="132"/>
  <c r="AW48" i="132"/>
  <c r="AM50" i="131"/>
  <c r="AY53" i="130"/>
  <c r="W42" i="127"/>
  <c r="V8" i="132"/>
  <c r="AO32" i="132"/>
  <c r="AS10" i="129"/>
  <c r="AY20" i="132"/>
  <c r="AW47" i="132"/>
  <c r="AP14" i="129"/>
  <c r="AJ39" i="132"/>
  <c r="T23" i="131"/>
  <c r="J27" i="132"/>
  <c r="AO9" i="132"/>
  <c r="AX24" i="127"/>
  <c r="X33" i="132"/>
  <c r="AC37" i="132"/>
  <c r="AJ30" i="129"/>
  <c r="AZ36" i="132"/>
  <c r="I46" i="132"/>
  <c r="H26" i="127"/>
  <c r="L27" i="132"/>
  <c r="AT49" i="132"/>
  <c r="Y56" i="132"/>
  <c r="AD52" i="129"/>
  <c r="AS56" i="132"/>
  <c r="AN47" i="132"/>
  <c r="AE13" i="130"/>
  <c r="AS29" i="132"/>
  <c r="AH39" i="129"/>
  <c r="AO41" i="132"/>
  <c r="AL15" i="132"/>
  <c r="K9" i="128"/>
  <c r="S41" i="132"/>
  <c r="AC15" i="132"/>
  <c r="BA23" i="132"/>
  <c r="AR44" i="132"/>
  <c r="AD47" i="132"/>
  <c r="BB15" i="132"/>
  <c r="X24" i="127"/>
  <c r="AV22" i="131"/>
  <c r="BE33" i="129"/>
  <c r="AM8" i="131"/>
  <c r="H49" i="130"/>
  <c r="AC10" i="131"/>
  <c r="AN10" i="132"/>
  <c r="AV8" i="129"/>
  <c r="BC32" i="132"/>
  <c r="BA42" i="127"/>
  <c r="J18" i="131"/>
  <c r="J36" i="129"/>
  <c r="H21" i="131"/>
  <c r="AO35" i="130"/>
  <c r="AX21" i="131"/>
  <c r="AM35" i="129"/>
  <c r="I39" i="131"/>
  <c r="J51" i="131"/>
  <c r="AB38" i="128"/>
  <c r="K45" i="132"/>
  <c r="AM46" i="131"/>
  <c r="J29" i="132"/>
  <c r="AW51" i="132"/>
  <c r="AQ8" i="132"/>
  <c r="AL18" i="132"/>
  <c r="I17" i="132"/>
  <c r="AU20" i="130"/>
  <c r="L46" i="128"/>
  <c r="K17" i="132"/>
  <c r="AP20" i="132"/>
  <c r="AD25" i="131"/>
  <c r="AG18" i="128"/>
  <c r="AJ13" i="131"/>
  <c r="AU49" i="131"/>
  <c r="AY29" i="128"/>
  <c r="AM26" i="132"/>
  <c r="AY35" i="132"/>
  <c r="J16" i="131"/>
  <c r="AG36" i="132"/>
  <c r="AQ31" i="132"/>
  <c r="AD33" i="132"/>
  <c r="P41" i="132"/>
  <c r="AE21" i="132"/>
  <c r="BB20" i="132"/>
  <c r="U32" i="132"/>
  <c r="M58" i="132"/>
  <c r="AB53" i="129"/>
  <c r="AL16" i="130"/>
  <c r="AR8" i="132"/>
  <c r="AS55" i="128"/>
  <c r="AK29" i="132"/>
  <c r="AR16" i="128"/>
  <c r="AM22" i="132"/>
  <c r="M12" i="132"/>
  <c r="AY37" i="132"/>
  <c r="AK20" i="130"/>
  <c r="S15" i="132"/>
  <c r="T16" i="130"/>
  <c r="AT11" i="132"/>
  <c r="AJ41" i="130"/>
  <c r="BA16" i="132"/>
  <c r="AO55" i="132"/>
  <c r="M53" i="130"/>
  <c r="P14" i="129"/>
  <c r="AT44" i="132"/>
  <c r="AZ49" i="132"/>
  <c r="AP49" i="132"/>
  <c r="BD55" i="131"/>
  <c r="AT20" i="131"/>
  <c r="BD9" i="129"/>
  <c r="AD38" i="132"/>
  <c r="BB18" i="132"/>
  <c r="AH8" i="128"/>
  <c r="AS10" i="132"/>
  <c r="AE8" i="131"/>
  <c r="AX40" i="129"/>
  <c r="AZ50" i="132"/>
  <c r="AV39" i="130"/>
  <c r="BE30" i="132"/>
  <c r="W55" i="132"/>
  <c r="AD22" i="131"/>
  <c r="T12" i="132"/>
  <c r="I16" i="132"/>
  <c r="AF40" i="132"/>
  <c r="S13" i="125"/>
  <c r="Y8" i="129"/>
  <c r="BD14" i="131"/>
  <c r="H57" i="131"/>
  <c r="AX22" i="125"/>
  <c r="U14" i="129"/>
  <c r="H37" i="131"/>
  <c r="V51" i="131"/>
  <c r="BD30" i="132"/>
  <c r="M32" i="131"/>
  <c r="AO25" i="128"/>
  <c r="AN32" i="131"/>
  <c r="Z10" i="131"/>
  <c r="AB40" i="132"/>
  <c r="U40" i="132"/>
  <c r="AS32" i="131"/>
  <c r="AH24" i="132"/>
  <c r="AI58" i="131"/>
  <c r="Y52" i="128"/>
  <c r="BC52" i="132"/>
  <c r="U21" i="131"/>
  <c r="L54" i="129"/>
  <c r="AS50" i="132"/>
  <c r="M53" i="132"/>
  <c r="AG42" i="131"/>
  <c r="J16" i="128"/>
  <c r="U13" i="131"/>
  <c r="AR39" i="125"/>
  <c r="AR52" i="126"/>
  <c r="AF16" i="125"/>
  <c r="X10" i="127"/>
  <c r="AI29" i="125"/>
  <c r="Q47" i="126"/>
  <c r="T23" i="125"/>
  <c r="M23" i="127"/>
  <c r="AQ47" i="125"/>
  <c r="AX41" i="126"/>
  <c r="O27" i="130"/>
  <c r="Y15" i="131"/>
  <c r="O51" i="130"/>
  <c r="AC12" i="132"/>
  <c r="AW18" i="132"/>
  <c r="BA30" i="132"/>
  <c r="AM53" i="127"/>
  <c r="AD23" i="132"/>
  <c r="AC33" i="132"/>
  <c r="P22" i="130"/>
  <c r="BE12" i="131"/>
  <c r="AZ57" i="128"/>
  <c r="Y23" i="131"/>
  <c r="M29" i="131"/>
  <c r="AC9" i="132"/>
  <c r="Z51" i="131"/>
  <c r="J57" i="132"/>
  <c r="AP35" i="131"/>
  <c r="BE57" i="131"/>
  <c r="AD18" i="130"/>
  <c r="AL52" i="125"/>
  <c r="J20" i="131"/>
  <c r="N20" i="130"/>
  <c r="N27" i="130"/>
  <c r="AU38" i="125"/>
  <c r="AE17" i="132"/>
  <c r="AS23" i="132"/>
  <c r="N41" i="130"/>
  <c r="T18" i="132"/>
  <c r="AY41" i="132"/>
  <c r="AC25" i="131"/>
  <c r="L41" i="132"/>
  <c r="AC46" i="132"/>
  <c r="AP50" i="130"/>
  <c r="J23" i="132"/>
  <c r="L14" i="130"/>
  <c r="AY34" i="128"/>
  <c r="AT42" i="132"/>
  <c r="T34" i="132"/>
  <c r="AO35" i="132"/>
  <c r="AX22" i="132"/>
  <c r="BC8" i="132"/>
  <c r="AG29" i="127"/>
  <c r="AI24" i="131"/>
  <c r="N35" i="125"/>
  <c r="AU31" i="129"/>
  <c r="AB56" i="127"/>
  <c r="AU34" i="129"/>
  <c r="AW55" i="125"/>
  <c r="L44" i="129"/>
  <c r="BE42" i="127"/>
  <c r="AI18" i="128"/>
  <c r="V56" i="130"/>
  <c r="T52" i="130"/>
  <c r="L35" i="125"/>
  <c r="G52" i="130"/>
  <c r="AB11" i="130"/>
  <c r="BE25" i="132"/>
  <c r="AD14" i="130"/>
  <c r="BB45" i="129"/>
  <c r="G51" i="130"/>
  <c r="O13" i="129"/>
  <c r="BB46" i="131"/>
  <c r="Q46" i="129"/>
  <c r="P37" i="130"/>
  <c r="M11" i="129"/>
  <c r="G53" i="131"/>
  <c r="AK39" i="129"/>
  <c r="U45" i="130"/>
  <c r="BB16" i="129"/>
  <c r="AU43" i="132"/>
  <c r="AH11" i="130"/>
  <c r="AR37" i="132"/>
  <c r="P49" i="125"/>
  <c r="AI54" i="129"/>
  <c r="AU29" i="130"/>
  <c r="W10" i="130"/>
  <c r="Z45" i="125"/>
  <c r="AS33" i="129"/>
  <c r="AL37" i="130"/>
  <c r="AZ16" i="130"/>
  <c r="BC41" i="125"/>
  <c r="AK54" i="129"/>
  <c r="L11" i="130"/>
  <c r="AT25" i="130"/>
  <c r="AH48" i="128"/>
  <c r="AT44" i="126"/>
  <c r="AZ54" i="128"/>
  <c r="BB42" i="126"/>
  <c r="G25" i="126"/>
  <c r="AB23" i="132"/>
  <c r="AQ31" i="128"/>
  <c r="S18" i="128"/>
  <c r="J29" i="127"/>
  <c r="AL46" i="129"/>
  <c r="AD32" i="128"/>
  <c r="AW26" i="128"/>
  <c r="AT10" i="127"/>
  <c r="V52" i="129"/>
  <c r="AM18" i="127"/>
  <c r="G49" i="128"/>
  <c r="V31" i="127"/>
  <c r="BA30" i="130"/>
  <c r="AH40" i="128"/>
  <c r="Y31" i="131"/>
  <c r="AL21" i="126"/>
  <c r="AF17" i="130"/>
  <c r="Z17" i="128"/>
  <c r="AK37" i="131"/>
  <c r="AC49" i="126"/>
  <c r="O29" i="130"/>
  <c r="X34" i="128"/>
  <c r="I53" i="131"/>
  <c r="BE55" i="126"/>
  <c r="G17" i="130"/>
  <c r="M32" i="128"/>
  <c r="K38" i="126"/>
  <c r="U23" i="125"/>
  <c r="AE27" i="127"/>
  <c r="AN47" i="125"/>
  <c r="AR55" i="126"/>
  <c r="W31" i="132"/>
  <c r="H55" i="125"/>
  <c r="AT41" i="126"/>
  <c r="BA16" i="125"/>
  <c r="H57" i="127"/>
  <c r="N42" i="125"/>
  <c r="AE35" i="126"/>
  <c r="BE36" i="125"/>
  <c r="L53" i="127"/>
  <c r="AB37" i="125"/>
  <c r="I30" i="126"/>
  <c r="AG54" i="125"/>
  <c r="T56" i="132"/>
  <c r="G39" i="130"/>
  <c r="K39" i="126"/>
  <c r="AH41" i="129"/>
  <c r="AZ36" i="128"/>
  <c r="AK10" i="129"/>
  <c r="I16" i="125"/>
  <c r="AB11" i="128"/>
  <c r="AP21" i="128"/>
  <c r="AR31" i="129"/>
  <c r="BE21" i="125"/>
  <c r="AR14" i="128"/>
  <c r="AK58" i="127"/>
  <c r="AX16" i="128"/>
  <c r="H12" i="130"/>
  <c r="P16" i="127"/>
  <c r="P57" i="129"/>
  <c r="I35" i="132"/>
  <c r="X45" i="131"/>
  <c r="AZ13" i="130"/>
  <c r="I20" i="130"/>
  <c r="T33" i="125"/>
  <c r="X24" i="130"/>
  <c r="AD37" i="130"/>
  <c r="AJ46" i="130"/>
  <c r="AO29" i="125"/>
  <c r="AG51" i="130"/>
  <c r="AJ8" i="130"/>
  <c r="AF39" i="130"/>
  <c r="AB33" i="132"/>
  <c r="AT13" i="132"/>
  <c r="AM41" i="131"/>
  <c r="AG50" i="128"/>
  <c r="J9" i="127"/>
  <c r="V39" i="129"/>
  <c r="AH58" i="132"/>
  <c r="K14" i="127"/>
  <c r="AU27" i="127"/>
  <c r="J46" i="129"/>
  <c r="AC17" i="132"/>
  <c r="O47" i="127"/>
  <c r="AL18" i="127"/>
  <c r="AS51" i="129"/>
  <c r="V52" i="132"/>
  <c r="AO35" i="128"/>
  <c r="AZ30" i="127"/>
  <c r="S40" i="128"/>
  <c r="AZ10" i="126"/>
  <c r="AK29" i="127"/>
  <c r="O52" i="127"/>
  <c r="AV30" i="129"/>
  <c r="M20" i="126"/>
  <c r="AY17" i="127"/>
  <c r="AT56" i="127"/>
  <c r="AR40" i="128"/>
  <c r="BB29" i="126"/>
  <c r="AF12" i="127"/>
  <c r="AE58" i="127"/>
  <c r="BA10" i="128"/>
  <c r="I17" i="126"/>
  <c r="BD32" i="127"/>
  <c r="AM17" i="125"/>
  <c r="V26" i="126"/>
  <c r="AT45" i="126"/>
  <c r="BA26" i="128"/>
  <c r="AQ18" i="125"/>
  <c r="BD11" i="126"/>
  <c r="AE39" i="126"/>
  <c r="AE58" i="128"/>
  <c r="AJ26" i="125"/>
  <c r="AR21" i="126"/>
  <c r="I34" i="126"/>
  <c r="AM26" i="127"/>
  <c r="O15" i="125"/>
  <c r="P49" i="126"/>
  <c r="K32" i="127"/>
  <c r="M30" i="127"/>
  <c r="M47" i="128"/>
  <c r="AY44" i="127"/>
  <c r="AJ35" i="129"/>
  <c r="AI44" i="127"/>
  <c r="Z57" i="128"/>
  <c r="AY50" i="127"/>
  <c r="AH42" i="129"/>
  <c r="AR58" i="127"/>
  <c r="BC25" i="127"/>
  <c r="AF56" i="127"/>
  <c r="V50" i="129"/>
  <c r="AM54" i="126"/>
  <c r="AY8" i="127"/>
  <c r="AX29" i="129"/>
  <c r="BE26" i="129"/>
  <c r="O50" i="130"/>
  <c r="N40" i="129"/>
  <c r="AW31" i="124"/>
  <c r="M56" i="129"/>
  <c r="AG17" i="130"/>
  <c r="G10" i="129"/>
  <c r="O51" i="131"/>
  <c r="BC45" i="129"/>
  <c r="X26" i="130"/>
  <c r="K25" i="129"/>
  <c r="AR57" i="131"/>
  <c r="AU11" i="131"/>
  <c r="T37" i="130"/>
  <c r="AB10" i="132"/>
  <c r="V33" i="126"/>
  <c r="AD56" i="127"/>
  <c r="AZ55" i="128"/>
  <c r="K20" i="132"/>
  <c r="AD39" i="126"/>
  <c r="AE40" i="126"/>
  <c r="AJ21" i="128"/>
  <c r="AK41" i="132"/>
  <c r="Y39" i="126"/>
  <c r="S11" i="126"/>
  <c r="T27" i="128"/>
  <c r="M35" i="131"/>
  <c r="AS51" i="126"/>
  <c r="AW29" i="131"/>
  <c r="AL34" i="132"/>
  <c r="H20" i="132"/>
  <c r="BD43" i="125"/>
  <c r="AY35" i="129"/>
  <c r="U38" i="131"/>
  <c r="AY50" i="131"/>
  <c r="AT49" i="125"/>
  <c r="AJ42" i="129"/>
  <c r="AG56" i="131"/>
  <c r="BA34" i="130"/>
  <c r="AV37" i="125"/>
  <c r="AR39" i="132"/>
  <c r="P33" i="127"/>
  <c r="AP36" i="132"/>
  <c r="AC18" i="131"/>
  <c r="BA8" i="131"/>
  <c r="AC8" i="132"/>
  <c r="AN16" i="132"/>
  <c r="Y49" i="132"/>
  <c r="AT57" i="132"/>
  <c r="AZ29" i="131"/>
  <c r="U48" i="128"/>
  <c r="AE15" i="132"/>
  <c r="AG56" i="127"/>
  <c r="AZ26" i="131"/>
  <c r="I39" i="132"/>
  <c r="BA26" i="132"/>
  <c r="AM17" i="132"/>
  <c r="AQ11" i="132"/>
  <c r="H11" i="131"/>
  <c r="AZ51" i="132"/>
  <c r="AJ56" i="128"/>
  <c r="AM18" i="130"/>
  <c r="Y22" i="131"/>
  <c r="AC11" i="131"/>
  <c r="H41" i="130"/>
  <c r="K10" i="130"/>
  <c r="BA18" i="132"/>
  <c r="AR53" i="132"/>
  <c r="AX31" i="132"/>
  <c r="AG38" i="132"/>
  <c r="W20" i="130"/>
  <c r="AR41" i="132"/>
  <c r="X29" i="130"/>
  <c r="BB13" i="131"/>
  <c r="AP29" i="131"/>
  <c r="AX37" i="129"/>
  <c r="AL23" i="132"/>
  <c r="I16" i="130"/>
  <c r="N55" i="128"/>
  <c r="AR24" i="132"/>
  <c r="G26" i="130"/>
  <c r="AL14" i="127"/>
  <c r="L57" i="132"/>
  <c r="AD55" i="130"/>
  <c r="AM48" i="131"/>
  <c r="AT33" i="131"/>
  <c r="BD36" i="129"/>
  <c r="H16" i="127"/>
  <c r="G41" i="132"/>
  <c r="O40" i="127"/>
  <c r="AB34" i="132"/>
  <c r="AJ47" i="132"/>
  <c r="AT14" i="129"/>
  <c r="K23" i="132"/>
  <c r="T51" i="132"/>
  <c r="J44" i="132"/>
  <c r="AK53" i="132"/>
  <c r="T11" i="127"/>
  <c r="BD32" i="131"/>
  <c r="BD48" i="132"/>
  <c r="AO30" i="129"/>
  <c r="U37" i="132"/>
  <c r="BA52" i="132"/>
  <c r="S17" i="127"/>
  <c r="AF27" i="132"/>
  <c r="AG49" i="132"/>
  <c r="W20" i="132"/>
  <c r="AI42" i="127"/>
  <c r="Y25" i="132"/>
  <c r="Y31" i="132"/>
  <c r="BA31" i="131"/>
  <c r="AH26" i="132"/>
  <c r="P9" i="131"/>
  <c r="AP25" i="132"/>
  <c r="AQ53" i="130"/>
  <c r="Y55" i="132"/>
  <c r="AZ47" i="131"/>
  <c r="AE26" i="131"/>
  <c r="AQ40" i="132"/>
  <c r="T11" i="131"/>
  <c r="G56" i="132"/>
  <c r="M18" i="131"/>
  <c r="BC42" i="130"/>
  <c r="AP40" i="131"/>
  <c r="BD48" i="131"/>
  <c r="AC23" i="131"/>
  <c r="L11" i="131"/>
  <c r="AX24" i="131"/>
  <c r="BB10" i="131"/>
  <c r="AB51" i="131"/>
  <c r="AY15" i="128"/>
  <c r="AP38" i="132"/>
  <c r="AN13" i="132"/>
  <c r="AH40" i="130"/>
  <c r="AU21" i="132"/>
  <c r="AR29" i="132"/>
  <c r="G23" i="130"/>
  <c r="AJ50" i="132"/>
  <c r="AD15" i="131"/>
  <c r="BE10" i="128"/>
  <c r="BE18" i="132"/>
  <c r="H21" i="132"/>
  <c r="AV16" i="132"/>
  <c r="AC39" i="132"/>
  <c r="AP40" i="132"/>
  <c r="BD11" i="131"/>
  <c r="P26" i="132"/>
  <c r="Y37" i="131"/>
  <c r="AI27" i="131"/>
  <c r="AY14" i="131"/>
  <c r="V20" i="128"/>
  <c r="W26" i="132"/>
  <c r="AC36" i="131"/>
  <c r="AR18" i="128"/>
  <c r="AT24" i="132"/>
  <c r="BA36" i="132"/>
  <c r="BB35" i="130"/>
  <c r="AK20" i="129"/>
  <c r="P32" i="132"/>
  <c r="BB34" i="130"/>
  <c r="L48" i="132"/>
  <c r="Y18" i="130"/>
  <c r="AR23" i="127"/>
  <c r="J12" i="131"/>
  <c r="AJ20" i="131"/>
  <c r="AJ22" i="132"/>
  <c r="AY36" i="131"/>
  <c r="Q40" i="132"/>
  <c r="AF18" i="132"/>
  <c r="AB16" i="132"/>
  <c r="L30" i="132"/>
  <c r="J48" i="128"/>
  <c r="AP15" i="131"/>
  <c r="AR16" i="132"/>
  <c r="AF31" i="131"/>
  <c r="N12" i="132"/>
  <c r="AF32" i="130"/>
  <c r="P18" i="132"/>
  <c r="BE57" i="132"/>
  <c r="BA39" i="129"/>
  <c r="W47" i="132"/>
  <c r="S33" i="130"/>
  <c r="K51" i="132"/>
  <c r="AI43" i="131"/>
  <c r="BB16" i="131"/>
  <c r="AP54" i="129"/>
  <c r="AB41" i="132"/>
  <c r="AC21" i="132"/>
  <c r="Q8" i="131"/>
  <c r="Q31" i="132"/>
  <c r="T10" i="131"/>
  <c r="U49" i="129"/>
  <c r="Q52" i="132"/>
  <c r="AB41" i="129"/>
  <c r="AB32" i="132"/>
  <c r="AM58" i="131"/>
  <c r="L46" i="130"/>
  <c r="BC30" i="132"/>
  <c r="AD56" i="131"/>
  <c r="AO13" i="132"/>
  <c r="AE43" i="128"/>
  <c r="AE31" i="128"/>
  <c r="AP12" i="129"/>
  <c r="AU52" i="132"/>
  <c r="BB27" i="128"/>
  <c r="L39" i="128"/>
  <c r="T45" i="129"/>
  <c r="AU22" i="131"/>
  <c r="Y20" i="132"/>
  <c r="BC9" i="132"/>
  <c r="AZ43" i="132"/>
  <c r="AM31" i="132"/>
  <c r="AJ8" i="129"/>
  <c r="AX12" i="132"/>
  <c r="J29" i="131"/>
  <c r="K44" i="128"/>
  <c r="AZ37" i="132"/>
  <c r="AC16" i="132"/>
  <c r="Z36" i="132"/>
  <c r="AP8" i="131"/>
  <c r="AM52" i="129"/>
  <c r="AJ53" i="127"/>
  <c r="AF42" i="132"/>
  <c r="AB51" i="130"/>
  <c r="AM20" i="132"/>
  <c r="M48" i="132"/>
  <c r="AP12" i="131"/>
  <c r="BA38" i="132"/>
  <c r="AR34" i="127"/>
  <c r="BC39" i="131"/>
  <c r="I50" i="126"/>
  <c r="AJ18" i="125"/>
  <c r="AM37" i="126"/>
  <c r="AW52" i="131"/>
  <c r="AZ26" i="125"/>
  <c r="P13" i="125"/>
  <c r="G23" i="126"/>
  <c r="AM32" i="130"/>
  <c r="AT55" i="130"/>
  <c r="AS15" i="131"/>
  <c r="AY49" i="128"/>
  <c r="AL26" i="131"/>
  <c r="Q23" i="132"/>
  <c r="AP34" i="132"/>
  <c r="AC24" i="129"/>
  <c r="AL21" i="130"/>
  <c r="AR25" i="132"/>
  <c r="AO44" i="128"/>
  <c r="AW52" i="132"/>
  <c r="N29" i="132"/>
  <c r="BE52" i="132"/>
  <c r="Z8" i="131"/>
  <c r="X12" i="129"/>
  <c r="AP36" i="131"/>
  <c r="BD33" i="128"/>
  <c r="AP33" i="127"/>
  <c r="AN58" i="129"/>
  <c r="K50" i="128"/>
  <c r="AH18" i="130"/>
  <c r="AI31" i="127"/>
  <c r="AW37" i="129"/>
  <c r="BD55" i="128"/>
  <c r="AX45" i="130"/>
  <c r="AI27" i="132"/>
  <c r="Y33" i="132"/>
  <c r="H41" i="129"/>
  <c r="AP13" i="132"/>
  <c r="H57" i="132"/>
  <c r="BC54" i="130"/>
  <c r="AP39" i="131"/>
  <c r="N47" i="132"/>
  <c r="AS52" i="132"/>
  <c r="H11" i="132"/>
  <c r="AN34" i="132"/>
  <c r="U48" i="132"/>
  <c r="AU37" i="132"/>
  <c r="AN15" i="130"/>
  <c r="J41" i="132"/>
  <c r="AJ35" i="132"/>
  <c r="M45" i="129"/>
  <c r="AN50" i="130"/>
  <c r="AS17" i="129"/>
  <c r="AZ45" i="131"/>
  <c r="BB56" i="129"/>
  <c r="G18" i="130"/>
  <c r="AN18" i="129"/>
  <c r="U52" i="131"/>
  <c r="V53" i="129"/>
  <c r="AG45" i="130"/>
  <c r="AS49" i="126"/>
  <c r="AO21" i="128"/>
  <c r="M51" i="130"/>
  <c r="J34" i="127"/>
  <c r="K34" i="129"/>
  <c r="AC35" i="130"/>
  <c r="AG54" i="131"/>
  <c r="AC16" i="128"/>
  <c r="AP57" i="128"/>
  <c r="H53" i="130"/>
  <c r="H26" i="130"/>
  <c r="AQ17" i="128"/>
  <c r="U43" i="128"/>
  <c r="W13" i="129"/>
  <c r="AT25" i="129"/>
  <c r="X27" i="128"/>
  <c r="Z51" i="128"/>
  <c r="AC10" i="130"/>
  <c r="AG17" i="131"/>
  <c r="AV25" i="126"/>
  <c r="AU46" i="127"/>
  <c r="I54" i="129"/>
  <c r="AP22" i="132"/>
  <c r="AF14" i="126"/>
  <c r="AF52" i="127"/>
  <c r="AU57" i="129"/>
  <c r="K9" i="132"/>
  <c r="AH27" i="126"/>
  <c r="BE57" i="127"/>
  <c r="J40" i="128"/>
  <c r="AP45" i="132"/>
  <c r="W38" i="125"/>
  <c r="BD55" i="129"/>
  <c r="BD36" i="128"/>
  <c r="AP10" i="129"/>
  <c r="W10" i="125"/>
  <c r="AT27" i="132"/>
  <c r="BA22" i="125"/>
  <c r="AU30" i="126"/>
  <c r="BB16" i="125"/>
  <c r="N14" i="127"/>
  <c r="AK35" i="125"/>
  <c r="AL36" i="126"/>
  <c r="Y11" i="125"/>
  <c r="W18" i="127"/>
  <c r="O42" i="125"/>
  <c r="S50" i="126"/>
  <c r="AL9" i="125"/>
  <c r="AQ42" i="132"/>
  <c r="AB23" i="130"/>
  <c r="L30" i="130"/>
  <c r="AX38" i="130"/>
  <c r="BD54" i="125"/>
  <c r="AZ22" i="130"/>
  <c r="AB38" i="130"/>
  <c r="U32" i="130"/>
  <c r="Q50" i="125"/>
  <c r="H8" i="129"/>
  <c r="W9" i="130"/>
  <c r="AK24" i="130"/>
  <c r="AC43" i="125"/>
  <c r="AI25" i="129"/>
  <c r="AH44" i="130"/>
  <c r="AC9" i="127"/>
  <c r="AX14" i="126"/>
  <c r="J23" i="127"/>
  <c r="M45" i="131"/>
  <c r="AP18" i="132"/>
  <c r="BB17" i="132"/>
  <c r="AV37" i="127"/>
  <c r="X43" i="131"/>
  <c r="AL14" i="125"/>
  <c r="AR34" i="125"/>
  <c r="AN16" i="126"/>
  <c r="AM50" i="130"/>
  <c r="BD25" i="125"/>
  <c r="H42" i="125"/>
  <c r="AK21" i="126"/>
  <c r="AJ21" i="130"/>
  <c r="U29" i="125"/>
  <c r="L43" i="129"/>
  <c r="AR49" i="126"/>
  <c r="Y58" i="130"/>
  <c r="AX39" i="131"/>
  <c r="BE27" i="131"/>
  <c r="W44" i="126"/>
  <c r="Y53" i="130"/>
  <c r="K47" i="131"/>
  <c r="X13" i="131"/>
  <c r="AT9" i="125"/>
  <c r="AC54" i="130"/>
  <c r="AQ17" i="131"/>
  <c r="U54" i="125"/>
  <c r="AR39" i="127"/>
  <c r="AE34" i="129"/>
  <c r="AK12" i="126"/>
  <c r="K27" i="127"/>
  <c r="AC13" i="127"/>
  <c r="Z32" i="129"/>
  <c r="AI50" i="128"/>
  <c r="AR37" i="130"/>
  <c r="AV47" i="127"/>
  <c r="O53" i="129"/>
  <c r="W56" i="128"/>
  <c r="AK45" i="130"/>
  <c r="AP25" i="127"/>
  <c r="AY56" i="129"/>
  <c r="K26" i="128"/>
  <c r="AB45" i="129"/>
  <c r="H30" i="132"/>
  <c r="BC22" i="131"/>
  <c r="H12" i="125"/>
  <c r="AG48" i="126"/>
  <c r="Y24" i="127"/>
  <c r="S54" i="131"/>
  <c r="AF17" i="125"/>
  <c r="M43" i="126"/>
  <c r="AD13" i="127"/>
  <c r="BD33" i="131"/>
  <c r="P24" i="125"/>
  <c r="AT36" i="126"/>
  <c r="AS8" i="127"/>
  <c r="AN9" i="130"/>
  <c r="L31" i="130"/>
  <c r="U12" i="125"/>
  <c r="T27" i="131"/>
  <c r="Y57" i="125"/>
  <c r="AJ57" i="126"/>
  <c r="BB45" i="125"/>
  <c r="BC22" i="126"/>
  <c r="G54" i="125"/>
  <c r="AM31" i="125"/>
  <c r="Z14" i="128"/>
  <c r="K51" i="125"/>
  <c r="U48" i="125"/>
  <c r="AL17" i="125"/>
  <c r="BC34" i="126"/>
  <c r="S29" i="131"/>
  <c r="AM17" i="124"/>
  <c r="AL25" i="125"/>
  <c r="AK15" i="131"/>
  <c r="S31" i="129"/>
  <c r="W26" i="125"/>
  <c r="AH16" i="128"/>
  <c r="AQ27" i="128"/>
  <c r="AG55" i="129"/>
  <c r="AV45" i="125"/>
  <c r="Q44" i="128"/>
  <c r="S32" i="127"/>
  <c r="AP44" i="129"/>
  <c r="S58" i="125"/>
  <c r="P39" i="128"/>
  <c r="AJ14" i="127"/>
  <c r="Y10" i="128"/>
  <c r="AM52" i="124"/>
  <c r="H41" i="132"/>
  <c r="AS45" i="125"/>
  <c r="AP39" i="126"/>
  <c r="H16" i="125"/>
  <c r="AR17" i="127"/>
  <c r="AU31" i="125"/>
  <c r="J52" i="126"/>
  <c r="AD22" i="125"/>
  <c r="AX18" i="127"/>
  <c r="AK51" i="125"/>
  <c r="BC46" i="126"/>
  <c r="I27" i="125"/>
  <c r="AK49" i="127"/>
  <c r="AW42" i="125"/>
  <c r="O58" i="126"/>
  <c r="U50" i="127"/>
  <c r="AS10" i="128"/>
  <c r="AB39" i="128"/>
  <c r="J27" i="130"/>
  <c r="AN50" i="132"/>
  <c r="AC18" i="128"/>
  <c r="AL30" i="128"/>
  <c r="AR20" i="130"/>
  <c r="AR24" i="131"/>
  <c r="X20" i="128"/>
  <c r="G18" i="128"/>
  <c r="AX58" i="130"/>
  <c r="T12" i="130"/>
  <c r="AM29" i="132"/>
  <c r="O18" i="127"/>
  <c r="AE23" i="128"/>
  <c r="K32" i="131"/>
  <c r="AO32" i="126"/>
  <c r="AG39" i="130"/>
  <c r="AQ22" i="128"/>
  <c r="AK45" i="131"/>
  <c r="I51" i="126"/>
  <c r="U48" i="130"/>
  <c r="BC32" i="128"/>
  <c r="AJ53" i="131"/>
  <c r="AU8" i="125"/>
  <c r="AV21" i="130"/>
  <c r="AY55" i="128"/>
  <c r="BE11" i="131"/>
  <c r="AC52" i="128"/>
  <c r="AI12" i="130"/>
  <c r="BA14" i="132"/>
  <c r="L21" i="127"/>
  <c r="AI13" i="127"/>
  <c r="P41" i="129"/>
  <c r="AW29" i="132"/>
  <c r="AY26" i="127"/>
  <c r="BD30" i="127"/>
  <c r="AW33" i="129"/>
  <c r="AS24" i="131"/>
  <c r="AC41" i="127"/>
  <c r="AG22" i="127"/>
  <c r="AE22" i="132"/>
  <c r="AL54" i="132"/>
  <c r="AO33" i="132"/>
  <c r="BB25" i="132"/>
  <c r="J25" i="131"/>
  <c r="AM34" i="130"/>
  <c r="AK57" i="132"/>
  <c r="L33" i="129"/>
  <c r="AH37" i="128"/>
  <c r="BE24" i="132"/>
  <c r="H14" i="131"/>
  <c r="P39" i="132"/>
  <c r="AN38" i="131"/>
  <c r="AF53" i="132"/>
  <c r="BD55" i="132"/>
  <c r="AZ31" i="132"/>
  <c r="AX40" i="132"/>
  <c r="AT25" i="128"/>
  <c r="AZ20" i="128"/>
  <c r="O22" i="131"/>
  <c r="Q22" i="132"/>
  <c r="AR58" i="128"/>
  <c r="AX18" i="130"/>
  <c r="O41" i="132"/>
  <c r="T18" i="131"/>
  <c r="AN36" i="132"/>
  <c r="AK37" i="132"/>
  <c r="Y46" i="132"/>
  <c r="AW27" i="132"/>
  <c r="J8" i="131"/>
  <c r="AM16" i="129"/>
  <c r="BC27" i="128"/>
  <c r="AH32" i="132"/>
  <c r="AG12" i="129"/>
  <c r="AT25" i="132"/>
  <c r="AF43" i="132"/>
  <c r="AX23" i="129"/>
  <c r="AM44" i="131"/>
  <c r="AV10" i="131"/>
  <c r="AR20" i="131"/>
  <c r="S40" i="129"/>
  <c r="AZ29" i="127"/>
  <c r="AD32" i="132"/>
  <c r="AB42" i="132"/>
  <c r="Q9" i="129"/>
  <c r="AS25" i="132"/>
  <c r="AG26" i="130"/>
  <c r="AD27" i="127"/>
  <c r="AJ32" i="132"/>
  <c r="AE35" i="130"/>
  <c r="AW37" i="132"/>
  <c r="V47" i="132"/>
  <c r="AW53" i="129"/>
  <c r="Z34" i="127"/>
  <c r="AK51" i="132"/>
  <c r="AB20" i="127"/>
  <c r="AW34" i="132"/>
  <c r="BE45" i="132"/>
  <c r="BA41" i="129"/>
  <c r="S25" i="132"/>
  <c r="H51" i="132"/>
  <c r="O10" i="131"/>
  <c r="Y41" i="131"/>
  <c r="AE10" i="128"/>
  <c r="AB37" i="132"/>
  <c r="AV11" i="132"/>
  <c r="AU42" i="132"/>
  <c r="BA32" i="132"/>
  <c r="AW58" i="132"/>
  <c r="Z53" i="128"/>
  <c r="P55" i="132"/>
  <c r="Q21" i="131"/>
  <c r="I8" i="131"/>
  <c r="K15" i="130"/>
  <c r="W9" i="131"/>
  <c r="AK10" i="132"/>
  <c r="T17" i="129"/>
  <c r="G38" i="127"/>
  <c r="AN55" i="132"/>
  <c r="AE42" i="131"/>
  <c r="M21" i="131"/>
  <c r="AL55" i="130"/>
  <c r="AV23" i="131"/>
  <c r="AD42" i="132"/>
  <c r="AF22" i="131"/>
  <c r="K15" i="129"/>
  <c r="T16" i="132"/>
  <c r="AO21" i="132"/>
  <c r="AL10" i="132"/>
  <c r="AN17" i="132"/>
  <c r="Q33" i="132"/>
  <c r="P15" i="130"/>
  <c r="G22" i="128"/>
  <c r="BB44" i="130"/>
  <c r="V12" i="129"/>
  <c r="AW33" i="132"/>
  <c r="AO24" i="132"/>
  <c r="AR17" i="131"/>
  <c r="AL17" i="128"/>
  <c r="BD34" i="132"/>
  <c r="BE46" i="131"/>
  <c r="AK13" i="131"/>
  <c r="AI14" i="131"/>
  <c r="H38" i="128"/>
  <c r="AR12" i="129"/>
  <c r="AJ11" i="132"/>
  <c r="AU8" i="132"/>
  <c r="AS22" i="132"/>
  <c r="S27" i="132"/>
  <c r="BE22" i="132"/>
  <c r="T38" i="132"/>
  <c r="AE12" i="129"/>
  <c r="Z16" i="132"/>
  <c r="AK32" i="132"/>
  <c r="X47" i="132"/>
  <c r="BB43" i="132"/>
  <c r="AZ57" i="132"/>
  <c r="V15" i="129"/>
  <c r="M51" i="132"/>
  <c r="AB25" i="131"/>
  <c r="BE56" i="128"/>
  <c r="AM41" i="132"/>
  <c r="U48" i="131"/>
  <c r="U21" i="128"/>
  <c r="O8" i="132"/>
  <c r="AG40" i="130"/>
  <c r="AR20" i="132"/>
  <c r="AV33" i="132"/>
  <c r="G29" i="130"/>
  <c r="AJ40" i="129"/>
  <c r="N25" i="132"/>
  <c r="AY54" i="128"/>
  <c r="AM42" i="132"/>
  <c r="AR30" i="132"/>
  <c r="M55" i="128"/>
  <c r="AL14" i="132"/>
  <c r="AY12" i="132"/>
  <c r="AW43" i="132"/>
  <c r="AV55" i="132"/>
  <c r="P13" i="127"/>
  <c r="N55" i="132"/>
  <c r="AR48" i="132"/>
  <c r="L34" i="129"/>
  <c r="AC52" i="132"/>
  <c r="K42" i="129"/>
  <c r="AN17" i="131"/>
  <c r="BC51" i="127"/>
  <c r="BA27" i="132"/>
  <c r="Z57" i="132"/>
  <c r="BA41" i="131"/>
  <c r="N11" i="128"/>
  <c r="AX33" i="130"/>
  <c r="AM9" i="132"/>
  <c r="T46" i="127"/>
  <c r="K38" i="132"/>
  <c r="J45" i="132"/>
  <c r="G30" i="127"/>
  <c r="V10" i="132"/>
  <c r="O10" i="132"/>
  <c r="AM42" i="131"/>
  <c r="AU41" i="129"/>
  <c r="AV21" i="128"/>
  <c r="P56" i="132"/>
  <c r="AO8" i="125"/>
  <c r="BA41" i="126"/>
  <c r="Z25" i="127"/>
  <c r="Y54" i="131"/>
  <c r="BE16" i="125"/>
  <c r="L48" i="126"/>
  <c r="V8" i="127"/>
  <c r="AL23" i="131"/>
  <c r="S40" i="130"/>
  <c r="AZ15" i="132"/>
  <c r="Z46" i="131"/>
  <c r="BA18" i="131"/>
  <c r="AM51" i="132"/>
  <c r="BE15" i="132"/>
  <c r="U12" i="131"/>
  <c r="BA17" i="131"/>
  <c r="AE18" i="128"/>
  <c r="AJ22" i="131"/>
  <c r="AO15" i="131"/>
  <c r="O34" i="129"/>
  <c r="T31" i="132"/>
  <c r="BB52" i="132"/>
  <c r="AF14" i="132"/>
  <c r="BC35" i="131"/>
  <c r="W23" i="128"/>
  <c r="V42" i="132"/>
  <c r="AX36" i="132"/>
  <c r="I53" i="125"/>
  <c r="AP53" i="129"/>
  <c r="AK12" i="130"/>
  <c r="AV10" i="130"/>
  <c r="L48" i="125"/>
  <c r="P31" i="129"/>
  <c r="L36" i="130"/>
  <c r="AN13" i="130"/>
  <c r="AO32" i="125"/>
  <c r="H37" i="129"/>
  <c r="AW45" i="127"/>
  <c r="AM43" i="132"/>
  <c r="W18" i="130"/>
  <c r="Z53" i="132"/>
  <c r="AK36" i="132"/>
  <c r="AJ23" i="132"/>
  <c r="BC41" i="130"/>
  <c r="AM36" i="127"/>
  <c r="AJ18" i="132"/>
  <c r="AN30" i="130"/>
  <c r="AP58" i="132"/>
  <c r="AI46" i="131"/>
  <c r="AS25" i="128"/>
  <c r="X13" i="132"/>
  <c r="AS26" i="131"/>
  <c r="AX9" i="132"/>
  <c r="U31" i="132"/>
  <c r="J32" i="131"/>
  <c r="Q24" i="131"/>
  <c r="AW37" i="126"/>
  <c r="AO50" i="127"/>
  <c r="AW12" i="126"/>
  <c r="AY13" i="128"/>
  <c r="AU43" i="126"/>
  <c r="K23" i="127"/>
  <c r="AW25" i="126"/>
  <c r="AG22" i="128"/>
  <c r="AC15" i="130"/>
  <c r="N17" i="132"/>
  <c r="Y27" i="127"/>
  <c r="S17" i="132"/>
  <c r="AZ38" i="132"/>
  <c r="P46" i="132"/>
  <c r="Z41" i="129"/>
  <c r="Q11" i="132"/>
  <c r="AV45" i="132"/>
  <c r="AZ32" i="130"/>
  <c r="AH17" i="132"/>
  <c r="AS42" i="130"/>
  <c r="BA46" i="132"/>
  <c r="J39" i="132"/>
  <c r="Q25" i="129"/>
  <c r="BA42" i="132"/>
  <c r="BB36" i="132"/>
  <c r="AR38" i="132"/>
  <c r="N20" i="128"/>
  <c r="BC47" i="128"/>
  <c r="M58" i="130"/>
  <c r="Z24" i="131"/>
  <c r="AH13" i="128"/>
  <c r="L37" i="128"/>
  <c r="I53" i="130"/>
  <c r="G27" i="130"/>
  <c r="M22" i="128"/>
  <c r="AR27" i="131"/>
  <c r="AN11" i="126"/>
  <c r="L34" i="128"/>
  <c r="AJ16" i="126"/>
  <c r="K51" i="127"/>
  <c r="U48" i="126"/>
  <c r="M41" i="127"/>
  <c r="AB38" i="126"/>
  <c r="AS29" i="128"/>
  <c r="AX42" i="126"/>
  <c r="AD40" i="126"/>
  <c r="W38" i="126"/>
  <c r="W49" i="128"/>
  <c r="AG36" i="126"/>
  <c r="AV16" i="126"/>
  <c r="AS50" i="126"/>
  <c r="AZ47" i="132"/>
  <c r="BC55" i="128"/>
  <c r="AN12" i="129"/>
  <c r="AD44" i="125"/>
  <c r="AT15" i="125"/>
  <c r="V51" i="127"/>
  <c r="AF34" i="132"/>
  <c r="T30" i="125"/>
  <c r="AD14" i="125"/>
  <c r="AW56" i="127"/>
  <c r="AU18" i="131"/>
  <c r="AY55" i="125"/>
  <c r="Z37" i="131"/>
  <c r="AV32" i="127"/>
  <c r="BB22" i="130"/>
  <c r="N51" i="128"/>
  <c r="AR51" i="131"/>
  <c r="J24" i="131"/>
  <c r="U55" i="126"/>
  <c r="AK48" i="132"/>
  <c r="AQ58" i="132"/>
  <c r="AZ18" i="132"/>
  <c r="AP42" i="128"/>
  <c r="AC51" i="131"/>
  <c r="AT22" i="127"/>
  <c r="L33" i="127"/>
  <c r="AB22" i="128"/>
  <c r="T48" i="131"/>
  <c r="J37" i="127"/>
  <c r="Z34" i="126"/>
  <c r="W13" i="127"/>
  <c r="BE33" i="131"/>
  <c r="AT57" i="127"/>
  <c r="AW41" i="129"/>
  <c r="AX35" i="127"/>
  <c r="AZ47" i="129"/>
  <c r="BD50" i="128"/>
  <c r="U37" i="130"/>
  <c r="AK32" i="127"/>
  <c r="N51" i="129"/>
  <c r="AV20" i="128"/>
  <c r="Y45" i="130"/>
  <c r="N34" i="127"/>
  <c r="AX35" i="129"/>
  <c r="Q25" i="128"/>
  <c r="U51" i="130"/>
  <c r="P37" i="127"/>
  <c r="AX21" i="127"/>
  <c r="AY49" i="131"/>
  <c r="AT36" i="131"/>
  <c r="BE14" i="125"/>
  <c r="AI52" i="132"/>
  <c r="BD56" i="132"/>
  <c r="S37" i="132"/>
  <c r="Y36" i="125"/>
  <c r="K54" i="129"/>
  <c r="AS27" i="130"/>
  <c r="BD10" i="130"/>
  <c r="AJ54" i="125"/>
  <c r="AJ31" i="129"/>
  <c r="J37" i="130"/>
  <c r="AR14" i="130"/>
  <c r="BC50" i="125"/>
  <c r="P39" i="129"/>
  <c r="AU44" i="130"/>
  <c r="AF50" i="132"/>
  <c r="N45" i="132"/>
  <c r="AZ34" i="130"/>
  <c r="T57" i="128"/>
  <c r="AQ40" i="129"/>
  <c r="AR13" i="132"/>
  <c r="AN22" i="129"/>
  <c r="AK21" i="128"/>
  <c r="AV15" i="129"/>
  <c r="X21" i="132"/>
  <c r="AT43" i="129"/>
  <c r="V34" i="128"/>
  <c r="L9" i="129"/>
  <c r="AB23" i="125"/>
  <c r="X43" i="125"/>
  <c r="S51" i="127"/>
  <c r="H44" i="125"/>
  <c r="AI35" i="126"/>
  <c r="H27" i="132"/>
  <c r="P37" i="126"/>
  <c r="N51" i="127"/>
  <c r="AO14" i="126"/>
  <c r="J18" i="128"/>
  <c r="P44" i="126"/>
  <c r="AS56" i="127"/>
  <c r="M27" i="126"/>
  <c r="AO27" i="128"/>
  <c r="AR56" i="126"/>
  <c r="U39" i="127"/>
  <c r="AO35" i="126"/>
  <c r="BE48" i="132"/>
  <c r="X41" i="130"/>
  <c r="P40" i="128"/>
  <c r="W12" i="125"/>
  <c r="BA58" i="131"/>
  <c r="AB43" i="127"/>
  <c r="AU18" i="128"/>
  <c r="N31" i="125"/>
  <c r="BB47" i="131"/>
  <c r="AF32" i="127"/>
  <c r="AU35" i="128"/>
  <c r="BA44" i="125"/>
  <c r="AM15" i="130"/>
  <c r="AX29" i="126"/>
  <c r="AY32" i="128"/>
  <c r="Q56" i="125"/>
  <c r="K11" i="130"/>
  <c r="O13" i="132"/>
  <c r="AD49" i="132"/>
  <c r="U29" i="126"/>
  <c r="U8" i="130"/>
  <c r="AO13" i="125"/>
  <c r="T34" i="125"/>
  <c r="AC15" i="126"/>
  <c r="H32" i="130"/>
  <c r="AE36" i="125"/>
  <c r="G52" i="125"/>
  <c r="AC23" i="126"/>
  <c r="T41" i="130"/>
  <c r="AR27" i="125"/>
  <c r="I58" i="125"/>
  <c r="AF15" i="126"/>
  <c r="I8" i="130"/>
  <c r="AS48" i="132"/>
  <c r="Q40" i="125"/>
  <c r="AB55" i="130"/>
  <c r="BA49" i="131"/>
  <c r="AV29" i="131"/>
  <c r="Q21" i="125"/>
  <c r="L40" i="129"/>
  <c r="AW57" i="131"/>
  <c r="AC57" i="131"/>
  <c r="AX20" i="125"/>
  <c r="O18" i="129"/>
  <c r="AW18" i="131"/>
  <c r="AO43" i="131"/>
  <c r="AJ9" i="125"/>
  <c r="AZ52" i="130"/>
  <c r="AW51" i="130"/>
  <c r="AW24" i="132"/>
  <c r="AZ55" i="127"/>
  <c r="I55" i="131"/>
  <c r="BC38" i="126"/>
  <c r="AG55" i="126"/>
  <c r="AJ16" i="127"/>
  <c r="AT43" i="131"/>
  <c r="Z31" i="126"/>
  <c r="V26" i="125"/>
  <c r="AK15" i="127"/>
  <c r="BB20" i="131"/>
  <c r="M38" i="126"/>
  <c r="AN34" i="125"/>
  <c r="AM51" i="126"/>
  <c r="BE47" i="131"/>
  <c r="AD9" i="132"/>
  <c r="P53" i="126"/>
  <c r="AC55" i="127"/>
  <c r="AG31" i="126"/>
  <c r="AZ26" i="128"/>
  <c r="BA47" i="126"/>
  <c r="AX34" i="127"/>
  <c r="AX37" i="126"/>
  <c r="Y32" i="128"/>
  <c r="AF42" i="126"/>
  <c r="AC36" i="127"/>
  <c r="Y44" i="126"/>
  <c r="L35" i="128"/>
  <c r="AD40" i="128"/>
  <c r="N13" i="131"/>
  <c r="M23" i="130"/>
  <c r="J31" i="130"/>
  <c r="AI23" i="130"/>
  <c r="Q38" i="125"/>
  <c r="AI40" i="129"/>
  <c r="BA38" i="130"/>
  <c r="AC16" i="130"/>
  <c r="H57" i="125"/>
  <c r="Q30" i="129"/>
  <c r="AP9" i="130"/>
  <c r="W56" i="130"/>
  <c r="AM15" i="124"/>
  <c r="BE20" i="129"/>
  <c r="AN32" i="130"/>
  <c r="BD13" i="127"/>
  <c r="AN35" i="131"/>
  <c r="AW12" i="125"/>
  <c r="AY21" i="126"/>
  <c r="K30" i="127"/>
  <c r="X8" i="130"/>
  <c r="AJ32" i="125"/>
  <c r="BC58" i="126"/>
  <c r="J31" i="127"/>
  <c r="Q24" i="130"/>
  <c r="AC54" i="125"/>
  <c r="AN38" i="132"/>
  <c r="AJ53" i="128"/>
  <c r="T16" i="131"/>
  <c r="AY29" i="132"/>
  <c r="J42" i="131"/>
  <c r="U42" i="128"/>
  <c r="AC11" i="132"/>
  <c r="Q15" i="127"/>
  <c r="H55" i="132"/>
  <c r="AO10" i="130"/>
  <c r="N44" i="130"/>
  <c r="AV17" i="131"/>
  <c r="Y30" i="129"/>
  <c r="O51" i="132"/>
  <c r="W38" i="132"/>
  <c r="AX11" i="131"/>
  <c r="AM46" i="132"/>
  <c r="AG9" i="131"/>
  <c r="N44" i="132"/>
  <c r="AL38" i="128"/>
  <c r="S31" i="128"/>
  <c r="AM27" i="132"/>
  <c r="AI20" i="130"/>
  <c r="BC31" i="132"/>
  <c r="AX15" i="131"/>
  <c r="T32" i="132"/>
  <c r="AC25" i="132"/>
  <c r="G21" i="130"/>
  <c r="X32" i="132"/>
  <c r="AJ10" i="131"/>
  <c r="AN10" i="131"/>
  <c r="V58" i="132"/>
  <c r="AS37" i="132"/>
  <c r="M32" i="130"/>
  <c r="G39" i="132"/>
  <c r="AX20" i="130"/>
  <c r="AR40" i="131"/>
  <c r="AB54" i="130"/>
  <c r="AL40" i="132"/>
  <c r="AE30" i="131"/>
  <c r="M46" i="129"/>
  <c r="G44" i="132"/>
  <c r="Z17" i="130"/>
  <c r="AQ8" i="127"/>
  <c r="O26" i="132"/>
  <c r="BE41" i="132"/>
  <c r="BB23" i="129"/>
  <c r="W39" i="132"/>
  <c r="L47" i="132"/>
  <c r="BA47" i="132"/>
  <c r="I18" i="130"/>
  <c r="T16" i="127"/>
  <c r="AT56" i="132"/>
  <c r="P42" i="132"/>
  <c r="U9" i="129"/>
  <c r="N26" i="132"/>
  <c r="K27" i="130"/>
  <c r="AN18" i="127"/>
  <c r="BE32" i="132"/>
  <c r="BA51" i="130"/>
  <c r="AZ12" i="129"/>
  <c r="S53" i="127"/>
  <c r="AU44" i="132"/>
  <c r="I52" i="132"/>
  <c r="AJ26" i="132"/>
  <c r="L27" i="128"/>
  <c r="AB26" i="132"/>
  <c r="X46" i="132"/>
  <c r="Y22" i="130"/>
  <c r="Y9" i="131"/>
  <c r="BE31" i="129"/>
  <c r="AL41" i="132"/>
  <c r="BD13" i="131"/>
  <c r="BB11" i="132"/>
  <c r="AZ40" i="128"/>
  <c r="AX54" i="132"/>
  <c r="U40" i="131"/>
  <c r="AP54" i="130"/>
  <c r="AE22" i="131"/>
  <c r="AI47" i="129"/>
  <c r="AQ25" i="131"/>
  <c r="AS44" i="132"/>
  <c r="AR43" i="131"/>
  <c r="AK24" i="131"/>
  <c r="Y57" i="131"/>
  <c r="AF16" i="132"/>
  <c r="AE16" i="132"/>
  <c r="AR9" i="132"/>
  <c r="AW30" i="132"/>
  <c r="AC24" i="132"/>
  <c r="W33" i="131"/>
  <c r="I15" i="128"/>
  <c r="BB10" i="132"/>
  <c r="AT55" i="132"/>
  <c r="AO17" i="132"/>
  <c r="AU22" i="132"/>
  <c r="AM12" i="131"/>
  <c r="AR55" i="132"/>
  <c r="AC42" i="132"/>
  <c r="AD33" i="131"/>
  <c r="AQ11" i="128"/>
  <c r="AM35" i="132"/>
  <c r="L44" i="131"/>
  <c r="O36" i="132"/>
  <c r="AF17" i="132"/>
  <c r="AF30" i="132"/>
  <c r="AT57" i="128"/>
  <c r="Z35" i="132"/>
  <c r="K42" i="132"/>
  <c r="AZ29" i="130"/>
  <c r="BC50" i="132"/>
  <c r="AU52" i="130"/>
  <c r="S24" i="130"/>
  <c r="H14" i="132"/>
  <c r="V38" i="131"/>
  <c r="AK8" i="132"/>
  <c r="W32" i="132"/>
  <c r="AW49" i="131"/>
  <c r="I21" i="132"/>
  <c r="AF24" i="132"/>
  <c r="AQ20" i="132"/>
  <c r="AB21" i="130"/>
  <c r="BC53" i="128"/>
  <c r="AL20" i="132"/>
  <c r="J17" i="131"/>
  <c r="AM37" i="132"/>
  <c r="AI10" i="132"/>
  <c r="AY39" i="130"/>
  <c r="AZ12" i="132"/>
  <c r="AK21" i="132"/>
  <c r="AU36" i="132"/>
  <c r="AL57" i="132"/>
  <c r="Z42" i="129"/>
  <c r="AE25" i="132"/>
  <c r="Y51" i="132"/>
  <c r="AV11" i="127"/>
  <c r="AP37" i="132"/>
  <c r="L46" i="132"/>
  <c r="AE43" i="129"/>
  <c r="AT15" i="131"/>
  <c r="G56" i="129"/>
  <c r="AX25" i="132"/>
  <c r="U54" i="132"/>
  <c r="L27" i="129"/>
  <c r="AE43" i="132"/>
  <c r="O11" i="132"/>
  <c r="X10" i="131"/>
  <c r="AN50" i="129"/>
  <c r="AU35" i="132"/>
  <c r="AP54" i="132"/>
  <c r="AS42" i="129"/>
  <c r="Z22" i="132"/>
  <c r="Y27" i="132"/>
  <c r="H42" i="132"/>
  <c r="M12" i="131"/>
  <c r="BB15" i="127"/>
  <c r="O31" i="132"/>
  <c r="W32" i="128"/>
  <c r="AT30" i="129"/>
  <c r="AG56" i="126"/>
  <c r="X50" i="131"/>
  <c r="AE9" i="127"/>
  <c r="U54" i="129"/>
  <c r="AQ14" i="125"/>
  <c r="AL37" i="131"/>
  <c r="AW25" i="127"/>
  <c r="AF11" i="128"/>
  <c r="AL31" i="130"/>
  <c r="AQ21" i="132"/>
  <c r="AK50" i="132"/>
  <c r="AK40" i="132"/>
  <c r="L17" i="131"/>
  <c r="L35" i="131"/>
  <c r="AU50" i="132"/>
  <c r="N31" i="132"/>
  <c r="N39" i="132"/>
  <c r="AM50" i="132"/>
  <c r="AN24" i="129"/>
  <c r="AG50" i="132"/>
  <c r="BA47" i="130"/>
  <c r="AC18" i="132"/>
  <c r="AN49" i="132"/>
  <c r="AL37" i="132"/>
  <c r="X18" i="132"/>
  <c r="BB18" i="127"/>
  <c r="BD56" i="127"/>
  <c r="X31" i="129"/>
  <c r="BA45" i="132"/>
  <c r="AM16" i="126"/>
  <c r="Q25" i="127"/>
  <c r="Q52" i="129"/>
  <c r="AC15" i="131"/>
  <c r="AK15" i="126"/>
  <c r="T57" i="127"/>
  <c r="P47" i="127"/>
  <c r="BC8" i="130"/>
  <c r="T55" i="128"/>
  <c r="AE58" i="132"/>
  <c r="I56" i="131"/>
  <c r="O37" i="132"/>
  <c r="AJ31" i="132"/>
  <c r="AQ12" i="129"/>
  <c r="AC29" i="132"/>
  <c r="AQ35" i="130"/>
  <c r="AL50" i="128"/>
  <c r="BD44" i="132"/>
  <c r="AY48" i="132"/>
  <c r="AY13" i="132"/>
  <c r="AW16" i="129"/>
  <c r="V16" i="132"/>
  <c r="Y36" i="131"/>
  <c r="M43" i="128"/>
  <c r="H35" i="124"/>
  <c r="BB24" i="125"/>
  <c r="AW36" i="131"/>
  <c r="J8" i="130"/>
  <c r="AI53" i="131"/>
  <c r="BC21" i="125"/>
  <c r="AZ46" i="131"/>
  <c r="L12" i="130"/>
  <c r="AH13" i="130"/>
  <c r="T23" i="132"/>
  <c r="T42" i="129"/>
  <c r="U8" i="132"/>
  <c r="BD26" i="132"/>
  <c r="T42" i="132"/>
  <c r="W57" i="132"/>
  <c r="AZ34" i="127"/>
  <c r="AI32" i="132"/>
  <c r="K47" i="132"/>
  <c r="AF34" i="129"/>
  <c r="G16" i="132"/>
  <c r="O31" i="130"/>
  <c r="AV38" i="132"/>
  <c r="BB16" i="132"/>
  <c r="AY39" i="132"/>
  <c r="AL25" i="127"/>
  <c r="AE25" i="131"/>
  <c r="X42" i="126"/>
  <c r="W37" i="127"/>
  <c r="AQ37" i="126"/>
  <c r="BB25" i="128"/>
  <c r="AT53" i="126"/>
  <c r="S39" i="127"/>
  <c r="BB37" i="126"/>
  <c r="AF52" i="128"/>
  <c r="Y48" i="126"/>
  <c r="K40" i="126"/>
  <c r="S43" i="131"/>
  <c r="BA41" i="130"/>
  <c r="P45" i="130"/>
  <c r="AT17" i="131"/>
  <c r="BD42" i="129"/>
  <c r="AW32" i="132"/>
  <c r="P21" i="131"/>
  <c r="AK37" i="126"/>
  <c r="L50" i="129"/>
  <c r="L18" i="128"/>
  <c r="AP14" i="130"/>
  <c r="X45" i="126"/>
  <c r="U33" i="129"/>
  <c r="AT24" i="128"/>
  <c r="J12" i="129"/>
  <c r="AP10" i="125"/>
  <c r="AU9" i="128"/>
  <c r="AQ27" i="132"/>
  <c r="AE34" i="127"/>
  <c r="M53" i="131"/>
  <c r="AC42" i="130"/>
  <c r="AB8" i="125"/>
  <c r="BD50" i="127"/>
  <c r="Y42" i="131"/>
  <c r="AZ48" i="130"/>
  <c r="AN30" i="125"/>
  <c r="AK14" i="127"/>
  <c r="L18" i="131"/>
  <c r="AD15" i="130"/>
  <c r="AR53" i="125"/>
  <c r="Z40" i="131"/>
  <c r="AK57" i="131"/>
  <c r="BD11" i="129"/>
  <c r="AF41" i="132"/>
  <c r="AF48" i="129"/>
  <c r="Z31" i="132"/>
  <c r="W15" i="132"/>
  <c r="AG9" i="132"/>
  <c r="AE16" i="125"/>
  <c r="AT8" i="129"/>
  <c r="Y51" i="131"/>
  <c r="H27" i="131"/>
  <c r="AZ48" i="125"/>
  <c r="I15" i="129"/>
  <c r="AH39" i="131"/>
  <c r="BE23" i="131"/>
  <c r="BE9" i="125"/>
  <c r="AK21" i="129"/>
  <c r="AP57" i="131"/>
  <c r="AO37" i="126"/>
  <c r="AB51" i="127"/>
  <c r="BE15" i="126"/>
  <c r="AD22" i="128"/>
  <c r="S51" i="126"/>
  <c r="BE15" i="127"/>
  <c r="V30" i="126"/>
  <c r="AS27" i="128"/>
  <c r="AE57" i="126"/>
  <c r="S26" i="127"/>
  <c r="AB35" i="126"/>
  <c r="AJ34" i="128"/>
  <c r="AJ17" i="126"/>
  <c r="X20" i="130"/>
  <c r="BE50" i="129"/>
  <c r="AL24" i="132"/>
  <c r="AQ23" i="127"/>
  <c r="AU26" i="132"/>
  <c r="M13" i="132"/>
  <c r="N46" i="132"/>
  <c r="AM35" i="126"/>
  <c r="AE57" i="127"/>
  <c r="AX46" i="129"/>
  <c r="AV12" i="131"/>
  <c r="Q10" i="126"/>
  <c r="BE51" i="127"/>
  <c r="AS49" i="129"/>
  <c r="AD41" i="132"/>
  <c r="AO25" i="126"/>
  <c r="BA17" i="127"/>
  <c r="AZ34" i="129"/>
  <c r="AX55" i="132"/>
  <c r="AN56" i="130"/>
  <c r="AU46" i="126"/>
  <c r="W34" i="126"/>
  <c r="T47" i="128"/>
  <c r="BB25" i="131"/>
  <c r="G58" i="126"/>
  <c r="J32" i="126"/>
  <c r="AB54" i="128"/>
  <c r="Z16" i="131"/>
  <c r="AC24" i="125"/>
  <c r="BE37" i="126"/>
  <c r="AH45" i="128"/>
  <c r="AW58" i="130"/>
  <c r="AJ13" i="125"/>
  <c r="AH20" i="125"/>
  <c r="BD26" i="126"/>
  <c r="AY26" i="130"/>
  <c r="O48" i="131"/>
  <c r="AH11" i="125"/>
  <c r="AB55" i="131"/>
  <c r="AR24" i="130"/>
  <c r="AP54" i="131"/>
  <c r="AI44" i="131"/>
  <c r="M9" i="130"/>
  <c r="AG37" i="130"/>
  <c r="S11" i="131"/>
  <c r="AL55" i="129"/>
  <c r="BE20" i="130"/>
  <c r="AJ52" i="132"/>
  <c r="Y30" i="128"/>
  <c r="G53" i="130"/>
  <c r="BB50" i="129"/>
  <c r="J43" i="131"/>
  <c r="T29" i="128"/>
  <c r="K40" i="129"/>
  <c r="AX56" i="129"/>
  <c r="AY18" i="131"/>
  <c r="AQ47" i="128"/>
  <c r="S23" i="129"/>
  <c r="Z34" i="129"/>
  <c r="AQ46" i="131"/>
  <c r="AF37" i="128"/>
  <c r="AO37" i="125"/>
  <c r="M42" i="132"/>
  <c r="AC45" i="132"/>
  <c r="AY38" i="125"/>
  <c r="AP56" i="129"/>
  <c r="X30" i="130"/>
  <c r="AJ29" i="130"/>
  <c r="AF35" i="125"/>
  <c r="Q49" i="129"/>
  <c r="L43" i="130"/>
  <c r="AK17" i="130"/>
  <c r="N32" i="125"/>
  <c r="AO52" i="129"/>
  <c r="K23" i="130"/>
  <c r="H46" i="132"/>
  <c r="Q40" i="124"/>
  <c r="Z52" i="132"/>
  <c r="AZ8" i="132"/>
  <c r="L26" i="129"/>
  <c r="Y51" i="128"/>
  <c r="BD18" i="129"/>
  <c r="AC22" i="132"/>
  <c r="N41" i="129"/>
  <c r="AF56" i="128"/>
  <c r="AX16" i="129"/>
  <c r="W22" i="131"/>
  <c r="L11" i="128"/>
  <c r="V24" i="128"/>
  <c r="AT23" i="129"/>
  <c r="Y15" i="132"/>
  <c r="W13" i="128"/>
  <c r="AW30" i="129"/>
  <c r="AW22" i="132"/>
  <c r="AJ57" i="125"/>
  <c r="AO36" i="129"/>
  <c r="AF48" i="131"/>
  <c r="AH29" i="130"/>
  <c r="BC44" i="125"/>
  <c r="AB43" i="129"/>
  <c r="AM11" i="130"/>
  <c r="X12" i="130"/>
  <c r="AY33" i="125"/>
  <c r="N36" i="129"/>
  <c r="AF24" i="130"/>
  <c r="AQ9" i="130"/>
  <c r="AZ49" i="125"/>
  <c r="G51" i="132"/>
  <c r="AN42" i="132"/>
  <c r="H25" i="126"/>
  <c r="O30" i="129"/>
  <c r="I38" i="129"/>
  <c r="AO26" i="132"/>
  <c r="L52" i="126"/>
  <c r="N25" i="129"/>
  <c r="AS15" i="128"/>
  <c r="AL17" i="131"/>
  <c r="G38" i="126"/>
  <c r="AF37" i="129"/>
  <c r="X24" i="131"/>
  <c r="AN29" i="127"/>
  <c r="AT17" i="127"/>
  <c r="G55" i="129"/>
  <c r="AO55" i="128"/>
  <c r="BC36" i="130"/>
  <c r="P57" i="127"/>
  <c r="AS58" i="129"/>
  <c r="K16" i="128"/>
  <c r="AT45" i="130"/>
  <c r="AY58" i="127"/>
  <c r="AV40" i="128"/>
  <c r="U24" i="128"/>
  <c r="U57" i="130"/>
  <c r="AI26" i="127"/>
  <c r="AJ10" i="128"/>
  <c r="AW53" i="131"/>
  <c r="V35" i="128"/>
  <c r="U32" i="125"/>
  <c r="Y45" i="131"/>
  <c r="AM47" i="126"/>
  <c r="AC38" i="128"/>
  <c r="H39" i="125"/>
  <c r="BE11" i="130"/>
  <c r="W25" i="126"/>
  <c r="AF51" i="128"/>
  <c r="W57" i="131"/>
  <c r="AE51" i="132"/>
  <c r="I37" i="129"/>
  <c r="AH53" i="132"/>
  <c r="AE10" i="132"/>
  <c r="AP17" i="132"/>
  <c r="AO23" i="131"/>
  <c r="S21" i="132"/>
  <c r="Q15" i="131"/>
  <c r="Q14" i="130"/>
  <c r="I23" i="132"/>
  <c r="AT16" i="128"/>
  <c r="AO54" i="132"/>
  <c r="AI44" i="132"/>
  <c r="W48" i="131"/>
  <c r="AH41" i="132"/>
  <c r="AM36" i="132"/>
  <c r="H47" i="132"/>
  <c r="AF58" i="130"/>
  <c r="AC37" i="129"/>
  <c r="AN46" i="128"/>
  <c r="AR21" i="132"/>
  <c r="AJ27" i="132"/>
  <c r="AY26" i="132"/>
  <c r="AY29" i="129"/>
  <c r="AQ33" i="132"/>
  <c r="BB21" i="131"/>
  <c r="AV21" i="129"/>
  <c r="Z39" i="128"/>
  <c r="AI43" i="132"/>
  <c r="G52" i="132"/>
  <c r="G38" i="132"/>
  <c r="V53" i="132"/>
  <c r="BA44" i="132"/>
  <c r="AM12" i="132"/>
  <c r="AO13" i="129"/>
  <c r="L23" i="127"/>
  <c r="P31" i="132"/>
  <c r="Y17" i="129"/>
  <c r="U20" i="132"/>
  <c r="AG21" i="130"/>
  <c r="AR52" i="132"/>
  <c r="BE47" i="130"/>
  <c r="AK43" i="132"/>
  <c r="J53" i="132"/>
  <c r="O33" i="129"/>
  <c r="N11" i="132"/>
  <c r="BB17" i="130"/>
  <c r="AU21" i="127"/>
  <c r="L51" i="132"/>
  <c r="AS41" i="132"/>
  <c r="AY49" i="129"/>
  <c r="AH38" i="132"/>
  <c r="BB56" i="132"/>
  <c r="AR35" i="131"/>
  <c r="H14" i="128"/>
  <c r="AS27" i="132"/>
  <c r="M41" i="132"/>
  <c r="BB23" i="132"/>
  <c r="S56" i="132"/>
  <c r="G24" i="130"/>
  <c r="AO53" i="132"/>
  <c r="AZ52" i="129"/>
  <c r="J55" i="132"/>
  <c r="Q13" i="131"/>
  <c r="AU50" i="127"/>
  <c r="AJ53" i="132"/>
  <c r="Q29" i="131"/>
  <c r="AG15" i="131"/>
  <c r="Y13" i="132"/>
  <c r="X41" i="127"/>
  <c r="BD16" i="130"/>
  <c r="BB40" i="131"/>
  <c r="BD54" i="129"/>
  <c r="AX52" i="132"/>
  <c r="O26" i="131"/>
  <c r="L51" i="127"/>
  <c r="J50" i="132"/>
  <c r="V40" i="132"/>
  <c r="L24" i="131"/>
  <c r="BA27" i="128"/>
  <c r="AS30" i="132"/>
  <c r="AG29" i="131"/>
  <c r="L34" i="132"/>
  <c r="AK27" i="132"/>
  <c r="AS14" i="132"/>
  <c r="BC22" i="132"/>
  <c r="W11" i="130"/>
  <c r="AS36" i="130"/>
  <c r="H58" i="132"/>
  <c r="K24" i="132"/>
  <c r="T36" i="131"/>
  <c r="K40" i="132"/>
  <c r="M52" i="132"/>
  <c r="N50" i="131"/>
  <c r="W34" i="130"/>
  <c r="AL17" i="132"/>
  <c r="AQ46" i="132"/>
  <c r="AM16" i="132"/>
  <c r="P33" i="132"/>
  <c r="H13" i="132"/>
  <c r="AT21" i="132"/>
  <c r="Q34" i="132"/>
  <c r="AZ17" i="129"/>
  <c r="L32" i="132"/>
  <c r="V29" i="132"/>
  <c r="AJ42" i="132"/>
  <c r="AG56" i="132"/>
  <c r="AO30" i="132"/>
  <c r="AL54" i="131"/>
  <c r="AX24" i="128"/>
  <c r="AU14" i="132"/>
  <c r="AZ40" i="130"/>
  <c r="U30" i="128"/>
  <c r="I20" i="132"/>
  <c r="AY10" i="130"/>
  <c r="N23" i="132"/>
  <c r="M30" i="132"/>
  <c r="AX52" i="130"/>
  <c r="AM44" i="132"/>
  <c r="AQ37" i="131"/>
  <c r="L56" i="128"/>
  <c r="BD11" i="132"/>
  <c r="AY40" i="130"/>
  <c r="AG56" i="128"/>
  <c r="T14" i="132"/>
  <c r="BB10" i="130"/>
  <c r="Z46" i="132"/>
  <c r="AI18" i="130"/>
  <c r="P18" i="127"/>
  <c r="AQ39" i="132"/>
  <c r="AD35" i="129"/>
  <c r="V35" i="132"/>
  <c r="AS45" i="132"/>
  <c r="AI51" i="129"/>
  <c r="K42" i="130"/>
  <c r="V53" i="127"/>
  <c r="AW42" i="132"/>
  <c r="AO51" i="130"/>
  <c r="V36" i="131"/>
  <c r="AI12" i="128"/>
  <c r="BD36" i="132"/>
  <c r="BA33" i="130"/>
  <c r="AQ47" i="127"/>
  <c r="AF26" i="132"/>
  <c r="AD46" i="130"/>
  <c r="Y31" i="127"/>
  <c r="L16" i="132"/>
  <c r="M13" i="130"/>
  <c r="AF29" i="132"/>
  <c r="AS13" i="131"/>
  <c r="V43" i="129"/>
  <c r="Q12" i="131"/>
  <c r="O45" i="128"/>
  <c r="O18" i="130"/>
  <c r="BC33" i="129"/>
  <c r="X32" i="131"/>
  <c r="G15" i="128"/>
  <c r="AR57" i="130"/>
  <c r="AY39" i="129"/>
  <c r="AO50" i="131"/>
  <c r="T26" i="128"/>
  <c r="Z33" i="130"/>
  <c r="AH12" i="132"/>
  <c r="AE56" i="128"/>
  <c r="T40" i="132"/>
  <c r="T25" i="131"/>
  <c r="Y53" i="131"/>
  <c r="AP23" i="132"/>
  <c r="AY35" i="131"/>
  <c r="AN11" i="131"/>
  <c r="AE50" i="131"/>
  <c r="AE23" i="132"/>
  <c r="AW11" i="131"/>
  <c r="Q36" i="132"/>
  <c r="G43" i="132"/>
  <c r="AW20" i="130"/>
  <c r="AJ36" i="125"/>
  <c r="J18" i="125"/>
  <c r="J50" i="127"/>
  <c r="AE55" i="130"/>
  <c r="O54" i="125"/>
  <c r="Y23" i="125"/>
  <c r="AW55" i="127"/>
  <c r="AN15" i="129"/>
  <c r="BB47" i="125"/>
  <c r="AF20" i="125"/>
  <c r="AS32" i="132"/>
  <c r="U46" i="130"/>
  <c r="BE35" i="132"/>
  <c r="U35" i="132"/>
  <c r="N36" i="130"/>
  <c r="AE31" i="130"/>
  <c r="Z26" i="132"/>
  <c r="AL34" i="130"/>
  <c r="J26" i="132"/>
  <c r="AS53" i="131"/>
  <c r="I40" i="132"/>
  <c r="AV13" i="132"/>
  <c r="W27" i="132"/>
  <c r="AQ36" i="132"/>
  <c r="S47" i="132"/>
  <c r="BC38" i="132"/>
  <c r="Z51" i="126"/>
  <c r="AV45" i="130"/>
  <c r="BE45" i="125"/>
  <c r="Z32" i="125"/>
  <c r="V56" i="126"/>
  <c r="AI51" i="130"/>
  <c r="BA31" i="125"/>
  <c r="BB48" i="125"/>
  <c r="BE8" i="130"/>
  <c r="AQ46" i="130"/>
  <c r="AN30" i="127"/>
  <c r="AI8" i="132"/>
  <c r="U12" i="130"/>
  <c r="AY30" i="132"/>
  <c r="AM17" i="131"/>
  <c r="AU42" i="129"/>
  <c r="BE29" i="130"/>
  <c r="AR49" i="132"/>
  <c r="AJ27" i="127"/>
  <c r="AU18" i="132"/>
  <c r="AK33" i="132"/>
  <c r="N34" i="128"/>
  <c r="J39" i="131"/>
  <c r="AK24" i="132"/>
  <c r="Y42" i="132"/>
  <c r="AI26" i="129"/>
  <c r="P29" i="132"/>
  <c r="AO27" i="126"/>
  <c r="BD22" i="129"/>
  <c r="I35" i="129"/>
  <c r="V32" i="131"/>
  <c r="BE11" i="126"/>
  <c r="K44" i="129"/>
  <c r="AE14" i="128"/>
  <c r="AZ14" i="130"/>
  <c r="AJ26" i="126"/>
  <c r="AP58" i="129"/>
  <c r="G27" i="125"/>
  <c r="AG56" i="125"/>
  <c r="H36" i="126"/>
  <c r="AK23" i="132"/>
  <c r="BA43" i="126"/>
  <c r="AE27" i="130"/>
  <c r="M39" i="131"/>
  <c r="AI56" i="131"/>
  <c r="Q55" i="126"/>
  <c r="J21" i="130"/>
  <c r="Y46" i="131"/>
  <c r="BA13" i="131"/>
  <c r="AZ49" i="126"/>
  <c r="BE12" i="130"/>
  <c r="AC52" i="131"/>
  <c r="O10" i="127"/>
  <c r="BC39" i="129"/>
  <c r="AS17" i="128"/>
  <c r="AW38" i="130"/>
  <c r="AG26" i="127"/>
  <c r="AQ46" i="129"/>
  <c r="P8" i="128"/>
  <c r="BA9" i="130"/>
  <c r="AR36" i="127"/>
  <c r="Z52" i="129"/>
  <c r="AP15" i="128"/>
  <c r="I13" i="130"/>
  <c r="AN43" i="127"/>
  <c r="AQ21" i="127"/>
  <c r="I48" i="128"/>
  <c r="AG20" i="132"/>
  <c r="AM35" i="125"/>
  <c r="BE48" i="130"/>
  <c r="O40" i="130"/>
  <c r="AX27" i="132"/>
  <c r="AY46" i="128"/>
  <c r="AY56" i="128"/>
  <c r="AW38" i="129"/>
  <c r="Y25" i="131"/>
  <c r="AS35" i="128"/>
  <c r="BC14" i="127"/>
  <c r="AO45" i="129"/>
  <c r="AK12" i="132"/>
  <c r="BC23" i="127"/>
  <c r="K13" i="127"/>
  <c r="X51" i="129"/>
  <c r="W58" i="132"/>
  <c r="U49" i="131"/>
  <c r="AZ51" i="131"/>
  <c r="BC22" i="130"/>
  <c r="AB45" i="130"/>
  <c r="AE55" i="131"/>
  <c r="M38" i="129"/>
  <c r="Q32" i="130"/>
  <c r="AT40" i="129"/>
  <c r="BC11" i="131"/>
  <c r="BA42" i="128"/>
  <c r="AZ41" i="130"/>
  <c r="AR27" i="129"/>
  <c r="AD23" i="131"/>
  <c r="U41" i="127"/>
  <c r="BD12" i="127"/>
  <c r="AX55" i="131"/>
  <c r="Y29" i="125"/>
  <c r="AT51" i="130"/>
  <c r="X17" i="132"/>
  <c r="P39" i="130"/>
  <c r="W44" i="125"/>
  <c r="AC11" i="125"/>
  <c r="AB50" i="127"/>
  <c r="AR26" i="129"/>
  <c r="O35" i="125"/>
  <c r="V8" i="125"/>
  <c r="AB8" i="127"/>
  <c r="BA34" i="132"/>
  <c r="AU52" i="125"/>
  <c r="Z23" i="125"/>
  <c r="AZ45" i="132"/>
  <c r="L14" i="132"/>
  <c r="AT23" i="127"/>
  <c r="AC24" i="128"/>
  <c r="BC9" i="124"/>
  <c r="AR38" i="129"/>
  <c r="AV21" i="132"/>
  <c r="AH53" i="127"/>
  <c r="AX20" i="131"/>
  <c r="H8" i="128"/>
  <c r="AN29" i="131"/>
  <c r="AD11" i="126"/>
  <c r="N52" i="131"/>
  <c r="AR48" i="128"/>
  <c r="N43" i="126"/>
  <c r="V44" i="130"/>
  <c r="AL24" i="130"/>
  <c r="AH56" i="125"/>
  <c r="I29" i="132"/>
  <c r="Y40" i="131"/>
  <c r="I54" i="132"/>
  <c r="AQ50" i="126"/>
  <c r="Q46" i="130"/>
  <c r="U57" i="125"/>
  <c r="W54" i="125"/>
  <c r="AQ56" i="126"/>
  <c r="BD51" i="130"/>
  <c r="AG53" i="125"/>
  <c r="AM32" i="124"/>
  <c r="AF30" i="126"/>
  <c r="AZ20" i="130"/>
  <c r="Y47" i="125"/>
  <c r="L51" i="129"/>
  <c r="BA20" i="128"/>
  <c r="AC55" i="128"/>
  <c r="U54" i="127"/>
  <c r="H47" i="129"/>
  <c r="V38" i="128"/>
  <c r="AE33" i="128"/>
  <c r="BB12" i="127"/>
  <c r="AQ52" i="129"/>
  <c r="BD23" i="127"/>
  <c r="AH42" i="128"/>
  <c r="AU54" i="127"/>
  <c r="Z58" i="129"/>
  <c r="X42" i="127"/>
  <c r="G13" i="126"/>
  <c r="AV57" i="131"/>
  <c r="BC34" i="132"/>
  <c r="J21" i="132"/>
  <c r="U24" i="126"/>
  <c r="BA46" i="127"/>
  <c r="L52" i="129"/>
  <c r="L17" i="132"/>
  <c r="X16" i="126"/>
  <c r="AU52" i="127"/>
  <c r="AM25" i="128"/>
  <c r="BB45" i="132"/>
  <c r="AD9" i="126"/>
  <c r="AF27" i="127"/>
  <c r="AE8" i="128"/>
  <c r="AE38" i="131"/>
  <c r="AQ36" i="126"/>
  <c r="AN48" i="132"/>
  <c r="P51" i="129"/>
  <c r="AB56" i="132"/>
  <c r="AG12" i="125"/>
  <c r="AX33" i="126"/>
  <c r="AD38" i="128"/>
  <c r="AN8" i="132"/>
  <c r="V16" i="125"/>
  <c r="AT39" i="126"/>
  <c r="AK51" i="128"/>
  <c r="AH46" i="132"/>
  <c r="BB18" i="125"/>
  <c r="G47" i="126"/>
  <c r="AM11" i="127"/>
  <c r="M56" i="132"/>
  <c r="AD16" i="125"/>
  <c r="AU38" i="130"/>
  <c r="I22" i="131"/>
  <c r="AM23" i="131"/>
  <c r="N38" i="127"/>
  <c r="Y14" i="127"/>
  <c r="Q57" i="129"/>
  <c r="AY8" i="132"/>
  <c r="V48" i="127"/>
  <c r="AI32" i="127"/>
  <c r="AQ34" i="129"/>
  <c r="J20" i="132"/>
  <c r="AX38" i="127"/>
  <c r="O8" i="127"/>
  <c r="Z43" i="129"/>
  <c r="BE43" i="132"/>
  <c r="AH40" i="126"/>
  <c r="AM24" i="132"/>
  <c r="AC14" i="132"/>
  <c r="AL23" i="126"/>
  <c r="AH23" i="130"/>
  <c r="AH21" i="124"/>
  <c r="G55" i="131"/>
  <c r="L11" i="126"/>
  <c r="AF49" i="130"/>
  <c r="AC44" i="131"/>
  <c r="AU12" i="131"/>
  <c r="AQ54" i="126"/>
  <c r="L44" i="130"/>
  <c r="BD50" i="131"/>
  <c r="AX29" i="128"/>
  <c r="AB32" i="127"/>
  <c r="BA13" i="132"/>
  <c r="BD45" i="126"/>
  <c r="T52" i="127"/>
  <c r="AF18" i="126"/>
  <c r="AH22" i="128"/>
  <c r="I52" i="126"/>
  <c r="AS57" i="127"/>
  <c r="BC29" i="126"/>
  <c r="N29" i="128"/>
  <c r="AI57" i="126"/>
  <c r="AJ42" i="127"/>
  <c r="AY34" i="126"/>
  <c r="BE34" i="128"/>
  <c r="J20" i="126"/>
  <c r="V44" i="127"/>
  <c r="Y58" i="128"/>
  <c r="Z42" i="128"/>
  <c r="W11" i="129"/>
  <c r="AT51" i="129"/>
  <c r="N51" i="131"/>
  <c r="AH32" i="128"/>
  <c r="AG26" i="129"/>
  <c r="H31" i="129"/>
  <c r="AS31" i="131"/>
  <c r="AM34" i="127"/>
  <c r="Y24" i="129"/>
  <c r="BE29" i="129"/>
  <c r="H33" i="132"/>
  <c r="L40" i="131"/>
  <c r="L11" i="132"/>
  <c r="AP48" i="132"/>
  <c r="O14" i="131"/>
  <c r="Y58" i="132"/>
  <c r="H39" i="129"/>
  <c r="K57" i="127"/>
  <c r="AY51" i="132"/>
  <c r="AD30" i="129"/>
  <c r="I23" i="131"/>
  <c r="U37" i="131"/>
  <c r="AE31" i="132"/>
  <c r="AE48" i="132"/>
  <c r="AV8" i="131"/>
  <c r="BC14" i="132"/>
  <c r="Q39" i="132"/>
  <c r="AJ14" i="131"/>
  <c r="U11" i="132"/>
  <c r="Q40" i="129"/>
  <c r="I33" i="132"/>
  <c r="Q48" i="128"/>
  <c r="AW33" i="130"/>
  <c r="I32" i="131"/>
  <c r="W41" i="132"/>
  <c r="AW9" i="132"/>
  <c r="AR34" i="132"/>
  <c r="N32" i="128"/>
  <c r="AV18" i="132"/>
  <c r="AN51" i="132"/>
  <c r="G9" i="131"/>
  <c r="AH56" i="129"/>
  <c r="U12" i="132"/>
  <c r="AK35" i="132"/>
  <c r="AG52" i="130"/>
  <c r="BA25" i="132"/>
  <c r="AN21" i="130"/>
  <c r="AC13" i="131"/>
  <c r="AK8" i="131"/>
  <c r="Z11" i="131"/>
  <c r="G33" i="132"/>
  <c r="AC24" i="131"/>
  <c r="AT32" i="130"/>
  <c r="AE38" i="132"/>
  <c r="AU47" i="132"/>
  <c r="H35" i="132"/>
  <c r="BA49" i="132"/>
  <c r="Y12" i="130"/>
  <c r="AJ41" i="127"/>
  <c r="AT52" i="132"/>
  <c r="AC17" i="129"/>
  <c r="M47" i="132"/>
  <c r="BD41" i="130"/>
  <c r="AE52" i="132"/>
  <c r="AS47" i="130"/>
  <c r="P23" i="129"/>
  <c r="AQ8" i="131"/>
  <c r="AM54" i="132"/>
  <c r="AO12" i="131"/>
  <c r="AD29" i="128"/>
  <c r="X17" i="127"/>
  <c r="BD40" i="131"/>
  <c r="L45" i="127"/>
  <c r="N43" i="132"/>
  <c r="L15" i="131"/>
  <c r="X33" i="129"/>
  <c r="T39" i="132"/>
  <c r="BA56" i="130"/>
  <c r="AE10" i="131"/>
  <c r="AI34" i="131"/>
  <c r="AI40" i="128"/>
  <c r="AO35" i="127"/>
  <c r="AW26" i="131"/>
  <c r="N45" i="127"/>
  <c r="AW49" i="132"/>
  <c r="U23" i="131"/>
  <c r="AZ48" i="129"/>
  <c r="AX58" i="132"/>
  <c r="BD24" i="131"/>
  <c r="AY25" i="132"/>
  <c r="M49" i="131"/>
  <c r="AV10" i="132"/>
  <c r="W13" i="132"/>
  <c r="AK12" i="128"/>
  <c r="AM13" i="132"/>
  <c r="BE11" i="132"/>
  <c r="P24" i="132"/>
  <c r="AV30" i="130"/>
  <c r="AY17" i="132"/>
  <c r="U55" i="131"/>
  <c r="AN33" i="132"/>
  <c r="AB13" i="132"/>
  <c r="T9" i="132"/>
  <c r="X41" i="132"/>
  <c r="AT18" i="131"/>
  <c r="AT20" i="132"/>
  <c r="V24" i="131"/>
  <c r="P25" i="132"/>
  <c r="AD11" i="128"/>
  <c r="P54" i="131"/>
  <c r="N22" i="132"/>
  <c r="Z26" i="130"/>
  <c r="AI13" i="128"/>
  <c r="AC48" i="132"/>
  <c r="L42" i="132"/>
  <c r="AB45" i="132"/>
  <c r="O37" i="130"/>
  <c r="AB36" i="130"/>
  <c r="Q10" i="132"/>
  <c r="AS21" i="132"/>
  <c r="AE8" i="132"/>
  <c r="AT29" i="132"/>
  <c r="AU11" i="132"/>
  <c r="AE34" i="132"/>
  <c r="H21" i="130"/>
  <c r="W8" i="129"/>
  <c r="AN21" i="132"/>
  <c r="BA56" i="131"/>
  <c r="AQ22" i="132"/>
  <c r="AG15" i="132"/>
  <c r="BA24" i="130"/>
  <c r="K22" i="132"/>
  <c r="P38" i="132"/>
  <c r="P44" i="132"/>
  <c r="AM18" i="131"/>
  <c r="AN33" i="129"/>
  <c r="M21" i="132"/>
  <c r="AR18" i="130"/>
  <c r="O13" i="127"/>
  <c r="AL26" i="132"/>
  <c r="I40" i="131"/>
  <c r="BC14" i="131"/>
  <c r="J55" i="129"/>
  <c r="V32" i="132"/>
  <c r="AN58" i="132"/>
  <c r="AJ23" i="129"/>
  <c r="G57" i="131"/>
  <c r="AT58" i="129"/>
  <c r="V49" i="132"/>
  <c r="AZ58" i="132"/>
  <c r="AO50" i="129"/>
  <c r="BB24" i="132"/>
  <c r="BE38" i="132"/>
  <c r="Q55" i="132"/>
  <c r="N23" i="130"/>
  <c r="AV22" i="127"/>
  <c r="AN24" i="128"/>
  <c r="Q21" i="128"/>
  <c r="X27" i="127"/>
  <c r="AN20" i="129"/>
  <c r="BE53" i="128"/>
  <c r="AK25" i="128"/>
  <c r="AT29" i="127"/>
  <c r="AW51" i="129"/>
  <c r="AC51" i="128"/>
  <c r="AN49" i="128"/>
  <c r="K32" i="132"/>
  <c r="V50" i="132"/>
  <c r="AY36" i="132"/>
  <c r="AE11" i="132"/>
  <c r="BC11" i="132"/>
  <c r="AI33" i="128"/>
  <c r="I25" i="132"/>
  <c r="BC21" i="132"/>
  <c r="P45" i="132"/>
  <c r="BD40" i="132"/>
  <c r="Q20" i="129"/>
  <c r="H56" i="132"/>
  <c r="AY44" i="132"/>
  <c r="AD48" i="132"/>
  <c r="Y29" i="132"/>
  <c r="AV12" i="127"/>
  <c r="AE44" i="131"/>
  <c r="AW21" i="130"/>
  <c r="AL12" i="126"/>
  <c r="BA22" i="127"/>
  <c r="AW31" i="131"/>
  <c r="BE34" i="130"/>
  <c r="AO22" i="125"/>
  <c r="AS9" i="127"/>
  <c r="BD49" i="131"/>
  <c r="AK14" i="131"/>
  <c r="T13" i="130"/>
  <c r="U47" i="128"/>
  <c r="AC34" i="132"/>
  <c r="AY33" i="132"/>
  <c r="BC39" i="132"/>
  <c r="AO20" i="131"/>
  <c r="Z45" i="132"/>
  <c r="T10" i="130"/>
  <c r="AP25" i="128"/>
  <c r="AF32" i="132"/>
  <c r="AE56" i="132"/>
  <c r="BA10" i="132"/>
  <c r="AZ9" i="132"/>
  <c r="AJ40" i="130"/>
  <c r="L50" i="132"/>
  <c r="J27" i="131"/>
  <c r="AD50" i="124"/>
  <c r="AP8" i="128"/>
  <c r="G50" i="130"/>
  <c r="AP27" i="132"/>
  <c r="M17" i="131"/>
  <c r="T13" i="128"/>
  <c r="AS35" i="130"/>
  <c r="O57" i="132"/>
  <c r="U58" i="132"/>
  <c r="T50" i="129"/>
  <c r="AG23" i="132"/>
  <c r="AJ38" i="132"/>
  <c r="J46" i="132"/>
  <c r="V38" i="130"/>
  <c r="AK37" i="127"/>
  <c r="AE12" i="132"/>
  <c r="Z39" i="132"/>
  <c r="BC35" i="129"/>
  <c r="AS8" i="132"/>
  <c r="AW36" i="132"/>
  <c r="U38" i="130"/>
  <c r="AC8" i="131"/>
  <c r="AX42" i="132"/>
  <c r="N37" i="132"/>
  <c r="AH42" i="130"/>
  <c r="BA26" i="127"/>
  <c r="AQ56" i="132"/>
  <c r="AL54" i="126"/>
  <c r="AN43" i="130"/>
  <c r="BC24" i="124"/>
  <c r="AV55" i="131"/>
  <c r="V49" i="126"/>
  <c r="AZ35" i="130"/>
  <c r="AI45" i="131"/>
  <c r="BD12" i="131"/>
  <c r="BE43" i="126"/>
  <c r="AG29" i="130"/>
  <c r="AH26" i="130"/>
  <c r="BC43" i="130"/>
  <c r="K52" i="132"/>
  <c r="AZ34" i="131"/>
  <c r="AJ12" i="132"/>
  <c r="BB18" i="131"/>
  <c r="AI25" i="132"/>
  <c r="AB53" i="131"/>
  <c r="N58" i="128"/>
  <c r="V58" i="130"/>
  <c r="G40" i="131"/>
  <c r="X58" i="130"/>
  <c r="AI22" i="128"/>
  <c r="X40" i="129"/>
  <c r="X30" i="132"/>
  <c r="AU24" i="129"/>
  <c r="BD26" i="128"/>
  <c r="Q22" i="129"/>
  <c r="Z48" i="132"/>
  <c r="P40" i="126"/>
  <c r="AN17" i="127"/>
  <c r="Q47" i="127"/>
  <c r="AL51" i="129"/>
  <c r="K18" i="126"/>
  <c r="AH14" i="127"/>
  <c r="Q50" i="127"/>
  <c r="O36" i="129"/>
  <c r="AE27" i="126"/>
  <c r="AC22" i="127"/>
  <c r="AE54" i="127"/>
  <c r="Y40" i="128"/>
  <c r="M15" i="126"/>
  <c r="U29" i="131"/>
  <c r="BB46" i="129"/>
  <c r="P50" i="132"/>
  <c r="AU55" i="127"/>
  <c r="AS17" i="132"/>
  <c r="AR31" i="128"/>
  <c r="Y10" i="131"/>
  <c r="BE11" i="125"/>
  <c r="AS42" i="126"/>
  <c r="AN16" i="127"/>
  <c r="AH27" i="131"/>
  <c r="H17" i="125"/>
  <c r="G54" i="126"/>
  <c r="J10" i="127"/>
  <c r="BE9" i="131"/>
  <c r="AW23" i="125"/>
  <c r="AK48" i="126"/>
  <c r="Y34" i="132"/>
  <c r="AQ34" i="132"/>
  <c r="AM33" i="131"/>
  <c r="N51" i="126"/>
  <c r="AK46" i="130"/>
  <c r="M43" i="125"/>
  <c r="G37" i="125"/>
  <c r="Z20" i="126"/>
  <c r="Y52" i="130"/>
  <c r="M34" i="125"/>
  <c r="V27" i="124"/>
  <c r="V31" i="126"/>
  <c r="O39" i="130"/>
  <c r="AS51" i="125"/>
  <c r="AW33" i="124"/>
  <c r="AF36" i="126"/>
  <c r="BC55" i="131"/>
  <c r="BC43" i="127"/>
  <c r="L23" i="128"/>
  <c r="AK45" i="125"/>
  <c r="AP16" i="132"/>
  <c r="AM36" i="130"/>
  <c r="BE12" i="127"/>
  <c r="T17" i="131"/>
  <c r="AU26" i="130"/>
  <c r="AL13" i="125"/>
  <c r="AX39" i="127"/>
  <c r="BC38" i="131"/>
  <c r="AE48" i="130"/>
  <c r="AW14" i="125"/>
  <c r="AE20" i="127"/>
  <c r="AJ51" i="131"/>
  <c r="AY14" i="130"/>
  <c r="AC56" i="132"/>
  <c r="X13" i="130"/>
  <c r="S34" i="129"/>
  <c r="O30" i="130"/>
  <c r="AB27" i="129"/>
  <c r="AR47" i="131"/>
  <c r="V51" i="129"/>
  <c r="AX36" i="130"/>
  <c r="AG11" i="129"/>
  <c r="AV53" i="131"/>
  <c r="BE8" i="128"/>
  <c r="I45" i="130"/>
  <c r="AP17" i="129"/>
  <c r="AL33" i="131"/>
  <c r="AG21" i="129"/>
  <c r="AU55" i="129"/>
  <c r="W9" i="132"/>
  <c r="G10" i="126"/>
  <c r="AG39" i="132"/>
  <c r="AO44" i="131"/>
  <c r="U27" i="132"/>
  <c r="BC10" i="131"/>
  <c r="AY9" i="128"/>
  <c r="AP27" i="130"/>
  <c r="AU54" i="132"/>
  <c r="AN22" i="131"/>
  <c r="U10" i="128"/>
  <c r="AB35" i="130"/>
  <c r="AX39" i="132"/>
  <c r="AC29" i="131"/>
  <c r="BC14" i="128"/>
  <c r="AL43" i="130"/>
  <c r="AO46" i="132"/>
  <c r="O30" i="125"/>
  <c r="P31" i="126"/>
  <c r="J15" i="125"/>
  <c r="J16" i="127"/>
  <c r="AP35" i="125"/>
  <c r="AX44" i="126"/>
  <c r="AX16" i="125"/>
  <c r="G23" i="127"/>
  <c r="AN42" i="125"/>
  <c r="G51" i="126"/>
  <c r="N14" i="125"/>
  <c r="O32" i="127"/>
  <c r="AE48" i="125"/>
  <c r="AF52" i="125"/>
  <c r="J57" i="129"/>
  <c r="AN26" i="129"/>
  <c r="AF8" i="132"/>
  <c r="AQ53" i="125"/>
  <c r="AP21" i="125"/>
  <c r="AF51" i="127"/>
  <c r="I11" i="131"/>
  <c r="Z50" i="125"/>
  <c r="X23" i="131"/>
  <c r="X46" i="128"/>
  <c r="Z12" i="130"/>
  <c r="BA46" i="125"/>
  <c r="U41" i="129"/>
  <c r="AB24" i="126"/>
  <c r="AX13" i="129"/>
  <c r="N13" i="124"/>
  <c r="K51" i="128"/>
  <c r="Q32" i="129"/>
  <c r="O18" i="131"/>
  <c r="AP51" i="127"/>
  <c r="AP32" i="131"/>
  <c r="AH20" i="128"/>
  <c r="K8" i="130"/>
  <c r="X15" i="126"/>
  <c r="G14" i="131"/>
  <c r="H32" i="128"/>
  <c r="L18" i="129"/>
  <c r="BA46" i="126"/>
  <c r="AF36" i="131"/>
  <c r="AH34" i="128"/>
  <c r="AO47" i="129"/>
  <c r="AJ38" i="126"/>
  <c r="U13" i="127"/>
  <c r="AS49" i="130"/>
  <c r="AK23" i="130"/>
  <c r="AG41" i="125"/>
  <c r="AM50" i="125"/>
  <c r="AC14" i="127"/>
  <c r="BB47" i="130"/>
  <c r="J58" i="125"/>
  <c r="K26" i="125"/>
  <c r="L55" i="127"/>
  <c r="O53" i="130"/>
  <c r="T48" i="125"/>
  <c r="J10" i="125"/>
  <c r="I35" i="127"/>
  <c r="W15" i="129"/>
  <c r="Z34" i="125"/>
  <c r="AV13" i="129"/>
  <c r="BC37" i="132"/>
  <c r="AY15" i="132"/>
  <c r="AU45" i="132"/>
  <c r="O53" i="128"/>
  <c r="AY16" i="130"/>
  <c r="AO11" i="132"/>
  <c r="BB26" i="131"/>
  <c r="AN12" i="128"/>
  <c r="AR56" i="130"/>
  <c r="Y52" i="132"/>
  <c r="AB15" i="130"/>
  <c r="AV29" i="128"/>
  <c r="AY57" i="130"/>
  <c r="AP57" i="129"/>
  <c r="BD41" i="132"/>
  <c r="G50" i="131"/>
  <c r="S37" i="129"/>
  <c r="Q8" i="130"/>
  <c r="AJ53" i="130"/>
  <c r="O56" i="131"/>
  <c r="X42" i="128"/>
  <c r="BE50" i="130"/>
  <c r="AK15" i="129"/>
  <c r="G12" i="131"/>
  <c r="P30" i="127"/>
  <c r="AY54" i="130"/>
  <c r="G21" i="129"/>
  <c r="P24" i="131"/>
  <c r="AI12" i="126"/>
  <c r="AI23" i="127"/>
  <c r="AF35" i="128"/>
  <c r="BE43" i="127"/>
  <c r="AW47" i="129"/>
  <c r="G53" i="127"/>
  <c r="AH25" i="128"/>
  <c r="AS49" i="127"/>
  <c r="AL41" i="129"/>
  <c r="G45" i="127"/>
  <c r="K58" i="128"/>
  <c r="S48" i="132"/>
  <c r="Q57" i="132"/>
  <c r="Y23" i="132"/>
  <c r="Y17" i="127"/>
  <c r="AF37" i="132"/>
  <c r="AG40" i="129"/>
  <c r="AV38" i="129"/>
  <c r="Z55" i="132"/>
  <c r="L33" i="132"/>
  <c r="M9" i="132"/>
  <c r="AB21" i="132"/>
  <c r="AU33" i="132"/>
  <c r="M24" i="131"/>
  <c r="AT45" i="132"/>
  <c r="AR22" i="131"/>
  <c r="T54" i="132"/>
  <c r="AL13" i="132"/>
  <c r="S54" i="132"/>
  <c r="K14" i="132"/>
  <c r="AK11" i="132"/>
  <c r="AS39" i="127"/>
  <c r="AV34" i="132"/>
  <c r="M38" i="132"/>
  <c r="AX27" i="130"/>
  <c r="X11" i="132"/>
  <c r="AM36" i="129"/>
  <c r="AK16" i="132"/>
  <c r="L38" i="132"/>
  <c r="AC8" i="129"/>
  <c r="AK15" i="132"/>
  <c r="AV23" i="132"/>
  <c r="O54" i="132"/>
  <c r="BC40" i="132"/>
  <c r="AN38" i="127"/>
  <c r="BA23" i="130"/>
  <c r="I37" i="132"/>
  <c r="O10" i="129"/>
  <c r="T27" i="132"/>
  <c r="U13" i="129"/>
  <c r="AQ26" i="132"/>
  <c r="AX14" i="131"/>
  <c r="S40" i="132"/>
  <c r="X9" i="129"/>
  <c r="AS31" i="130"/>
  <c r="BD43" i="132"/>
  <c r="AP51" i="132"/>
  <c r="Q16" i="132"/>
  <c r="L22" i="130"/>
  <c r="BA41" i="132"/>
  <c r="X42" i="132"/>
  <c r="AC58" i="132"/>
  <c r="AX56" i="132"/>
  <c r="Q33" i="130"/>
  <c r="BB49" i="132"/>
  <c r="AB46" i="132"/>
  <c r="V34" i="132"/>
  <c r="AJ10" i="132"/>
  <c r="P12" i="131"/>
  <c r="AH18" i="132"/>
  <c r="AP32" i="132"/>
  <c r="AC54" i="132"/>
  <c r="AL29" i="132"/>
  <c r="AB44" i="132"/>
  <c r="K43" i="132"/>
  <c r="AT13" i="131"/>
  <c r="O54" i="129"/>
  <c r="Z58" i="132"/>
  <c r="AK55" i="130"/>
  <c r="P52" i="127"/>
  <c r="BA10" i="131"/>
  <c r="S22" i="131"/>
  <c r="AN15" i="131"/>
  <c r="AB17" i="129"/>
  <c r="AQ46" i="127"/>
  <c r="AE40" i="131"/>
  <c r="AV26" i="131"/>
  <c r="Y56" i="129"/>
  <c r="AH36" i="132"/>
  <c r="J53" i="130"/>
  <c r="AD52" i="127"/>
  <c r="W54" i="132"/>
  <c r="Z48" i="130"/>
  <c r="AF25" i="131"/>
  <c r="T30" i="128"/>
  <c r="AG25" i="132"/>
  <c r="Q20" i="132"/>
  <c r="BB29" i="132"/>
  <c r="AF15" i="132"/>
  <c r="AQ29" i="132"/>
  <c r="AS39" i="128"/>
  <c r="BC46" i="132"/>
  <c r="K13" i="132"/>
  <c r="AY24" i="131"/>
  <c r="AT15" i="128"/>
  <c r="BB31" i="132"/>
  <c r="BE55" i="132"/>
  <c r="AF27" i="128"/>
  <c r="T14" i="131"/>
  <c r="AT32" i="132"/>
  <c r="BB9" i="131"/>
  <c r="M29" i="132"/>
  <c r="Q44" i="132"/>
  <c r="W52" i="132"/>
  <c r="AS20" i="132"/>
  <c r="AT36" i="132"/>
  <c r="AK30" i="132"/>
  <c r="AI15" i="129"/>
  <c r="AK26" i="132"/>
  <c r="AB43" i="132"/>
  <c r="AU46" i="132"/>
  <c r="BE51" i="129"/>
  <c r="X9" i="132"/>
  <c r="AM37" i="130"/>
  <c r="BE14" i="132"/>
  <c r="AL22" i="130"/>
  <c r="AW13" i="132"/>
  <c r="M18" i="132"/>
  <c r="V31" i="132"/>
  <c r="AF55" i="132"/>
  <c r="AM16" i="130"/>
  <c r="BB23" i="128"/>
  <c r="AJ20" i="132"/>
  <c r="BE36" i="130"/>
  <c r="AB44" i="128"/>
  <c r="AN24" i="132"/>
  <c r="AL11" i="130"/>
  <c r="N34" i="132"/>
  <c r="O33" i="130"/>
  <c r="N41" i="132"/>
  <c r="AG52" i="132"/>
  <c r="AH44" i="129"/>
  <c r="BA50" i="132"/>
  <c r="BB15" i="131"/>
  <c r="AM53" i="129"/>
  <c r="AT50" i="132"/>
  <c r="AF47" i="130"/>
  <c r="AL11" i="131"/>
  <c r="L35" i="132"/>
  <c r="AZ55" i="132"/>
  <c r="Q58" i="130"/>
  <c r="U45" i="132"/>
  <c r="M41" i="130"/>
  <c r="Q29" i="132"/>
  <c r="AR12" i="130"/>
  <c r="AY47" i="132"/>
  <c r="O25" i="131"/>
  <c r="Q36" i="129"/>
  <c r="O48" i="132"/>
  <c r="P20" i="125"/>
  <c r="X31" i="126"/>
  <c r="I57" i="126"/>
  <c r="G12" i="127"/>
  <c r="AN9" i="125"/>
  <c r="N36" i="126"/>
  <c r="AC23" i="125"/>
  <c r="AR16" i="127"/>
  <c r="K42" i="125"/>
  <c r="I51" i="128"/>
  <c r="AS44" i="131"/>
  <c r="AV57" i="128"/>
  <c r="AM15" i="131"/>
  <c r="W27" i="131"/>
  <c r="AM56" i="131"/>
  <c r="P11" i="131"/>
  <c r="I32" i="132"/>
  <c r="AT35" i="132"/>
  <c r="G51" i="128"/>
  <c r="AN40" i="132"/>
  <c r="AS52" i="129"/>
  <c r="AW57" i="132"/>
  <c r="Y41" i="132"/>
  <c r="AH14" i="128"/>
  <c r="U18" i="131"/>
  <c r="AK44" i="132"/>
  <c r="AE15" i="127"/>
  <c r="AK13" i="129"/>
  <c r="AE55" i="129"/>
  <c r="AH20" i="130"/>
  <c r="BD24" i="127"/>
  <c r="O20" i="129"/>
  <c r="AM48" i="128"/>
  <c r="BC44" i="130"/>
  <c r="AF10" i="127"/>
  <c r="AF51" i="129"/>
  <c r="AZ20" i="131"/>
  <c r="BC51" i="132"/>
  <c r="O34" i="132"/>
  <c r="L26" i="132"/>
  <c r="Z37" i="132"/>
  <c r="AX12" i="130"/>
  <c r="Q56" i="132"/>
  <c r="BB26" i="132"/>
  <c r="AQ38" i="132"/>
  <c r="AL27" i="132"/>
  <c r="AI56" i="128"/>
  <c r="L12" i="132"/>
  <c r="O15" i="132"/>
  <c r="V41" i="131"/>
  <c r="BD25" i="131"/>
  <c r="Y47" i="131"/>
  <c r="AH24" i="126"/>
  <c r="BB57" i="127"/>
  <c r="AC14" i="128"/>
  <c r="BD48" i="130"/>
  <c r="K32" i="126"/>
  <c r="AV35" i="127"/>
  <c r="AL16" i="128"/>
  <c r="S32" i="132"/>
  <c r="AH41" i="130"/>
  <c r="AT26" i="132"/>
  <c r="AQ12" i="130"/>
  <c r="AY53" i="132"/>
  <c r="T8" i="131"/>
  <c r="I34" i="129"/>
  <c r="W23" i="132"/>
  <c r="M39" i="130"/>
  <c r="BB9" i="127"/>
  <c r="M10" i="132"/>
  <c r="AH9" i="130"/>
  <c r="BE39" i="128"/>
  <c r="AJ25" i="131"/>
  <c r="AD29" i="131"/>
  <c r="AN37" i="132"/>
  <c r="AH30" i="132"/>
  <c r="AH13" i="129"/>
  <c r="AZ14" i="132"/>
  <c r="AM52" i="131"/>
  <c r="AN53" i="128"/>
  <c r="J57" i="130"/>
  <c r="AK52" i="132"/>
  <c r="AW38" i="131"/>
  <c r="AC23" i="128"/>
  <c r="AX57" i="130"/>
  <c r="AV20" i="131"/>
  <c r="N51" i="130"/>
  <c r="AX27" i="128"/>
  <c r="J10" i="128"/>
  <c r="Z26" i="128"/>
  <c r="P22" i="132"/>
  <c r="S45" i="126"/>
  <c r="Z43" i="130"/>
  <c r="AD20" i="132"/>
  <c r="AZ44" i="130"/>
  <c r="P57" i="126"/>
  <c r="AW24" i="126"/>
  <c r="AE54" i="128"/>
  <c r="AT57" i="130"/>
  <c r="BE51" i="126"/>
  <c r="AQ32" i="126"/>
  <c r="W29" i="128"/>
  <c r="L24" i="132"/>
  <c r="AM53" i="125"/>
  <c r="AF37" i="126"/>
  <c r="X37" i="128"/>
  <c r="AO35" i="125"/>
  <c r="BA29" i="126"/>
  <c r="AL31" i="125"/>
  <c r="N16" i="127"/>
  <c r="BE31" i="125"/>
  <c r="V18" i="126"/>
  <c r="AC51" i="125"/>
  <c r="BA23" i="126"/>
  <c r="AI27" i="125"/>
  <c r="AM12" i="125"/>
  <c r="AX57" i="128"/>
  <c r="V46" i="125"/>
  <c r="T10" i="128"/>
  <c r="AG16" i="129"/>
  <c r="AG58" i="131"/>
  <c r="AE51" i="129"/>
  <c r="AT50" i="130"/>
  <c r="V37" i="132"/>
  <c r="Q42" i="128"/>
  <c r="BC50" i="129"/>
  <c r="AK10" i="125"/>
  <c r="T26" i="131"/>
  <c r="AX52" i="127"/>
  <c r="W20" i="128"/>
  <c r="AS15" i="125"/>
  <c r="AU45" i="131"/>
  <c r="AG30" i="127"/>
  <c r="AP29" i="128"/>
  <c r="AS53" i="125"/>
  <c r="V57" i="131"/>
  <c r="AX46" i="132"/>
  <c r="BD22" i="132"/>
  <c r="AY54" i="132"/>
  <c r="K13" i="131"/>
  <c r="AJ11" i="128"/>
  <c r="Y27" i="130"/>
  <c r="S23" i="132"/>
  <c r="U24" i="131"/>
  <c r="O20" i="128"/>
  <c r="L35" i="130"/>
  <c r="AU24" i="132"/>
  <c r="AQ33" i="131"/>
  <c r="L20" i="128"/>
  <c r="P44" i="130"/>
  <c r="I51" i="132"/>
  <c r="G9" i="130"/>
  <c r="AB33" i="129"/>
  <c r="S37" i="131"/>
  <c r="AP45" i="128"/>
  <c r="AE18" i="129"/>
  <c r="AL33" i="132"/>
  <c r="AI8" i="127"/>
  <c r="AP13" i="129"/>
  <c r="AM15" i="128"/>
  <c r="AY37" i="130"/>
  <c r="W25" i="127"/>
  <c r="V46" i="129"/>
  <c r="AC11" i="128"/>
  <c r="P9" i="130"/>
  <c r="P11" i="127"/>
  <c r="BA51" i="129"/>
  <c r="T18" i="128"/>
  <c r="X36" i="129"/>
  <c r="BE49" i="128"/>
  <c r="Q11" i="130"/>
  <c r="AU11" i="128"/>
  <c r="AN15" i="128"/>
  <c r="G40" i="129"/>
  <c r="Y25" i="129"/>
  <c r="J22" i="128"/>
  <c r="AD27" i="128"/>
  <c r="AN23" i="129"/>
  <c r="Z54" i="129"/>
  <c r="AB27" i="128"/>
  <c r="BC17" i="127"/>
  <c r="X15" i="129"/>
  <c r="BA42" i="126"/>
  <c r="U37" i="127"/>
  <c r="BC44" i="132"/>
  <c r="U41" i="125"/>
  <c r="T34" i="130"/>
  <c r="AI48" i="130"/>
  <c r="J23" i="126"/>
  <c r="U38" i="127"/>
  <c r="AD10" i="128"/>
  <c r="BC15" i="130"/>
  <c r="AN32" i="126"/>
  <c r="G44" i="127"/>
  <c r="H21" i="128"/>
  <c r="Y10" i="132"/>
  <c r="AZ38" i="126"/>
  <c r="AK45" i="127"/>
  <c r="AD26" i="128"/>
  <c r="AM37" i="131"/>
  <c r="AF12" i="132"/>
  <c r="BB56" i="128"/>
  <c r="AB36" i="131"/>
  <c r="AG12" i="127"/>
  <c r="BD16" i="126"/>
  <c r="N10" i="127"/>
  <c r="AV21" i="131"/>
  <c r="AX42" i="127"/>
  <c r="O42" i="126"/>
  <c r="BE9" i="127"/>
  <c r="X42" i="131"/>
  <c r="AT40" i="126"/>
  <c r="H21" i="126"/>
  <c r="BC47" i="127"/>
  <c r="N46" i="131"/>
  <c r="T8" i="132"/>
  <c r="X15" i="127"/>
  <c r="T31" i="131"/>
  <c r="BD42" i="130"/>
  <c r="AS23" i="125"/>
  <c r="AU58" i="127"/>
  <c r="AH49" i="131"/>
  <c r="U49" i="130"/>
  <c r="G47" i="125"/>
  <c r="BD14" i="132"/>
  <c r="AJ35" i="131"/>
  <c r="J16" i="130"/>
  <c r="X38" i="125"/>
  <c r="AH29" i="132"/>
  <c r="AZ15" i="131"/>
  <c r="AG55" i="132"/>
  <c r="X12" i="128"/>
  <c r="AF29" i="130"/>
  <c r="AL29" i="129"/>
  <c r="AH8" i="131"/>
  <c r="BE15" i="128"/>
  <c r="K37" i="130"/>
  <c r="Y12" i="129"/>
  <c r="AT22" i="131"/>
  <c r="BD25" i="128"/>
  <c r="X57" i="130"/>
  <c r="BC44" i="129"/>
  <c r="AC34" i="131"/>
  <c r="W38" i="128"/>
  <c r="H54" i="130"/>
  <c r="W25" i="132"/>
  <c r="AI20" i="127"/>
  <c r="AH27" i="128"/>
  <c r="S56" i="131"/>
  <c r="V20" i="130"/>
  <c r="AS29" i="126"/>
  <c r="AY25" i="128"/>
  <c r="T44" i="131"/>
  <c r="Z29" i="130"/>
  <c r="U54" i="126"/>
  <c r="BC15" i="127"/>
  <c r="S18" i="131"/>
  <c r="N37" i="130"/>
  <c r="AQ49" i="126"/>
  <c r="AS13" i="127"/>
  <c r="T52" i="131"/>
  <c r="Z20" i="132"/>
  <c r="J44" i="131"/>
  <c r="Y41" i="126"/>
  <c r="AD20" i="126"/>
  <c r="AV17" i="128"/>
  <c r="BC12" i="130"/>
  <c r="G35" i="126"/>
  <c r="BC11" i="126"/>
  <c r="AK24" i="128"/>
  <c r="AD21" i="130"/>
  <c r="AE29" i="126"/>
  <c r="AD38" i="126"/>
  <c r="AH47" i="128"/>
  <c r="AB42" i="131"/>
  <c r="AG24" i="131"/>
  <c r="AW15" i="132"/>
  <c r="G22" i="131"/>
  <c r="M58" i="126"/>
  <c r="G47" i="130"/>
  <c r="AB43" i="125"/>
  <c r="AM50" i="124"/>
  <c r="AW21" i="126"/>
  <c r="BA31" i="130"/>
  <c r="V29" i="125"/>
  <c r="AB49" i="124"/>
  <c r="BE30" i="126"/>
  <c r="AV38" i="130"/>
  <c r="AL55" i="125"/>
  <c r="AW54" i="124"/>
  <c r="V37" i="126"/>
  <c r="L31" i="132"/>
  <c r="X11" i="131"/>
  <c r="AR30" i="125"/>
  <c r="Q39" i="126"/>
  <c r="Y10" i="125"/>
  <c r="BD27" i="127"/>
  <c r="AN36" i="125"/>
  <c r="AV45" i="126"/>
  <c r="AH8" i="125"/>
  <c r="AO15" i="127"/>
  <c r="X56" i="125"/>
  <c r="AI51" i="126"/>
  <c r="BC51" i="131"/>
  <c r="X39" i="126"/>
  <c r="AR44" i="126"/>
  <c r="AU30" i="127"/>
  <c r="BC37" i="131"/>
  <c r="AU53" i="132"/>
  <c r="AY53" i="125"/>
  <c r="I14" i="125"/>
  <c r="AN22" i="125"/>
  <c r="AR10" i="131"/>
  <c r="Z21" i="124"/>
  <c r="AL12" i="125"/>
  <c r="X31" i="124"/>
  <c r="BE54" i="131"/>
  <c r="L49" i="124"/>
  <c r="AQ24" i="125"/>
  <c r="AW44" i="131"/>
  <c r="N9" i="130"/>
  <c r="AP11" i="131"/>
  <c r="G14" i="125"/>
  <c r="M23" i="131"/>
  <c r="AV11" i="128"/>
  <c r="K22" i="128"/>
  <c r="AL26" i="127"/>
  <c r="AI20" i="129"/>
  <c r="W48" i="128"/>
  <c r="AI26" i="128"/>
  <c r="K26" i="127"/>
  <c r="BB25" i="129"/>
  <c r="U36" i="128"/>
  <c r="I32" i="128"/>
  <c r="BD14" i="127"/>
  <c r="L57" i="129"/>
  <c r="BB50" i="130"/>
  <c r="AB15" i="132"/>
  <c r="AL13" i="129"/>
  <c r="X15" i="132"/>
  <c r="AL29" i="127"/>
  <c r="AL35" i="131"/>
  <c r="AB16" i="128"/>
  <c r="AS17" i="131"/>
  <c r="AM34" i="126"/>
  <c r="AL42" i="131"/>
  <c r="BD24" i="128"/>
  <c r="BA14" i="130"/>
  <c r="AT26" i="126"/>
  <c r="P29" i="131"/>
  <c r="Z54" i="128"/>
  <c r="AK16" i="129"/>
  <c r="Q31" i="126"/>
  <c r="AV18" i="128"/>
  <c r="AG54" i="132"/>
  <c r="AI18" i="132"/>
  <c r="I25" i="126"/>
  <c r="AF47" i="127"/>
  <c r="AM44" i="128"/>
  <c r="AG47" i="132"/>
  <c r="AW17" i="126"/>
  <c r="AL53" i="127"/>
  <c r="Q17" i="128"/>
  <c r="G41" i="131"/>
  <c r="T31" i="126"/>
  <c r="Y8" i="127"/>
  <c r="M18" i="128"/>
  <c r="Q50" i="131"/>
  <c r="AD36" i="126"/>
  <c r="AE45" i="132"/>
  <c r="O50" i="132"/>
  <c r="AK25" i="132"/>
  <c r="P16" i="131"/>
  <c r="AT52" i="128"/>
  <c r="AV32" i="130"/>
  <c r="AZ32" i="132"/>
  <c r="AV46" i="126"/>
  <c r="Z10" i="126"/>
  <c r="AG25" i="128"/>
  <c r="AO21" i="130"/>
  <c r="AC41" i="126"/>
  <c r="S15" i="126"/>
  <c r="G31" i="128"/>
  <c r="N21" i="130"/>
  <c r="K35" i="126"/>
  <c r="AM20" i="129"/>
  <c r="BC12" i="132"/>
  <c r="AS35" i="132"/>
  <c r="AW57" i="127"/>
  <c r="AK17" i="127"/>
  <c r="AK57" i="129"/>
  <c r="W12" i="132"/>
  <c r="BE49" i="127"/>
  <c r="I23" i="127"/>
  <c r="AU36" i="129"/>
  <c r="V44" i="132"/>
  <c r="AZ40" i="126"/>
  <c r="P12" i="127"/>
  <c r="AN57" i="129"/>
  <c r="H15" i="129"/>
  <c r="BD22" i="131"/>
  <c r="AZ24" i="128"/>
  <c r="U39" i="125"/>
  <c r="P37" i="131"/>
  <c r="AX41" i="127"/>
  <c r="BE23" i="128"/>
  <c r="AI52" i="125"/>
  <c r="AG55" i="131"/>
  <c r="V10" i="126"/>
  <c r="BD44" i="128"/>
  <c r="AM20" i="124"/>
  <c r="BA17" i="130"/>
  <c r="H16" i="126"/>
  <c r="AV33" i="128"/>
  <c r="AC35" i="131"/>
  <c r="BB36" i="130"/>
  <c r="BC33" i="128"/>
  <c r="AB37" i="131"/>
  <c r="AB26" i="126"/>
  <c r="AC17" i="130"/>
  <c r="AD25" i="128"/>
  <c r="P46" i="131"/>
  <c r="AU15" i="125"/>
  <c r="BD53" i="130"/>
  <c r="AB37" i="128"/>
  <c r="O54" i="131"/>
  <c r="AS10" i="125"/>
  <c r="AF40" i="129"/>
  <c r="J13" i="127"/>
  <c r="N12" i="131"/>
  <c r="Z29" i="127"/>
  <c r="Y58" i="129"/>
  <c r="AS36" i="132"/>
  <c r="AN23" i="125"/>
  <c r="AB41" i="126"/>
  <c r="AO29" i="128"/>
  <c r="AQ57" i="132"/>
  <c r="Y12" i="125"/>
  <c r="AR41" i="126"/>
  <c r="Z18" i="127"/>
  <c r="AX17" i="131"/>
  <c r="AQ10" i="125"/>
  <c r="AI47" i="126"/>
  <c r="K16" i="127"/>
  <c r="K55" i="131"/>
  <c r="AV27" i="125"/>
  <c r="K18" i="129"/>
  <c r="U56" i="131"/>
  <c r="BB42" i="132"/>
  <c r="M50" i="131"/>
  <c r="AU18" i="130"/>
  <c r="S37" i="125"/>
  <c r="AE36" i="131"/>
  <c r="AM49" i="130"/>
  <c r="AJ26" i="130"/>
  <c r="AW57" i="125"/>
  <c r="Q34" i="131"/>
  <c r="AF25" i="130"/>
  <c r="Q35" i="130"/>
  <c r="V45" i="125"/>
  <c r="AZ40" i="129"/>
  <c r="AC43" i="132"/>
  <c r="AY42" i="131"/>
  <c r="AN33" i="130"/>
  <c r="N23" i="125"/>
  <c r="AR38" i="127"/>
  <c r="AV53" i="125"/>
  <c r="AJ15" i="126"/>
  <c r="AR12" i="125"/>
  <c r="AN45" i="127"/>
  <c r="AX42" i="125"/>
  <c r="X29" i="126"/>
  <c r="K45" i="125"/>
  <c r="Z39" i="127"/>
  <c r="AT27" i="125"/>
  <c r="AP41" i="126"/>
  <c r="AN50" i="125"/>
  <c r="AY45" i="127"/>
  <c r="V32" i="127"/>
  <c r="L46" i="129"/>
  <c r="AD10" i="122"/>
  <c r="AW54" i="122"/>
  <c r="AF38" i="127"/>
  <c r="K35" i="129"/>
  <c r="AW26" i="122"/>
  <c r="AD21" i="122"/>
  <c r="AY57" i="127"/>
  <c r="S45" i="129"/>
  <c r="AH24" i="121"/>
  <c r="J15" i="121"/>
  <c r="T58" i="127"/>
  <c r="AZ57" i="129"/>
  <c r="AF37" i="121"/>
  <c r="V10" i="125"/>
  <c r="U24" i="125"/>
  <c r="AZ10" i="125"/>
  <c r="Q25" i="126"/>
  <c r="Y55" i="126"/>
  <c r="G26" i="127"/>
  <c r="AT34" i="131"/>
  <c r="AN47" i="126"/>
  <c r="AT40" i="125"/>
  <c r="I36" i="127"/>
  <c r="BA57" i="131"/>
  <c r="BD37" i="126"/>
  <c r="AD17" i="125"/>
  <c r="AI49" i="127"/>
  <c r="AW17" i="131"/>
  <c r="AM47" i="125"/>
  <c r="AO18" i="125"/>
  <c r="AK58" i="128"/>
  <c r="AI53" i="128"/>
  <c r="V42" i="120"/>
  <c r="AD30" i="120"/>
  <c r="AI46" i="128"/>
  <c r="O39" i="128"/>
  <c r="AB46" i="120"/>
  <c r="AL34" i="120"/>
  <c r="Y32" i="125"/>
  <c r="Q21" i="132"/>
  <c r="X47" i="131"/>
  <c r="AT51" i="128"/>
  <c r="N58" i="129"/>
  <c r="AZ27" i="131"/>
  <c r="BC17" i="124"/>
  <c r="AZ46" i="126"/>
  <c r="Y51" i="127"/>
  <c r="G40" i="128"/>
  <c r="K22" i="126"/>
  <c r="W38" i="127"/>
  <c r="BD52" i="127"/>
  <c r="AC9" i="128"/>
  <c r="P13" i="126"/>
  <c r="S45" i="127"/>
  <c r="AZ12" i="126"/>
  <c r="AZ32" i="128"/>
  <c r="G34" i="126"/>
  <c r="BE38" i="127"/>
  <c r="AP16" i="126"/>
  <c r="BE17" i="128"/>
  <c r="Q37" i="128"/>
  <c r="AT31" i="130"/>
  <c r="BE22" i="123"/>
  <c r="BB12" i="123"/>
  <c r="AR43" i="128"/>
  <c r="AB20" i="130"/>
  <c r="T37" i="123"/>
  <c r="O11" i="123"/>
  <c r="AS53" i="128"/>
  <c r="P47" i="130"/>
  <c r="AF18" i="123"/>
  <c r="P55" i="123"/>
  <c r="BE57" i="128"/>
  <c r="BC52" i="130"/>
  <c r="AH56" i="123"/>
  <c r="AV30" i="128"/>
  <c r="P32" i="128"/>
  <c r="AQ47" i="129"/>
  <c r="BD43" i="126"/>
  <c r="U50" i="131"/>
  <c r="BA40" i="124"/>
  <c r="G12" i="125"/>
  <c r="H43" i="125"/>
  <c r="AW23" i="131"/>
  <c r="Z10" i="124"/>
  <c r="AK20" i="125"/>
  <c r="AL15" i="131"/>
  <c r="AJ16" i="130"/>
  <c r="AF22" i="124"/>
  <c r="BE8" i="125"/>
  <c r="AH54" i="131"/>
  <c r="K24" i="130"/>
  <c r="AI16" i="130"/>
  <c r="W48" i="130"/>
  <c r="AV24" i="121"/>
  <c r="S14" i="121"/>
  <c r="AL11" i="129"/>
  <c r="AL37" i="129"/>
  <c r="U31" i="121"/>
  <c r="AT20" i="121"/>
  <c r="AT27" i="130"/>
  <c r="H8" i="127"/>
  <c r="AW40" i="125"/>
  <c r="W45" i="127"/>
  <c r="AV44" i="130"/>
  <c r="AV44" i="125"/>
  <c r="M27" i="129"/>
  <c r="AT46" i="126"/>
  <c r="AS20" i="126"/>
  <c r="BE33" i="128"/>
  <c r="AO50" i="130"/>
  <c r="K14" i="129"/>
  <c r="AD32" i="131"/>
  <c r="AU51" i="127"/>
  <c r="AQ45" i="130"/>
  <c r="W21" i="129"/>
  <c r="N41" i="131"/>
  <c r="BB8" i="126"/>
  <c r="AB11" i="129"/>
  <c r="AY44" i="129"/>
  <c r="AI31" i="132"/>
  <c r="AF29" i="126"/>
  <c r="AZ22" i="129"/>
  <c r="BC55" i="129"/>
  <c r="O33" i="125"/>
  <c r="T43" i="125"/>
  <c r="Q17" i="121"/>
  <c r="AB13" i="121"/>
  <c r="L33" i="125"/>
  <c r="O46" i="125"/>
  <c r="AU29" i="121"/>
  <c r="Q13" i="121"/>
  <c r="V44" i="131"/>
  <c r="AC41" i="131"/>
  <c r="I48" i="121"/>
  <c r="AM14" i="120"/>
  <c r="BE38" i="130"/>
  <c r="U9" i="130"/>
  <c r="AE40" i="120"/>
  <c r="BD33" i="126"/>
  <c r="AL15" i="126"/>
  <c r="AQ29" i="128"/>
  <c r="AX55" i="130"/>
  <c r="AM49" i="132"/>
  <c r="AK50" i="131"/>
  <c r="N35" i="128"/>
  <c r="AW56" i="130"/>
  <c r="AG21" i="131"/>
  <c r="AB35" i="132"/>
  <c r="W36" i="128"/>
  <c r="AU53" i="130"/>
  <c r="Y22" i="132"/>
  <c r="AS58" i="131"/>
  <c r="AO47" i="128"/>
  <c r="L49" i="130"/>
  <c r="AP53" i="128"/>
  <c r="AY13" i="124"/>
  <c r="AD45" i="127"/>
  <c r="I38" i="117"/>
  <c r="S57" i="131"/>
  <c r="AD42" i="124"/>
  <c r="O13" i="126"/>
  <c r="BC30" i="117"/>
  <c r="AL10" i="130"/>
  <c r="AG46" i="129"/>
  <c r="AN22" i="127"/>
  <c r="AT20" i="128"/>
  <c r="AX21" i="130"/>
  <c r="AH14" i="126"/>
  <c r="AU33" i="127"/>
  <c r="AF44" i="125"/>
  <c r="T37" i="124"/>
  <c r="N57" i="128"/>
  <c r="L14" i="129"/>
  <c r="BE47" i="132"/>
  <c r="K41" i="129"/>
  <c r="AX55" i="128"/>
  <c r="BC12" i="129"/>
  <c r="W40" i="132"/>
  <c r="I14" i="128"/>
  <c r="O35" i="128"/>
  <c r="BD27" i="129"/>
  <c r="T58" i="132"/>
  <c r="G43" i="128"/>
  <c r="H44" i="128"/>
  <c r="AS23" i="129"/>
  <c r="L16" i="128"/>
  <c r="P30" i="131"/>
  <c r="AC37" i="127"/>
  <c r="AF20" i="130"/>
  <c r="O49" i="127"/>
  <c r="L14" i="131"/>
  <c r="AM46" i="128"/>
  <c r="AN58" i="127"/>
  <c r="AL49" i="125"/>
  <c r="L53" i="131"/>
  <c r="U34" i="126"/>
  <c r="AC50" i="126"/>
  <c r="AZ43" i="131"/>
  <c r="AI10" i="131"/>
  <c r="V16" i="126"/>
  <c r="AG10" i="125"/>
  <c r="BC29" i="131"/>
  <c r="AU9" i="129"/>
  <c r="AN51" i="126"/>
  <c r="H35" i="128"/>
  <c r="V46" i="132"/>
  <c r="L22" i="125"/>
  <c r="AV57" i="126"/>
  <c r="AM25" i="127"/>
  <c r="AN56" i="132"/>
  <c r="AI10" i="125"/>
  <c r="T18" i="126"/>
  <c r="AV21" i="127"/>
  <c r="AT16" i="131"/>
  <c r="M20" i="125"/>
  <c r="AS30" i="126"/>
  <c r="L26" i="127"/>
  <c r="AL51" i="128"/>
  <c r="K29" i="129"/>
  <c r="AD51" i="130"/>
  <c r="AC53" i="130"/>
  <c r="AB45" i="127"/>
  <c r="N13" i="129"/>
  <c r="AO40" i="129"/>
  <c r="AE30" i="129"/>
  <c r="O36" i="127"/>
  <c r="AR48" i="131"/>
  <c r="AQ41" i="126"/>
  <c r="K46" i="128"/>
  <c r="U36" i="126"/>
  <c r="AJ48" i="127"/>
  <c r="U8" i="126"/>
  <c r="AX43" i="128"/>
  <c r="J29" i="130"/>
  <c r="AX57" i="126"/>
  <c r="Y17" i="126"/>
  <c r="BA50" i="128"/>
  <c r="U41" i="130"/>
  <c r="AI52" i="126"/>
  <c r="Z15" i="126"/>
  <c r="X58" i="128"/>
  <c r="AW39" i="131"/>
  <c r="AK39" i="130"/>
  <c r="AP16" i="130"/>
  <c r="BC39" i="130"/>
  <c r="O45" i="130"/>
  <c r="AE33" i="130"/>
  <c r="L24" i="130"/>
  <c r="AB33" i="130"/>
  <c r="X17" i="128"/>
  <c r="AR16" i="129"/>
  <c r="AP32" i="130"/>
  <c r="O57" i="130"/>
  <c r="I50" i="128"/>
  <c r="AQ16" i="130"/>
  <c r="AL37" i="126"/>
  <c r="BE47" i="127"/>
  <c r="AJ20" i="128"/>
  <c r="BA27" i="130"/>
  <c r="Z42" i="126"/>
  <c r="AL49" i="127"/>
  <c r="U29" i="128"/>
  <c r="I26" i="130"/>
  <c r="Z48" i="126"/>
  <c r="BE53" i="127"/>
  <c r="AI38" i="128"/>
  <c r="BD13" i="128"/>
  <c r="Y12" i="131"/>
  <c r="BC31" i="126"/>
  <c r="BE24" i="130"/>
  <c r="AR26" i="126"/>
  <c r="M10" i="128"/>
  <c r="S55" i="128"/>
  <c r="U46" i="128"/>
  <c r="AD35" i="126"/>
  <c r="AH10" i="127"/>
  <c r="BC20" i="128"/>
  <c r="T56" i="128"/>
  <c r="L12" i="131"/>
  <c r="BE53" i="125"/>
  <c r="J43" i="128"/>
  <c r="AF48" i="128"/>
  <c r="U34" i="130"/>
  <c r="AW29" i="125"/>
  <c r="AI52" i="128"/>
  <c r="AU55" i="128"/>
  <c r="U18" i="128"/>
  <c r="X31" i="127"/>
  <c r="K43" i="130"/>
  <c r="X32" i="125"/>
  <c r="Z39" i="131"/>
  <c r="Z37" i="130"/>
  <c r="AI49" i="130"/>
  <c r="AD56" i="125"/>
  <c r="AT17" i="125"/>
  <c r="AQ58" i="131"/>
  <c r="AT40" i="127"/>
  <c r="AQ36" i="129"/>
  <c r="AP56" i="126"/>
  <c r="H13" i="131"/>
  <c r="AE25" i="127"/>
  <c r="W43" i="129"/>
  <c r="O9" i="125"/>
  <c r="AL38" i="131"/>
  <c r="AU42" i="127"/>
  <c r="AV24" i="126"/>
  <c r="BD29" i="130"/>
  <c r="AK23" i="127"/>
  <c r="AF23" i="127"/>
  <c r="T32" i="126"/>
  <c r="AS18" i="129"/>
  <c r="P26" i="127"/>
  <c r="BB54" i="127"/>
  <c r="AB26" i="129"/>
  <c r="AS40" i="128"/>
  <c r="Q31" i="127"/>
  <c r="AS50" i="127"/>
  <c r="V36" i="127"/>
  <c r="O12" i="131"/>
  <c r="AM8" i="130"/>
  <c r="I22" i="126"/>
  <c r="W37" i="128"/>
  <c r="P23" i="130"/>
  <c r="AE52" i="126"/>
  <c r="U10" i="126"/>
  <c r="AX42" i="128"/>
  <c r="Y21" i="130"/>
  <c r="BD46" i="126"/>
  <c r="J56" i="126"/>
  <c r="P35" i="128"/>
  <c r="Y48" i="132"/>
  <c r="BB31" i="127"/>
  <c r="AV30" i="131"/>
  <c r="AM33" i="128"/>
  <c r="AM30" i="129"/>
  <c r="AT49" i="131"/>
  <c r="BC34" i="128"/>
  <c r="AB58" i="128"/>
  <c r="AD27" i="129"/>
  <c r="AW8" i="131"/>
  <c r="AK50" i="128"/>
  <c r="N48" i="128"/>
  <c r="AY22" i="127"/>
  <c r="W21" i="130"/>
  <c r="BC27" i="127"/>
  <c r="AT25" i="127"/>
  <c r="AG48" i="127"/>
  <c r="U27" i="130"/>
  <c r="G25" i="127"/>
  <c r="X22" i="129"/>
  <c r="K39" i="127"/>
  <c r="K43" i="127"/>
  <c r="AZ21" i="129"/>
  <c r="K14" i="131"/>
  <c r="M48" i="129"/>
  <c r="Y42" i="130"/>
  <c r="AW13" i="129"/>
  <c r="BD9" i="131"/>
  <c r="J21" i="124"/>
  <c r="T9" i="130"/>
  <c r="AE44" i="126"/>
  <c r="T12" i="127"/>
  <c r="AH32" i="131"/>
  <c r="AU8" i="130"/>
  <c r="AF40" i="125"/>
  <c r="Y39" i="127"/>
  <c r="I57" i="131"/>
  <c r="BD25" i="130"/>
  <c r="AC12" i="125"/>
  <c r="BA55" i="125"/>
  <c r="O29" i="128"/>
  <c r="AF50" i="127"/>
  <c r="AH41" i="127"/>
  <c r="AD16" i="124"/>
  <c r="AZ49" i="128"/>
  <c r="S12" i="127"/>
  <c r="AZ49" i="127"/>
  <c r="AF54" i="130"/>
  <c r="P42" i="127"/>
  <c r="AG53" i="127"/>
  <c r="BD40" i="126"/>
  <c r="AY33" i="129"/>
  <c r="BA39" i="132"/>
  <c r="AT32" i="129"/>
  <c r="AC52" i="126"/>
  <c r="X48" i="129"/>
  <c r="H44" i="131"/>
  <c r="AB41" i="130"/>
  <c r="AJ55" i="125"/>
  <c r="BB44" i="132"/>
  <c r="Z24" i="130"/>
  <c r="AB47" i="132"/>
  <c r="AK11" i="126"/>
  <c r="T25" i="130"/>
  <c r="Q43" i="125"/>
  <c r="AZ29" i="125"/>
  <c r="V57" i="126"/>
  <c r="AJ38" i="130"/>
  <c r="BD35" i="125"/>
  <c r="AW37" i="125"/>
  <c r="AY17" i="126"/>
  <c r="M18" i="130"/>
  <c r="AJ56" i="125"/>
  <c r="X44" i="125"/>
  <c r="L29" i="126"/>
  <c r="BE26" i="130"/>
  <c r="BE21" i="132"/>
  <c r="AU14" i="125"/>
  <c r="AJ31" i="126"/>
  <c r="H51" i="126"/>
  <c r="AO20" i="127"/>
  <c r="AU25" i="125"/>
  <c r="AU36" i="126"/>
  <c r="AM15" i="125"/>
  <c r="AI17" i="127"/>
  <c r="G15" i="125"/>
  <c r="AQ42" i="126"/>
  <c r="N10" i="125"/>
  <c r="G27" i="127"/>
  <c r="T34" i="128"/>
  <c r="AM35" i="128"/>
  <c r="AP49" i="129"/>
  <c r="AW29" i="130"/>
  <c r="AW27" i="129"/>
  <c r="AE48" i="131"/>
  <c r="M11" i="128"/>
  <c r="AG36" i="130"/>
  <c r="U12" i="129"/>
  <c r="AW21" i="131"/>
  <c r="BC18" i="128"/>
  <c r="AC45" i="130"/>
  <c r="AT17" i="129"/>
  <c r="V34" i="131"/>
  <c r="AX37" i="128"/>
  <c r="BB56" i="130"/>
  <c r="AY13" i="131"/>
  <c r="AH52" i="129"/>
  <c r="Y11" i="131"/>
  <c r="AS44" i="125"/>
  <c r="AP56" i="132"/>
  <c r="K13" i="128"/>
  <c r="BD15" i="130"/>
  <c r="Z41" i="125"/>
  <c r="AR37" i="129"/>
  <c r="P58" i="126"/>
  <c r="H13" i="129"/>
  <c r="O40" i="124"/>
  <c r="AF41" i="128"/>
  <c r="AR50" i="125"/>
  <c r="Z46" i="129"/>
  <c r="P33" i="124"/>
  <c r="AI32" i="130"/>
  <c r="AC56" i="130"/>
  <c r="BB11" i="131"/>
  <c r="AF34" i="126"/>
  <c r="AF17" i="126"/>
  <c r="M21" i="128"/>
  <c r="Z30" i="131"/>
  <c r="AF46" i="131"/>
  <c r="AX33" i="125"/>
  <c r="I27" i="129"/>
  <c r="AG31" i="127"/>
  <c r="AI26" i="130"/>
  <c r="AK41" i="125"/>
  <c r="P32" i="129"/>
  <c r="AF13" i="127"/>
  <c r="AM51" i="128"/>
  <c r="P48" i="127"/>
  <c r="I21" i="131"/>
  <c r="X45" i="130"/>
  <c r="BC52" i="125"/>
  <c r="AV20" i="125"/>
  <c r="AQ49" i="127"/>
  <c r="AG53" i="130"/>
  <c r="BE42" i="125"/>
  <c r="AT16" i="125"/>
  <c r="AL55" i="127"/>
  <c r="AM18" i="129"/>
  <c r="AU27" i="125"/>
  <c r="AL15" i="125"/>
  <c r="I16" i="127"/>
  <c r="BE31" i="128"/>
  <c r="AM17" i="128"/>
  <c r="X22" i="128"/>
  <c r="AD40" i="129"/>
  <c r="Y51" i="129"/>
  <c r="L50" i="131"/>
  <c r="AH24" i="128"/>
  <c r="AZ16" i="129"/>
  <c r="U57" i="129"/>
  <c r="N36" i="131"/>
  <c r="AL55" i="128"/>
  <c r="H10" i="129"/>
  <c r="AD36" i="129"/>
  <c r="AL16" i="131"/>
  <c r="S40" i="127"/>
  <c r="N8" i="129"/>
  <c r="AW26" i="132"/>
  <c r="Y20" i="127"/>
  <c r="L55" i="130"/>
  <c r="AU31" i="130"/>
  <c r="AN55" i="130"/>
  <c r="AO34" i="125"/>
  <c r="BB11" i="129"/>
  <c r="J44" i="130"/>
  <c r="AL56" i="130"/>
  <c r="N57" i="125"/>
  <c r="T55" i="129"/>
  <c r="AT24" i="130"/>
  <c r="AG57" i="130"/>
  <c r="AH24" i="124"/>
  <c r="AY21" i="129"/>
  <c r="L33" i="130"/>
  <c r="AK49" i="132"/>
  <c r="BA58" i="129"/>
  <c r="U54" i="130"/>
  <c r="AB46" i="126"/>
  <c r="U41" i="131"/>
  <c r="Q47" i="128"/>
  <c r="T47" i="129"/>
  <c r="AY37" i="126"/>
  <c r="AW27" i="131"/>
  <c r="AF26" i="128"/>
  <c r="AY47" i="129"/>
  <c r="AK45" i="126"/>
  <c r="BA46" i="131"/>
  <c r="P25" i="127"/>
  <c r="X52" i="129"/>
  <c r="AW8" i="125"/>
  <c r="K14" i="128"/>
  <c r="AG10" i="127"/>
  <c r="O58" i="129"/>
  <c r="G50" i="128"/>
  <c r="BC17" i="130"/>
  <c r="AI45" i="127"/>
  <c r="AO35" i="129"/>
  <c r="AI55" i="128"/>
  <c r="AT26" i="130"/>
  <c r="AK21" i="127"/>
  <c r="X44" i="129"/>
  <c r="P21" i="128"/>
  <c r="Y51" i="130"/>
  <c r="AU33" i="126"/>
  <c r="W52" i="126"/>
  <c r="AV40" i="125"/>
  <c r="W23" i="126"/>
  <c r="BD42" i="126"/>
  <c r="AN53" i="127"/>
  <c r="G39" i="131"/>
  <c r="AS39" i="126"/>
  <c r="AD12" i="126"/>
  <c r="AT36" i="127"/>
  <c r="AU20" i="131"/>
  <c r="AW30" i="126"/>
  <c r="AQ8" i="125"/>
  <c r="G39" i="127"/>
  <c r="AF44" i="131"/>
  <c r="N44" i="126"/>
  <c r="O23" i="125"/>
  <c r="BB10" i="128"/>
  <c r="BB8" i="128"/>
  <c r="AJ47" i="120"/>
  <c r="AO31" i="120"/>
  <c r="S36" i="128"/>
  <c r="H36" i="128"/>
  <c r="AU47" i="120"/>
  <c r="AW35" i="120"/>
  <c r="AZ32" i="127"/>
  <c r="S57" i="127"/>
  <c r="N50" i="120"/>
  <c r="K51" i="120"/>
  <c r="O26" i="127"/>
  <c r="AI33" i="127"/>
  <c r="J55" i="120"/>
  <c r="S34" i="126"/>
  <c r="K47" i="126"/>
  <c r="X53" i="129"/>
  <c r="P13" i="131"/>
  <c r="AP40" i="130"/>
  <c r="AR49" i="125"/>
  <c r="BC58" i="129"/>
  <c r="AU38" i="131"/>
  <c r="BE17" i="130"/>
  <c r="AN35" i="125"/>
  <c r="U36" i="129"/>
  <c r="AQ40" i="130"/>
  <c r="H27" i="130"/>
  <c r="T56" i="125"/>
  <c r="M43" i="129"/>
  <c r="P12" i="130"/>
  <c r="AY35" i="130"/>
  <c r="Z13" i="125"/>
  <c r="BB38" i="127"/>
  <c r="AB15" i="118"/>
  <c r="AZ50" i="118"/>
  <c r="J25" i="125"/>
  <c r="AR23" i="126"/>
  <c r="AD22" i="118"/>
  <c r="AZ26" i="132"/>
  <c r="H43" i="129"/>
  <c r="AO25" i="127"/>
  <c r="P50" i="129"/>
  <c r="AN18" i="131"/>
  <c r="AT44" i="128"/>
  <c r="AQ27" i="131"/>
  <c r="H23" i="129"/>
  <c r="H56" i="129"/>
  <c r="AJ57" i="129"/>
  <c r="BB20" i="127"/>
  <c r="AF53" i="125"/>
  <c r="AY30" i="125"/>
  <c r="AP17" i="125"/>
  <c r="AC44" i="126"/>
  <c r="AT26" i="131"/>
  <c r="AI40" i="124"/>
  <c r="AI17" i="125"/>
  <c r="BB36" i="125"/>
  <c r="BE45" i="131"/>
  <c r="V18" i="124"/>
  <c r="M26" i="125"/>
  <c r="N9" i="131"/>
  <c r="L41" i="130"/>
  <c r="AQ11" i="124"/>
  <c r="BD10" i="131"/>
  <c r="AD23" i="121"/>
  <c r="O14" i="121"/>
  <c r="M15" i="130"/>
  <c r="J25" i="130"/>
  <c r="Q31" i="121"/>
  <c r="AP20" i="121"/>
  <c r="AE44" i="127"/>
  <c r="X23" i="126"/>
  <c r="V31" i="121"/>
  <c r="M15" i="121"/>
  <c r="Q38" i="126"/>
  <c r="Q14" i="125"/>
  <c r="I32" i="121"/>
  <c r="J30" i="130"/>
  <c r="AH48" i="130"/>
  <c r="AF52" i="131"/>
  <c r="AQ35" i="125"/>
  <c r="AW32" i="125"/>
  <c r="AU26" i="126"/>
  <c r="AJ9" i="130"/>
  <c r="AW38" i="125"/>
  <c r="AP47" i="125"/>
  <c r="AS33" i="126"/>
  <c r="K22" i="130"/>
  <c r="AL27" i="125"/>
  <c r="AE39" i="125"/>
  <c r="AL38" i="126"/>
  <c r="G31" i="130"/>
  <c r="AG38" i="125"/>
  <c r="AN27" i="125"/>
  <c r="BD47" i="127"/>
  <c r="AE11" i="126"/>
  <c r="G9" i="119"/>
  <c r="AR17" i="119"/>
  <c r="J51" i="127"/>
  <c r="X20" i="124"/>
  <c r="Q39" i="119"/>
  <c r="AE38" i="119"/>
  <c r="BD46" i="125"/>
  <c r="AS49" i="131"/>
  <c r="P43" i="130"/>
  <c r="BB52" i="126"/>
  <c r="BA40" i="127"/>
  <c r="H18" i="131"/>
  <c r="AC49" i="127"/>
  <c r="Z53" i="127"/>
  <c r="AR49" i="127"/>
  <c r="AZ46" i="130"/>
  <c r="AV39" i="125"/>
  <c r="T39" i="124"/>
  <c r="AR36" i="126"/>
  <c r="O52" i="130"/>
  <c r="AM14" i="124"/>
  <c r="AD14" i="124"/>
  <c r="J49" i="126"/>
  <c r="I44" i="130"/>
  <c r="P35" i="124"/>
  <c r="AT37" i="131"/>
  <c r="AW43" i="126"/>
  <c r="AW26" i="130"/>
  <c r="AH8" i="124"/>
  <c r="BB44" i="131"/>
  <c r="BD13" i="126"/>
  <c r="H49" i="127"/>
  <c r="Z44" i="119"/>
  <c r="H34" i="119"/>
  <c r="BC43" i="126"/>
  <c r="BC35" i="127"/>
  <c r="AU49" i="119"/>
  <c r="BC39" i="119"/>
  <c r="G56" i="126"/>
  <c r="P35" i="126"/>
  <c r="Y53" i="119"/>
  <c r="AB39" i="119"/>
  <c r="AS16" i="126"/>
  <c r="AP54" i="126"/>
  <c r="AP14" i="119"/>
  <c r="I53" i="128"/>
  <c r="AJ34" i="131"/>
  <c r="AI18" i="126"/>
  <c r="AQ33" i="128"/>
  <c r="AX35" i="131"/>
  <c r="H57" i="126"/>
  <c r="BD27" i="126"/>
  <c r="AV44" i="128"/>
  <c r="AE29" i="131"/>
  <c r="AW51" i="126"/>
  <c r="AG15" i="126"/>
  <c r="AB43" i="128"/>
  <c r="AU43" i="130"/>
  <c r="AQ46" i="126"/>
  <c r="AX23" i="126"/>
  <c r="K33" i="128"/>
  <c r="AJ43" i="131"/>
  <c r="H52" i="130"/>
  <c r="V40" i="130"/>
  <c r="T38" i="130"/>
  <c r="BA47" i="131"/>
  <c r="N47" i="130"/>
  <c r="AO17" i="130"/>
  <c r="AI8" i="130"/>
  <c r="T46" i="131"/>
  <c r="Z11" i="125"/>
  <c r="AC40" i="126"/>
  <c r="AX20" i="128"/>
  <c r="BC38" i="124"/>
  <c r="V55" i="126"/>
  <c r="AY43" i="124"/>
  <c r="K30" i="129"/>
  <c r="AF44" i="126"/>
  <c r="BE26" i="128"/>
  <c r="BC35" i="132"/>
  <c r="V18" i="125"/>
  <c r="G57" i="126"/>
  <c r="P58" i="128"/>
  <c r="K50" i="132"/>
  <c r="AE8" i="125"/>
  <c r="AS18" i="126"/>
  <c r="J40" i="127"/>
  <c r="AP53" i="132"/>
  <c r="BD15" i="125"/>
  <c r="H30" i="126"/>
  <c r="AY12" i="127"/>
  <c r="BA56" i="128"/>
  <c r="AP27" i="129"/>
  <c r="BA58" i="130"/>
  <c r="AK27" i="130"/>
  <c r="K40" i="127"/>
  <c r="Z12" i="129"/>
  <c r="AR54" i="130"/>
  <c r="AM58" i="129"/>
  <c r="W35" i="126"/>
  <c r="J21" i="129"/>
  <c r="AT15" i="129"/>
  <c r="AD23" i="129"/>
  <c r="AI48" i="132"/>
  <c r="J27" i="129"/>
  <c r="BE53" i="129"/>
  <c r="AB36" i="129"/>
  <c r="AE14" i="125"/>
  <c r="AT17" i="132"/>
  <c r="T39" i="131"/>
  <c r="AK36" i="128"/>
  <c r="AQ9" i="129"/>
  <c r="I54" i="126"/>
  <c r="AH57" i="131"/>
  <c r="J42" i="128"/>
  <c r="H48" i="129"/>
  <c r="AC45" i="126"/>
  <c r="AZ44" i="131"/>
  <c r="S8" i="127"/>
  <c r="AE33" i="129"/>
  <c r="S40" i="125"/>
  <c r="AU26" i="131"/>
  <c r="AU26" i="127"/>
  <c r="AU38" i="127"/>
  <c r="BB38" i="130"/>
  <c r="AR20" i="127"/>
  <c r="AU22" i="127"/>
  <c r="U23" i="126"/>
  <c r="H55" i="130"/>
  <c r="BC8" i="127"/>
  <c r="U9" i="127"/>
  <c r="M31" i="125"/>
  <c r="N37" i="125"/>
  <c r="BD10" i="127"/>
  <c r="AM47" i="129"/>
  <c r="Z44" i="129"/>
  <c r="AW21" i="132"/>
  <c r="Y35" i="126"/>
  <c r="O39" i="125"/>
  <c r="T27" i="129"/>
  <c r="AS55" i="127"/>
  <c r="M16" i="129"/>
  <c r="T29" i="125"/>
  <c r="L55" i="129"/>
  <c r="Q9" i="127"/>
  <c r="BD12" i="128"/>
  <c r="AQ42" i="124"/>
  <c r="AN52" i="129"/>
  <c r="BE51" i="130"/>
  <c r="AO33" i="124"/>
  <c r="AO26" i="128"/>
  <c r="BD52" i="128"/>
  <c r="AO12" i="129"/>
  <c r="AO30" i="131"/>
  <c r="AU57" i="128"/>
  <c r="W22" i="128"/>
  <c r="S52" i="128"/>
  <c r="AE9" i="130"/>
  <c r="K15" i="127"/>
  <c r="BD16" i="127"/>
  <c r="AZ48" i="127"/>
  <c r="I44" i="127"/>
  <c r="BD16" i="125"/>
  <c r="AJ31" i="127"/>
  <c r="W29" i="131"/>
  <c r="BA46" i="129"/>
  <c r="Q52" i="131"/>
  <c r="AE24" i="126"/>
  <c r="AY47" i="131"/>
  <c r="AB58" i="129"/>
  <c r="AT58" i="131"/>
  <c r="AU41" i="126"/>
  <c r="AM47" i="130"/>
  <c r="P35" i="130"/>
  <c r="L15" i="130"/>
  <c r="O55" i="130"/>
  <c r="X58" i="125"/>
  <c r="L55" i="128"/>
  <c r="U36" i="127"/>
  <c r="AF24" i="126"/>
  <c r="AT25" i="126"/>
  <c r="AU18" i="127"/>
  <c r="N9" i="126"/>
  <c r="AR10" i="126"/>
  <c r="AU20" i="126"/>
  <c r="BA23" i="127"/>
  <c r="AP10" i="126"/>
  <c r="BE39" i="126"/>
  <c r="AT37" i="126"/>
  <c r="S11" i="125"/>
  <c r="AD56" i="126"/>
  <c r="AN53" i="126"/>
  <c r="AT10" i="130"/>
  <c r="K54" i="128"/>
  <c r="P11" i="126"/>
  <c r="J26" i="128"/>
  <c r="AU42" i="130"/>
  <c r="AD38" i="127"/>
  <c r="N53" i="129"/>
  <c r="BA32" i="128"/>
  <c r="X48" i="130"/>
  <c r="Z24" i="125"/>
  <c r="BE55" i="129"/>
  <c r="K33" i="131"/>
  <c r="AZ18" i="128"/>
  <c r="AT52" i="130"/>
  <c r="AL15" i="129"/>
  <c r="AL57" i="131"/>
  <c r="AV35" i="128"/>
  <c r="J50" i="130"/>
  <c r="G39" i="129"/>
  <c r="AD17" i="131"/>
  <c r="Q8" i="128"/>
  <c r="P43" i="126"/>
  <c r="AM24" i="125"/>
  <c r="Q12" i="125"/>
  <c r="AK20" i="128"/>
  <c r="AE54" i="126"/>
  <c r="AD9" i="125"/>
  <c r="AY15" i="125"/>
  <c r="AG15" i="128"/>
  <c r="BB13" i="125"/>
  <c r="AH25" i="125"/>
  <c r="H23" i="125"/>
  <c r="M40" i="126"/>
  <c r="AM54" i="124"/>
  <c r="AL8" i="130"/>
  <c r="X48" i="125"/>
  <c r="AC27" i="129"/>
  <c r="AT46" i="127"/>
  <c r="Q11" i="129"/>
  <c r="L38" i="125"/>
  <c r="AJ32" i="129"/>
  <c r="AB57" i="127"/>
  <c r="AL9" i="128"/>
  <c r="AL17" i="124"/>
  <c r="BA44" i="129"/>
  <c r="W32" i="129"/>
  <c r="AS12" i="130"/>
  <c r="AE23" i="129"/>
  <c r="AN36" i="131"/>
  <c r="Z23" i="124"/>
  <c r="BA37" i="126"/>
  <c r="U37" i="126"/>
  <c r="AD33" i="126"/>
  <c r="G18" i="131"/>
  <c r="AW44" i="126"/>
  <c r="M44" i="126"/>
  <c r="AD24" i="127"/>
  <c r="AO39" i="129"/>
  <c r="AR36" i="132"/>
  <c r="AX47" i="127"/>
  <c r="U15" i="132"/>
  <c r="U43" i="132"/>
  <c r="AM18" i="124"/>
  <c r="Q58" i="129"/>
  <c r="Q49" i="130"/>
  <c r="AY34" i="124"/>
  <c r="AM13" i="128"/>
  <c r="AZ15" i="130"/>
  <c r="AS15" i="132"/>
  <c r="J8" i="124"/>
  <c r="Z8" i="128"/>
  <c r="I25" i="130"/>
  <c r="AI29" i="132"/>
  <c r="Y33" i="131"/>
  <c r="N33" i="129"/>
  <c r="AH18" i="128"/>
  <c r="AB54" i="125"/>
  <c r="P37" i="128"/>
  <c r="AN42" i="127"/>
  <c r="AV53" i="128"/>
  <c r="AF13" i="131"/>
  <c r="Z24" i="127"/>
  <c r="I42" i="127"/>
  <c r="AT41" i="128"/>
  <c r="BE51" i="131"/>
  <c r="AZ24" i="127"/>
  <c r="AH49" i="132"/>
  <c r="AN27" i="126"/>
  <c r="S24" i="129"/>
  <c r="AV56" i="128"/>
  <c r="BC45" i="128"/>
  <c r="O17" i="129"/>
  <c r="AY31" i="129"/>
  <c r="N22" i="128"/>
  <c r="J12" i="127"/>
  <c r="X10" i="129"/>
  <c r="P44" i="129"/>
  <c r="AW27" i="128"/>
  <c r="W10" i="127"/>
  <c r="AH8" i="129"/>
  <c r="AR53" i="129"/>
  <c r="AO34" i="128"/>
  <c r="AQ15" i="131"/>
  <c r="AQ29" i="127"/>
  <c r="AG38" i="131"/>
  <c r="AD43" i="130"/>
  <c r="AX37" i="125"/>
  <c r="M16" i="127"/>
  <c r="AH50" i="131"/>
  <c r="AP49" i="130"/>
  <c r="P30" i="125"/>
  <c r="AF22" i="132"/>
  <c r="P31" i="131"/>
  <c r="W35" i="130"/>
  <c r="AD33" i="125"/>
  <c r="BE53" i="132"/>
  <c r="N55" i="131"/>
  <c r="AM37" i="129"/>
  <c r="BC30" i="128"/>
  <c r="AH38" i="131"/>
  <c r="AK26" i="125"/>
  <c r="AW52" i="130"/>
  <c r="V11" i="127"/>
  <c r="AV16" i="130"/>
  <c r="AU40" i="129"/>
  <c r="L39" i="124"/>
  <c r="J45" i="129"/>
  <c r="AU25" i="130"/>
  <c r="AE15" i="129"/>
  <c r="AN56" i="131"/>
  <c r="AK42" i="129"/>
  <c r="Q34" i="130"/>
  <c r="AT21" i="131"/>
  <c r="G20" i="132"/>
  <c r="L44" i="128"/>
  <c r="H33" i="131"/>
  <c r="X21" i="130"/>
  <c r="AW36" i="126"/>
  <c r="BC9" i="127"/>
  <c r="AQ55" i="131"/>
  <c r="BC29" i="130"/>
  <c r="AN44" i="126"/>
  <c r="AO8" i="127"/>
  <c r="BB42" i="131"/>
  <c r="AW42" i="130"/>
  <c r="AK17" i="132"/>
  <c r="AI56" i="126"/>
  <c r="N25" i="128"/>
  <c r="P51" i="128"/>
  <c r="AT54" i="127"/>
  <c r="AB47" i="129"/>
  <c r="BA24" i="127"/>
  <c r="AO58" i="128"/>
  <c r="Z49" i="127"/>
  <c r="P53" i="129"/>
  <c r="S41" i="127"/>
  <c r="AB49" i="128"/>
  <c r="V55" i="127"/>
  <c r="N47" i="129"/>
  <c r="N44" i="127"/>
  <c r="AU38" i="128"/>
  <c r="AY54" i="131"/>
  <c r="AW34" i="127"/>
  <c r="J53" i="129"/>
  <c r="AU54" i="128"/>
  <c r="AK37" i="130"/>
  <c r="AJ36" i="127"/>
  <c r="AM12" i="128"/>
  <c r="AR12" i="128"/>
  <c r="AO57" i="130"/>
  <c r="BE41" i="127"/>
  <c r="AE9" i="128"/>
  <c r="AW20" i="128"/>
  <c r="X54" i="130"/>
  <c r="L18" i="132"/>
  <c r="BC15" i="128"/>
  <c r="AB58" i="132"/>
  <c r="T11" i="128"/>
  <c r="J48" i="130"/>
  <c r="J33" i="129"/>
  <c r="AQ9" i="131"/>
  <c r="O55" i="128"/>
  <c r="V42" i="130"/>
  <c r="BA38" i="129"/>
  <c r="N23" i="131"/>
  <c r="BE32" i="128"/>
  <c r="M35" i="130"/>
  <c r="AS45" i="129"/>
  <c r="BD52" i="131"/>
  <c r="AW42" i="128"/>
  <c r="AQ27" i="130"/>
  <c r="V9" i="132"/>
  <c r="J38" i="126"/>
  <c r="AC18" i="127"/>
  <c r="M9" i="126"/>
  <c r="K20" i="128"/>
  <c r="X44" i="126"/>
  <c r="H56" i="127"/>
  <c r="AW23" i="126"/>
  <c r="AO20" i="128"/>
  <c r="X49" i="126"/>
  <c r="M37" i="127"/>
  <c r="O10" i="126"/>
  <c r="I29" i="128"/>
  <c r="G36" i="129"/>
  <c r="AX11" i="126"/>
  <c r="AV13" i="126"/>
  <c r="BC52" i="129"/>
  <c r="AD44" i="131"/>
  <c r="AF56" i="131"/>
  <c r="V35" i="125"/>
  <c r="AH58" i="129"/>
  <c r="BD26" i="131"/>
  <c r="AQ10" i="130"/>
  <c r="K57" i="125"/>
  <c r="AH18" i="129"/>
  <c r="AF49" i="131"/>
  <c r="BE25" i="130"/>
  <c r="I42" i="125"/>
  <c r="AP42" i="129"/>
  <c r="X40" i="130"/>
  <c r="N35" i="130"/>
  <c r="AN26" i="125"/>
  <c r="AK11" i="127"/>
  <c r="K25" i="118"/>
  <c r="K50" i="118"/>
  <c r="AS22" i="125"/>
  <c r="I50" i="127"/>
  <c r="AO21" i="118"/>
  <c r="X12" i="118"/>
  <c r="AE41" i="125"/>
  <c r="K36" i="126"/>
  <c r="AI31" i="118"/>
  <c r="X51" i="132"/>
  <c r="W47" i="125"/>
  <c r="BD47" i="126"/>
  <c r="J33" i="118"/>
  <c r="AR44" i="128"/>
  <c r="AY24" i="127"/>
  <c r="BB22" i="127"/>
  <c r="AU45" i="129"/>
  <c r="M8" i="132"/>
  <c r="AS54" i="127"/>
  <c r="BE8" i="127"/>
  <c r="AT34" i="129"/>
  <c r="AF44" i="132"/>
  <c r="I53" i="127"/>
  <c r="AP39" i="127"/>
  <c r="U43" i="129"/>
  <c r="H36" i="132"/>
  <c r="AP41" i="127"/>
  <c r="AP46" i="127"/>
  <c r="BD34" i="129"/>
  <c r="Y43" i="127"/>
  <c r="AD51" i="131"/>
  <c r="AZ9" i="125"/>
  <c r="X21" i="125"/>
  <c r="AQ45" i="126"/>
  <c r="W40" i="130"/>
  <c r="AZ50" i="125"/>
  <c r="AV32" i="125"/>
  <c r="N42" i="132"/>
  <c r="AY57" i="131"/>
  <c r="K34" i="131"/>
  <c r="AZ9" i="127"/>
  <c r="AI10" i="129"/>
  <c r="AH17" i="128"/>
  <c r="Y11" i="128"/>
  <c r="AW36" i="130"/>
  <c r="S25" i="130"/>
  <c r="AB22" i="131"/>
  <c r="Y52" i="125"/>
  <c r="N49" i="125"/>
  <c r="H24" i="126"/>
  <c r="AB9" i="130"/>
  <c r="AU44" i="125"/>
  <c r="T38" i="125"/>
  <c r="BE33" i="126"/>
  <c r="AU12" i="130"/>
  <c r="T45" i="125"/>
  <c r="AX55" i="125"/>
  <c r="P39" i="126"/>
  <c r="AH30" i="130"/>
  <c r="P34" i="125"/>
  <c r="Y51" i="125"/>
  <c r="AJ49" i="127"/>
  <c r="Y37" i="130"/>
  <c r="BD48" i="120"/>
  <c r="M40" i="119"/>
  <c r="BE50" i="127"/>
  <c r="AH51" i="126"/>
  <c r="AE14" i="119"/>
  <c r="BD25" i="119"/>
  <c r="AI25" i="126"/>
  <c r="H46" i="129"/>
  <c r="AJ9" i="119"/>
  <c r="U49" i="119"/>
  <c r="AP12" i="126"/>
  <c r="AT50" i="128"/>
  <c r="AO14" i="119"/>
  <c r="AQ29" i="129"/>
  <c r="X45" i="129"/>
  <c r="X58" i="129"/>
  <c r="X31" i="130"/>
  <c r="AM30" i="131"/>
  <c r="AX40" i="124"/>
  <c r="AR43" i="129"/>
  <c r="G20" i="130"/>
  <c r="AJ29" i="124"/>
  <c r="G9" i="128"/>
  <c r="H29" i="130"/>
  <c r="AI20" i="132"/>
  <c r="AG49" i="131"/>
  <c r="AG10" i="128"/>
  <c r="AL52" i="130"/>
  <c r="O56" i="125"/>
  <c r="K36" i="127"/>
  <c r="W55" i="118"/>
  <c r="L45" i="131"/>
  <c r="AC45" i="125"/>
  <c r="AV52" i="125"/>
  <c r="W53" i="118"/>
  <c r="AT12" i="130"/>
  <c r="AM32" i="125"/>
  <c r="G48" i="125"/>
  <c r="S57" i="129"/>
  <c r="N42" i="131"/>
  <c r="N12" i="127"/>
  <c r="O9" i="129"/>
  <c r="AF15" i="127"/>
  <c r="AP31" i="126"/>
  <c r="AI43" i="126"/>
  <c r="AI23" i="128"/>
  <c r="BD49" i="130"/>
  <c r="W49" i="132"/>
  <c r="J50" i="131"/>
  <c r="J35" i="128"/>
  <c r="AQ55" i="130"/>
  <c r="AE9" i="132"/>
  <c r="BB57" i="131"/>
  <c r="BB35" i="128"/>
  <c r="Y56" i="130"/>
  <c r="AM53" i="132"/>
  <c r="V27" i="132"/>
  <c r="AZ42" i="128"/>
  <c r="AF57" i="130"/>
  <c r="U21" i="129"/>
  <c r="N53" i="125"/>
  <c r="J55" i="127"/>
  <c r="AZ31" i="117"/>
  <c r="AE17" i="127"/>
  <c r="AO20" i="124"/>
  <c r="U45" i="127"/>
  <c r="AI44" i="117"/>
  <c r="Y22" i="127"/>
  <c r="AK21" i="131"/>
  <c r="BA22" i="126"/>
  <c r="T37" i="117"/>
  <c r="J56" i="127"/>
  <c r="AU32" i="131"/>
  <c r="AC37" i="126"/>
  <c r="AV38" i="117"/>
  <c r="BE20" i="125"/>
  <c r="AE11" i="131"/>
  <c r="Z15" i="125"/>
  <c r="Z51" i="130"/>
  <c r="AM35" i="127"/>
  <c r="AH25" i="131"/>
  <c r="AW10" i="125"/>
  <c r="AB16" i="129"/>
  <c r="AD16" i="127"/>
  <c r="AD12" i="132"/>
  <c r="BC27" i="125"/>
  <c r="O29" i="129"/>
  <c r="M32" i="127"/>
  <c r="AJ43" i="129"/>
  <c r="X52" i="125"/>
  <c r="BE32" i="129"/>
  <c r="BB12" i="130"/>
  <c r="BB41" i="125"/>
  <c r="P43" i="128"/>
  <c r="AJ26" i="128"/>
  <c r="AS51" i="130"/>
  <c r="K8" i="124"/>
  <c r="AY50" i="128"/>
  <c r="W58" i="128"/>
  <c r="AC56" i="128"/>
  <c r="AR14" i="127"/>
  <c r="BE54" i="129"/>
  <c r="AS27" i="125"/>
  <c r="S44" i="131"/>
  <c r="P34" i="132"/>
  <c r="M16" i="131"/>
  <c r="AU22" i="126"/>
  <c r="AD22" i="132"/>
  <c r="H15" i="131"/>
  <c r="BE30" i="128"/>
  <c r="AN31" i="130"/>
  <c r="Z47" i="126"/>
  <c r="AR49" i="131"/>
  <c r="AB53" i="128"/>
  <c r="Q21" i="129"/>
  <c r="Z37" i="126"/>
  <c r="Y30" i="131"/>
  <c r="AD53" i="128"/>
  <c r="AL58" i="129"/>
  <c r="AF50" i="126"/>
  <c r="W54" i="131"/>
  <c r="BC16" i="127"/>
  <c r="X21" i="127"/>
  <c r="AT20" i="130"/>
  <c r="AI15" i="127"/>
  <c r="BE21" i="127"/>
  <c r="AH39" i="127"/>
  <c r="AY49" i="130"/>
  <c r="I33" i="127"/>
  <c r="BE27" i="127"/>
  <c r="BA11" i="125"/>
  <c r="J49" i="129"/>
  <c r="AK9" i="127"/>
  <c r="H50" i="127"/>
  <c r="AT40" i="130"/>
  <c r="O32" i="129"/>
  <c r="Y30" i="127"/>
  <c r="O27" i="132"/>
  <c r="AV12" i="129"/>
  <c r="AE48" i="128"/>
  <c r="U24" i="129"/>
  <c r="I20" i="131"/>
  <c r="U44" i="128"/>
  <c r="AU56" i="130"/>
  <c r="AJ55" i="129"/>
  <c r="AH29" i="131"/>
  <c r="AN55" i="128"/>
  <c r="Y57" i="130"/>
  <c r="J15" i="129"/>
  <c r="AH18" i="131"/>
  <c r="AN37" i="128"/>
  <c r="AH58" i="130"/>
  <c r="P22" i="129"/>
  <c r="K44" i="131"/>
  <c r="BD58" i="129"/>
  <c r="AW53" i="126"/>
  <c r="AS55" i="126"/>
  <c r="S52" i="126"/>
  <c r="M17" i="128"/>
  <c r="AF48" i="126"/>
  <c r="AM56" i="125"/>
  <c r="AK17" i="125"/>
  <c r="U39" i="126"/>
  <c r="X57" i="126"/>
  <c r="W46" i="130"/>
  <c r="BE22" i="124"/>
  <c r="X21" i="131"/>
  <c r="AI49" i="126"/>
  <c r="BC42" i="126"/>
  <c r="K17" i="129"/>
  <c r="AY57" i="124"/>
  <c r="AG56" i="129"/>
  <c r="W30" i="130"/>
  <c r="BA10" i="129"/>
  <c r="AK29" i="131"/>
  <c r="N48" i="129"/>
  <c r="W13" i="130"/>
  <c r="Y20" i="129"/>
  <c r="AT35" i="131"/>
  <c r="AZ31" i="125"/>
  <c r="AH38" i="126"/>
  <c r="Q37" i="126"/>
  <c r="AQ33" i="126"/>
  <c r="W38" i="131"/>
  <c r="AB44" i="126"/>
  <c r="AR43" i="126"/>
  <c r="AW38" i="126"/>
  <c r="AB53" i="130"/>
  <c r="U58" i="126"/>
  <c r="AP50" i="126"/>
  <c r="J29" i="126"/>
  <c r="AO41" i="129"/>
  <c r="AY34" i="129"/>
  <c r="N17" i="127"/>
  <c r="AG43" i="130"/>
  <c r="S55" i="125"/>
  <c r="AQ45" i="131"/>
  <c r="AV40" i="130"/>
  <c r="K49" i="130"/>
  <c r="AY54" i="125"/>
  <c r="AU42" i="131"/>
  <c r="AD11" i="130"/>
  <c r="AQ14" i="130"/>
  <c r="AD39" i="125"/>
  <c r="BA50" i="127"/>
  <c r="Q44" i="129"/>
  <c r="H45" i="128"/>
  <c r="AP21" i="130"/>
  <c r="AQ21" i="130"/>
  <c r="AO55" i="125"/>
  <c r="L54" i="125"/>
  <c r="AL34" i="125"/>
  <c r="AJ13" i="130"/>
  <c r="AY42" i="125"/>
  <c r="AU50" i="125"/>
  <c r="AL40" i="124"/>
  <c r="AB40" i="129"/>
  <c r="AM27" i="124"/>
  <c r="N43" i="124"/>
  <c r="AJ33" i="124"/>
  <c r="G9" i="129"/>
  <c r="N34" i="124"/>
  <c r="L52" i="124"/>
  <c r="BC48" i="130"/>
  <c r="BB27" i="125"/>
  <c r="BD15" i="126"/>
  <c r="AN30" i="128"/>
  <c r="Z13" i="126"/>
  <c r="Q11" i="127"/>
  <c r="AR25" i="126"/>
  <c r="AX39" i="128"/>
  <c r="AS57" i="130"/>
  <c r="AR25" i="127"/>
  <c r="X11" i="129"/>
  <c r="AZ48" i="128"/>
  <c r="AD44" i="128"/>
  <c r="AF11" i="127"/>
  <c r="T29" i="129"/>
  <c r="Y34" i="128"/>
  <c r="O37" i="128"/>
  <c r="AE43" i="127"/>
  <c r="N35" i="129"/>
  <c r="N21" i="129"/>
  <c r="BC32" i="131"/>
  <c r="X57" i="124"/>
  <c r="U43" i="124"/>
  <c r="AE44" i="129"/>
  <c r="AZ35" i="131"/>
  <c r="W58" i="124"/>
  <c r="Q11" i="124"/>
  <c r="I39" i="129"/>
  <c r="BA39" i="131"/>
  <c r="AE40" i="123"/>
  <c r="AV33" i="123"/>
  <c r="BE10" i="130"/>
  <c r="BB25" i="125"/>
  <c r="AY18" i="127"/>
  <c r="AN11" i="129"/>
  <c r="P52" i="124"/>
  <c r="AG45" i="129"/>
  <c r="BC21" i="130"/>
  <c r="AE27" i="129"/>
  <c r="BB24" i="131"/>
  <c r="AP30" i="129"/>
  <c r="T48" i="130"/>
  <c r="AW18" i="129"/>
  <c r="W30" i="131"/>
  <c r="AC36" i="130"/>
  <c r="I46" i="128"/>
  <c r="T39" i="128"/>
  <c r="Z20" i="129"/>
  <c r="S15" i="129"/>
  <c r="AN55" i="131"/>
  <c r="AV30" i="124"/>
  <c r="AK20" i="124"/>
  <c r="T18" i="129"/>
  <c r="X14" i="131"/>
  <c r="AR36" i="124"/>
  <c r="AW9" i="124"/>
  <c r="AF32" i="129"/>
  <c r="Y27" i="131"/>
  <c r="AK8" i="124"/>
  <c r="AK45" i="124"/>
  <c r="X38" i="129"/>
  <c r="AF35" i="131"/>
  <c r="Y35" i="124"/>
  <c r="AH32" i="129"/>
  <c r="AJ49" i="130"/>
  <c r="AP49" i="126"/>
  <c r="S44" i="128"/>
  <c r="X53" i="126"/>
  <c r="Y47" i="127"/>
  <c r="O55" i="126"/>
  <c r="AQ41" i="128"/>
  <c r="AV35" i="129"/>
  <c r="AE48" i="127"/>
  <c r="AR44" i="129"/>
  <c r="AD32" i="127"/>
  <c r="J8" i="127"/>
  <c r="BD26" i="127"/>
  <c r="S36" i="129"/>
  <c r="BA40" i="126"/>
  <c r="J27" i="127"/>
  <c r="AY56" i="127"/>
  <c r="BB49" i="129"/>
  <c r="AV50" i="129"/>
  <c r="AM21" i="130"/>
  <c r="AP12" i="123"/>
  <c r="BC21" i="123"/>
  <c r="AS11" i="128"/>
  <c r="AO36" i="130"/>
  <c r="Y50" i="123"/>
  <c r="W9" i="123"/>
  <c r="AG8" i="128"/>
  <c r="AS26" i="130"/>
  <c r="P46" i="123"/>
  <c r="J27" i="123"/>
  <c r="AB54" i="129"/>
  <c r="N33" i="127"/>
  <c r="AJ50" i="129"/>
  <c r="AM13" i="125"/>
  <c r="U33" i="127"/>
  <c r="AK47" i="130"/>
  <c r="U38" i="125"/>
  <c r="AC50" i="130"/>
  <c r="AN34" i="131"/>
  <c r="AZ21" i="131"/>
  <c r="AF9" i="126"/>
  <c r="AF48" i="127"/>
  <c r="AW8" i="128"/>
  <c r="AQ49" i="131"/>
  <c r="AR32" i="126"/>
  <c r="AO54" i="127"/>
  <c r="Y16" i="128"/>
  <c r="AI11" i="130"/>
  <c r="AD30" i="126"/>
  <c r="K52" i="127"/>
  <c r="Z18" i="128"/>
  <c r="AV26" i="130"/>
  <c r="V36" i="126"/>
  <c r="AU15" i="132"/>
  <c r="AD40" i="132"/>
  <c r="K11" i="125"/>
  <c r="AZ15" i="129"/>
  <c r="AQ50" i="131"/>
  <c r="AO55" i="131"/>
  <c r="AR18" i="125"/>
  <c r="AT13" i="129"/>
  <c r="AU29" i="131"/>
  <c r="AZ10" i="131"/>
  <c r="AB9" i="125"/>
  <c r="AV20" i="129"/>
  <c r="H48" i="131"/>
  <c r="M50" i="129"/>
  <c r="BC58" i="125"/>
  <c r="AY10" i="132"/>
  <c r="Z21" i="126"/>
  <c r="BB15" i="126"/>
  <c r="BA38" i="126"/>
  <c r="AV16" i="128"/>
  <c r="BA40" i="125"/>
  <c r="AI10" i="126"/>
  <c r="U51" i="126"/>
  <c r="AU50" i="128"/>
  <c r="U13" i="125"/>
  <c r="Q20" i="126"/>
  <c r="AX45" i="126"/>
  <c r="AH41" i="128"/>
  <c r="K13" i="125"/>
  <c r="Y8" i="126"/>
  <c r="N26" i="128"/>
  <c r="BB26" i="127"/>
  <c r="AS41" i="129"/>
  <c r="AI10" i="128"/>
  <c r="AD44" i="130"/>
  <c r="BB13" i="127"/>
  <c r="AF47" i="129"/>
  <c r="AP13" i="128"/>
  <c r="N25" i="130"/>
  <c r="AX54" i="127"/>
  <c r="V41" i="129"/>
  <c r="V16" i="128"/>
  <c r="AG33" i="130"/>
  <c r="AW31" i="127"/>
  <c r="V47" i="129"/>
  <c r="AO58" i="132"/>
  <c r="BB25" i="127"/>
  <c r="P26" i="129"/>
  <c r="AT49" i="130"/>
  <c r="P54" i="130"/>
  <c r="J12" i="124"/>
  <c r="BE38" i="129"/>
  <c r="U9" i="128"/>
  <c r="BA45" i="128"/>
  <c r="AI35" i="130"/>
  <c r="AV48" i="132"/>
  <c r="AY14" i="128"/>
  <c r="J53" i="128"/>
  <c r="L29" i="130"/>
  <c r="AW51" i="131"/>
  <c r="AV23" i="128"/>
  <c r="AP29" i="129"/>
  <c r="N24" i="127"/>
  <c r="AX12" i="129"/>
  <c r="S48" i="129"/>
  <c r="AM45" i="130"/>
  <c r="AZ21" i="127"/>
  <c r="K20" i="129"/>
  <c r="AU51" i="129"/>
  <c r="AW25" i="130"/>
  <c r="AW9" i="127"/>
  <c r="AK25" i="129"/>
  <c r="AM30" i="128"/>
  <c r="AT18" i="125"/>
  <c r="N54" i="131"/>
  <c r="T33" i="131"/>
  <c r="S30" i="125"/>
  <c r="AE38" i="126"/>
  <c r="P9" i="125"/>
  <c r="T20" i="127"/>
  <c r="K36" i="125"/>
  <c r="AN45" i="126"/>
  <c r="S22" i="125"/>
  <c r="AW13" i="127"/>
  <c r="G43" i="125"/>
  <c r="K51" i="126"/>
  <c r="AJ20" i="125"/>
  <c r="AT33" i="127"/>
  <c r="G31" i="125"/>
  <c r="BD56" i="126"/>
  <c r="AP46" i="126"/>
  <c r="AH52" i="127"/>
  <c r="AK31" i="126"/>
  <c r="BC22" i="128"/>
  <c r="M52" i="126"/>
  <c r="AZ41" i="127"/>
  <c r="K29" i="126"/>
  <c r="AL29" i="128"/>
  <c r="I58" i="126"/>
  <c r="O45" i="127"/>
  <c r="T35" i="126"/>
  <c r="AR39" i="128"/>
  <c r="AX30" i="126"/>
  <c r="I54" i="127"/>
  <c r="AV30" i="127"/>
  <c r="BC51" i="129"/>
  <c r="AR57" i="128"/>
  <c r="AV10" i="127"/>
  <c r="AP18" i="129"/>
  <c r="BB16" i="128"/>
  <c r="AC27" i="128"/>
  <c r="U23" i="127"/>
  <c r="AX25" i="129"/>
  <c r="AO30" i="128"/>
  <c r="BB32" i="128"/>
  <c r="BC11" i="127"/>
  <c r="AY9" i="129"/>
  <c r="L53" i="128"/>
  <c r="AE37" i="128"/>
  <c r="AW11" i="129"/>
  <c r="AL14" i="124"/>
  <c r="AR20" i="125"/>
  <c r="N51" i="125"/>
  <c r="V8" i="131"/>
  <c r="Z43" i="124"/>
  <c r="N17" i="125"/>
  <c r="O52" i="131"/>
  <c r="AS34" i="130"/>
  <c r="AF8" i="131"/>
  <c r="AN8" i="125"/>
  <c r="AJ24" i="131"/>
  <c r="W25" i="130"/>
  <c r="AI46" i="130"/>
  <c r="AR56" i="128"/>
  <c r="BD31" i="128"/>
  <c r="AR21" i="127"/>
  <c r="H57" i="129"/>
  <c r="BE51" i="132"/>
  <c r="H37" i="127"/>
  <c r="T8" i="127"/>
  <c r="U34" i="129"/>
  <c r="Z12" i="132"/>
  <c r="BD39" i="127"/>
  <c r="H14" i="127"/>
  <c r="Q41" i="129"/>
  <c r="AY9" i="131"/>
  <c r="W57" i="127"/>
  <c r="Q46" i="127"/>
  <c r="AT48" i="129"/>
  <c r="BD8" i="128"/>
  <c r="N11" i="131"/>
  <c r="AH24" i="125"/>
  <c r="O20" i="125"/>
  <c r="Y41" i="127"/>
  <c r="BA36" i="131"/>
  <c r="AR21" i="125"/>
  <c r="O32" i="125"/>
  <c r="BB30" i="125"/>
  <c r="N10" i="130"/>
  <c r="T42" i="125"/>
  <c r="AW49" i="125"/>
  <c r="G56" i="131"/>
  <c r="AW17" i="130"/>
  <c r="U55" i="125"/>
  <c r="AQ42" i="125"/>
  <c r="BD51" i="132"/>
  <c r="S11" i="127"/>
  <c r="AE31" i="126"/>
  <c r="AC25" i="127"/>
  <c r="AX24" i="130"/>
  <c r="X30" i="125"/>
  <c r="AE40" i="125"/>
  <c r="O56" i="127"/>
  <c r="Y47" i="130"/>
  <c r="U50" i="125"/>
  <c r="K20" i="125"/>
  <c r="AH32" i="127"/>
  <c r="AU51" i="130"/>
  <c r="AB36" i="125"/>
  <c r="AZ18" i="125"/>
  <c r="AS38" i="127"/>
  <c r="AI18" i="131"/>
  <c r="N45" i="129"/>
  <c r="BD39" i="129"/>
  <c r="BD53" i="129"/>
  <c r="AZ37" i="130"/>
  <c r="AZ35" i="129"/>
  <c r="U46" i="129"/>
  <c r="G43" i="129"/>
  <c r="AD21" i="132"/>
  <c r="AK11" i="130"/>
  <c r="H34" i="131"/>
  <c r="AI39" i="126"/>
  <c r="AM8" i="127"/>
  <c r="AN21" i="125"/>
  <c r="Z32" i="128"/>
  <c r="AT56" i="130"/>
  <c r="AC40" i="129"/>
  <c r="AH50" i="129"/>
  <c r="AN12" i="130"/>
  <c r="J34" i="130"/>
  <c r="P44" i="125"/>
  <c r="AC35" i="129"/>
  <c r="AG18" i="130"/>
  <c r="AY17" i="131"/>
  <c r="N10" i="124"/>
  <c r="M49" i="129"/>
  <c r="AG27" i="130"/>
  <c r="AU36" i="124"/>
  <c r="P10" i="128"/>
  <c r="Y36" i="130"/>
  <c r="AQ13" i="132"/>
  <c r="L45" i="125"/>
  <c r="S23" i="131"/>
  <c r="AG17" i="118"/>
  <c r="J18" i="132"/>
  <c r="BE30" i="125"/>
  <c r="H55" i="127"/>
  <c r="AU52" i="118"/>
  <c r="Y23" i="130"/>
  <c r="AU36" i="125"/>
  <c r="J43" i="129"/>
  <c r="AM13" i="117"/>
  <c r="AM16" i="128"/>
  <c r="AB33" i="125"/>
  <c r="AP34" i="128"/>
  <c r="AK18" i="117"/>
  <c r="AE9" i="131"/>
  <c r="X39" i="128"/>
  <c r="G43" i="127"/>
  <c r="AO9" i="128"/>
  <c r="Q39" i="131"/>
  <c r="V43" i="126"/>
  <c r="AP15" i="127"/>
  <c r="O15" i="128"/>
  <c r="AX34" i="131"/>
  <c r="AH48" i="126"/>
  <c r="AH47" i="127"/>
  <c r="AI30" i="128"/>
  <c r="AF34" i="130"/>
  <c r="AD53" i="126"/>
  <c r="AQ50" i="127"/>
  <c r="AF12" i="128"/>
  <c r="AT21" i="127"/>
  <c r="AI30" i="130"/>
  <c r="BA46" i="124"/>
  <c r="S47" i="131"/>
  <c r="T11" i="126"/>
  <c r="K18" i="130"/>
  <c r="G32" i="131"/>
  <c r="X8" i="131"/>
  <c r="N58" i="130"/>
  <c r="AQ31" i="127"/>
  <c r="AN37" i="127"/>
  <c r="AX14" i="127"/>
  <c r="M36" i="129"/>
  <c r="AL35" i="127"/>
  <c r="AM12" i="127"/>
  <c r="O15" i="126"/>
  <c r="X23" i="128"/>
  <c r="H8" i="131"/>
  <c r="AU8" i="126"/>
  <c r="V33" i="128"/>
  <c r="AI55" i="132"/>
  <c r="O51" i="126"/>
  <c r="BB26" i="126"/>
  <c r="J39" i="128"/>
  <c r="N43" i="131"/>
  <c r="N17" i="126"/>
  <c r="I14" i="126"/>
  <c r="Z44" i="128"/>
  <c r="AU36" i="131"/>
  <c r="L57" i="126"/>
  <c r="AE22" i="126"/>
  <c r="AS48" i="128"/>
  <c r="L38" i="126"/>
  <c r="AZ54" i="130"/>
  <c r="S33" i="131"/>
  <c r="AM41" i="130"/>
  <c r="AF34" i="131"/>
  <c r="BA55" i="130"/>
  <c r="AL9" i="130"/>
  <c r="AX11" i="130"/>
  <c r="U8" i="129"/>
  <c r="Y29" i="129"/>
  <c r="AG12" i="130"/>
  <c r="AO48" i="130"/>
  <c r="AE42" i="129"/>
  <c r="AF21" i="129"/>
  <c r="U47" i="130"/>
  <c r="AO22" i="130"/>
  <c r="AE13" i="126"/>
  <c r="AL44" i="128"/>
  <c r="Y17" i="130"/>
  <c r="AM48" i="124"/>
  <c r="AJ26" i="129"/>
  <c r="AS20" i="130"/>
  <c r="K57" i="130"/>
  <c r="AH36" i="124"/>
  <c r="AD39" i="129"/>
  <c r="AT29" i="130"/>
  <c r="AI23" i="129"/>
  <c r="AD10" i="124"/>
  <c r="AH45" i="129"/>
  <c r="AT37" i="130"/>
  <c r="BA15" i="129"/>
  <c r="I35" i="131"/>
  <c r="AV53" i="126"/>
  <c r="AU38" i="126"/>
  <c r="S36" i="126"/>
  <c r="BA32" i="126"/>
  <c r="X47" i="125"/>
  <c r="BE44" i="126"/>
  <c r="AN43" i="126"/>
  <c r="J39" i="126"/>
  <c r="BB20" i="129"/>
  <c r="AT24" i="129"/>
  <c r="AU33" i="131"/>
  <c r="L32" i="125"/>
  <c r="AX34" i="125"/>
  <c r="AH34" i="125"/>
  <c r="AG33" i="132"/>
  <c r="T31" i="130"/>
  <c r="T32" i="129"/>
  <c r="Q24" i="129"/>
  <c r="X18" i="131"/>
  <c r="U35" i="128"/>
  <c r="AN16" i="130"/>
  <c r="J8" i="129"/>
  <c r="AY29" i="131"/>
  <c r="K55" i="128"/>
  <c r="AI56" i="130"/>
  <c r="AH14" i="129"/>
  <c r="AX36" i="131"/>
  <c r="AJ32" i="128"/>
  <c r="Z57" i="130"/>
  <c r="AU21" i="129"/>
  <c r="AN31" i="131"/>
  <c r="BB13" i="129"/>
  <c r="AZ47" i="126"/>
  <c r="BC25" i="126"/>
  <c r="AD46" i="126"/>
  <c r="AQ32" i="129"/>
  <c r="T8" i="126"/>
  <c r="N14" i="126"/>
  <c r="AP57" i="126"/>
  <c r="AS51" i="127"/>
  <c r="O37" i="126"/>
  <c r="AB20" i="125"/>
  <c r="AK23" i="125"/>
  <c r="AO33" i="130"/>
  <c r="H40" i="125"/>
  <c r="AZ8" i="125"/>
  <c r="AI30" i="131"/>
  <c r="AF58" i="131"/>
  <c r="BC15" i="124"/>
  <c r="AV15" i="127"/>
  <c r="AD14" i="129"/>
  <c r="S38" i="129"/>
  <c r="P41" i="128"/>
  <c r="S25" i="127"/>
  <c r="H11" i="129"/>
  <c r="AO11" i="128"/>
  <c r="AB45" i="128"/>
  <c r="AW10" i="127"/>
  <c r="BE24" i="129"/>
  <c r="N31" i="128"/>
  <c r="AU49" i="128"/>
  <c r="AF16" i="127"/>
  <c r="AS34" i="129"/>
  <c r="AS20" i="129"/>
  <c r="AW32" i="131"/>
  <c r="S44" i="124"/>
  <c r="L48" i="124"/>
  <c r="AS26" i="129"/>
  <c r="AI17" i="131"/>
  <c r="AT11" i="124"/>
  <c r="AT48" i="124"/>
  <c r="Q15" i="125"/>
  <c r="AO27" i="125"/>
  <c r="AU29" i="128"/>
  <c r="BE52" i="130"/>
  <c r="T37" i="132"/>
  <c r="BD31" i="132"/>
  <c r="AQ41" i="131"/>
  <c r="Q53" i="128"/>
  <c r="U53" i="130"/>
  <c r="AG40" i="131"/>
  <c r="AG31" i="128"/>
  <c r="Y23" i="128"/>
  <c r="AD50" i="130"/>
  <c r="AM17" i="130"/>
  <c r="AB14" i="128"/>
  <c r="AS31" i="128"/>
  <c r="AR40" i="129"/>
  <c r="BE14" i="129"/>
  <c r="BA35" i="124"/>
  <c r="AR30" i="124"/>
  <c r="Q20" i="124"/>
  <c r="AO16" i="129"/>
  <c r="X12" i="131"/>
  <c r="O36" i="124"/>
  <c r="M26" i="124"/>
  <c r="L32" i="129"/>
  <c r="AY26" i="131"/>
  <c r="L25" i="124"/>
  <c r="X50" i="124"/>
  <c r="AQ9" i="128"/>
  <c r="BA37" i="127"/>
  <c r="BE25" i="128"/>
  <c r="AK22" i="130"/>
  <c r="L38" i="127"/>
  <c r="AZ37" i="129"/>
  <c r="AF32" i="128"/>
  <c r="AJ48" i="130"/>
  <c r="BA44" i="127"/>
  <c r="AW58" i="129"/>
  <c r="X38" i="128"/>
  <c r="AG13" i="130"/>
  <c r="BB33" i="126"/>
  <c r="J41" i="127"/>
  <c r="Q21" i="126"/>
  <c r="AV51" i="128"/>
  <c r="K38" i="128"/>
  <c r="W33" i="130"/>
  <c r="AN47" i="123"/>
  <c r="AC43" i="123"/>
  <c r="V49" i="128"/>
  <c r="G41" i="130"/>
  <c r="AB13" i="123"/>
  <c r="AR18" i="123"/>
  <c r="BA35" i="128"/>
  <c r="AZ55" i="130"/>
  <c r="U58" i="123"/>
  <c r="AR58" i="123"/>
  <c r="AL25" i="128"/>
  <c r="AH56" i="130"/>
  <c r="AM13" i="122"/>
  <c r="AF25" i="127"/>
  <c r="AT8" i="132"/>
  <c r="AE15" i="128"/>
  <c r="T24" i="131"/>
  <c r="Z35" i="130"/>
  <c r="AJ18" i="131"/>
  <c r="AC20" i="125"/>
  <c r="AY39" i="131"/>
  <c r="AY25" i="130"/>
  <c r="AJ54" i="126"/>
  <c r="M34" i="126"/>
  <c r="AD8" i="127"/>
  <c r="I9" i="125"/>
  <c r="Z12" i="126"/>
  <c r="AU40" i="125"/>
  <c r="AH27" i="127"/>
  <c r="T18" i="125"/>
  <c r="AY23" i="126"/>
  <c r="AZ22" i="125"/>
  <c r="V29" i="127"/>
  <c r="AJ15" i="127"/>
  <c r="AQ8" i="129"/>
  <c r="AO45" i="122"/>
  <c r="AC41" i="122"/>
  <c r="AZ47" i="127"/>
  <c r="AY14" i="129"/>
  <c r="AG56" i="122"/>
  <c r="N33" i="122"/>
  <c r="AS43" i="127"/>
  <c r="AR39" i="129"/>
  <c r="M15" i="122"/>
  <c r="AH12" i="122"/>
  <c r="Q27" i="130"/>
  <c r="AD13" i="125"/>
  <c r="AT11" i="125"/>
  <c r="AK47" i="128"/>
  <c r="AO49" i="130"/>
  <c r="Z54" i="132"/>
  <c r="K25" i="128"/>
  <c r="P42" i="128"/>
  <c r="AS44" i="130"/>
  <c r="BE32" i="131"/>
  <c r="AL35" i="130"/>
  <c r="O30" i="126"/>
  <c r="AM17" i="127"/>
  <c r="BA44" i="131"/>
  <c r="AV9" i="131"/>
  <c r="Z50" i="130"/>
  <c r="AZ40" i="124"/>
  <c r="I37" i="128"/>
  <c r="G21" i="125"/>
  <c r="BA45" i="129"/>
  <c r="Z16" i="124"/>
  <c r="S42" i="127"/>
  <c r="O8" i="131"/>
  <c r="AB46" i="129"/>
  <c r="W41" i="131"/>
  <c r="AM52" i="126"/>
  <c r="P10" i="131"/>
  <c r="AQ50" i="129"/>
  <c r="BD47" i="131"/>
  <c r="BC46" i="127"/>
  <c r="AW16" i="131"/>
  <c r="AM57" i="132"/>
  <c r="BB33" i="128"/>
  <c r="AQ24" i="128"/>
  <c r="AK12" i="129"/>
  <c r="T24" i="132"/>
  <c r="AW24" i="128"/>
  <c r="AG48" i="128"/>
  <c r="M18" i="129"/>
  <c r="AH52" i="132"/>
  <c r="I24" i="128"/>
  <c r="AM50" i="127"/>
  <c r="AF50" i="129"/>
  <c r="H13" i="126"/>
  <c r="AN52" i="132"/>
  <c r="V11" i="129"/>
  <c r="M23" i="125"/>
  <c r="AF40" i="128"/>
  <c r="AJ43" i="128"/>
  <c r="AQ37" i="129"/>
  <c r="AV17" i="125"/>
  <c r="AB9" i="128"/>
  <c r="Z45" i="128"/>
  <c r="AX34" i="129"/>
  <c r="AO36" i="125"/>
  <c r="AJ25" i="128"/>
  <c r="AF40" i="127"/>
  <c r="AM18" i="128"/>
  <c r="AH50" i="125"/>
  <c r="AK33" i="131"/>
  <c r="AZ11" i="126"/>
  <c r="W30" i="127"/>
  <c r="AW58" i="127"/>
  <c r="AM8" i="128"/>
  <c r="AI21" i="126"/>
  <c r="AK26" i="127"/>
  <c r="G35" i="127"/>
  <c r="AV9" i="128"/>
  <c r="AP9" i="126"/>
  <c r="AB14" i="127"/>
  <c r="AU40" i="126"/>
  <c r="Z16" i="128"/>
  <c r="AQ55" i="126"/>
  <c r="AE47" i="127"/>
  <c r="Y41" i="130"/>
  <c r="AC42" i="127"/>
  <c r="AT12" i="128"/>
  <c r="AK48" i="128"/>
  <c r="AX42" i="130"/>
  <c r="Z58" i="126"/>
  <c r="W52" i="127"/>
  <c r="M37" i="126"/>
  <c r="S33" i="128"/>
  <c r="T53" i="126"/>
  <c r="AK56" i="127"/>
  <c r="U44" i="126"/>
  <c r="AV37" i="128"/>
  <c r="BE47" i="126"/>
  <c r="G58" i="127"/>
  <c r="X54" i="127"/>
  <c r="AY29" i="127"/>
  <c r="AW33" i="128"/>
  <c r="V45" i="127"/>
  <c r="BE35" i="129"/>
  <c r="BB34" i="127"/>
  <c r="X20" i="127"/>
  <c r="P51" i="127"/>
  <c r="AO44" i="129"/>
  <c r="AG36" i="127"/>
  <c r="O17" i="127"/>
  <c r="BC22" i="127"/>
  <c r="V13" i="125"/>
  <c r="AD51" i="132"/>
  <c r="BC20" i="132"/>
  <c r="AM51" i="127"/>
  <c r="AH33" i="131"/>
  <c r="AC27" i="127"/>
  <c r="AT18" i="126"/>
  <c r="Y18" i="127"/>
  <c r="AD55" i="131"/>
  <c r="AM14" i="126"/>
  <c r="AD49" i="126"/>
  <c r="I11" i="127"/>
  <c r="AR44" i="131"/>
  <c r="K17" i="126"/>
  <c r="AG32" i="126"/>
  <c r="V50" i="127"/>
  <c r="AC22" i="131"/>
  <c r="AI53" i="132"/>
  <c r="AV50" i="131"/>
  <c r="AC37" i="128"/>
  <c r="AG22" i="130"/>
  <c r="AM14" i="129"/>
  <c r="AB27" i="131"/>
  <c r="AG25" i="127"/>
  <c r="AS29" i="130"/>
  <c r="BA43" i="129"/>
  <c r="O13" i="131"/>
  <c r="S40" i="126"/>
  <c r="BC55" i="130"/>
  <c r="AB20" i="129"/>
  <c r="BB40" i="132"/>
  <c r="Y13" i="126"/>
  <c r="AY32" i="132"/>
  <c r="Z9" i="125"/>
  <c r="BC9" i="126"/>
  <c r="AD15" i="126"/>
  <c r="AS58" i="128"/>
  <c r="AH23" i="125"/>
  <c r="H37" i="126"/>
  <c r="X56" i="126"/>
  <c r="T26" i="127"/>
  <c r="AZ11" i="125"/>
  <c r="Z43" i="126"/>
  <c r="AM48" i="125"/>
  <c r="V9" i="127"/>
  <c r="AE21" i="125"/>
  <c r="V48" i="126"/>
  <c r="AL51" i="126"/>
  <c r="Z31" i="130"/>
  <c r="AG30" i="125"/>
  <c r="AH42" i="125"/>
  <c r="AY56" i="126"/>
  <c r="K51" i="130"/>
  <c r="T51" i="125"/>
  <c r="H29" i="125"/>
  <c r="AH16" i="126"/>
  <c r="AT18" i="130"/>
  <c r="X37" i="125"/>
  <c r="AT26" i="125"/>
  <c r="AX53" i="126"/>
  <c r="BB35" i="131"/>
  <c r="AW48" i="128"/>
  <c r="Q43" i="126"/>
  <c r="AG16" i="127"/>
  <c r="AQ8" i="130"/>
  <c r="AQ49" i="125"/>
  <c r="AX36" i="126"/>
  <c r="AX37" i="127"/>
  <c r="AV29" i="130"/>
  <c r="AY35" i="125"/>
  <c r="L40" i="125"/>
  <c r="AJ32" i="127"/>
  <c r="T45" i="130"/>
  <c r="S56" i="125"/>
  <c r="AG25" i="125"/>
  <c r="BE37" i="127"/>
  <c r="AB31" i="125"/>
  <c r="AS44" i="129"/>
  <c r="W37" i="129"/>
  <c r="Z36" i="129"/>
  <c r="BE53" i="131"/>
  <c r="AR33" i="129"/>
  <c r="BB51" i="129"/>
  <c r="AQ55" i="129"/>
  <c r="AK48" i="129"/>
  <c r="BD43" i="129"/>
  <c r="M16" i="128"/>
  <c r="BA17" i="128"/>
  <c r="AX33" i="128"/>
  <c r="AI56" i="129"/>
  <c r="AL18" i="128"/>
  <c r="AU12" i="128"/>
  <c r="I8" i="125"/>
  <c r="G20" i="131"/>
  <c r="P24" i="130"/>
  <c r="T46" i="126"/>
  <c r="AY30" i="128"/>
  <c r="Q58" i="131"/>
  <c r="AG8" i="130"/>
  <c r="X36" i="126"/>
  <c r="Z21" i="127"/>
  <c r="AZ33" i="131"/>
  <c r="AW11" i="130"/>
  <c r="AH49" i="126"/>
  <c r="BC18" i="127"/>
  <c r="AU17" i="131"/>
  <c r="AW10" i="130"/>
  <c r="AK15" i="125"/>
  <c r="AQ31" i="126"/>
  <c r="AW23" i="128"/>
  <c r="N50" i="127"/>
  <c r="T41" i="127"/>
  <c r="AQ39" i="125"/>
  <c r="N46" i="128"/>
  <c r="BA55" i="127"/>
  <c r="J47" i="127"/>
  <c r="Y44" i="125"/>
  <c r="P50" i="125"/>
  <c r="I26" i="126"/>
  <c r="BC51" i="128"/>
  <c r="M33" i="127"/>
  <c r="Q26" i="128"/>
  <c r="BA39" i="128"/>
  <c r="AH51" i="125"/>
  <c r="U17" i="128"/>
  <c r="Q27" i="127"/>
  <c r="AQ40" i="128"/>
  <c r="S58" i="132"/>
  <c r="O21" i="126"/>
  <c r="AV53" i="127"/>
  <c r="AO14" i="128"/>
  <c r="BB39" i="131"/>
  <c r="AY48" i="126"/>
  <c r="AO31" i="127"/>
  <c r="G25" i="128"/>
  <c r="J37" i="131"/>
  <c r="H54" i="126"/>
  <c r="AK36" i="127"/>
  <c r="S9" i="128"/>
  <c r="AL11" i="128"/>
  <c r="I30" i="130"/>
  <c r="AM11" i="124"/>
  <c r="BC21" i="124"/>
  <c r="T50" i="127"/>
  <c r="AE17" i="130"/>
  <c r="P58" i="124"/>
  <c r="M58" i="131"/>
  <c r="AQ58" i="125"/>
  <c r="AW45" i="130"/>
  <c r="AF23" i="131"/>
  <c r="AR18" i="131"/>
  <c r="AB15" i="131"/>
  <c r="AF51" i="130"/>
  <c r="T55" i="131"/>
  <c r="AH31" i="131"/>
  <c r="BC8" i="128"/>
  <c r="O29" i="127"/>
  <c r="AR34" i="129"/>
  <c r="AB25" i="126"/>
  <c r="V8" i="129"/>
  <c r="H20" i="124"/>
  <c r="S39" i="128"/>
  <c r="AU29" i="125"/>
  <c r="AU46" i="129"/>
  <c r="AL47" i="124"/>
  <c r="AS31" i="127"/>
  <c r="Z29" i="131"/>
  <c r="Z47" i="129"/>
  <c r="BC15" i="131"/>
  <c r="BD22" i="126"/>
  <c r="BB22" i="131"/>
  <c r="AB25" i="127"/>
  <c r="K47" i="130"/>
  <c r="AT54" i="128"/>
  <c r="W45" i="128"/>
  <c r="K35" i="127"/>
  <c r="BB10" i="129"/>
  <c r="K17" i="128"/>
  <c r="O51" i="128"/>
  <c r="AU39" i="130"/>
  <c r="L45" i="130"/>
  <c r="AG50" i="130"/>
  <c r="U33" i="125"/>
  <c r="BB58" i="127"/>
  <c r="AW48" i="125"/>
  <c r="Z55" i="129"/>
  <c r="V53" i="125"/>
  <c r="AG52" i="126"/>
  <c r="AU24" i="131"/>
  <c r="O39" i="126"/>
  <c r="I48" i="130"/>
  <c r="O54" i="128"/>
  <c r="N25" i="131"/>
  <c r="Q22" i="125"/>
  <c r="N54" i="130"/>
  <c r="H20" i="127"/>
  <c r="O9" i="131"/>
  <c r="I33" i="125"/>
  <c r="I26" i="129"/>
  <c r="AZ27" i="127"/>
  <c r="W50" i="132"/>
  <c r="AF51" i="125"/>
  <c r="X27" i="129"/>
  <c r="Q27" i="131"/>
  <c r="AP38" i="125"/>
  <c r="AC53" i="128"/>
  <c r="G14" i="128"/>
  <c r="AO13" i="130"/>
  <c r="AL38" i="125"/>
  <c r="Y24" i="128"/>
  <c r="AD50" i="128"/>
  <c r="O57" i="129"/>
  <c r="AT53" i="131"/>
  <c r="AM24" i="127"/>
  <c r="AU12" i="127"/>
  <c r="AI45" i="128"/>
  <c r="AY13" i="130"/>
  <c r="BD8" i="127"/>
  <c r="Q27" i="126"/>
  <c r="Z49" i="126"/>
  <c r="AP30" i="128"/>
  <c r="V57" i="130"/>
  <c r="AQ42" i="127"/>
  <c r="AJ15" i="128"/>
  <c r="AL27" i="128"/>
  <c r="AP57" i="130"/>
  <c r="G11" i="131"/>
  <c r="I26" i="128"/>
  <c r="AN58" i="128"/>
  <c r="AY58" i="130"/>
  <c r="AE12" i="131"/>
  <c r="S11" i="128"/>
  <c r="W46" i="128"/>
  <c r="Z54" i="130"/>
  <c r="I29" i="129"/>
  <c r="AD15" i="124"/>
  <c r="AO31" i="124"/>
  <c r="M20" i="124"/>
  <c r="L21" i="129"/>
  <c r="P44" i="124"/>
  <c r="K36" i="124"/>
  <c r="AR25" i="124"/>
  <c r="BB53" i="129"/>
  <c r="AY48" i="129"/>
  <c r="U37" i="129"/>
  <c r="AZ31" i="130"/>
  <c r="AX26" i="131"/>
  <c r="AM32" i="131"/>
  <c r="S55" i="130"/>
  <c r="AH10" i="124"/>
  <c r="AH47" i="125"/>
  <c r="AH24" i="127"/>
  <c r="AJ21" i="129"/>
  <c r="AJ44" i="129"/>
  <c r="AU39" i="128"/>
  <c r="Q22" i="127"/>
  <c r="P8" i="129"/>
  <c r="AM37" i="128"/>
  <c r="Z46" i="128"/>
  <c r="L10" i="127"/>
  <c r="BA24" i="129"/>
  <c r="AP20" i="128"/>
  <c r="AO50" i="128"/>
  <c r="AW15" i="127"/>
  <c r="AK8" i="129"/>
  <c r="X20" i="129"/>
  <c r="AO32" i="131"/>
  <c r="BE48" i="124"/>
  <c r="AR33" i="124"/>
  <c r="X26" i="129"/>
  <c r="X17" i="131"/>
  <c r="AR49" i="124"/>
  <c r="AF53" i="124"/>
  <c r="AT50" i="129"/>
  <c r="AC55" i="131"/>
  <c r="BE42" i="124"/>
  <c r="AI26" i="124"/>
  <c r="W58" i="129"/>
  <c r="AL13" i="131"/>
  <c r="AC43" i="124"/>
  <c r="AC27" i="131"/>
  <c r="AR29" i="125"/>
  <c r="Y51" i="126"/>
  <c r="BE22" i="128"/>
  <c r="AI18" i="125"/>
  <c r="AP15" i="126"/>
  <c r="BB45" i="126"/>
  <c r="AR40" i="127"/>
  <c r="T8" i="125"/>
  <c r="L12" i="126"/>
  <c r="AN39" i="126"/>
  <c r="Z14" i="127"/>
  <c r="I21" i="125"/>
  <c r="Z25" i="126"/>
  <c r="AC40" i="125"/>
  <c r="AI12" i="127"/>
  <c r="BA14" i="127"/>
  <c r="AG30" i="129"/>
  <c r="H12" i="122"/>
  <c r="L57" i="122"/>
  <c r="AW21" i="127"/>
  <c r="AL14" i="129"/>
  <c r="AX9" i="122"/>
  <c r="AZ46" i="122"/>
  <c r="Z12" i="127"/>
  <c r="AX32" i="131"/>
  <c r="AG20" i="126"/>
  <c r="U38" i="128"/>
  <c r="J52" i="131"/>
  <c r="AL46" i="126"/>
  <c r="U58" i="127"/>
  <c r="Y54" i="126"/>
  <c r="AY44" i="128"/>
  <c r="BB30" i="126"/>
  <c r="AJ51" i="127"/>
  <c r="AB13" i="126"/>
  <c r="AG38" i="128"/>
  <c r="J21" i="126"/>
  <c r="AM31" i="126"/>
  <c r="AJ24" i="126"/>
  <c r="AD47" i="128"/>
  <c r="BB42" i="128"/>
  <c r="AG42" i="130"/>
  <c r="O14" i="122"/>
  <c r="S15" i="122"/>
  <c r="J51" i="128"/>
  <c r="S35" i="130"/>
  <c r="S32" i="122"/>
  <c r="AC33" i="122"/>
  <c r="AV9" i="127"/>
  <c r="K23" i="129"/>
  <c r="BC31" i="122"/>
  <c r="T14" i="122"/>
  <c r="AP25" i="130"/>
  <c r="AL21" i="125"/>
  <c r="BD14" i="126"/>
  <c r="AE25" i="128"/>
  <c r="AQ14" i="126"/>
  <c r="AX23" i="127"/>
  <c r="O24" i="126"/>
  <c r="AZ8" i="128"/>
  <c r="P26" i="126"/>
  <c r="X34" i="127"/>
  <c r="BB11" i="126"/>
  <c r="Y46" i="128"/>
  <c r="O38" i="131"/>
  <c r="V18" i="129"/>
  <c r="H43" i="130"/>
  <c r="U21" i="130"/>
  <c r="AT40" i="128"/>
  <c r="I11" i="128"/>
  <c r="BD24" i="121"/>
  <c r="AE14" i="121"/>
  <c r="AM47" i="127"/>
  <c r="AX16" i="127"/>
  <c r="AC31" i="121"/>
  <c r="AW14" i="121"/>
  <c r="AJ48" i="125"/>
  <c r="AI54" i="125"/>
  <c r="I30" i="121"/>
  <c r="AS24" i="121"/>
  <c r="M55" i="125"/>
  <c r="AM49" i="124"/>
  <c r="AO41" i="121"/>
  <c r="AM31" i="128"/>
  <c r="V9" i="128"/>
  <c r="AK9" i="130"/>
  <c r="S31" i="125"/>
  <c r="BA49" i="125"/>
  <c r="AZ34" i="126"/>
  <c r="K35" i="130"/>
  <c r="AF49" i="125"/>
  <c r="AB46" i="125"/>
  <c r="AG40" i="124"/>
  <c r="AM33" i="127"/>
  <c r="AY30" i="127"/>
  <c r="AP54" i="128"/>
  <c r="X16" i="131"/>
  <c r="AQ20" i="127"/>
  <c r="N56" i="127"/>
  <c r="AF44" i="128"/>
  <c r="AI12" i="131"/>
  <c r="AL58" i="127"/>
  <c r="AM33" i="126"/>
  <c r="AE21" i="130"/>
  <c r="AT53" i="130"/>
  <c r="W14" i="120"/>
  <c r="AP18" i="120"/>
  <c r="AS13" i="129"/>
  <c r="AJ16" i="129"/>
  <c r="AZ21" i="120"/>
  <c r="AE11" i="120"/>
  <c r="AM9" i="128"/>
  <c r="I9" i="128"/>
  <c r="AO57" i="120"/>
  <c r="AW48" i="120"/>
  <c r="Z36" i="131"/>
  <c r="AW10" i="131"/>
  <c r="BD48" i="126"/>
  <c r="Q45" i="128"/>
  <c r="BA20" i="126"/>
  <c r="AK12" i="127"/>
  <c r="K55" i="126"/>
  <c r="P56" i="128"/>
  <c r="AH58" i="126"/>
  <c r="AM49" i="126"/>
  <c r="AS12" i="126"/>
  <c r="AY23" i="128"/>
  <c r="K10" i="129"/>
  <c r="AM20" i="125"/>
  <c r="Q33" i="129"/>
  <c r="AT37" i="128"/>
  <c r="Y44" i="131"/>
  <c r="K46" i="131"/>
  <c r="P27" i="121"/>
  <c r="AK11" i="121"/>
  <c r="BD23" i="131"/>
  <c r="M55" i="131"/>
  <c r="AG27" i="121"/>
  <c r="AK48" i="121"/>
  <c r="AN11" i="130"/>
  <c r="I24" i="130"/>
  <c r="AX16" i="120"/>
  <c r="BD14" i="120"/>
  <c r="AV18" i="130"/>
  <c r="AN58" i="130"/>
  <c r="AO14" i="120"/>
  <c r="AV41" i="127"/>
  <c r="AL26" i="126"/>
  <c r="AQ58" i="130"/>
  <c r="S55" i="131"/>
  <c r="AE27" i="131"/>
  <c r="BC23" i="126"/>
  <c r="AR53" i="130"/>
  <c r="AO13" i="131"/>
  <c r="AI39" i="131"/>
  <c r="AG48" i="131"/>
  <c r="AY54" i="126"/>
  <c r="I20" i="125"/>
  <c r="Q51" i="127"/>
  <c r="H32" i="131"/>
  <c r="Q50" i="126"/>
  <c r="X12" i="125"/>
  <c r="AX40" i="126"/>
  <c r="AH53" i="131"/>
  <c r="AY21" i="125"/>
  <c r="M35" i="125"/>
  <c r="AZ22" i="128"/>
  <c r="AS56" i="128"/>
  <c r="BA39" i="120"/>
  <c r="L29" i="120"/>
  <c r="AG36" i="128"/>
  <c r="H39" i="128"/>
  <c r="N45" i="120"/>
  <c r="AO33" i="120"/>
  <c r="N37" i="127"/>
  <c r="J58" i="127"/>
  <c r="X49" i="120"/>
  <c r="S50" i="120"/>
  <c r="AG43" i="132"/>
  <c r="AO18" i="131"/>
  <c r="V27" i="126"/>
  <c r="AZ51" i="129"/>
  <c r="AS55" i="131"/>
  <c r="K21" i="127"/>
  <c r="AL8" i="129"/>
  <c r="I45" i="132"/>
  <c r="J50" i="129"/>
  <c r="BD25" i="132"/>
  <c r="V48" i="131"/>
  <c r="O20" i="130"/>
  <c r="AT54" i="125"/>
  <c r="AR58" i="132"/>
  <c r="J35" i="131"/>
  <c r="BA26" i="130"/>
  <c r="AT43" i="125"/>
  <c r="BC8" i="131"/>
  <c r="AM31" i="130"/>
  <c r="AT34" i="130"/>
  <c r="AK32" i="125"/>
  <c r="AW47" i="131"/>
  <c r="BC31" i="130"/>
  <c r="AT40" i="131"/>
  <c r="H20" i="128"/>
  <c r="Z44" i="132"/>
  <c r="AV25" i="125"/>
  <c r="L42" i="126"/>
  <c r="AD12" i="127"/>
  <c r="O40" i="131"/>
  <c r="Q17" i="125"/>
  <c r="K42" i="126"/>
  <c r="AR10" i="127"/>
  <c r="AT14" i="131"/>
  <c r="X23" i="125"/>
  <c r="AF53" i="126"/>
  <c r="O11" i="127"/>
  <c r="AN55" i="129"/>
  <c r="BE40" i="132"/>
  <c r="V20" i="132"/>
  <c r="AZ37" i="126"/>
  <c r="X53" i="130"/>
  <c r="AR41" i="131"/>
  <c r="AO29" i="131"/>
  <c r="AX40" i="125"/>
  <c r="AV54" i="130"/>
  <c r="U57" i="131"/>
  <c r="AI13" i="131"/>
  <c r="AI26" i="125"/>
  <c r="BD8" i="129"/>
  <c r="AL18" i="131"/>
  <c r="V27" i="131"/>
  <c r="AC26" i="125"/>
  <c r="AH41" i="131"/>
  <c r="G44" i="125"/>
  <c r="AM49" i="125"/>
  <c r="O50" i="129"/>
  <c r="S50" i="125"/>
  <c r="AZ35" i="125"/>
  <c r="AQ11" i="125"/>
  <c r="L35" i="126"/>
  <c r="AP27" i="131"/>
  <c r="AM36" i="124"/>
  <c r="BC18" i="125"/>
  <c r="T27" i="125"/>
  <c r="AS51" i="131"/>
  <c r="AB33" i="124"/>
  <c r="AV8" i="125"/>
  <c r="O47" i="126"/>
  <c r="AN49" i="127"/>
  <c r="M31" i="126"/>
  <c r="AT27" i="128"/>
  <c r="N20" i="132"/>
  <c r="AC11" i="126"/>
  <c r="AB15" i="129"/>
  <c r="AR57" i="129"/>
  <c r="AJ54" i="132"/>
  <c r="P29" i="126"/>
  <c r="AW48" i="129"/>
  <c r="S43" i="129"/>
  <c r="AQ31" i="131"/>
  <c r="AS13" i="126"/>
  <c r="AZ56" i="125"/>
  <c r="AY46" i="126"/>
  <c r="L16" i="125"/>
  <c r="X56" i="127"/>
  <c r="K46" i="125"/>
  <c r="K58" i="126"/>
  <c r="AY22" i="125"/>
  <c r="AT37" i="127"/>
  <c r="G35" i="125"/>
  <c r="AV52" i="126"/>
  <c r="AQ27" i="125"/>
  <c r="I8" i="127"/>
  <c r="AF12" i="131"/>
  <c r="AH39" i="132"/>
  <c r="BB14" i="132"/>
  <c r="AI43" i="125"/>
  <c r="AK9" i="129"/>
  <c r="AO36" i="131"/>
  <c r="W10" i="131"/>
  <c r="Y49" i="125"/>
  <c r="P42" i="129"/>
  <c r="BB48" i="131"/>
  <c r="AB40" i="130"/>
  <c r="G55" i="125"/>
  <c r="BE47" i="129"/>
  <c r="AI29" i="131"/>
  <c r="I40" i="130"/>
  <c r="S44" i="125"/>
  <c r="U53" i="132"/>
  <c r="AX58" i="126"/>
  <c r="AN23" i="130"/>
  <c r="AD53" i="125"/>
  <c r="AQ21" i="124"/>
  <c r="X21" i="126"/>
  <c r="AJ31" i="130"/>
  <c r="J50" i="125"/>
  <c r="K9" i="131"/>
  <c r="AY31" i="126"/>
  <c r="Z38" i="130"/>
  <c r="AH16" i="124"/>
  <c r="I13" i="131"/>
  <c r="K44" i="126"/>
  <c r="K56" i="132"/>
  <c r="AE36" i="129"/>
  <c r="H47" i="125"/>
  <c r="S29" i="128"/>
  <c r="BA13" i="127"/>
  <c r="AF13" i="128"/>
  <c r="U53" i="125"/>
  <c r="BA49" i="128"/>
  <c r="BE54" i="127"/>
  <c r="T36" i="128"/>
  <c r="K41" i="131"/>
  <c r="N25" i="127"/>
  <c r="AS32" i="127"/>
  <c r="X57" i="128"/>
  <c r="AF18" i="131"/>
  <c r="AI24" i="129"/>
  <c r="AG57" i="132"/>
  <c r="X29" i="124"/>
  <c r="AM32" i="128"/>
  <c r="AK49" i="130"/>
  <c r="AH40" i="132"/>
  <c r="BC55" i="124"/>
  <c r="Q14" i="128"/>
  <c r="AK16" i="130"/>
  <c r="K29" i="132"/>
  <c r="AQ26" i="131"/>
  <c r="I12" i="128"/>
  <c r="U44" i="130"/>
  <c r="S23" i="128"/>
  <c r="AE18" i="130"/>
  <c r="H41" i="126"/>
  <c r="J17" i="132"/>
  <c r="AM48" i="130"/>
  <c r="W21" i="126"/>
  <c r="AW37" i="128"/>
  <c r="N24" i="124"/>
  <c r="AF30" i="130"/>
  <c r="S30" i="126"/>
  <c r="AW35" i="128"/>
  <c r="O36" i="131"/>
  <c r="Y13" i="130"/>
  <c r="AR53" i="126"/>
  <c r="BD11" i="127"/>
  <c r="AS23" i="131"/>
  <c r="V11" i="130"/>
  <c r="AK32" i="126"/>
  <c r="AX50" i="128"/>
  <c r="AQ10" i="128"/>
  <c r="AD49" i="127"/>
  <c r="AB39" i="127"/>
  <c r="AD24" i="126"/>
  <c r="AV42" i="128"/>
  <c r="AQ55" i="127"/>
  <c r="AL46" i="127"/>
  <c r="AQ20" i="130"/>
  <c r="AL27" i="127"/>
  <c r="I41" i="127"/>
  <c r="AC34" i="127"/>
  <c r="T20" i="130"/>
  <c r="L36" i="127"/>
  <c r="AC45" i="127"/>
  <c r="AX33" i="132"/>
  <c r="AI41" i="126"/>
  <c r="W17" i="125"/>
  <c r="BC42" i="129"/>
  <c r="T30" i="131"/>
  <c r="AY40" i="127"/>
  <c r="J14" i="129"/>
  <c r="AL53" i="129"/>
  <c r="AU51" i="131"/>
  <c r="J18" i="127"/>
  <c r="AW9" i="129"/>
  <c r="O38" i="129"/>
  <c r="G40" i="130"/>
  <c r="AZ15" i="127"/>
  <c r="AO24" i="129"/>
  <c r="AV51" i="129"/>
  <c r="AH22" i="130"/>
  <c r="AN20" i="125"/>
  <c r="Z16" i="125"/>
  <c r="AS21" i="125"/>
  <c r="L12" i="125"/>
  <c r="AP57" i="125"/>
  <c r="AB26" i="125"/>
  <c r="AB27" i="125"/>
  <c r="AJ17" i="125"/>
  <c r="T36" i="129"/>
  <c r="AS48" i="129"/>
  <c r="AR24" i="129"/>
  <c r="L32" i="131"/>
  <c r="AR52" i="131"/>
  <c r="U11" i="130"/>
  <c r="AI47" i="125"/>
  <c r="P38" i="129"/>
  <c r="AS42" i="128"/>
  <c r="O11" i="130"/>
  <c r="BC54" i="127"/>
  <c r="AE23" i="130"/>
  <c r="P58" i="125"/>
  <c r="K50" i="129"/>
  <c r="AD14" i="126"/>
  <c r="AT18" i="129"/>
  <c r="AL25" i="124"/>
  <c r="AL32" i="128"/>
  <c r="J56" i="125"/>
  <c r="T57" i="129"/>
  <c r="N53" i="124"/>
  <c r="AL52" i="127"/>
  <c r="AW24" i="131"/>
  <c r="BD54" i="128"/>
  <c r="AE45" i="131"/>
  <c r="V8" i="128"/>
  <c r="S45" i="128"/>
  <c r="AI51" i="127"/>
  <c r="BD47" i="130"/>
  <c r="BD16" i="128"/>
  <c r="AV50" i="128"/>
  <c r="W25" i="125"/>
  <c r="AF40" i="126"/>
  <c r="AZ31" i="128"/>
  <c r="U20" i="128"/>
  <c r="AH41" i="126"/>
  <c r="AM33" i="125"/>
  <c r="Y36" i="128"/>
  <c r="BB24" i="128"/>
  <c r="AL53" i="130"/>
  <c r="V36" i="129"/>
  <c r="AN24" i="130"/>
  <c r="J46" i="125"/>
  <c r="BC29" i="132"/>
  <c r="AJ29" i="131"/>
  <c r="AN49" i="130"/>
  <c r="AL46" i="125"/>
  <c r="AB17" i="131"/>
  <c r="Q51" i="131"/>
  <c r="AZ38" i="130"/>
  <c r="AL35" i="125"/>
  <c r="AI8" i="131"/>
  <c r="K40" i="130"/>
  <c r="BC46" i="130"/>
  <c r="BD52" i="125"/>
  <c r="O52" i="129"/>
  <c r="AT58" i="127"/>
  <c r="AX13" i="126"/>
  <c r="BB23" i="126"/>
  <c r="AB15" i="128"/>
  <c r="Z56" i="127"/>
  <c r="V12" i="126"/>
  <c r="AW15" i="126"/>
  <c r="AR57" i="125"/>
  <c r="AX32" i="125"/>
  <c r="AN27" i="130"/>
  <c r="Z18" i="126"/>
  <c r="AM14" i="125"/>
  <c r="N57" i="127"/>
  <c r="U49" i="125"/>
  <c r="AG29" i="126"/>
  <c r="K46" i="127"/>
  <c r="J20" i="128"/>
  <c r="Y33" i="130"/>
  <c r="AT53" i="125"/>
  <c r="L23" i="129"/>
  <c r="Q20" i="130"/>
  <c r="AR25" i="130"/>
  <c r="AM30" i="124"/>
  <c r="AJ38" i="129"/>
  <c r="S29" i="130"/>
  <c r="AM15" i="129"/>
  <c r="J43" i="124"/>
  <c r="AB56" i="129"/>
  <c r="S37" i="130"/>
  <c r="G30" i="129"/>
  <c r="AD18" i="124"/>
  <c r="W18" i="128"/>
  <c r="AR15" i="126"/>
  <c r="AT27" i="126"/>
  <c r="Z23" i="126"/>
  <c r="AC55" i="126"/>
  <c r="V45" i="126"/>
  <c r="AZ42" i="126"/>
  <c r="X38" i="126"/>
  <c r="AJ30" i="130"/>
  <c r="W57" i="126"/>
  <c r="AF55" i="126"/>
  <c r="G52" i="126"/>
  <c r="U30" i="130"/>
  <c r="AH20" i="126"/>
  <c r="P50" i="126"/>
  <c r="AM45" i="127"/>
  <c r="AX46" i="131"/>
  <c r="V41" i="126"/>
  <c r="X41" i="128"/>
  <c r="AB30" i="126"/>
  <c r="W31" i="127"/>
  <c r="V47" i="126"/>
  <c r="AS45" i="128"/>
  <c r="AP42" i="126"/>
  <c r="AG17" i="127"/>
  <c r="X11" i="126"/>
  <c r="L50" i="128"/>
  <c r="Y36" i="126"/>
  <c r="BB24" i="127"/>
  <c r="L25" i="126"/>
  <c r="Y50" i="128"/>
  <c r="AQ36" i="128"/>
  <c r="Z53" i="130"/>
  <c r="U53" i="123"/>
  <c r="AT40" i="122"/>
  <c r="Q51" i="128"/>
  <c r="AL48" i="130"/>
  <c r="AK20" i="122"/>
  <c r="AR21" i="122"/>
  <c r="BD58" i="131"/>
  <c r="AX45" i="127"/>
  <c r="Q30" i="127"/>
  <c r="AU14" i="128"/>
  <c r="BA56" i="129"/>
  <c r="AJ57" i="130"/>
  <c r="K11" i="131"/>
  <c r="AW15" i="125"/>
  <c r="AJ45" i="126"/>
  <c r="AH56" i="128"/>
  <c r="Q25" i="125"/>
  <c r="AP13" i="126"/>
  <c r="AX56" i="126"/>
  <c r="V47" i="128"/>
  <c r="G25" i="125"/>
  <c r="AI22" i="126"/>
  <c r="AC51" i="126"/>
  <c r="Y40" i="127"/>
  <c r="M15" i="125"/>
  <c r="J25" i="126"/>
  <c r="G46" i="126"/>
  <c r="J21" i="127"/>
  <c r="P14" i="127"/>
  <c r="I30" i="129"/>
  <c r="T9" i="122"/>
  <c r="AB56" i="122"/>
  <c r="H21" i="127"/>
  <c r="AU13" i="129"/>
  <c r="H27" i="122"/>
  <c r="AB27" i="122"/>
  <c r="H43" i="127"/>
  <c r="AB22" i="129"/>
  <c r="AX13" i="122"/>
  <c r="BA9" i="122"/>
  <c r="AQ48" i="127"/>
  <c r="AJ29" i="129"/>
  <c r="AV22" i="122"/>
  <c r="AP14" i="125"/>
  <c r="G23" i="125"/>
  <c r="AV8" i="126"/>
  <c r="BA48" i="128"/>
  <c r="AH16" i="127"/>
  <c r="AX40" i="128"/>
  <c r="Q45" i="125"/>
  <c r="Y45" i="128"/>
  <c r="T15" i="127"/>
  <c r="I18" i="128"/>
  <c r="AU30" i="124"/>
  <c r="M40" i="127"/>
  <c r="AY53" i="127"/>
  <c r="J37" i="128"/>
  <c r="AR42" i="131"/>
  <c r="AI10" i="127"/>
  <c r="J53" i="127"/>
  <c r="AP31" i="130"/>
  <c r="BD23" i="130"/>
  <c r="AN13" i="120"/>
  <c r="AK15" i="120"/>
  <c r="J51" i="130"/>
  <c r="K31" i="130"/>
  <c r="AT20" i="120"/>
  <c r="W11" i="120"/>
  <c r="H51" i="125"/>
  <c r="J9" i="131"/>
  <c r="BD32" i="125"/>
  <c r="AR15" i="129"/>
  <c r="AT26" i="127"/>
  <c r="AR25" i="131"/>
  <c r="AW29" i="126"/>
  <c r="K22" i="129"/>
  <c r="AK41" i="129"/>
  <c r="I31" i="131"/>
  <c r="P10" i="126"/>
  <c r="H26" i="129"/>
  <c r="AM47" i="128"/>
  <c r="AY22" i="130"/>
  <c r="BB50" i="126"/>
  <c r="AD38" i="129"/>
  <c r="I33" i="128"/>
  <c r="Z25" i="124"/>
  <c r="N21" i="124"/>
  <c r="U17" i="121"/>
  <c r="BA16" i="121"/>
  <c r="BA20" i="131"/>
  <c r="AI9" i="131"/>
  <c r="AL33" i="121"/>
  <c r="I17" i="121"/>
  <c r="J39" i="130"/>
  <c r="M46" i="130"/>
  <c r="N23" i="120"/>
  <c r="K10" i="120"/>
  <c r="L8" i="127"/>
  <c r="AC16" i="127"/>
  <c r="W42" i="129"/>
  <c r="K48" i="131"/>
  <c r="AM33" i="130"/>
  <c r="K9" i="124"/>
  <c r="W16" i="125"/>
  <c r="BD46" i="131"/>
  <c r="P8" i="130"/>
  <c r="BB31" i="131"/>
  <c r="W53" i="132"/>
  <c r="BA55" i="131"/>
  <c r="G14" i="130"/>
  <c r="S47" i="126"/>
  <c r="K32" i="130"/>
  <c r="Z51" i="125"/>
  <c r="AQ48" i="125"/>
  <c r="AU56" i="127"/>
  <c r="AD38" i="131"/>
  <c r="AX44" i="119"/>
  <c r="W30" i="119"/>
  <c r="G40" i="126"/>
  <c r="V50" i="130"/>
  <c r="K53" i="119"/>
  <c r="AE41" i="119"/>
  <c r="AX8" i="126"/>
  <c r="G36" i="127"/>
  <c r="L55" i="119"/>
  <c r="AW45" i="119"/>
  <c r="BE54" i="126"/>
  <c r="AK57" i="127"/>
  <c r="Y9" i="119"/>
  <c r="AW53" i="128"/>
  <c r="I27" i="128"/>
  <c r="AV10" i="128"/>
  <c r="BD32" i="130"/>
  <c r="T26" i="132"/>
  <c r="AV38" i="131"/>
  <c r="AD17" i="128"/>
  <c r="AO39" i="130"/>
  <c r="AQ23" i="131"/>
  <c r="T16" i="129"/>
  <c r="AS16" i="131"/>
  <c r="O11" i="131"/>
  <c r="AQ16" i="125"/>
  <c r="AI11" i="129"/>
  <c r="AY45" i="131"/>
  <c r="J58" i="131"/>
  <c r="AG31" i="125"/>
  <c r="AW14" i="129"/>
  <c r="AT27" i="131"/>
  <c r="AH46" i="131"/>
  <c r="AE58" i="126"/>
  <c r="H54" i="125"/>
  <c r="AB44" i="119"/>
  <c r="AM14" i="118"/>
  <c r="M53" i="126"/>
  <c r="AN54" i="131"/>
  <c r="AE40" i="118"/>
  <c r="H35" i="118"/>
  <c r="AK12" i="125"/>
  <c r="AS41" i="127"/>
  <c r="AE36" i="118"/>
  <c r="AG26" i="118"/>
  <c r="P45" i="125"/>
  <c r="BA26" i="124"/>
  <c r="AP26" i="127"/>
  <c r="BE16" i="129"/>
  <c r="BC32" i="129"/>
  <c r="AX31" i="131"/>
  <c r="AV36" i="126"/>
  <c r="V49" i="129"/>
  <c r="AE50" i="129"/>
  <c r="X16" i="130"/>
  <c r="T26" i="126"/>
  <c r="BD44" i="129"/>
  <c r="Z10" i="128"/>
  <c r="N24" i="126"/>
  <c r="AQ54" i="130"/>
  <c r="AT29" i="131"/>
  <c r="H56" i="131"/>
  <c r="AH36" i="126"/>
  <c r="AX17" i="126"/>
  <c r="BB38" i="119"/>
  <c r="BC24" i="119"/>
  <c r="AH43" i="126"/>
  <c r="N20" i="126"/>
  <c r="J42" i="119"/>
  <c r="S37" i="119"/>
  <c r="S57" i="126"/>
  <c r="AO9" i="129"/>
  <c r="AO52" i="119"/>
  <c r="G49" i="119"/>
  <c r="M30" i="126"/>
  <c r="M40" i="125"/>
  <c r="AH13" i="119"/>
  <c r="AU41" i="130"/>
  <c r="AP21" i="129"/>
  <c r="AJ30" i="128"/>
  <c r="P26" i="130"/>
  <c r="AI50" i="132"/>
  <c r="AC37" i="130"/>
  <c r="AP41" i="128"/>
  <c r="AM11" i="129"/>
  <c r="O18" i="132"/>
  <c r="K31" i="129"/>
  <c r="J40" i="130"/>
  <c r="BA18" i="130"/>
  <c r="BE50" i="125"/>
  <c r="AP36" i="129"/>
  <c r="AY9" i="130"/>
  <c r="AJ27" i="130"/>
  <c r="H37" i="125"/>
  <c r="AG43" i="129"/>
  <c r="AI13" i="130"/>
  <c r="AW41" i="130"/>
  <c r="AY17" i="125"/>
  <c r="AV11" i="126"/>
  <c r="L16" i="118"/>
  <c r="S51" i="118"/>
  <c r="BD8" i="125"/>
  <c r="I23" i="126"/>
  <c r="AY22" i="118"/>
  <c r="BD23" i="132"/>
  <c r="W42" i="125"/>
  <c r="BD36" i="126"/>
  <c r="U30" i="118"/>
  <c r="AF55" i="127"/>
  <c r="AL47" i="129"/>
  <c r="G54" i="127"/>
  <c r="AM31" i="127"/>
  <c r="AY41" i="130"/>
  <c r="AP21" i="127"/>
  <c r="AT57" i="129"/>
  <c r="AK10" i="128"/>
  <c r="V17" i="130"/>
  <c r="AT30" i="127"/>
  <c r="T35" i="129"/>
  <c r="AE55" i="128"/>
  <c r="S26" i="130"/>
  <c r="W56" i="127"/>
  <c r="N42" i="129"/>
  <c r="AU20" i="128"/>
  <c r="AX34" i="130"/>
  <c r="BC32" i="127"/>
  <c r="BA49" i="129"/>
  <c r="AB8" i="132"/>
  <c r="AN27" i="128"/>
  <c r="AL10" i="129"/>
  <c r="AX54" i="126"/>
  <c r="AD13" i="131"/>
  <c r="AL54" i="128"/>
  <c r="AW35" i="129"/>
  <c r="AL14" i="126"/>
  <c r="BD35" i="131"/>
  <c r="AZ23" i="127"/>
  <c r="J56" i="129"/>
  <c r="AU23" i="125"/>
  <c r="X48" i="131"/>
  <c r="W53" i="127"/>
  <c r="U25" i="125"/>
  <c r="AE56" i="129"/>
  <c r="AL52" i="132"/>
  <c r="BA18" i="129"/>
  <c r="AB56" i="128"/>
  <c r="W10" i="129"/>
  <c r="AW12" i="132"/>
  <c r="AU49" i="129"/>
  <c r="AX56" i="128"/>
  <c r="AE25" i="129"/>
  <c r="AU49" i="132"/>
  <c r="BD32" i="129"/>
  <c r="BB38" i="128"/>
  <c r="Y23" i="129"/>
  <c r="BD17" i="131"/>
  <c r="AD9" i="128"/>
  <c r="I38" i="132"/>
  <c r="N49" i="132"/>
  <c r="Q8" i="126"/>
  <c r="AW23" i="130"/>
  <c r="AP29" i="125"/>
  <c r="AO30" i="125"/>
  <c r="AX16" i="126"/>
  <c r="BE32" i="130"/>
  <c r="AT52" i="125"/>
  <c r="W35" i="125"/>
  <c r="AX24" i="126"/>
  <c r="AS41" i="130"/>
  <c r="AZ55" i="125"/>
  <c r="J44" i="125"/>
  <c r="BD29" i="126"/>
  <c r="AR11" i="130"/>
  <c r="BA55" i="132"/>
  <c r="AW14" i="131"/>
  <c r="BA58" i="127"/>
  <c r="AL15" i="130"/>
  <c r="H20" i="129"/>
  <c r="Q32" i="126"/>
  <c r="AV31" i="130"/>
  <c r="BE29" i="124"/>
  <c r="AV11" i="131"/>
  <c r="AU23" i="126"/>
  <c r="K53" i="130"/>
  <c r="AX49" i="131"/>
  <c r="O20" i="131"/>
  <c r="AB11" i="126"/>
  <c r="AD24" i="132"/>
  <c r="AW21" i="129"/>
  <c r="AF38" i="132"/>
  <c r="U56" i="127"/>
  <c r="AL32" i="131"/>
  <c r="AE48" i="126"/>
  <c r="AV14" i="125"/>
  <c r="AJ38" i="127"/>
  <c r="BC50" i="131"/>
  <c r="H55" i="126"/>
  <c r="AI42" i="125"/>
  <c r="AM18" i="126"/>
  <c r="AF37" i="131"/>
  <c r="J13" i="125"/>
  <c r="Z44" i="125"/>
  <c r="AV57" i="129"/>
  <c r="X37" i="130"/>
  <c r="AG40" i="132"/>
  <c r="AL10" i="127"/>
  <c r="L22" i="127"/>
  <c r="AU39" i="129"/>
  <c r="AZ11" i="132"/>
  <c r="W16" i="127"/>
  <c r="BD18" i="127"/>
  <c r="AH46" i="129"/>
  <c r="BC27" i="132"/>
  <c r="AS36" i="127"/>
  <c r="V21" i="127"/>
  <c r="T39" i="129"/>
  <c r="O30" i="131"/>
  <c r="Y56" i="127"/>
  <c r="I34" i="132"/>
  <c r="AO34" i="132"/>
  <c r="J10" i="132"/>
  <c r="AN14" i="131"/>
  <c r="I16" i="128"/>
  <c r="AI27" i="130"/>
  <c r="AP39" i="132"/>
  <c r="AS25" i="131"/>
  <c r="Q58" i="128"/>
  <c r="AJ52" i="130"/>
  <c r="Z26" i="131"/>
  <c r="AW34" i="131"/>
  <c r="AF23" i="128"/>
  <c r="AD47" i="130"/>
  <c r="AJ49" i="132"/>
  <c r="K31" i="132"/>
  <c r="AT15" i="132"/>
  <c r="AJ16" i="131"/>
  <c r="G9" i="125"/>
  <c r="AB21" i="129"/>
  <c r="M51" i="131"/>
  <c r="J48" i="131"/>
  <c r="AN16" i="125"/>
  <c r="Y22" i="129"/>
  <c r="K58" i="131"/>
  <c r="L43" i="131"/>
  <c r="O25" i="125"/>
  <c r="W20" i="129"/>
  <c r="BD39" i="131"/>
  <c r="V52" i="131"/>
  <c r="AF14" i="125"/>
  <c r="AT58" i="130"/>
  <c r="S8" i="132"/>
  <c r="P50" i="131"/>
  <c r="Z24" i="126"/>
  <c r="T49" i="127"/>
  <c r="T17" i="128"/>
  <c r="AW54" i="131"/>
  <c r="AV32" i="126"/>
  <c r="AI54" i="127"/>
  <c r="AD12" i="128"/>
  <c r="Y49" i="130"/>
  <c r="AY30" i="126"/>
  <c r="Y57" i="127"/>
  <c r="K21" i="128"/>
  <c r="W23" i="131"/>
  <c r="I22" i="132"/>
  <c r="V9" i="126"/>
  <c r="P40" i="125"/>
  <c r="AS39" i="129"/>
  <c r="P56" i="131"/>
  <c r="AN20" i="128"/>
  <c r="P21" i="129"/>
  <c r="AH48" i="129"/>
  <c r="AI15" i="131"/>
  <c r="AG40" i="127"/>
  <c r="BB29" i="129"/>
  <c r="BD30" i="129"/>
  <c r="AD37" i="131"/>
  <c r="AL24" i="127"/>
  <c r="AJ24" i="129"/>
  <c r="AK44" i="129"/>
  <c r="AQ13" i="130"/>
  <c r="AC29" i="127"/>
  <c r="AU10" i="125"/>
  <c r="AO21" i="125"/>
  <c r="AS11" i="125"/>
  <c r="T12" i="125"/>
  <c r="V24" i="125"/>
  <c r="H27" i="125"/>
  <c r="L17" i="125"/>
  <c r="X43" i="130"/>
  <c r="AZ42" i="125"/>
  <c r="AG27" i="125"/>
  <c r="AG32" i="125"/>
  <c r="AR48" i="130"/>
  <c r="AR48" i="125"/>
  <c r="AG48" i="125"/>
  <c r="AD51" i="129"/>
  <c r="AS52" i="128"/>
  <c r="AE23" i="127"/>
  <c r="W34" i="127"/>
  <c r="AR35" i="129"/>
  <c r="S31" i="127"/>
  <c r="BC21" i="128"/>
  <c r="AZ31" i="127"/>
  <c r="AG42" i="129"/>
  <c r="M12" i="127"/>
  <c r="AV40" i="127"/>
  <c r="I9" i="127"/>
  <c r="Q50" i="129"/>
  <c r="AH55" i="127"/>
  <c r="BC13" i="127"/>
  <c r="AD34" i="127"/>
  <c r="AV42" i="129"/>
  <c r="AN43" i="129"/>
  <c r="H54" i="131"/>
  <c r="Y43" i="123"/>
  <c r="BC16" i="123"/>
  <c r="O56" i="129"/>
  <c r="BD40" i="130"/>
  <c r="AK24" i="123"/>
  <c r="I15" i="123"/>
  <c r="AE46" i="131"/>
  <c r="AM44" i="130"/>
  <c r="AU47" i="128"/>
  <c r="M30" i="129"/>
  <c r="BB34" i="132"/>
  <c r="AP8" i="127"/>
  <c r="AD30" i="128"/>
  <c r="U16" i="130"/>
  <c r="AH30" i="131"/>
  <c r="BC23" i="130"/>
  <c r="AO15" i="125"/>
  <c r="J12" i="132"/>
  <c r="AJ55" i="131"/>
  <c r="AH32" i="130"/>
  <c r="AQ52" i="125"/>
  <c r="W37" i="132"/>
  <c r="AS14" i="131"/>
  <c r="S39" i="130"/>
  <c r="AW51" i="125"/>
  <c r="AY20" i="131"/>
  <c r="BB36" i="131"/>
  <c r="AH46" i="130"/>
  <c r="BE41" i="125"/>
  <c r="BC29" i="129"/>
  <c r="X52" i="127"/>
  <c r="W40" i="126"/>
  <c r="AE25" i="126"/>
  <c r="S54" i="129"/>
  <c r="AG18" i="127"/>
  <c r="N11" i="126"/>
  <c r="BE13" i="126"/>
  <c r="P45" i="127"/>
  <c r="W27" i="126"/>
  <c r="AD41" i="126"/>
  <c r="AQ30" i="126"/>
  <c r="N29" i="130"/>
  <c r="AG14" i="126"/>
  <c r="AO46" i="126"/>
  <c r="Y18" i="132"/>
  <c r="AF38" i="129"/>
  <c r="U54" i="128"/>
  <c r="BC17" i="128"/>
  <c r="Q21" i="130"/>
  <c r="Z37" i="127"/>
  <c r="W35" i="129"/>
  <c r="U26" i="128"/>
  <c r="M30" i="130"/>
  <c r="AY43" i="127"/>
  <c r="Q42" i="129"/>
  <c r="AY37" i="128"/>
  <c r="M38" i="130"/>
  <c r="AU49" i="127"/>
  <c r="AZ49" i="129"/>
  <c r="AR38" i="128"/>
  <c r="X22" i="130"/>
  <c r="AF45" i="130"/>
  <c r="AI57" i="125"/>
  <c r="AI44" i="125"/>
  <c r="Z53" i="125"/>
  <c r="P51" i="130"/>
  <c r="AV46" i="125"/>
  <c r="AX36" i="125"/>
  <c r="BE49" i="125"/>
  <c r="AS53" i="126"/>
  <c r="N13" i="125"/>
  <c r="AS53" i="129"/>
  <c r="AG53" i="131"/>
  <c r="AO9" i="130"/>
  <c r="M30" i="125"/>
  <c r="BB8" i="130"/>
  <c r="AR29" i="126"/>
  <c r="U32" i="126"/>
  <c r="AN31" i="128"/>
  <c r="I17" i="130"/>
  <c r="AD57" i="127"/>
  <c r="K40" i="128"/>
  <c r="M36" i="128"/>
  <c r="AZ56" i="130"/>
  <c r="AF58" i="127"/>
  <c r="M9" i="128"/>
  <c r="AY51" i="128"/>
  <c r="AQ57" i="130"/>
  <c r="BE20" i="132"/>
  <c r="AI32" i="128"/>
  <c r="V42" i="128"/>
  <c r="AE58" i="130"/>
  <c r="AM10" i="129"/>
  <c r="AF54" i="125"/>
  <c r="AB26" i="124"/>
  <c r="AQ16" i="124"/>
  <c r="AS11" i="129"/>
  <c r="H22" i="124"/>
  <c r="H39" i="124"/>
  <c r="AN25" i="124"/>
  <c r="AJ27" i="129"/>
  <c r="AJ8" i="131"/>
  <c r="BA24" i="124"/>
  <c r="BE14" i="124"/>
  <c r="Y11" i="129"/>
  <c r="AK34" i="131"/>
  <c r="AH31" i="124"/>
  <c r="AU12" i="125"/>
  <c r="AV9" i="125"/>
  <c r="AJ47" i="128"/>
  <c r="AB12" i="130"/>
  <c r="Y16" i="129"/>
  <c r="J33" i="131"/>
  <c r="U14" i="126"/>
  <c r="S10" i="129"/>
  <c r="AW20" i="129"/>
  <c r="AP30" i="132"/>
  <c r="BA52" i="126"/>
  <c r="BC20" i="129"/>
  <c r="L35" i="129"/>
  <c r="BC36" i="131"/>
  <c r="AG37" i="126"/>
  <c r="AQ49" i="129"/>
  <c r="W10" i="128"/>
  <c r="N54" i="125"/>
  <c r="AQ50" i="125"/>
  <c r="AF23" i="121"/>
  <c r="AY58" i="121"/>
  <c r="AH53" i="124"/>
  <c r="I58" i="131"/>
  <c r="AT23" i="121"/>
  <c r="T23" i="121"/>
  <c r="AM52" i="127"/>
  <c r="AL57" i="126"/>
  <c r="X26" i="128"/>
  <c r="AR33" i="125"/>
  <c r="AM34" i="131"/>
  <c r="AK8" i="128"/>
  <c r="BB58" i="126"/>
  <c r="AN37" i="126"/>
  <c r="W54" i="127"/>
  <c r="S43" i="128"/>
  <c r="Z47" i="128"/>
  <c r="AF49" i="129"/>
  <c r="M51" i="125"/>
  <c r="O31" i="128"/>
  <c r="M20" i="127"/>
  <c r="AP9" i="128"/>
  <c r="N41" i="125"/>
  <c r="AW58" i="128"/>
  <c r="AU13" i="127"/>
  <c r="I31" i="128"/>
  <c r="AW22" i="124"/>
  <c r="BE22" i="127"/>
  <c r="AW30" i="127"/>
  <c r="U52" i="130"/>
  <c r="W47" i="130"/>
  <c r="AV8" i="120"/>
  <c r="AG12" i="120"/>
  <c r="AE44" i="130"/>
  <c r="AF11" i="130"/>
  <c r="I20" i="120"/>
  <c r="BD8" i="120"/>
  <c r="AS43" i="129"/>
  <c r="G54" i="129"/>
  <c r="BA56" i="120"/>
  <c r="H48" i="120"/>
  <c r="AW54" i="129"/>
  <c r="AU56" i="129"/>
  <c r="Y27" i="120"/>
  <c r="AE40" i="129"/>
  <c r="AZ27" i="129"/>
  <c r="W14" i="129"/>
  <c r="AY31" i="131"/>
  <c r="H12" i="131"/>
  <c r="AC13" i="125"/>
  <c r="X8" i="129"/>
  <c r="AI16" i="131"/>
  <c r="Y38" i="131"/>
  <c r="AD10" i="125"/>
  <c r="AI8" i="129"/>
  <c r="AU30" i="131"/>
  <c r="V25" i="131"/>
  <c r="AD24" i="125"/>
  <c r="BE11" i="129"/>
  <c r="V55" i="131"/>
  <c r="BD44" i="131"/>
  <c r="AD52" i="126"/>
  <c r="BB21" i="127"/>
  <c r="AK47" i="119"/>
  <c r="AW33" i="119"/>
  <c r="T47" i="126"/>
  <c r="T35" i="125"/>
  <c r="BE49" i="119"/>
  <c r="AM47" i="118"/>
  <c r="Q46" i="126"/>
  <c r="Z30" i="128"/>
  <c r="AH57" i="130"/>
  <c r="L31" i="124"/>
  <c r="AH27" i="129"/>
  <c r="V21" i="130"/>
  <c r="W52" i="130"/>
  <c r="AU50" i="124"/>
  <c r="M33" i="131"/>
  <c r="O44" i="126"/>
  <c r="T58" i="130"/>
  <c r="AG18" i="131"/>
  <c r="U39" i="131"/>
  <c r="AV37" i="126"/>
  <c r="AR58" i="130"/>
  <c r="I29" i="131"/>
  <c r="Z55" i="131"/>
  <c r="L37" i="126"/>
  <c r="AN18" i="126"/>
  <c r="BC44" i="119"/>
  <c r="W29" i="119"/>
  <c r="J43" i="126"/>
  <c r="P15" i="126"/>
  <c r="Y45" i="119"/>
  <c r="AF31" i="119"/>
  <c r="AZ56" i="126"/>
  <c r="AP44" i="126"/>
  <c r="AT55" i="119"/>
  <c r="BC42" i="119"/>
  <c r="L42" i="129"/>
  <c r="AQ41" i="129"/>
  <c r="AM13" i="130"/>
  <c r="AX47" i="125"/>
  <c r="V27" i="125"/>
  <c r="AC35" i="126"/>
  <c r="V34" i="130"/>
  <c r="AP36" i="125"/>
  <c r="AD55" i="125"/>
  <c r="AJ33" i="126"/>
  <c r="Z23" i="130"/>
  <c r="BE54" i="125"/>
  <c r="L52" i="125"/>
  <c r="W51" i="131"/>
  <c r="BD32" i="128"/>
  <c r="J52" i="130"/>
  <c r="Z44" i="131"/>
  <c r="Z54" i="125"/>
  <c r="H53" i="131"/>
  <c r="BB48" i="118"/>
  <c r="BC58" i="132"/>
  <c r="AD41" i="125"/>
  <c r="AR46" i="130"/>
  <c r="BD46" i="118"/>
  <c r="AY38" i="129"/>
  <c r="AM45" i="124"/>
  <c r="M50" i="127"/>
  <c r="AT43" i="117"/>
  <c r="AU24" i="127"/>
  <c r="AU32" i="124"/>
  <c r="M8" i="127"/>
  <c r="AC55" i="117"/>
  <c r="BC53" i="130"/>
  <c r="AC37" i="125"/>
  <c r="G56" i="127"/>
  <c r="AT22" i="128"/>
  <c r="AE26" i="130"/>
  <c r="AU42" i="126"/>
  <c r="AF30" i="127"/>
  <c r="M33" i="128"/>
  <c r="AR9" i="129"/>
  <c r="BA37" i="128"/>
  <c r="V14" i="129"/>
  <c r="AN26" i="132"/>
  <c r="AX30" i="128"/>
  <c r="V27" i="128"/>
  <c r="V21" i="129"/>
  <c r="V48" i="132"/>
  <c r="AD57" i="128"/>
  <c r="AE40" i="127"/>
  <c r="V27" i="129"/>
  <c r="AL32" i="126"/>
  <c r="AD30" i="131"/>
  <c r="Y42" i="127"/>
  <c r="AO16" i="126"/>
  <c r="AP53" i="126"/>
  <c r="G58" i="131"/>
  <c r="J57" i="126"/>
  <c r="Q49" i="126"/>
  <c r="H38" i="131"/>
  <c r="AI37" i="131"/>
  <c r="U17" i="125"/>
  <c r="AR9" i="125"/>
  <c r="V56" i="128"/>
  <c r="AT24" i="125"/>
  <c r="AB22" i="125"/>
  <c r="AV46" i="130"/>
  <c r="N45" i="124"/>
  <c r="Z25" i="131"/>
  <c r="AR37" i="126"/>
  <c r="S58" i="130"/>
  <c r="AF11" i="131"/>
  <c r="AX33" i="131"/>
  <c r="Y32" i="126"/>
  <c r="AV52" i="130"/>
  <c r="BB23" i="131"/>
  <c r="BC47" i="131"/>
  <c r="AJ18" i="129"/>
  <c r="AW45" i="128"/>
  <c r="BE12" i="129"/>
  <c r="AD21" i="129"/>
  <c r="U54" i="131"/>
  <c r="AE16" i="126"/>
  <c r="AU24" i="117"/>
  <c r="AV38" i="128"/>
  <c r="AO11" i="131"/>
  <c r="Y14" i="126"/>
  <c r="AB31" i="117"/>
  <c r="U49" i="128"/>
  <c r="W25" i="131"/>
  <c r="J45" i="125"/>
  <c r="BB48" i="129"/>
  <c r="AI40" i="126"/>
  <c r="AJ33" i="131"/>
  <c r="U55" i="128"/>
  <c r="AM43" i="126"/>
  <c r="G17" i="129"/>
  <c r="O12" i="130"/>
  <c r="AI23" i="126"/>
  <c r="AC36" i="128"/>
  <c r="AV20" i="130"/>
  <c r="AG41" i="126"/>
  <c r="AH50" i="126"/>
  <c r="V53" i="128"/>
  <c r="O14" i="129"/>
  <c r="S34" i="127"/>
  <c r="AX36" i="129"/>
  <c r="AL35" i="132"/>
  <c r="BB56" i="127"/>
  <c r="O41" i="127"/>
  <c r="AY57" i="129"/>
  <c r="BE49" i="132"/>
  <c r="AZ13" i="126"/>
  <c r="BA34" i="127"/>
  <c r="O43" i="129"/>
  <c r="BC45" i="126"/>
  <c r="AM38" i="130"/>
  <c r="I39" i="125"/>
  <c r="AW21" i="125"/>
  <c r="N49" i="126"/>
  <c r="V35" i="130"/>
  <c r="W51" i="125"/>
  <c r="AS47" i="125"/>
  <c r="BC44" i="131"/>
  <c r="G25" i="130"/>
  <c r="AO49" i="125"/>
  <c r="AM10" i="124"/>
  <c r="H29" i="128"/>
  <c r="BD50" i="129"/>
  <c r="AW40" i="128"/>
  <c r="T11" i="129"/>
  <c r="Z32" i="131"/>
  <c r="AJ27" i="125"/>
  <c r="K48" i="127"/>
  <c r="AF43" i="125"/>
  <c r="AU17" i="126"/>
  <c r="AV14" i="126"/>
  <c r="BA49" i="126"/>
  <c r="Y44" i="128"/>
  <c r="AP36" i="128"/>
  <c r="AN52" i="126"/>
  <c r="Y13" i="125"/>
  <c r="J30" i="125"/>
  <c r="AJ40" i="124"/>
  <c r="BE9" i="126"/>
  <c r="S30" i="131"/>
  <c r="AF38" i="125"/>
  <c r="AZ37" i="125"/>
  <c r="AP36" i="126"/>
  <c r="H22" i="126"/>
  <c r="AW40" i="126"/>
  <c r="W12" i="126"/>
  <c r="BA58" i="128"/>
  <c r="G54" i="128"/>
  <c r="BE14" i="127"/>
  <c r="AT24" i="126"/>
  <c r="S29" i="127"/>
  <c r="AU53" i="127"/>
  <c r="I49" i="129"/>
  <c r="AP11" i="128"/>
  <c r="AC36" i="125"/>
  <c r="V44" i="125"/>
  <c r="AY38" i="127"/>
  <c r="BB53" i="132"/>
  <c r="BB34" i="129"/>
  <c r="AK47" i="129"/>
  <c r="AB32" i="125"/>
  <c r="AY34" i="125"/>
  <c r="AZ38" i="127"/>
  <c r="H39" i="127"/>
  <c r="BD20" i="130"/>
  <c r="Q55" i="127"/>
  <c r="BC41" i="127"/>
  <c r="AO49" i="127"/>
  <c r="L57" i="130"/>
  <c r="AE8" i="129"/>
  <c r="BB51" i="130"/>
  <c r="AZ57" i="130"/>
  <c r="AC9" i="126"/>
  <c r="Y14" i="130"/>
  <c r="O17" i="131"/>
  <c r="V15" i="131"/>
  <c r="Q53" i="119"/>
  <c r="AS20" i="118"/>
  <c r="AD13" i="129"/>
  <c r="AW26" i="129"/>
  <c r="AN30" i="126"/>
  <c r="AQ35" i="128"/>
  <c r="AU46" i="128"/>
  <c r="BB10" i="126"/>
  <c r="AQ20" i="128"/>
  <c r="O45" i="131"/>
  <c r="AO31" i="130"/>
  <c r="AD54" i="130"/>
  <c r="H50" i="125"/>
  <c r="AZ57" i="126"/>
  <c r="AK36" i="126"/>
  <c r="K11" i="129"/>
  <c r="AK46" i="131"/>
  <c r="AH38" i="130"/>
  <c r="AK41" i="126"/>
  <c r="AQ24" i="130"/>
  <c r="AM24" i="129"/>
  <c r="T41" i="129"/>
  <c r="AW53" i="130"/>
  <c r="BE23" i="129"/>
  <c r="V47" i="130"/>
  <c r="AQ54" i="129"/>
  <c r="P45" i="126"/>
  <c r="AD41" i="124"/>
  <c r="K38" i="130"/>
  <c r="AN45" i="125"/>
  <c r="BC27" i="129"/>
  <c r="X23" i="130"/>
  <c r="BE26" i="122"/>
  <c r="S10" i="125"/>
  <c r="H53" i="128"/>
  <c r="AH34" i="121"/>
  <c r="I51" i="125"/>
  <c r="BC48" i="126"/>
  <c r="Y20" i="131"/>
  <c r="BC49" i="128"/>
  <c r="X49" i="130"/>
  <c r="X56" i="129"/>
  <c r="L48" i="131"/>
  <c r="AQ58" i="128"/>
  <c r="W44" i="130"/>
  <c r="AI33" i="129"/>
  <c r="K31" i="131"/>
  <c r="AZ52" i="128"/>
  <c r="AM12" i="129"/>
  <c r="AE39" i="129"/>
  <c r="U53" i="131"/>
  <c r="AG21" i="128"/>
  <c r="BB48" i="126"/>
  <c r="AV22" i="125"/>
  <c r="AY9" i="125"/>
  <c r="AO26" i="127"/>
  <c r="AG43" i="126"/>
  <c r="BB21" i="125"/>
  <c r="AW9" i="125"/>
  <c r="U34" i="127"/>
  <c r="W8" i="125"/>
  <c r="AN32" i="125"/>
  <c r="L23" i="125"/>
  <c r="BD42" i="125"/>
  <c r="AZ15" i="125"/>
  <c r="K38" i="125"/>
  <c r="H39" i="132"/>
  <c r="BB39" i="130"/>
  <c r="AT31" i="131"/>
  <c r="BD15" i="127"/>
  <c r="J16" i="129"/>
  <c r="W35" i="128"/>
  <c r="BB43" i="128"/>
  <c r="M11" i="127"/>
  <c r="BE22" i="129"/>
  <c r="O14" i="125"/>
  <c r="AR8" i="131"/>
  <c r="M40" i="130"/>
  <c r="BC13" i="124"/>
  <c r="AT22" i="125"/>
  <c r="T37" i="131"/>
  <c r="AF41" i="130"/>
  <c r="AC37" i="131"/>
  <c r="Y8" i="132"/>
  <c r="AM14" i="130"/>
  <c r="AO45" i="130"/>
  <c r="AJ17" i="129"/>
  <c r="I11" i="129"/>
  <c r="AZ24" i="121"/>
  <c r="W14" i="121"/>
  <c r="AY18" i="128"/>
  <c r="M54" i="128"/>
  <c r="Y31" i="121"/>
  <c r="AX20" i="121"/>
  <c r="W32" i="125"/>
  <c r="G42" i="125"/>
  <c r="J35" i="121"/>
  <c r="AK18" i="121"/>
  <c r="AP58" i="131"/>
  <c r="O50" i="125"/>
  <c r="G9" i="126"/>
  <c r="AN36" i="127"/>
  <c r="Q38" i="129"/>
  <c r="AO55" i="127"/>
  <c r="AE16" i="127"/>
  <c r="BB32" i="127"/>
  <c r="AZ30" i="129"/>
  <c r="AM17" i="126"/>
  <c r="AH21" i="127"/>
  <c r="AF35" i="127"/>
  <c r="AG44" i="129"/>
  <c r="AG11" i="126"/>
  <c r="AQ22" i="127"/>
  <c r="AL38" i="127"/>
  <c r="K57" i="129"/>
  <c r="AR10" i="128"/>
  <c r="N31" i="130"/>
  <c r="S33" i="123"/>
  <c r="AU47" i="123"/>
  <c r="Q12" i="128"/>
  <c r="AC12" i="130"/>
  <c r="AZ18" i="123"/>
  <c r="AX21" i="123"/>
  <c r="I49" i="128"/>
  <c r="V27" i="130"/>
  <c r="AD48" i="123"/>
  <c r="L29" i="123"/>
  <c r="AG54" i="128"/>
  <c r="S36" i="130"/>
  <c r="AR15" i="123"/>
  <c r="K37" i="128"/>
  <c r="U26" i="127"/>
  <c r="AG58" i="130"/>
  <c r="AT33" i="125"/>
  <c r="AP13" i="127"/>
  <c r="AE33" i="125"/>
  <c r="H47" i="126"/>
  <c r="AK39" i="125"/>
  <c r="I16" i="129"/>
  <c r="AV32" i="131"/>
  <c r="AR18" i="129"/>
  <c r="S11" i="130"/>
  <c r="AI33" i="130"/>
  <c r="BD38" i="131"/>
  <c r="AR32" i="128"/>
  <c r="G22" i="130"/>
  <c r="AR39" i="130"/>
  <c r="T44" i="128"/>
  <c r="AH23" i="127"/>
  <c r="G25" i="121"/>
  <c r="AW9" i="121"/>
  <c r="BA36" i="127"/>
  <c r="Q13" i="126"/>
  <c r="BA24" i="121"/>
  <c r="AK9" i="121"/>
  <c r="V56" i="125"/>
  <c r="AQ41" i="125"/>
  <c r="N35" i="121"/>
  <c r="AP18" i="121"/>
  <c r="AN16" i="131"/>
  <c r="AN8" i="131"/>
  <c r="AN35" i="121"/>
  <c r="AK46" i="129"/>
  <c r="AL53" i="125"/>
  <c r="AE18" i="126"/>
  <c r="V50" i="131"/>
  <c r="AL15" i="128"/>
  <c r="J42" i="129"/>
  <c r="AO53" i="125"/>
  <c r="AZ18" i="126"/>
  <c r="AH39" i="128"/>
  <c r="H29" i="126"/>
  <c r="M21" i="127"/>
  <c r="AQ47" i="126"/>
  <c r="W41" i="128"/>
  <c r="Z35" i="126"/>
  <c r="AS35" i="127"/>
  <c r="BE52" i="126"/>
  <c r="S47" i="128"/>
  <c r="AJ41" i="126"/>
  <c r="AR54" i="127"/>
  <c r="L58" i="126"/>
  <c r="P57" i="128"/>
  <c r="L42" i="128"/>
  <c r="AZ49" i="130"/>
  <c r="AW53" i="123"/>
  <c r="P51" i="123"/>
  <c r="AR26" i="128"/>
  <c r="AR15" i="130"/>
  <c r="AB52" i="123"/>
  <c r="AK56" i="123"/>
  <c r="BA55" i="128"/>
  <c r="AH43" i="130"/>
  <c r="AT37" i="122"/>
  <c r="AZ38" i="122"/>
  <c r="AH23" i="128"/>
  <c r="AM21" i="129"/>
  <c r="AC46" i="122"/>
  <c r="W13" i="126"/>
  <c r="N50" i="126"/>
  <c r="Y38" i="128"/>
  <c r="AX32" i="130"/>
  <c r="H48" i="126"/>
  <c r="AK20" i="126"/>
  <c r="AB14" i="126"/>
  <c r="BA31" i="128"/>
  <c r="AM54" i="125"/>
  <c r="AK24" i="126"/>
  <c r="AZ33" i="126"/>
  <c r="BD18" i="128"/>
  <c r="AQ34" i="128"/>
  <c r="AV57" i="130"/>
  <c r="AG37" i="122"/>
  <c r="AB12" i="122"/>
  <c r="I40" i="127"/>
  <c r="O24" i="129"/>
  <c r="AZ21" i="122"/>
  <c r="V22" i="122"/>
  <c r="Z26" i="127"/>
  <c r="S30" i="129"/>
  <c r="AD33" i="122"/>
  <c r="BE50" i="122"/>
  <c r="M25" i="127"/>
  <c r="H24" i="129"/>
  <c r="AX21" i="122"/>
  <c r="AO33" i="128"/>
  <c r="K34" i="130"/>
  <c r="BA44" i="126"/>
  <c r="AW29" i="128"/>
  <c r="AO18" i="129"/>
  <c r="M25" i="131"/>
  <c r="Z17" i="126"/>
  <c r="V39" i="125"/>
  <c r="AT56" i="128"/>
  <c r="S25" i="129"/>
  <c r="AX27" i="129"/>
  <c r="N39" i="128"/>
  <c r="AM48" i="127"/>
  <c r="AF17" i="129"/>
  <c r="AO32" i="129"/>
  <c r="G41" i="128"/>
  <c r="G15" i="127"/>
  <c r="AW23" i="129"/>
  <c r="AO46" i="129"/>
  <c r="BB46" i="128"/>
  <c r="P20" i="127"/>
  <c r="AF30" i="129"/>
  <c r="AT22" i="129"/>
  <c r="U58" i="131"/>
  <c r="AS13" i="124"/>
  <c r="S53" i="124"/>
  <c r="AH25" i="129"/>
  <c r="BD16" i="131"/>
  <c r="AW18" i="124"/>
  <c r="L45" i="124"/>
  <c r="BD49" i="129"/>
  <c r="AB46" i="131"/>
  <c r="BE13" i="124"/>
  <c r="AK16" i="124"/>
  <c r="AT55" i="129"/>
  <c r="V29" i="131"/>
  <c r="AI33" i="124"/>
  <c r="AO47" i="132"/>
  <c r="J48" i="125"/>
  <c r="AO50" i="126"/>
  <c r="L56" i="126"/>
  <c r="AI35" i="128"/>
  <c r="AX22" i="131"/>
  <c r="P38" i="127"/>
  <c r="W8" i="126"/>
  <c r="AF8" i="127"/>
  <c r="AZ49" i="131"/>
  <c r="AN46" i="127"/>
  <c r="AL56" i="126"/>
  <c r="Y15" i="129"/>
  <c r="BB9" i="129"/>
  <c r="AI15" i="120"/>
  <c r="BC35" i="120"/>
  <c r="AY18" i="129"/>
  <c r="AE31" i="129"/>
  <c r="AJ51" i="120"/>
  <c r="AS42" i="120"/>
  <c r="W12" i="128"/>
  <c r="I54" i="128"/>
  <c r="G37" i="120"/>
  <c r="Z42" i="120"/>
  <c r="AK45" i="128"/>
  <c r="BC41" i="128"/>
  <c r="AG45" i="120"/>
  <c r="AJ40" i="128"/>
  <c r="BC26" i="130"/>
  <c r="AS57" i="131"/>
  <c r="G42" i="127"/>
  <c r="J17" i="128"/>
  <c r="Q30" i="132"/>
  <c r="M33" i="132"/>
  <c r="AX10" i="130"/>
  <c r="J16" i="125"/>
  <c r="X12" i="127"/>
  <c r="BB52" i="125"/>
  <c r="AJ14" i="126"/>
  <c r="AO26" i="125"/>
  <c r="L18" i="127"/>
  <c r="L14" i="125"/>
  <c r="AQ27" i="126"/>
  <c r="BD14" i="125"/>
  <c r="AI50" i="127"/>
  <c r="BC33" i="125"/>
  <c r="L34" i="126"/>
  <c r="AN24" i="125"/>
  <c r="AE56" i="127"/>
  <c r="P31" i="127"/>
  <c r="BE56" i="129"/>
  <c r="AQ9" i="122"/>
  <c r="Y48" i="122"/>
  <c r="AD37" i="127"/>
  <c r="Q34" i="129"/>
  <c r="AH58" i="122"/>
  <c r="U56" i="122"/>
  <c r="I43" i="127"/>
  <c r="P58" i="129"/>
  <c r="AL48" i="122"/>
  <c r="M40" i="121"/>
  <c r="S46" i="127"/>
  <c r="AI43" i="129"/>
  <c r="AY14" i="121"/>
  <c r="K26" i="126"/>
  <c r="H31" i="126"/>
  <c r="U47" i="126"/>
  <c r="V56" i="127"/>
  <c r="AL9" i="126"/>
  <c r="AE40" i="130"/>
  <c r="BB35" i="125"/>
  <c r="W43" i="125"/>
  <c r="AR13" i="126"/>
  <c r="AD13" i="130"/>
  <c r="H14" i="125"/>
  <c r="AP48" i="125"/>
  <c r="AD15" i="127"/>
  <c r="AB22" i="127"/>
  <c r="AS37" i="120"/>
  <c r="AX39" i="120"/>
  <c r="X14" i="127"/>
  <c r="AN34" i="127"/>
  <c r="AV55" i="120"/>
  <c r="AV45" i="120"/>
  <c r="BA39" i="127"/>
  <c r="M50" i="126"/>
  <c r="AX20" i="119"/>
  <c r="S34" i="119"/>
  <c r="AT55" i="127"/>
  <c r="AC54" i="131"/>
  <c r="G51" i="119"/>
  <c r="AV30" i="126"/>
  <c r="BC34" i="129"/>
  <c r="AG10" i="130"/>
  <c r="Z25" i="125"/>
  <c r="I13" i="127"/>
  <c r="AN26" i="128"/>
  <c r="AM54" i="127"/>
  <c r="AD9" i="129"/>
  <c r="AO48" i="125"/>
  <c r="AM20" i="126"/>
  <c r="AJ49" i="125"/>
  <c r="BB41" i="126"/>
  <c r="AS34" i="125"/>
  <c r="AP45" i="126"/>
  <c r="L46" i="125"/>
  <c r="K40" i="125"/>
  <c r="AK42" i="127"/>
  <c r="AZ58" i="125"/>
  <c r="AU42" i="125"/>
  <c r="AL10" i="125"/>
  <c r="AR33" i="126"/>
  <c r="BE42" i="131"/>
  <c r="T42" i="127"/>
  <c r="AR41" i="129"/>
  <c r="N13" i="121"/>
  <c r="AB58" i="121"/>
  <c r="AM10" i="126"/>
  <c r="M27" i="127"/>
  <c r="L26" i="121"/>
  <c r="AY16" i="121"/>
  <c r="AK26" i="128"/>
  <c r="AK54" i="128"/>
  <c r="AZ36" i="121"/>
  <c r="AC26" i="121"/>
  <c r="AJ9" i="127"/>
  <c r="AX58" i="127"/>
  <c r="W43" i="121"/>
  <c r="Q41" i="131"/>
  <c r="AS45" i="131"/>
  <c r="AF15" i="131"/>
  <c r="G36" i="125"/>
  <c r="AO56" i="125"/>
  <c r="AQ22" i="126"/>
  <c r="AX8" i="130"/>
  <c r="AB14" i="125"/>
  <c r="AL54" i="125"/>
  <c r="W9" i="126"/>
  <c r="Y16" i="130"/>
  <c r="X51" i="125"/>
  <c r="AL44" i="125"/>
  <c r="AB39" i="126"/>
  <c r="T15" i="130"/>
  <c r="AF50" i="125"/>
  <c r="AL30" i="125"/>
  <c r="M15" i="127"/>
  <c r="AY35" i="127"/>
  <c r="Q49" i="120"/>
  <c r="AE38" i="120"/>
  <c r="AX29" i="127"/>
  <c r="AM33" i="129"/>
  <c r="Y54" i="120"/>
  <c r="AT40" i="119"/>
  <c r="K9" i="126"/>
  <c r="AE22" i="130"/>
  <c r="AW8" i="119"/>
  <c r="AV48" i="119"/>
  <c r="AP11" i="126"/>
  <c r="AO58" i="129"/>
  <c r="AJ14" i="119"/>
  <c r="I46" i="129"/>
  <c r="G58" i="125"/>
  <c r="AH12" i="129"/>
  <c r="I18" i="127"/>
  <c r="AB21" i="128"/>
  <c r="AO25" i="131"/>
  <c r="AQ34" i="125"/>
  <c r="AQ48" i="128"/>
  <c r="Y48" i="128"/>
  <c r="Y35" i="130"/>
  <c r="AM12" i="124"/>
  <c r="N38" i="128"/>
  <c r="BC44" i="128"/>
  <c r="S31" i="130"/>
  <c r="AY20" i="125"/>
  <c r="AW34" i="125"/>
  <c r="BE34" i="125"/>
  <c r="AJ27" i="119"/>
  <c r="P9" i="118"/>
  <c r="AR22" i="123"/>
  <c r="Y30" i="123"/>
  <c r="AL24" i="118"/>
  <c r="X15" i="118"/>
  <c r="AP17" i="123"/>
  <c r="O46" i="123"/>
  <c r="O8" i="118"/>
  <c r="AJ21" i="118"/>
  <c r="AC42" i="123"/>
  <c r="AQ13" i="123"/>
  <c r="X26" i="118"/>
  <c r="AY26" i="118"/>
  <c r="AQ10" i="123"/>
  <c r="AM30" i="127"/>
  <c r="AJ13" i="124"/>
  <c r="AL24" i="126"/>
  <c r="AM26" i="124"/>
  <c r="Q44" i="126"/>
  <c r="BA14" i="125"/>
  <c r="J16" i="126"/>
  <c r="AW8" i="126"/>
  <c r="W50" i="126"/>
  <c r="AS54" i="125"/>
  <c r="G29" i="126"/>
  <c r="AK16" i="127"/>
  <c r="M17" i="127"/>
  <c r="N34" i="130"/>
  <c r="P20" i="130"/>
  <c r="AE34" i="126"/>
  <c r="U46" i="126"/>
  <c r="AV43" i="129"/>
  <c r="AT31" i="129"/>
  <c r="BE22" i="130"/>
  <c r="T24" i="128"/>
  <c r="J37" i="129"/>
  <c r="AL36" i="129"/>
  <c r="AP27" i="127"/>
  <c r="AO10" i="127"/>
  <c r="S56" i="128"/>
  <c r="AX32" i="128"/>
  <c r="AX11" i="129"/>
  <c r="AK24" i="129"/>
  <c r="AH57" i="124"/>
  <c r="AO34" i="131"/>
  <c r="AS54" i="128"/>
  <c r="AD40" i="127"/>
  <c r="W39" i="131"/>
  <c r="AL20" i="130"/>
  <c r="L17" i="126"/>
  <c r="AV29" i="126"/>
  <c r="O37" i="129"/>
  <c r="AD24" i="131"/>
  <c r="AC22" i="128"/>
  <c r="S38" i="128"/>
  <c r="S54" i="125"/>
  <c r="AY45" i="124"/>
  <c r="AU11" i="126"/>
  <c r="AG17" i="126"/>
  <c r="AJ12" i="123"/>
  <c r="AJ40" i="132"/>
  <c r="AW46" i="126"/>
  <c r="AJ23" i="126"/>
  <c r="AM50" i="122"/>
  <c r="AN53" i="122"/>
  <c r="AS29" i="124"/>
  <c r="S27" i="131"/>
  <c r="P50" i="119"/>
  <c r="W23" i="130"/>
  <c r="AN25" i="131"/>
  <c r="BE36" i="131"/>
  <c r="T39" i="119"/>
  <c r="AF50" i="131"/>
  <c r="Q41" i="132"/>
  <c r="AI39" i="127"/>
  <c r="T18" i="130"/>
  <c r="V48" i="130"/>
  <c r="AM25" i="129"/>
  <c r="X31" i="117"/>
  <c r="AE40" i="128"/>
  <c r="AZ21" i="128"/>
  <c r="AB21" i="131"/>
  <c r="BB53" i="131"/>
  <c r="AG40" i="126"/>
  <c r="W15" i="127"/>
  <c r="AO21" i="127"/>
  <c r="AY8" i="129"/>
  <c r="P30" i="128"/>
  <c r="O8" i="128"/>
  <c r="M26" i="126"/>
  <c r="AR26" i="130"/>
  <c r="AM57" i="129"/>
  <c r="AJ25" i="127"/>
  <c r="BE56" i="126"/>
  <c r="BA22" i="130"/>
  <c r="AS42" i="132"/>
  <c r="AH36" i="130"/>
  <c r="S40" i="124"/>
  <c r="AQ29" i="126"/>
  <c r="AE10" i="127"/>
  <c r="Z33" i="127"/>
  <c r="AF57" i="126"/>
  <c r="BE35" i="125"/>
  <c r="M31" i="129"/>
  <c r="AF52" i="129"/>
  <c r="AY17" i="130"/>
  <c r="BC10" i="128"/>
  <c r="AV48" i="130"/>
  <c r="BE54" i="128"/>
  <c r="AZ10" i="129"/>
  <c r="AS30" i="128"/>
  <c r="AZ44" i="128"/>
  <c r="AX26" i="127"/>
  <c r="AJ22" i="129"/>
  <c r="J52" i="128"/>
  <c r="BC54" i="128"/>
  <c r="I37" i="127"/>
  <c r="AS29" i="129"/>
  <c r="BD14" i="128"/>
  <c r="P22" i="128"/>
  <c r="BD43" i="127"/>
  <c r="AQ35" i="129"/>
  <c r="BD37" i="129"/>
  <c r="AX50" i="131"/>
  <c r="BD52" i="124"/>
  <c r="AW56" i="124"/>
  <c r="AZ44" i="129"/>
  <c r="AE31" i="131"/>
  <c r="AT21" i="124"/>
  <c r="AT57" i="124"/>
  <c r="S47" i="129"/>
  <c r="J13" i="131"/>
  <c r="W44" i="123"/>
  <c r="U8" i="123"/>
  <c r="Z50" i="129"/>
  <c r="AO35" i="131"/>
  <c r="Q41" i="123"/>
  <c r="U39" i="132"/>
  <c r="Y35" i="132"/>
  <c r="U32" i="131"/>
  <c r="AM30" i="125"/>
  <c r="V15" i="127"/>
  <c r="L8" i="125"/>
  <c r="AU53" i="126"/>
  <c r="BB10" i="125"/>
  <c r="AO16" i="127"/>
  <c r="AX14" i="130"/>
  <c r="Y53" i="125"/>
  <c r="L51" i="125"/>
  <c r="L33" i="126"/>
  <c r="AW22" i="130"/>
  <c r="AD49" i="125"/>
  <c r="J37" i="125"/>
  <c r="H39" i="126"/>
  <c r="AG31" i="130"/>
  <c r="H34" i="125"/>
  <c r="AU57" i="125"/>
  <c r="AR31" i="127"/>
  <c r="AV31" i="125"/>
  <c r="W32" i="119"/>
  <c r="I29" i="119"/>
  <c r="AT34" i="127"/>
  <c r="AO48" i="131"/>
  <c r="M52" i="119"/>
  <c r="AC39" i="119"/>
  <c r="I29" i="126"/>
  <c r="AE41" i="127"/>
  <c r="H55" i="119"/>
  <c r="AS45" i="119"/>
  <c r="AI40" i="130"/>
  <c r="AF56" i="129"/>
  <c r="AC43" i="130"/>
  <c r="Y33" i="125"/>
  <c r="I25" i="127"/>
  <c r="AF32" i="125"/>
  <c r="AB57" i="126"/>
  <c r="Q39" i="125"/>
  <c r="AO34" i="127"/>
  <c r="I47" i="125"/>
  <c r="V52" i="126"/>
  <c r="M46" i="125"/>
  <c r="AL32" i="129"/>
  <c r="AT38" i="125"/>
  <c r="L47" i="126"/>
  <c r="I34" i="125"/>
  <c r="AJ58" i="126"/>
  <c r="AB54" i="127"/>
  <c r="T49" i="129"/>
  <c r="BA35" i="122"/>
  <c r="AM47" i="121"/>
  <c r="AL56" i="127"/>
  <c r="AK31" i="129"/>
  <c r="L40" i="121"/>
  <c r="AH41" i="121"/>
  <c r="AX56" i="131"/>
  <c r="AB35" i="131"/>
  <c r="L39" i="121"/>
  <c r="M26" i="121"/>
  <c r="I37" i="130"/>
  <c r="V30" i="130"/>
  <c r="K43" i="121"/>
  <c r="BD37" i="131"/>
  <c r="AU53" i="131"/>
  <c r="AF52" i="126"/>
  <c r="Z44" i="126"/>
  <c r="AE42" i="125"/>
  <c r="AJ40" i="126"/>
  <c r="AD57" i="131"/>
  <c r="AH18" i="125"/>
  <c r="J20" i="125"/>
  <c r="AZ41" i="126"/>
  <c r="BB23" i="130"/>
  <c r="AQ45" i="125"/>
  <c r="N43" i="125"/>
  <c r="G48" i="126"/>
  <c r="AL49" i="130"/>
  <c r="Z42" i="125"/>
  <c r="J9" i="124"/>
  <c r="Y40" i="126"/>
  <c r="M47" i="130"/>
  <c r="BD45" i="119"/>
  <c r="AP31" i="119"/>
  <c r="O17" i="126"/>
  <c r="AH43" i="129"/>
  <c r="Q54" i="119"/>
  <c r="K42" i="119"/>
  <c r="AF49" i="126"/>
  <c r="AS52" i="127"/>
  <c r="P55" i="119"/>
  <c r="V46" i="119"/>
  <c r="AO54" i="126"/>
  <c r="AN23" i="126"/>
  <c r="AT9" i="119"/>
  <c r="H23" i="128"/>
  <c r="AS34" i="131"/>
  <c r="AR43" i="130"/>
  <c r="AY50" i="125"/>
  <c r="W45" i="130"/>
  <c r="AF24" i="127"/>
  <c r="I51" i="127"/>
  <c r="AY33" i="128"/>
  <c r="AF10" i="130"/>
  <c r="H33" i="130"/>
  <c r="K27" i="131"/>
  <c r="G10" i="128"/>
  <c r="AH21" i="130"/>
  <c r="L52" i="130"/>
  <c r="N39" i="131"/>
  <c r="AJ40" i="127"/>
  <c r="AB50" i="130"/>
  <c r="AR23" i="129"/>
  <c r="I48" i="131"/>
  <c r="S37" i="127"/>
  <c r="AF31" i="130"/>
  <c r="AL18" i="129"/>
  <c r="P8" i="126"/>
  <c r="I38" i="126"/>
  <c r="AP13" i="121"/>
  <c r="X13" i="121"/>
  <c r="BD47" i="125"/>
  <c r="AO10" i="125"/>
  <c r="AQ29" i="121"/>
  <c r="M13" i="121"/>
  <c r="AD53" i="131"/>
  <c r="AR46" i="131"/>
  <c r="BE38" i="121"/>
  <c r="AG23" i="121"/>
  <c r="L41" i="131"/>
  <c r="H24" i="131"/>
  <c r="AE39" i="121"/>
  <c r="M31" i="127"/>
  <c r="AG35" i="127"/>
  <c r="I29" i="130"/>
  <c r="AP55" i="125"/>
  <c r="BA40" i="129"/>
  <c r="S39" i="126"/>
  <c r="AR48" i="129"/>
  <c r="W16" i="128"/>
  <c r="AX30" i="129"/>
  <c r="AK21" i="125"/>
  <c r="BC11" i="128"/>
  <c r="N44" i="128"/>
  <c r="T54" i="131"/>
  <c r="AD8" i="131"/>
  <c r="O22" i="121"/>
  <c r="AV58" i="121"/>
  <c r="AH21" i="131"/>
  <c r="H49" i="131"/>
  <c r="O58" i="121"/>
  <c r="AM33" i="120"/>
  <c r="S32" i="130"/>
  <c r="G44" i="130"/>
  <c r="AO9" i="120"/>
  <c r="AR15" i="120"/>
  <c r="Q38" i="130"/>
  <c r="AM46" i="129"/>
  <c r="X15" i="120"/>
  <c r="P49" i="129"/>
  <c r="I11" i="132"/>
  <c r="AQ56" i="125"/>
  <c r="AF44" i="129"/>
  <c r="AI30" i="132"/>
  <c r="AF23" i="132"/>
  <c r="G26" i="125"/>
  <c r="AT8" i="126"/>
  <c r="O50" i="126"/>
  <c r="Z24" i="128"/>
  <c r="AC48" i="126"/>
  <c r="U11" i="126"/>
  <c r="BC14" i="126"/>
  <c r="AC48" i="128"/>
  <c r="AX13" i="125"/>
  <c r="BB18" i="126"/>
  <c r="P56" i="126"/>
  <c r="T45" i="128"/>
  <c r="AQ17" i="125"/>
  <c r="AE26" i="126"/>
  <c r="BE50" i="126"/>
  <c r="AO52" i="128"/>
  <c r="AC20" i="127"/>
  <c r="M29" i="129"/>
  <c r="AE14" i="122"/>
  <c r="AL20" i="122"/>
  <c r="AQ24" i="127"/>
  <c r="AH20" i="129"/>
  <c r="AF25" i="122"/>
  <c r="W42" i="122"/>
  <c r="O53" i="127"/>
  <c r="AL21" i="129"/>
  <c r="Z11" i="122"/>
  <c r="AO55" i="122"/>
  <c r="BB8" i="127"/>
  <c r="AQ27" i="129"/>
  <c r="U21" i="122"/>
  <c r="AK9" i="126"/>
  <c r="AQ17" i="126"/>
  <c r="AK10" i="127"/>
  <c r="AX11" i="128"/>
  <c r="BE25" i="125"/>
  <c r="BD14" i="129"/>
  <c r="AZ54" i="131"/>
  <c r="AS43" i="131"/>
  <c r="G32" i="125"/>
  <c r="AQ23" i="129"/>
  <c r="AY12" i="131"/>
  <c r="AH55" i="131"/>
  <c r="AV35" i="126"/>
  <c r="U15" i="130"/>
  <c r="L39" i="118"/>
  <c r="AH13" i="118"/>
  <c r="Y30" i="126"/>
  <c r="AG48" i="129"/>
  <c r="L31" i="118"/>
  <c r="I20" i="118"/>
  <c r="K9" i="125"/>
  <c r="N58" i="127"/>
  <c r="BC26" i="118"/>
  <c r="AB17" i="118"/>
  <c r="AR16" i="125"/>
  <c r="AN13" i="126"/>
  <c r="T52" i="128"/>
  <c r="N42" i="128"/>
  <c r="AD55" i="126"/>
  <c r="AB51" i="129"/>
  <c r="X33" i="131"/>
  <c r="AD55" i="128"/>
  <c r="BA35" i="127"/>
  <c r="AK43" i="127"/>
  <c r="N52" i="126"/>
  <c r="X37" i="127"/>
  <c r="V11" i="126"/>
  <c r="AH11" i="127"/>
  <c r="AI54" i="131"/>
  <c r="O37" i="127"/>
  <c r="Z57" i="126"/>
  <c r="I58" i="127"/>
  <c r="O35" i="131"/>
  <c r="BB21" i="126"/>
  <c r="G43" i="126"/>
  <c r="Y15" i="127"/>
  <c r="AZ58" i="131"/>
  <c r="AF39" i="126"/>
  <c r="AL49" i="126"/>
  <c r="BA31" i="129"/>
  <c r="I57" i="129"/>
  <c r="AU46" i="120"/>
  <c r="AS36" i="120"/>
  <c r="AC49" i="129"/>
  <c r="H40" i="128"/>
  <c r="AD52" i="120"/>
  <c r="AF43" i="120"/>
  <c r="Z50" i="128"/>
  <c r="AT32" i="128"/>
  <c r="Q27" i="120"/>
  <c r="L39" i="120"/>
  <c r="AQ16" i="127"/>
  <c r="Y29" i="127"/>
  <c r="Z56" i="120"/>
  <c r="J48" i="127"/>
  <c r="AK52" i="127"/>
  <c r="BD26" i="129"/>
  <c r="AF30" i="131"/>
  <c r="M53" i="125"/>
  <c r="S39" i="129"/>
  <c r="AQ11" i="130"/>
  <c r="AE47" i="130"/>
  <c r="AR46" i="125"/>
  <c r="AX31" i="129"/>
  <c r="J20" i="130"/>
  <c r="AZ12" i="130"/>
  <c r="AG29" i="125"/>
  <c r="AC12" i="126"/>
  <c r="AJ16" i="118"/>
  <c r="M9" i="118"/>
  <c r="I35" i="125"/>
  <c r="X20" i="126"/>
  <c r="M25" i="118"/>
  <c r="AB36" i="132"/>
  <c r="AF36" i="125"/>
  <c r="I12" i="126"/>
  <c r="BE57" i="118"/>
  <c r="T46" i="130"/>
  <c r="BD56" i="125"/>
  <c r="AY41" i="124"/>
  <c r="X14" i="132"/>
  <c r="AT50" i="131"/>
  <c r="AF54" i="124"/>
  <c r="N40" i="128"/>
  <c r="AG14" i="130"/>
  <c r="AS21" i="127"/>
  <c r="AT42" i="125"/>
  <c r="AS33" i="131"/>
  <c r="AT44" i="125"/>
  <c r="BC20" i="125"/>
  <c r="P27" i="125"/>
  <c r="V20" i="126"/>
  <c r="V33" i="130"/>
  <c r="AZ43" i="125"/>
  <c r="AP32" i="125"/>
  <c r="AY11" i="126"/>
  <c r="AY15" i="130"/>
  <c r="BA21" i="125"/>
  <c r="K29" i="125"/>
  <c r="AR16" i="126"/>
  <c r="AR8" i="130"/>
  <c r="BA57" i="125"/>
  <c r="BC49" i="125"/>
  <c r="Z52" i="127"/>
  <c r="V47" i="127"/>
  <c r="AT49" i="120"/>
  <c r="AR38" i="120"/>
  <c r="AG54" i="127"/>
  <c r="AJ47" i="127"/>
  <c r="AK54" i="120"/>
  <c r="AX44" i="120"/>
  <c r="I38" i="127"/>
  <c r="P27" i="130"/>
  <c r="L8" i="119"/>
  <c r="AV47" i="119"/>
  <c r="AI14" i="126"/>
  <c r="AR14" i="129"/>
  <c r="BA13" i="119"/>
  <c r="M44" i="130"/>
  <c r="G35" i="130"/>
  <c r="AQ45" i="129"/>
  <c r="G10" i="130"/>
  <c r="U33" i="130"/>
  <c r="J53" i="125"/>
  <c r="AD56" i="129"/>
  <c r="AQ17" i="130"/>
  <c r="M42" i="130"/>
  <c r="AS49" i="125"/>
  <c r="BD41" i="129"/>
  <c r="AX26" i="130"/>
  <c r="N16" i="124"/>
  <c r="AG54" i="129"/>
  <c r="AV35" i="130"/>
  <c r="AE30" i="125"/>
  <c r="AF10" i="126"/>
  <c r="AC17" i="118"/>
  <c r="U35" i="131"/>
  <c r="X50" i="125"/>
  <c r="G12" i="130"/>
  <c r="I24" i="118"/>
  <c r="O53" i="131"/>
  <c r="BE46" i="125"/>
  <c r="AK52" i="130"/>
  <c r="AH51" i="118"/>
  <c r="P12" i="129"/>
  <c r="Z43" i="125"/>
  <c r="BC43" i="129"/>
  <c r="AW40" i="117"/>
  <c r="AE44" i="128"/>
  <c r="AK40" i="124"/>
  <c r="N37" i="129"/>
  <c r="AC55" i="125"/>
  <c r="BA35" i="126"/>
  <c r="X53" i="127"/>
  <c r="Q24" i="126"/>
  <c r="P52" i="126"/>
  <c r="AK49" i="126"/>
  <c r="I31" i="125"/>
  <c r="BA27" i="126"/>
  <c r="V22" i="126"/>
  <c r="AV55" i="126"/>
  <c r="W21" i="128"/>
  <c r="AB43" i="130"/>
  <c r="O50" i="123"/>
  <c r="I29" i="123"/>
  <c r="BC11" i="125"/>
  <c r="AQ11" i="129"/>
  <c r="AD24" i="129"/>
  <c r="P48" i="129"/>
  <c r="L53" i="125"/>
  <c r="AB34" i="128"/>
  <c r="AI57" i="128"/>
  <c r="J29" i="128"/>
  <c r="G33" i="125"/>
  <c r="M52" i="128"/>
  <c r="H41" i="128"/>
  <c r="O47" i="128"/>
  <c r="BD44" i="125"/>
  <c r="AF34" i="128"/>
  <c r="I58" i="128"/>
  <c r="AE9" i="129"/>
  <c r="BB52" i="124"/>
  <c r="K22" i="125"/>
  <c r="BC52" i="127"/>
  <c r="AU41" i="124"/>
  <c r="AE14" i="129"/>
  <c r="AJ39" i="124"/>
  <c r="AU57" i="124"/>
  <c r="BD43" i="124"/>
  <c r="AI30" i="129"/>
  <c r="AK35" i="131"/>
  <c r="AM30" i="126"/>
  <c r="AR8" i="126"/>
  <c r="AH33" i="129"/>
  <c r="N46" i="129"/>
  <c r="AO31" i="128"/>
  <c r="M57" i="128"/>
  <c r="AD35" i="130"/>
  <c r="AX23" i="130"/>
  <c r="AT40" i="124"/>
  <c r="AU17" i="130"/>
  <c r="L56" i="131"/>
  <c r="AF43" i="130"/>
  <c r="AL8" i="131"/>
  <c r="T29" i="130"/>
  <c r="AX41" i="132"/>
  <c r="BA15" i="131"/>
  <c r="AI56" i="132"/>
  <c r="BE50" i="132"/>
  <c r="AH34" i="129"/>
  <c r="W15" i="131"/>
  <c r="U46" i="127"/>
  <c r="L34" i="127"/>
  <c r="AC16" i="123"/>
  <c r="BD32" i="123"/>
  <c r="AR38" i="125"/>
  <c r="G51" i="125"/>
  <c r="X35" i="122"/>
  <c r="AH31" i="132"/>
  <c r="AO29" i="130"/>
  <c r="I46" i="130"/>
  <c r="AX27" i="125"/>
  <c r="AC26" i="128"/>
  <c r="BB13" i="128"/>
  <c r="AZ11" i="123"/>
  <c r="AQ46" i="128"/>
  <c r="AF55" i="128"/>
  <c r="K10" i="122"/>
  <c r="Z8" i="126"/>
  <c r="S32" i="131"/>
  <c r="AV45" i="131"/>
  <c r="AX34" i="119"/>
  <c r="I39" i="130"/>
  <c r="Y25" i="125"/>
  <c r="AG46" i="126"/>
  <c r="AZ35" i="126"/>
  <c r="BE18" i="131"/>
  <c r="X24" i="128"/>
  <c r="V30" i="131"/>
  <c r="Z22" i="125"/>
  <c r="AC20" i="132"/>
  <c r="AY27" i="132"/>
  <c r="BB52" i="131"/>
  <c r="AC32" i="130"/>
  <c r="L47" i="130"/>
  <c r="S10" i="131"/>
  <c r="U40" i="130"/>
  <c r="AB56" i="131"/>
  <c r="Z14" i="131"/>
  <c r="K56" i="127"/>
  <c r="AJ12" i="126"/>
  <c r="BB41" i="130"/>
  <c r="AB41" i="128"/>
  <c r="AH15" i="126"/>
  <c r="AU13" i="130"/>
  <c r="Q39" i="130"/>
  <c r="AP20" i="129"/>
  <c r="H17" i="122"/>
  <c r="AE33" i="126"/>
  <c r="M25" i="130"/>
  <c r="AY55" i="129"/>
  <c r="BC25" i="128"/>
  <c r="AK13" i="125"/>
  <c r="BC37" i="125"/>
  <c r="AJ14" i="130"/>
  <c r="BD21" i="125"/>
  <c r="X33" i="127"/>
  <c r="AF12" i="125"/>
  <c r="AM42" i="128"/>
  <c r="Q15" i="128"/>
  <c r="Y27" i="125"/>
  <c r="AM51" i="124"/>
  <c r="V49" i="131"/>
  <c r="AV16" i="127"/>
  <c r="AV23" i="125"/>
  <c r="X54" i="126"/>
  <c r="N40" i="125"/>
  <c r="AY21" i="127"/>
  <c r="T13" i="125"/>
  <c r="L10" i="126"/>
  <c r="Y16" i="125"/>
  <c r="H23" i="127"/>
  <c r="X18" i="125"/>
  <c r="AY24" i="126"/>
  <c r="K16" i="125"/>
  <c r="Y10" i="127"/>
  <c r="AE42" i="127"/>
  <c r="AU8" i="129"/>
  <c r="I51" i="122"/>
  <c r="P37" i="122"/>
  <c r="W48" i="127"/>
  <c r="AD15" i="129"/>
  <c r="T43" i="122"/>
  <c r="G54" i="122"/>
  <c r="T44" i="127"/>
  <c r="M41" i="129"/>
  <c r="AS26" i="122"/>
  <c r="V21" i="122"/>
  <c r="P50" i="127"/>
  <c r="BD46" i="129"/>
  <c r="AH42" i="122"/>
  <c r="T15" i="131"/>
  <c r="U24" i="132"/>
  <c r="AQ48" i="126"/>
  <c r="BA18" i="127"/>
  <c r="T55" i="127"/>
  <c r="AZ39" i="128"/>
  <c r="AD52" i="131"/>
  <c r="AJ23" i="127"/>
  <c r="H41" i="127"/>
  <c r="L40" i="128"/>
  <c r="AG20" i="130"/>
  <c r="AX14" i="132"/>
  <c r="M44" i="131"/>
  <c r="AW16" i="128"/>
  <c r="X47" i="130"/>
  <c r="AJ51" i="132"/>
  <c r="AN50" i="131"/>
  <c r="AE27" i="128"/>
  <c r="Z52" i="130"/>
  <c r="AE49" i="131"/>
  <c r="G39" i="125"/>
  <c r="J41" i="125"/>
  <c r="AY55" i="118"/>
  <c r="L39" i="131"/>
  <c r="AY27" i="125"/>
  <c r="AI23" i="131"/>
  <c r="AH53" i="118"/>
  <c r="Z23" i="127"/>
  <c r="AZ46" i="125"/>
  <c r="BA21" i="127"/>
  <c r="AG36" i="117"/>
  <c r="BA40" i="128"/>
  <c r="BC34" i="125"/>
  <c r="AU24" i="124"/>
  <c r="AL34" i="128"/>
  <c r="P32" i="126"/>
  <c r="V11" i="125"/>
  <c r="AL57" i="127"/>
  <c r="Q20" i="131"/>
  <c r="AU24" i="126"/>
  <c r="Q49" i="125"/>
  <c r="Q40" i="126"/>
  <c r="BE43" i="131"/>
  <c r="W23" i="125"/>
  <c r="AU26" i="125"/>
  <c r="AR12" i="126"/>
  <c r="L40" i="130"/>
  <c r="AV43" i="125"/>
  <c r="K50" i="125"/>
  <c r="AY43" i="128"/>
  <c r="P26" i="128"/>
  <c r="AQ38" i="120"/>
  <c r="J27" i="120"/>
  <c r="K18" i="127"/>
  <c r="AQ10" i="127"/>
  <c r="T44" i="120"/>
  <c r="Y46" i="120"/>
  <c r="BA43" i="127"/>
  <c r="O31" i="129"/>
  <c r="AM50" i="119"/>
  <c r="W10" i="119"/>
  <c r="AN35" i="127"/>
  <c r="X17" i="125"/>
  <c r="AC26" i="119"/>
  <c r="Q11" i="125"/>
  <c r="W56" i="125"/>
  <c r="AQ42" i="129"/>
  <c r="AW30" i="130"/>
  <c r="AT11" i="130"/>
  <c r="BB56" i="125"/>
  <c r="AQ48" i="129"/>
  <c r="AG11" i="130"/>
  <c r="AB25" i="130"/>
  <c r="I46" i="131"/>
  <c r="AG26" i="128"/>
  <c r="AY46" i="130"/>
  <c r="O32" i="131"/>
  <c r="M52" i="131"/>
  <c r="AZ10" i="128"/>
  <c r="AH52" i="130"/>
  <c r="AX49" i="132"/>
  <c r="H35" i="125"/>
  <c r="Q47" i="130"/>
  <c r="AG41" i="118"/>
  <c r="AX47" i="130"/>
  <c r="X31" i="125"/>
  <c r="J54" i="129"/>
  <c r="AM32" i="117"/>
  <c r="M29" i="127"/>
  <c r="T26" i="124"/>
  <c r="AK55" i="127"/>
  <c r="I50" i="117"/>
  <c r="BA32" i="130"/>
  <c r="AY53" i="124"/>
  <c r="BB14" i="126"/>
  <c r="AL42" i="128"/>
  <c r="S16" i="127"/>
  <c r="G30" i="126"/>
  <c r="AH26" i="128"/>
  <c r="AD42" i="130"/>
  <c r="N39" i="127"/>
  <c r="AQ43" i="128"/>
  <c r="AM49" i="127"/>
  <c r="AH27" i="130"/>
  <c r="AS33" i="125"/>
  <c r="P31" i="125"/>
  <c r="BB35" i="126"/>
  <c r="U36" i="130"/>
  <c r="AD30" i="125"/>
  <c r="AE40" i="124"/>
  <c r="AR42" i="126"/>
  <c r="AV43" i="130"/>
  <c r="AX57" i="125"/>
  <c r="AU18" i="124"/>
  <c r="AI48" i="126"/>
  <c r="J49" i="130"/>
  <c r="AF40" i="124"/>
  <c r="K43" i="131"/>
  <c r="BD10" i="126"/>
  <c r="AF30" i="128"/>
  <c r="AI47" i="119"/>
  <c r="AY33" i="119"/>
  <c r="AP20" i="126"/>
  <c r="BD38" i="127"/>
  <c r="AL49" i="119"/>
  <c r="Z39" i="119"/>
  <c r="AL48" i="126"/>
  <c r="AN10" i="126"/>
  <c r="AX50" i="119"/>
  <c r="BC36" i="119"/>
  <c r="AF54" i="126"/>
  <c r="J48" i="126"/>
  <c r="N53" i="119"/>
  <c r="AU45" i="127"/>
  <c r="J12" i="126"/>
  <c r="AV15" i="128"/>
  <c r="AE49" i="130"/>
  <c r="AS11" i="126"/>
  <c r="AQ50" i="130"/>
  <c r="AK25" i="131"/>
  <c r="AD48" i="131"/>
  <c r="AM51" i="125"/>
  <c r="AY45" i="130"/>
  <c r="P34" i="131"/>
  <c r="AO56" i="131"/>
  <c r="BC36" i="126"/>
  <c r="AG21" i="126"/>
  <c r="AJ35" i="119"/>
  <c r="AZ31" i="119"/>
  <c r="AN50" i="126"/>
  <c r="G32" i="126"/>
  <c r="AX47" i="119"/>
  <c r="BE33" i="119"/>
  <c r="AD18" i="126"/>
  <c r="X9" i="126"/>
  <c r="AN58" i="119"/>
  <c r="AU45" i="119"/>
  <c r="AS57" i="126"/>
  <c r="BD30" i="131"/>
  <c r="BA30" i="125"/>
  <c r="AO32" i="127"/>
  <c r="AS8" i="129"/>
  <c r="K16" i="131"/>
  <c r="AI42" i="129"/>
  <c r="M52" i="127"/>
  <c r="X47" i="127"/>
  <c r="O33" i="127"/>
  <c r="AE41" i="129"/>
  <c r="AV14" i="128"/>
  <c r="N12" i="129"/>
  <c r="Q16" i="125"/>
  <c r="AT14" i="128"/>
  <c r="AW41" i="128"/>
  <c r="AR54" i="129"/>
  <c r="AX44" i="125"/>
  <c r="W43" i="128"/>
  <c r="V55" i="128"/>
  <c r="AL57" i="129"/>
  <c r="AI31" i="125"/>
  <c r="Q30" i="128"/>
  <c r="AU17" i="127"/>
  <c r="AM46" i="130"/>
  <c r="AW8" i="130"/>
  <c r="AM32" i="120"/>
  <c r="AP15" i="120"/>
  <c r="V13" i="130"/>
  <c r="W15" i="130"/>
  <c r="AQ16" i="120"/>
  <c r="AJ20" i="120"/>
  <c r="AP22" i="129"/>
  <c r="AP8" i="129"/>
  <c r="X11" i="120"/>
  <c r="BD16" i="120"/>
  <c r="AH17" i="129"/>
  <c r="AD58" i="129"/>
  <c r="AS16" i="120"/>
  <c r="AS24" i="130"/>
  <c r="AZ8" i="130"/>
  <c r="I22" i="130"/>
  <c r="AZ57" i="131"/>
  <c r="AM37" i="127"/>
  <c r="AV17" i="127"/>
  <c r="L22" i="129"/>
  <c r="U55" i="132"/>
  <c r="Z20" i="127"/>
  <c r="AW22" i="127"/>
  <c r="P29" i="129"/>
  <c r="AR22" i="125"/>
  <c r="T56" i="131"/>
  <c r="BD55" i="126"/>
  <c r="U50" i="126"/>
  <c r="Q34" i="125"/>
  <c r="AW43" i="131"/>
  <c r="BC15" i="126"/>
  <c r="AC38" i="126"/>
  <c r="BD46" i="127"/>
  <c r="AJ47" i="131"/>
  <c r="AX15" i="125"/>
  <c r="M44" i="125"/>
  <c r="AH45" i="126"/>
  <c r="AK40" i="130"/>
  <c r="BE27" i="125"/>
  <c r="Y21" i="131"/>
  <c r="U17" i="129"/>
  <c r="BA14" i="129"/>
  <c r="U29" i="127"/>
  <c r="AH16" i="129"/>
  <c r="L52" i="128"/>
  <c r="AC11" i="127"/>
  <c r="BC21" i="127"/>
  <c r="AZ26" i="129"/>
  <c r="AP34" i="131"/>
  <c r="AC47" i="131"/>
  <c r="L21" i="125"/>
  <c r="BC10" i="129"/>
  <c r="BE13" i="131"/>
  <c r="AI35" i="131"/>
  <c r="AY26" i="125"/>
  <c r="AL17" i="129"/>
  <c r="P39" i="131"/>
  <c r="AC53" i="131"/>
  <c r="L47" i="125"/>
  <c r="AL24" i="129"/>
  <c r="AD26" i="131"/>
  <c r="BA16" i="130"/>
  <c r="AM26" i="125"/>
  <c r="AV47" i="128"/>
  <c r="K24" i="118"/>
  <c r="G14" i="118"/>
  <c r="BC17" i="125"/>
  <c r="AZ51" i="127"/>
  <c r="I31" i="118"/>
  <c r="BB20" i="118"/>
  <c r="W14" i="125"/>
  <c r="BE23" i="126"/>
  <c r="J29" i="118"/>
  <c r="BA17" i="118"/>
  <c r="AX46" i="125"/>
  <c r="J41" i="126"/>
  <c r="AJ34" i="118"/>
  <c r="AT11" i="128"/>
  <c r="AU13" i="128"/>
  <c r="AI18" i="127"/>
  <c r="AO56" i="129"/>
  <c r="AN24" i="126"/>
  <c r="AF29" i="127"/>
  <c r="BB44" i="129"/>
  <c r="AU55" i="132"/>
  <c r="AT11" i="126"/>
  <c r="AU35" i="127"/>
  <c r="AI57" i="129"/>
  <c r="BC24" i="125"/>
  <c r="L10" i="130"/>
  <c r="AD54" i="125"/>
  <c r="AX30" i="125"/>
  <c r="AC47" i="125"/>
  <c r="BA12" i="130"/>
  <c r="AB30" i="125"/>
  <c r="AS37" i="125"/>
  <c r="AM53" i="126"/>
  <c r="L26" i="130"/>
  <c r="K42" i="131"/>
  <c r="AS11" i="131"/>
  <c r="AB10" i="126"/>
  <c r="I35" i="130"/>
  <c r="AT54" i="131"/>
  <c r="H44" i="129"/>
  <c r="H22" i="128"/>
  <c r="AW35" i="126"/>
  <c r="T36" i="127"/>
  <c r="AR32" i="129"/>
  <c r="AN21" i="126"/>
  <c r="AY11" i="130"/>
  <c r="AJ36" i="130"/>
  <c r="AL43" i="129"/>
  <c r="BD9" i="130"/>
  <c r="AR32" i="130"/>
  <c r="L42" i="125"/>
  <c r="Z51" i="129"/>
  <c r="Z9" i="130"/>
  <c r="AL41" i="130"/>
  <c r="AS58" i="125"/>
  <c r="AP33" i="129"/>
  <c r="W26" i="130"/>
  <c r="S48" i="130"/>
  <c r="V55" i="125"/>
  <c r="W47" i="129"/>
  <c r="T35" i="130"/>
  <c r="G30" i="125"/>
  <c r="AY51" i="126"/>
  <c r="AC18" i="118"/>
  <c r="Z13" i="132"/>
  <c r="AX35" i="125"/>
  <c r="H32" i="126"/>
  <c r="BB23" i="118"/>
  <c r="X44" i="130"/>
  <c r="U34" i="125"/>
  <c r="X34" i="131"/>
  <c r="P49" i="118"/>
  <c r="AP26" i="131"/>
  <c r="AJ52" i="125"/>
  <c r="Q37" i="130"/>
  <c r="V57" i="118"/>
  <c r="Q54" i="125"/>
  <c r="AH26" i="129"/>
  <c r="AT39" i="127"/>
  <c r="S41" i="129"/>
  <c r="AX38" i="132"/>
  <c r="AV18" i="126"/>
  <c r="Y11" i="127"/>
  <c r="X40" i="128"/>
  <c r="BC55" i="132"/>
  <c r="AK29" i="126"/>
  <c r="X30" i="127"/>
  <c r="M8" i="128"/>
  <c r="BA48" i="131"/>
  <c r="T54" i="126"/>
  <c r="L37" i="127"/>
  <c r="AC31" i="128"/>
  <c r="BE34" i="132"/>
  <c r="AZ10" i="130"/>
  <c r="AC57" i="125"/>
  <c r="AW44" i="125"/>
  <c r="AB24" i="128"/>
  <c r="AD16" i="130"/>
  <c r="AM25" i="124"/>
  <c r="AS37" i="124"/>
  <c r="AN25" i="125"/>
  <c r="J46" i="130"/>
  <c r="P55" i="131"/>
  <c r="BC33" i="131"/>
  <c r="AL57" i="125"/>
  <c r="L51" i="130"/>
  <c r="S46" i="131"/>
  <c r="P18" i="131"/>
  <c r="AX13" i="130"/>
  <c r="AU43" i="124"/>
  <c r="AB38" i="129"/>
  <c r="J45" i="128"/>
  <c r="AL36" i="124"/>
  <c r="AP40" i="129"/>
  <c r="AS40" i="124"/>
  <c r="X54" i="124"/>
  <c r="AY47" i="124"/>
  <c r="AX20" i="129"/>
  <c r="AD11" i="124"/>
  <c r="W12" i="124"/>
  <c r="Y49" i="124"/>
  <c r="W49" i="127"/>
  <c r="AM21" i="128"/>
  <c r="J57" i="121"/>
  <c r="AD50" i="121"/>
  <c r="AY42" i="129"/>
  <c r="AX55" i="122"/>
  <c r="I34" i="122"/>
  <c r="AI49" i="122"/>
  <c r="Y9" i="128"/>
  <c r="AZ45" i="121"/>
  <c r="AN27" i="121"/>
  <c r="AC39" i="121"/>
  <c r="AX14" i="128"/>
  <c r="I22" i="121"/>
  <c r="S51" i="121"/>
  <c r="AR15" i="121"/>
  <c r="J9" i="128"/>
  <c r="BD45" i="121"/>
  <c r="AR27" i="121"/>
  <c r="P55" i="129"/>
  <c r="AD22" i="129"/>
  <c r="BB30" i="128"/>
  <c r="N27" i="129"/>
  <c r="AM33" i="122"/>
  <c r="P49" i="128"/>
  <c r="S56" i="130"/>
  <c r="AW40" i="122"/>
  <c r="AI27" i="122"/>
  <c r="AY38" i="128"/>
  <c r="AD57" i="130"/>
  <c r="BB9" i="128"/>
  <c r="K24" i="128"/>
  <c r="AZ9" i="131"/>
  <c r="AG20" i="131"/>
  <c r="Z18" i="131"/>
  <c r="AR51" i="132"/>
  <c r="N30" i="130"/>
  <c r="BD53" i="131"/>
  <c r="AV50" i="132"/>
  <c r="AF9" i="130"/>
  <c r="AY40" i="124"/>
  <c r="BA17" i="125"/>
  <c r="AI55" i="125"/>
  <c r="N39" i="126"/>
  <c r="AT57" i="126"/>
  <c r="N16" i="128"/>
  <c r="AS37" i="128"/>
  <c r="AS20" i="124"/>
  <c r="M39" i="127"/>
  <c r="M42" i="129"/>
  <c r="AK55" i="129"/>
  <c r="AH23" i="123"/>
  <c r="BA21" i="132"/>
  <c r="BC33" i="127"/>
  <c r="AH46" i="127"/>
  <c r="AH30" i="122"/>
  <c r="BA57" i="130"/>
  <c r="AO43" i="127"/>
  <c r="AS45" i="130"/>
  <c r="AI54" i="130"/>
  <c r="BE22" i="131"/>
  <c r="I27" i="126"/>
  <c r="U37" i="128"/>
  <c r="U12" i="127"/>
  <c r="Q34" i="128"/>
  <c r="BC35" i="126"/>
  <c r="V30" i="128"/>
  <c r="AP40" i="127"/>
  <c r="AL43" i="126"/>
  <c r="I55" i="126"/>
  <c r="X37" i="126"/>
  <c r="AX17" i="129"/>
  <c r="Y54" i="130"/>
  <c r="AB13" i="129"/>
  <c r="BA11" i="130"/>
  <c r="W49" i="129"/>
  <c r="AC50" i="128"/>
  <c r="AZ17" i="128"/>
  <c r="H32" i="129"/>
  <c r="U15" i="125"/>
  <c r="AS37" i="131"/>
  <c r="J34" i="124"/>
  <c r="AL24" i="131"/>
  <c r="BA24" i="132"/>
  <c r="S18" i="129"/>
  <c r="AC22" i="125"/>
  <c r="AH43" i="131"/>
  <c r="AT33" i="129"/>
  <c r="AR13" i="125"/>
  <c r="AZ29" i="129"/>
  <c r="U38" i="129"/>
  <c r="J16" i="132"/>
  <c r="AF49" i="128"/>
  <c r="J26" i="126"/>
  <c r="AZ25" i="122"/>
  <c r="BD43" i="122"/>
  <c r="AP58" i="126"/>
  <c r="O12" i="127"/>
  <c r="AW38" i="122"/>
  <c r="AJ14" i="125"/>
  <c r="AE50" i="127"/>
  <c r="BE37" i="129"/>
  <c r="AV32" i="129"/>
  <c r="AN33" i="125"/>
  <c r="P41" i="127"/>
  <c r="AR11" i="128"/>
  <c r="AL45" i="129"/>
  <c r="BC21" i="122"/>
  <c r="AW27" i="125"/>
  <c r="AN16" i="128"/>
  <c r="Z25" i="121"/>
  <c r="Y15" i="130"/>
  <c r="AI11" i="127"/>
  <c r="AB53" i="127"/>
  <c r="AO36" i="128"/>
  <c r="BD41" i="131"/>
  <c r="AW26" i="127"/>
  <c r="H33" i="127"/>
  <c r="AE52" i="128"/>
  <c r="Q22" i="131"/>
  <c r="X36" i="127"/>
  <c r="AV52" i="127"/>
  <c r="AO49" i="128"/>
  <c r="H35" i="131"/>
  <c r="AT13" i="127"/>
  <c r="U17" i="126"/>
  <c r="K13" i="129"/>
  <c r="S16" i="129"/>
  <c r="AE15" i="120"/>
  <c r="AV22" i="120"/>
  <c r="W16" i="129"/>
  <c r="AD11" i="129"/>
  <c r="BD21" i="120"/>
  <c r="T42" i="120"/>
  <c r="N8" i="128"/>
  <c r="AP16" i="128"/>
  <c r="AK42" i="120"/>
  <c r="AQ43" i="120"/>
  <c r="AV36" i="128"/>
  <c r="AB36" i="128"/>
  <c r="AV46" i="120"/>
  <c r="AP52" i="128"/>
  <c r="BA23" i="128"/>
  <c r="AP25" i="129"/>
  <c r="T50" i="131"/>
  <c r="BE37" i="131"/>
  <c r="AL20" i="125"/>
  <c r="J10" i="129"/>
  <c r="BB30" i="131"/>
  <c r="AY23" i="131"/>
  <c r="AG9" i="127"/>
  <c r="G24" i="128"/>
  <c r="AD29" i="130"/>
  <c r="AY47" i="126"/>
  <c r="S22" i="127"/>
  <c r="AR34" i="128"/>
  <c r="AP26" i="130"/>
  <c r="AY53" i="126"/>
  <c r="J32" i="127"/>
  <c r="BB44" i="128"/>
  <c r="AS10" i="126"/>
  <c r="M31" i="130"/>
  <c r="Y13" i="131"/>
  <c r="AV48" i="131"/>
  <c r="V17" i="126"/>
  <c r="AP38" i="130"/>
  <c r="X38" i="131"/>
  <c r="AY34" i="131"/>
  <c r="AD44" i="129"/>
  <c r="O22" i="130"/>
  <c r="AY44" i="131"/>
  <c r="V16" i="131"/>
  <c r="AG14" i="125"/>
  <c r="AF20" i="129"/>
  <c r="AH30" i="127"/>
  <c r="N54" i="129"/>
  <c r="AM25" i="130"/>
  <c r="H11" i="130"/>
  <c r="AO45" i="125"/>
  <c r="V48" i="129"/>
  <c r="X36" i="130"/>
  <c r="AD20" i="130"/>
  <c r="AJ31" i="125"/>
  <c r="K37" i="129"/>
  <c r="AH10" i="130"/>
  <c r="AQ33" i="130"/>
  <c r="AR58" i="125"/>
  <c r="AP45" i="129"/>
  <c r="P14" i="130"/>
  <c r="BB11" i="130"/>
  <c r="T22" i="125"/>
  <c r="I9" i="126"/>
  <c r="AF16" i="118"/>
  <c r="W51" i="118"/>
  <c r="BD34" i="125"/>
  <c r="AG25" i="126"/>
  <c r="BC22" i="118"/>
  <c r="AC27" i="132"/>
  <c r="AS55" i="125"/>
  <c r="AI53" i="130"/>
  <c r="Y30" i="118"/>
  <c r="G55" i="132"/>
  <c r="BA42" i="125"/>
  <c r="H11" i="126"/>
  <c r="M55" i="118"/>
  <c r="G37" i="130"/>
  <c r="O22" i="127"/>
  <c r="AH20" i="127"/>
  <c r="BC48" i="129"/>
  <c r="AL47" i="132"/>
  <c r="O40" i="126"/>
  <c r="K50" i="127"/>
  <c r="U31" i="129"/>
  <c r="S10" i="132"/>
  <c r="W55" i="126"/>
  <c r="AF34" i="127"/>
  <c r="AN38" i="128"/>
  <c r="AM38" i="131"/>
  <c r="AB15" i="126"/>
  <c r="AM32" i="126"/>
  <c r="AE45" i="128"/>
  <c r="U20" i="125"/>
  <c r="BB48" i="130"/>
  <c r="H23" i="131"/>
  <c r="AL10" i="131"/>
  <c r="J31" i="125"/>
  <c r="I38" i="130"/>
  <c r="AB23" i="131"/>
  <c r="W21" i="131"/>
  <c r="BC30" i="131"/>
  <c r="U55" i="130"/>
  <c r="BE15" i="130"/>
  <c r="J13" i="130"/>
  <c r="J22" i="130"/>
  <c r="AJ56" i="130"/>
  <c r="K9" i="130"/>
  <c r="M25" i="129"/>
  <c r="AT29" i="125"/>
  <c r="AE17" i="126"/>
  <c r="AE34" i="128"/>
  <c r="Z14" i="126"/>
  <c r="P44" i="127"/>
  <c r="AI24" i="127"/>
  <c r="AD16" i="128"/>
  <c r="AR49" i="130"/>
  <c r="AY45" i="132"/>
  <c r="S41" i="131"/>
  <c r="O25" i="128"/>
  <c r="AZ39" i="130"/>
  <c r="AX26" i="132"/>
  <c r="AY56" i="131"/>
  <c r="AC35" i="128"/>
  <c r="AD23" i="130"/>
  <c r="AY58" i="132"/>
  <c r="AZ17" i="131"/>
  <c r="G42" i="128"/>
  <c r="AX15" i="130"/>
  <c r="AX18" i="129"/>
  <c r="AK42" i="125"/>
  <c r="AZ23" i="128"/>
  <c r="BD20" i="117"/>
  <c r="O25" i="127"/>
  <c r="K33" i="125"/>
  <c r="AE24" i="127"/>
  <c r="K31" i="117"/>
  <c r="AI39" i="129"/>
  <c r="AC14" i="131"/>
  <c r="Y24" i="126"/>
  <c r="AU36" i="117"/>
  <c r="P48" i="128"/>
  <c r="G27" i="131"/>
  <c r="AL30" i="126"/>
  <c r="AD43" i="117"/>
  <c r="AK18" i="128"/>
  <c r="AF46" i="124"/>
  <c r="AP42" i="127"/>
  <c r="AW32" i="128"/>
  <c r="BB17" i="129"/>
  <c r="O46" i="128"/>
  <c r="W30" i="129"/>
  <c r="AE18" i="131"/>
  <c r="AQ25" i="129"/>
  <c r="O17" i="128"/>
  <c r="K8" i="129"/>
  <c r="BB37" i="128"/>
  <c r="W55" i="131"/>
  <c r="Y20" i="126"/>
  <c r="AY24" i="117"/>
  <c r="G10" i="127"/>
  <c r="AN12" i="131"/>
  <c r="Z53" i="126"/>
  <c r="AW31" i="117"/>
  <c r="Q45" i="127"/>
  <c r="BA24" i="131"/>
  <c r="O48" i="128"/>
  <c r="AT24" i="127"/>
  <c r="N32" i="126"/>
  <c r="AW12" i="131"/>
  <c r="Y15" i="126"/>
  <c r="AU13" i="132"/>
  <c r="Y25" i="128"/>
  <c r="X15" i="125"/>
  <c r="AU43" i="128"/>
  <c r="AM45" i="129"/>
  <c r="G46" i="130"/>
  <c r="AW20" i="131"/>
  <c r="Q53" i="131"/>
  <c r="AY36" i="130"/>
  <c r="K57" i="131"/>
  <c r="BA32" i="131"/>
  <c r="AM37" i="125"/>
  <c r="AL30" i="130"/>
  <c r="S15" i="131"/>
  <c r="AJ41" i="131"/>
  <c r="Z8" i="125"/>
  <c r="AM32" i="129"/>
  <c r="V26" i="131"/>
  <c r="AP48" i="131"/>
  <c r="Z12" i="125"/>
  <c r="P10" i="129"/>
  <c r="V35" i="131"/>
  <c r="AY25" i="131"/>
  <c r="I46" i="126"/>
  <c r="AW58" i="126"/>
  <c r="J38" i="119"/>
  <c r="U34" i="119"/>
  <c r="AE51" i="126"/>
  <c r="AS38" i="126"/>
  <c r="Y50" i="119"/>
  <c r="AD36" i="119"/>
  <c r="AI58" i="126"/>
  <c r="H41" i="131"/>
  <c r="L40" i="118"/>
  <c r="BC8" i="118"/>
  <c r="Q53" i="126"/>
  <c r="AY51" i="130"/>
  <c r="AY25" i="118"/>
  <c r="AP44" i="125"/>
  <c r="Y42" i="125"/>
  <c r="W33" i="128"/>
  <c r="AV27" i="129"/>
  <c r="AT39" i="125"/>
  <c r="AU58" i="126"/>
  <c r="L16" i="127"/>
  <c r="K23" i="131"/>
  <c r="AP46" i="125"/>
  <c r="AO53" i="126"/>
  <c r="P23" i="127"/>
  <c r="Z22" i="126"/>
  <c r="BC54" i="129"/>
  <c r="S14" i="129"/>
  <c r="AZ20" i="129"/>
  <c r="M47" i="126"/>
  <c r="U32" i="129"/>
  <c r="AQ26" i="129"/>
  <c r="AB57" i="129"/>
  <c r="Q32" i="131"/>
  <c r="O39" i="129"/>
  <c r="AD34" i="129"/>
  <c r="AE38" i="129"/>
  <c r="BD38" i="130"/>
  <c r="AP47" i="129"/>
  <c r="AR30" i="129"/>
  <c r="AX20" i="132"/>
  <c r="AS12" i="132"/>
  <c r="AM12" i="130"/>
  <c r="N16" i="125"/>
  <c r="AO11" i="127"/>
  <c r="AX52" i="125"/>
  <c r="AT56" i="129"/>
  <c r="J41" i="129"/>
  <c r="V27" i="127"/>
  <c r="T56" i="129"/>
  <c r="AU27" i="132"/>
  <c r="AJ18" i="127"/>
  <c r="Z10" i="127"/>
  <c r="BC15" i="129"/>
  <c r="BB27" i="132"/>
  <c r="AY20" i="127"/>
  <c r="AJ12" i="127"/>
  <c r="W39" i="129"/>
  <c r="BA56" i="132"/>
  <c r="AY37" i="127"/>
  <c r="X18" i="127"/>
  <c r="O46" i="129"/>
  <c r="AQ8" i="124"/>
  <c r="AK27" i="131"/>
  <c r="S46" i="126"/>
  <c r="AM29" i="125"/>
  <c r="AD36" i="132"/>
  <c r="BA51" i="131"/>
  <c r="X40" i="125"/>
  <c r="AU13" i="125"/>
  <c r="M55" i="126"/>
  <c r="AD8" i="130"/>
  <c r="T17" i="125"/>
  <c r="V58" i="125"/>
  <c r="I37" i="125"/>
  <c r="AO11" i="130"/>
  <c r="AX54" i="125"/>
  <c r="AF34" i="125"/>
  <c r="I16" i="131"/>
  <c r="AT38" i="128"/>
  <c r="K54" i="126"/>
  <c r="O27" i="127"/>
  <c r="J36" i="125"/>
  <c r="AR17" i="125"/>
  <c r="AB34" i="127"/>
  <c r="AE57" i="132"/>
  <c r="AU32" i="125"/>
  <c r="AJ44" i="132"/>
  <c r="BE43" i="129"/>
  <c r="AE10" i="129"/>
  <c r="BA52" i="129"/>
  <c r="AT10" i="128"/>
  <c r="AX13" i="128"/>
  <c r="Q48" i="129"/>
  <c r="AG37" i="129"/>
  <c r="BE16" i="128"/>
  <c r="AZ11" i="128"/>
  <c r="I52" i="127"/>
  <c r="Z25" i="130"/>
  <c r="T25" i="128"/>
  <c r="O56" i="128"/>
  <c r="N55" i="127"/>
  <c r="H38" i="129"/>
  <c r="AY31" i="128"/>
  <c r="P40" i="130"/>
  <c r="AS57" i="129"/>
  <c r="AT29" i="129"/>
  <c r="O34" i="125"/>
  <c r="AL53" i="131"/>
  <c r="BA58" i="125"/>
  <c r="AO13" i="126"/>
  <c r="K41" i="130"/>
  <c r="Q24" i="127"/>
  <c r="M33" i="129"/>
  <c r="AG37" i="132"/>
  <c r="W17" i="126"/>
  <c r="AN51" i="127"/>
  <c r="AT46" i="129"/>
  <c r="S39" i="132"/>
  <c r="K27" i="126"/>
  <c r="AL30" i="127"/>
  <c r="G12" i="128"/>
  <c r="V54" i="132"/>
  <c r="Q15" i="126"/>
  <c r="AW36" i="127"/>
  <c r="AG13" i="128"/>
  <c r="AO22" i="124"/>
  <c r="S8" i="130"/>
  <c r="AL45" i="125"/>
  <c r="AY44" i="125"/>
  <c r="AQ50" i="132"/>
  <c r="S14" i="130"/>
  <c r="AF37" i="125"/>
  <c r="BC55" i="125"/>
  <c r="BA51" i="126"/>
  <c r="Z46" i="130"/>
  <c r="BA53" i="131"/>
  <c r="X30" i="131"/>
  <c r="AI51" i="125"/>
  <c r="X51" i="130"/>
  <c r="M27" i="131"/>
  <c r="P32" i="131"/>
  <c r="AO15" i="132"/>
  <c r="AC38" i="129"/>
  <c r="BD9" i="125"/>
  <c r="AF43" i="128"/>
  <c r="BA21" i="131"/>
  <c r="Y30" i="125"/>
  <c r="AE46" i="130"/>
  <c r="H45" i="127"/>
  <c r="J43" i="130"/>
  <c r="AM53" i="124"/>
  <c r="AW17" i="128"/>
  <c r="AK56" i="126"/>
  <c r="J9" i="129"/>
  <c r="J32" i="124"/>
  <c r="AV18" i="127"/>
  <c r="AY36" i="125"/>
  <c r="AZ47" i="128"/>
  <c r="BC40" i="128"/>
  <c r="Y12" i="128"/>
  <c r="P13" i="128"/>
  <c r="N49" i="128"/>
  <c r="AZ39" i="131"/>
  <c r="AH15" i="128"/>
  <c r="AR50" i="128"/>
  <c r="T36" i="126"/>
  <c r="AZ14" i="127"/>
  <c r="V26" i="128"/>
  <c r="AC21" i="128"/>
  <c r="AJ8" i="125"/>
  <c r="BC20" i="126"/>
  <c r="S37" i="128"/>
  <c r="AX25" i="128"/>
  <c r="M43" i="127"/>
  <c r="T56" i="130"/>
  <c r="AB25" i="128"/>
  <c r="T23" i="129"/>
  <c r="Q54" i="123"/>
  <c r="I23" i="128"/>
  <c r="AE24" i="130"/>
  <c r="J46" i="123"/>
  <c r="AM14" i="122"/>
  <c r="AB31" i="128"/>
  <c r="S17" i="130"/>
  <c r="AE40" i="122"/>
  <c r="BB33" i="122"/>
  <c r="Z36" i="127"/>
  <c r="AF18" i="127"/>
  <c r="Y37" i="120"/>
  <c r="AK26" i="120"/>
  <c r="V43" i="127"/>
  <c r="H37" i="124"/>
  <c r="X46" i="124"/>
  <c r="T49" i="124"/>
  <c r="AE35" i="127"/>
  <c r="Y44" i="124"/>
  <c r="K51" i="124"/>
  <c r="AV53" i="124"/>
  <c r="I57" i="127"/>
  <c r="AT49" i="124"/>
  <c r="AE10" i="124"/>
  <c r="O13" i="124"/>
  <c r="BD54" i="127"/>
  <c r="O55" i="124"/>
  <c r="K34" i="128"/>
  <c r="AG46" i="128"/>
  <c r="AV15" i="131"/>
  <c r="AK25" i="121"/>
  <c r="AX55" i="127"/>
  <c r="J31" i="121"/>
  <c r="V47" i="125"/>
  <c r="AD40" i="124"/>
  <c r="H47" i="121"/>
  <c r="AI31" i="121"/>
  <c r="I12" i="131"/>
  <c r="Z9" i="131"/>
  <c r="AJ44" i="126"/>
  <c r="AS54" i="126"/>
  <c r="G56" i="128"/>
  <c r="BE17" i="126"/>
  <c r="BB17" i="125"/>
  <c r="AY11" i="125"/>
  <c r="AG57" i="125"/>
  <c r="Z12" i="124"/>
  <c r="AR32" i="132"/>
  <c r="AW16" i="130"/>
  <c r="K27" i="125"/>
  <c r="AX16" i="131"/>
  <c r="W31" i="126"/>
  <c r="AK43" i="131"/>
  <c r="N8" i="126"/>
  <c r="AE49" i="132"/>
  <c r="X49" i="128"/>
  <c r="BB33" i="131"/>
  <c r="AV54" i="127"/>
  <c r="AE26" i="128"/>
  <c r="AO44" i="127"/>
  <c r="Y35" i="129"/>
  <c r="AI8" i="128"/>
  <c r="AD50" i="132"/>
  <c r="V54" i="125"/>
  <c r="J33" i="127"/>
  <c r="AM43" i="130"/>
  <c r="L38" i="129"/>
  <c r="AT41" i="129"/>
  <c r="AD46" i="125"/>
  <c r="N38" i="125"/>
  <c r="AL17" i="126"/>
  <c r="AL33" i="127"/>
  <c r="W32" i="130"/>
  <c r="W17" i="127"/>
  <c r="AS38" i="125"/>
  <c r="J45" i="127"/>
  <c r="U56" i="130"/>
  <c r="T8" i="129"/>
  <c r="AN46" i="130"/>
  <c r="Z18" i="130"/>
  <c r="AN52" i="127"/>
  <c r="AE29" i="128"/>
  <c r="O31" i="131"/>
  <c r="AJ26" i="131"/>
  <c r="AH41" i="119"/>
  <c r="AH36" i="118"/>
  <c r="AR29" i="129"/>
  <c r="U29" i="129"/>
  <c r="AK48" i="127"/>
  <c r="AU45" i="128"/>
  <c r="T42" i="128"/>
  <c r="X40" i="126"/>
  <c r="Z33" i="126"/>
  <c r="AD24" i="124"/>
  <c r="BA13" i="126"/>
  <c r="Y38" i="130"/>
  <c r="J55" i="130"/>
  <c r="S53" i="131"/>
  <c r="AY20" i="126"/>
  <c r="AM23" i="129"/>
  <c r="J44" i="129"/>
  <c r="AH37" i="131"/>
  <c r="AM44" i="129"/>
  <c r="AU24" i="128"/>
  <c r="Q17" i="130"/>
  <c r="AR34" i="130"/>
  <c r="Q26" i="129"/>
  <c r="W55" i="129"/>
  <c r="AN40" i="129"/>
  <c r="Q29" i="127"/>
  <c r="AF21" i="131"/>
  <c r="AC50" i="129"/>
  <c r="AV38" i="125"/>
  <c r="L10" i="129"/>
  <c r="X14" i="129"/>
  <c r="AE51" i="125"/>
  <c r="AW20" i="125"/>
  <c r="X35" i="130"/>
  <c r="J43" i="122"/>
  <c r="AR43" i="125"/>
  <c r="BB54" i="132"/>
  <c r="V41" i="124"/>
  <c r="AD56" i="128"/>
  <c r="K25" i="131"/>
  <c r="AP23" i="125"/>
  <c r="AL9" i="129"/>
  <c r="T35" i="131"/>
  <c r="AH48" i="131"/>
  <c r="BA25" i="125"/>
  <c r="AN14" i="129"/>
  <c r="AH14" i="131"/>
  <c r="BE35" i="131"/>
  <c r="AK31" i="125"/>
  <c r="L15" i="129"/>
  <c r="AB41" i="131"/>
  <c r="AY53" i="131"/>
  <c r="AG47" i="126"/>
  <c r="H46" i="131"/>
  <c r="AW40" i="118"/>
  <c r="AJ29" i="118"/>
  <c r="Q42" i="126"/>
  <c r="AT35" i="130"/>
  <c r="AD13" i="118"/>
  <c r="X20" i="118"/>
  <c r="BC25" i="125"/>
  <c r="BB50" i="127"/>
  <c r="I37" i="118"/>
  <c r="AO16" i="118"/>
  <c r="AI14" i="125"/>
  <c r="AG42" i="127"/>
  <c r="AR10" i="118"/>
  <c r="BE46" i="130"/>
  <c r="AV33" i="130"/>
  <c r="I20" i="128"/>
  <c r="AD8" i="129"/>
  <c r="AO50" i="132"/>
  <c r="AH50" i="128"/>
  <c r="AM13" i="127"/>
  <c r="BC14" i="129"/>
  <c r="AU10" i="132"/>
  <c r="AQ32" i="127"/>
  <c r="BA27" i="131"/>
  <c r="X35" i="129"/>
  <c r="AN57" i="131"/>
  <c r="AE14" i="126"/>
  <c r="Q26" i="131"/>
  <c r="G42" i="129"/>
  <c r="AP10" i="131"/>
  <c r="AD21" i="126"/>
  <c r="Z10" i="130"/>
  <c r="AQ43" i="127"/>
  <c r="AP9" i="129"/>
  <c r="AX54" i="128"/>
  <c r="AZ45" i="128"/>
  <c r="X10" i="126"/>
  <c r="L14" i="128"/>
  <c r="Q20" i="128"/>
  <c r="AN51" i="128"/>
  <c r="AE49" i="125"/>
  <c r="AI41" i="125"/>
  <c r="BD29" i="128"/>
  <c r="AV54" i="128"/>
  <c r="X49" i="131"/>
  <c r="X58" i="126"/>
  <c r="M13" i="127"/>
  <c r="AJ17" i="127"/>
  <c r="AJ46" i="129"/>
  <c r="J35" i="132"/>
  <c r="O35" i="127"/>
  <c r="AV34" i="127"/>
  <c r="P52" i="129"/>
  <c r="Y53" i="132"/>
  <c r="AE8" i="126"/>
  <c r="U16" i="127"/>
  <c r="AV36" i="129"/>
  <c r="AG13" i="132"/>
  <c r="AT10" i="126"/>
  <c r="BC34" i="127"/>
  <c r="W50" i="129"/>
  <c r="BA10" i="126"/>
  <c r="AY29" i="130"/>
  <c r="AG39" i="125"/>
  <c r="H36" i="125"/>
  <c r="J27" i="125"/>
  <c r="Q12" i="130"/>
  <c r="Y34" i="125"/>
  <c r="AP42" i="125"/>
  <c r="AZ29" i="128"/>
  <c r="AN25" i="130"/>
  <c r="AQ40" i="124"/>
  <c r="N51" i="124"/>
  <c r="U20" i="126"/>
  <c r="AE34" i="130"/>
  <c r="AX52" i="131"/>
  <c r="K36" i="131"/>
  <c r="W52" i="128"/>
  <c r="AI33" i="126"/>
  <c r="Z21" i="125"/>
  <c r="BB46" i="127"/>
  <c r="W27" i="129"/>
  <c r="AS39" i="125"/>
  <c r="K10" i="125"/>
  <c r="U24" i="127"/>
  <c r="AX27" i="131"/>
  <c r="AU8" i="131"/>
  <c r="AN48" i="126"/>
  <c r="Y10" i="130"/>
  <c r="AH33" i="128"/>
  <c r="V20" i="131"/>
  <c r="G39" i="126"/>
  <c r="W42" i="130"/>
  <c r="AU35" i="126"/>
  <c r="AX36" i="128"/>
  <c r="AR55" i="128"/>
  <c r="BE50" i="128"/>
  <c r="N12" i="125"/>
  <c r="AT50" i="127"/>
  <c r="AC25" i="128"/>
  <c r="AB55" i="128"/>
  <c r="AO18" i="130"/>
  <c r="P41" i="125"/>
  <c r="BD46" i="128"/>
  <c r="AQ32" i="128"/>
  <c r="AR31" i="130"/>
  <c r="G13" i="131"/>
  <c r="AL56" i="128"/>
  <c r="AU43" i="129"/>
  <c r="AL12" i="128"/>
  <c r="AR27" i="128"/>
  <c r="X22" i="131"/>
  <c r="U13" i="130"/>
  <c r="AE23" i="131"/>
  <c r="P35" i="129"/>
  <c r="M57" i="125"/>
  <c r="Q36" i="127"/>
  <c r="AS32" i="128"/>
  <c r="G37" i="132"/>
  <c r="AR50" i="126"/>
  <c r="Q43" i="127"/>
  <c r="T38" i="128"/>
  <c r="AN35" i="132"/>
  <c r="O56" i="126"/>
  <c r="AI15" i="126"/>
  <c r="AC39" i="128"/>
  <c r="AM51" i="131"/>
  <c r="AB16" i="126"/>
  <c r="AN20" i="126"/>
  <c r="AJ50" i="128"/>
  <c r="AF37" i="124"/>
  <c r="AC48" i="130"/>
  <c r="BE8" i="131"/>
  <c r="AU50" i="131"/>
  <c r="AK17" i="131"/>
  <c r="G13" i="130"/>
  <c r="J21" i="131"/>
  <c r="AJ17" i="131"/>
  <c r="AN45" i="130"/>
  <c r="AK41" i="130"/>
  <c r="AH39" i="130"/>
  <c r="G30" i="130"/>
  <c r="BB53" i="130"/>
  <c r="AM38" i="129"/>
  <c r="AY27" i="130"/>
  <c r="Y46" i="130"/>
  <c r="K23" i="126"/>
  <c r="AC17" i="131"/>
  <c r="AX49" i="126"/>
  <c r="AP29" i="130"/>
  <c r="O35" i="126"/>
  <c r="AU55" i="126"/>
  <c r="Z43" i="128"/>
  <c r="T48" i="132"/>
  <c r="AH40" i="125"/>
  <c r="J14" i="126"/>
  <c r="AN52" i="128"/>
  <c r="AG25" i="130"/>
  <c r="AE56" i="130"/>
  <c r="AQ23" i="130"/>
  <c r="AC18" i="130"/>
  <c r="Q8" i="129"/>
  <c r="AX22" i="129"/>
  <c r="V41" i="130"/>
  <c r="AP51" i="130"/>
  <c r="AS20" i="127"/>
  <c r="AV23" i="129"/>
  <c r="S54" i="130"/>
  <c r="AM22" i="129"/>
  <c r="N46" i="127"/>
  <c r="AU22" i="129"/>
  <c r="G15" i="129"/>
  <c r="BC29" i="127"/>
  <c r="AH53" i="128"/>
  <c r="AT49" i="126"/>
  <c r="AJ58" i="128"/>
  <c r="AJ42" i="126"/>
  <c r="AN15" i="126"/>
  <c r="AZ48" i="126"/>
  <c r="U34" i="128"/>
  <c r="AE17" i="129"/>
  <c r="BC54" i="132"/>
  <c r="V25" i="129"/>
  <c r="AX38" i="128"/>
  <c r="P11" i="129"/>
  <c r="L25" i="132"/>
  <c r="AO37" i="129"/>
  <c r="L22" i="128"/>
  <c r="AR21" i="129"/>
  <c r="Q58" i="132"/>
  <c r="W48" i="129"/>
  <c r="AW52" i="128"/>
  <c r="BC22" i="129"/>
  <c r="AD54" i="127"/>
  <c r="AZ56" i="131"/>
  <c r="J42" i="126"/>
  <c r="W21" i="117"/>
  <c r="AX37" i="132"/>
  <c r="AR13" i="131"/>
  <c r="L14" i="126"/>
  <c r="M42" i="128"/>
  <c r="AT42" i="126"/>
  <c r="P44" i="131"/>
  <c r="AH57" i="126"/>
  <c r="P12" i="126"/>
  <c r="AJ24" i="125"/>
  <c r="AW25" i="131"/>
  <c r="L51" i="126"/>
  <c r="N25" i="126"/>
  <c r="AE46" i="125"/>
  <c r="AY43" i="130"/>
  <c r="L44" i="126"/>
  <c r="Z9" i="128"/>
  <c r="P16" i="125"/>
  <c r="I26" i="131"/>
  <c r="AN31" i="127"/>
  <c r="AW34" i="128"/>
  <c r="AX48" i="125"/>
  <c r="AX48" i="131"/>
  <c r="T39" i="127"/>
  <c r="AS45" i="126"/>
  <c r="AX21" i="129"/>
  <c r="U8" i="127"/>
  <c r="G50" i="127"/>
  <c r="AF11" i="125"/>
  <c r="AD25" i="129"/>
  <c r="AJ30" i="127"/>
  <c r="AU44" i="127"/>
  <c r="Q10" i="125"/>
  <c r="P24" i="128"/>
  <c r="Q35" i="127"/>
  <c r="AW51" i="127"/>
  <c r="AB56" i="125"/>
  <c r="Y21" i="128"/>
  <c r="U32" i="127"/>
  <c r="AR46" i="129"/>
  <c r="AS8" i="128"/>
  <c r="AE56" i="126"/>
  <c r="G48" i="127"/>
  <c r="S49" i="127"/>
  <c r="AD42" i="128"/>
  <c r="AR26" i="131"/>
  <c r="P34" i="128"/>
  <c r="P48" i="126"/>
  <c r="I26" i="127"/>
  <c r="P51" i="131"/>
  <c r="AV34" i="125"/>
  <c r="BE42" i="126"/>
  <c r="AW11" i="127"/>
  <c r="AM51" i="130"/>
  <c r="AR41" i="125"/>
  <c r="O54" i="126"/>
  <c r="AV43" i="127"/>
  <c r="V14" i="130"/>
  <c r="AN29" i="125"/>
  <c r="AT48" i="126"/>
  <c r="AP49" i="127"/>
  <c r="AP8" i="125"/>
  <c r="AS55" i="129"/>
  <c r="Z18" i="129"/>
  <c r="AS47" i="129"/>
  <c r="AO52" i="126"/>
  <c r="AX32" i="129"/>
  <c r="X32" i="129"/>
  <c r="AH47" i="129"/>
  <c r="BB18" i="130"/>
  <c r="AQ56" i="129"/>
  <c r="AM55" i="128"/>
  <c r="M12" i="128"/>
  <c r="BA25" i="129"/>
  <c r="O42" i="129"/>
  <c r="AO8" i="128"/>
  <c r="AL20" i="128"/>
  <c r="AJ21" i="126"/>
  <c r="AQ22" i="130"/>
  <c r="AG43" i="131"/>
  <c r="BE56" i="127"/>
  <c r="BE16" i="131"/>
  <c r="AV17" i="130"/>
  <c r="AG46" i="125"/>
  <c r="AW24" i="127"/>
  <c r="M43" i="131"/>
  <c r="BD26" i="130"/>
  <c r="L24" i="125"/>
  <c r="I43" i="131"/>
  <c r="H22" i="127"/>
  <c r="BB41" i="127"/>
  <c r="AB58" i="127"/>
  <c r="V12" i="130"/>
  <c r="AD20" i="127"/>
  <c r="I45" i="127"/>
  <c r="BD35" i="127"/>
  <c r="W41" i="129"/>
  <c r="AB46" i="127"/>
  <c r="G14" i="126"/>
  <c r="BE24" i="126"/>
  <c r="W50" i="128"/>
  <c r="M36" i="127"/>
  <c r="S23" i="126"/>
  <c r="S25" i="126"/>
  <c r="S55" i="126"/>
  <c r="M51" i="126"/>
  <c r="O21" i="125"/>
  <c r="AS12" i="125"/>
  <c r="AX12" i="126"/>
  <c r="AF22" i="128"/>
  <c r="AL54" i="130"/>
  <c r="L26" i="125"/>
  <c r="M49" i="127"/>
  <c r="T43" i="132"/>
  <c r="S52" i="125"/>
  <c r="W15" i="125"/>
  <c r="K54" i="132"/>
  <c r="BC48" i="131"/>
  <c r="AG45" i="125"/>
  <c r="BE10" i="129"/>
  <c r="BD17" i="126"/>
  <c r="AK43" i="130"/>
  <c r="AM35" i="124"/>
  <c r="AI27" i="128"/>
  <c r="AG40" i="125"/>
  <c r="AM50" i="128"/>
  <c r="U39" i="129"/>
  <c r="X15" i="128"/>
  <c r="BD9" i="128"/>
  <c r="S48" i="128"/>
  <c r="AR53" i="131"/>
  <c r="Z11" i="128"/>
  <c r="BB11" i="128"/>
  <c r="AW13" i="126"/>
  <c r="AT18" i="128"/>
  <c r="AW25" i="128"/>
  <c r="G57" i="128"/>
  <c r="I43" i="126"/>
  <c r="I21" i="127"/>
  <c r="AO32" i="128"/>
  <c r="AV26" i="128"/>
  <c r="Z58" i="131"/>
  <c r="X32" i="127"/>
  <c r="Q23" i="130"/>
  <c r="AK46" i="125"/>
  <c r="BB49" i="127"/>
  <c r="AB16" i="131"/>
  <c r="BE31" i="130"/>
  <c r="AF24" i="125"/>
  <c r="I50" i="132"/>
  <c r="H42" i="131"/>
  <c r="AI39" i="130"/>
  <c r="BD29" i="125"/>
  <c r="N30" i="132"/>
  <c r="AL29" i="131"/>
  <c r="AU46" i="130"/>
  <c r="L57" i="125"/>
  <c r="BD55" i="130"/>
  <c r="BB39" i="127"/>
  <c r="AJ58" i="127"/>
  <c r="AM39" i="126"/>
  <c r="H30" i="129"/>
  <c r="AG44" i="127"/>
  <c r="BC40" i="126"/>
  <c r="AT9" i="126"/>
  <c r="K11" i="127"/>
  <c r="AE10" i="126"/>
  <c r="G18" i="126"/>
  <c r="BC30" i="126"/>
  <c r="AL45" i="127"/>
  <c r="AC13" i="126"/>
  <c r="BE46" i="126"/>
  <c r="S32" i="129"/>
  <c r="AK58" i="129"/>
  <c r="AR54" i="125"/>
  <c r="AV36" i="121"/>
  <c r="AK25" i="127"/>
  <c r="I25" i="121"/>
  <c r="P29" i="125"/>
  <c r="AG36" i="125"/>
  <c r="BB41" i="121"/>
  <c r="AJ36" i="121"/>
  <c r="AM31" i="124"/>
  <c r="BC25" i="124"/>
  <c r="V52" i="121"/>
  <c r="BE37" i="132"/>
  <c r="AF18" i="125"/>
  <c r="AZ36" i="126"/>
  <c r="P50" i="118"/>
  <c r="AQ23" i="128"/>
  <c r="T14" i="125"/>
  <c r="AG54" i="123"/>
  <c r="H51" i="123"/>
  <c r="AZ32" i="129"/>
  <c r="BA34" i="125"/>
  <c r="AC39" i="122"/>
  <c r="S11" i="122"/>
  <c r="Y12" i="127"/>
  <c r="AB41" i="125"/>
  <c r="BD9" i="122"/>
  <c r="AV16" i="122"/>
  <c r="O22" i="126"/>
  <c r="AU46" i="125"/>
  <c r="W15" i="122"/>
  <c r="BA33" i="128"/>
  <c r="AE21" i="127"/>
  <c r="AS18" i="124"/>
  <c r="W15" i="128"/>
  <c r="AK50" i="127"/>
  <c r="L51" i="119"/>
  <c r="AY12" i="126"/>
  <c r="AM46" i="126"/>
  <c r="AB21" i="119"/>
  <c r="AW56" i="119"/>
  <c r="H26" i="126"/>
  <c r="X13" i="126"/>
  <c r="AU16" i="127"/>
  <c r="BD48" i="127"/>
  <c r="AK26" i="130"/>
  <c r="AH32" i="126"/>
  <c r="H36" i="131"/>
  <c r="W56" i="129"/>
  <c r="AU23" i="129"/>
  <c r="AP58" i="128"/>
  <c r="T33" i="132"/>
  <c r="AU30" i="129"/>
  <c r="AZ16" i="127"/>
  <c r="W21" i="127"/>
  <c r="AI43" i="130"/>
  <c r="BE21" i="128"/>
  <c r="BD27" i="131"/>
  <c r="I18" i="129"/>
  <c r="Q42" i="131"/>
  <c r="BD54" i="131"/>
  <c r="I55" i="128"/>
  <c r="AY45" i="128"/>
  <c r="N14" i="131"/>
  <c r="N12" i="130"/>
  <c r="I51" i="130"/>
  <c r="S35" i="126"/>
  <c r="AF46" i="129"/>
  <c r="BA57" i="129"/>
  <c r="AD13" i="128"/>
  <c r="AV32" i="128"/>
  <c r="BB57" i="125"/>
  <c r="V17" i="124"/>
  <c r="Q56" i="127"/>
  <c r="Y9" i="126"/>
  <c r="J25" i="123"/>
  <c r="G24" i="127"/>
  <c r="AY41" i="126"/>
  <c r="AW52" i="126"/>
  <c r="AY53" i="123"/>
  <c r="AC44" i="122"/>
  <c r="AM33" i="124"/>
  <c r="Z56" i="124"/>
  <c r="AD44" i="119"/>
  <c r="AX43" i="130"/>
  <c r="O33" i="131"/>
  <c r="BE48" i="131"/>
  <c r="K37" i="119"/>
  <c r="AI25" i="118"/>
  <c r="AE14" i="131"/>
  <c r="I27" i="132"/>
  <c r="Z32" i="126"/>
  <c r="J58" i="130"/>
  <c r="G43" i="130"/>
  <c r="Z24" i="117"/>
  <c r="AQ51" i="126"/>
  <c r="AW11" i="128"/>
  <c r="BA56" i="127"/>
  <c r="X39" i="131"/>
  <c r="AF27" i="130"/>
  <c r="O26" i="126"/>
  <c r="AF20" i="127"/>
  <c r="AI17" i="129"/>
  <c r="AC42" i="129"/>
  <c r="L36" i="128"/>
  <c r="AM8" i="129"/>
  <c r="AO54" i="128"/>
  <c r="G27" i="122"/>
  <c r="AQ39" i="126"/>
  <c r="AT36" i="130"/>
  <c r="W22" i="127"/>
  <c r="AD38" i="125"/>
  <c r="AH8" i="130"/>
  <c r="AM26" i="129"/>
  <c r="G20" i="127"/>
  <c r="BC17" i="126"/>
  <c r="G22" i="127"/>
  <c r="L39" i="127"/>
  <c r="BE46" i="129"/>
  <c r="W50" i="131"/>
  <c r="X18" i="128"/>
  <c r="AR9" i="126"/>
  <c r="L40" i="127"/>
  <c r="AH24" i="130"/>
  <c r="Z8" i="129"/>
  <c r="U21" i="132"/>
  <c r="AJ48" i="128"/>
  <c r="AD45" i="128"/>
  <c r="Z14" i="129"/>
  <c r="AV53" i="132"/>
  <c r="G44" i="128"/>
  <c r="AW40" i="127"/>
  <c r="AQ21" i="129"/>
  <c r="K11" i="132"/>
  <c r="Q40" i="127"/>
  <c r="AH9" i="127"/>
  <c r="AU27" i="129"/>
  <c r="AW47" i="126"/>
  <c r="AL48" i="131"/>
  <c r="AQ57" i="126"/>
  <c r="Y37" i="126"/>
  <c r="BD26" i="125"/>
  <c r="N29" i="131"/>
  <c r="AY26" i="126"/>
  <c r="AH44" i="126"/>
  <c r="AE13" i="128"/>
  <c r="AW9" i="131"/>
  <c r="AF9" i="125"/>
  <c r="BD13" i="125"/>
  <c r="AY9" i="126"/>
  <c r="L57" i="131"/>
  <c r="BA20" i="125"/>
  <c r="P10" i="125"/>
  <c r="J40" i="131"/>
  <c r="AR42" i="129"/>
  <c r="AX52" i="126"/>
  <c r="AK22" i="127"/>
  <c r="AC16" i="131"/>
  <c r="S34" i="125"/>
  <c r="AH21" i="126"/>
  <c r="AB10" i="127"/>
  <c r="BD42" i="128"/>
  <c r="W49" i="130"/>
  <c r="L30" i="125"/>
  <c r="V46" i="131"/>
  <c r="AD40" i="130"/>
  <c r="AC39" i="130"/>
  <c r="U42" i="125"/>
  <c r="BA40" i="130"/>
  <c r="BE13" i="130"/>
  <c r="I23" i="130"/>
  <c r="K31" i="125"/>
  <c r="O11" i="128"/>
  <c r="AG23" i="127"/>
  <c r="AH22" i="126"/>
  <c r="AP24" i="126"/>
  <c r="N54" i="128"/>
  <c r="AG41" i="127"/>
  <c r="S9" i="126"/>
  <c r="H17" i="126"/>
  <c r="AF55" i="129"/>
  <c r="AP8" i="126"/>
  <c r="AJ39" i="126"/>
  <c r="AH30" i="126"/>
  <c r="AI43" i="127"/>
  <c r="BD25" i="129"/>
  <c r="AT32" i="127"/>
  <c r="Q8" i="125"/>
  <c r="AE31" i="127"/>
  <c r="K54" i="130"/>
  <c r="AY58" i="125"/>
  <c r="BA26" i="125"/>
  <c r="AR57" i="127"/>
  <c r="AR25" i="129"/>
  <c r="T46" i="125"/>
  <c r="AI15" i="125"/>
  <c r="AO33" i="127"/>
  <c r="BE42" i="132"/>
  <c r="AL42" i="125"/>
  <c r="K24" i="125"/>
  <c r="BC39" i="127"/>
  <c r="Z15" i="130"/>
  <c r="AU47" i="129"/>
  <c r="AT49" i="129"/>
  <c r="X13" i="128"/>
  <c r="AS24" i="129"/>
  <c r="AJ58" i="129"/>
  <c r="Q16" i="128"/>
  <c r="AE20" i="128"/>
  <c r="AB33" i="128"/>
  <c r="AB48" i="131"/>
  <c r="W17" i="128"/>
  <c r="K56" i="128"/>
  <c r="AB41" i="127"/>
  <c r="AP24" i="130"/>
  <c r="AU31" i="128"/>
  <c r="AF21" i="128"/>
  <c r="AW46" i="131"/>
  <c r="AS20" i="131"/>
  <c r="Z44" i="130"/>
  <c r="AT32" i="126"/>
  <c r="Z15" i="127"/>
  <c r="K37" i="131"/>
  <c r="I12" i="130"/>
  <c r="BA9" i="125"/>
  <c r="AZ45" i="130"/>
  <c r="J12" i="130"/>
  <c r="Z55" i="130"/>
  <c r="AO52" i="125"/>
  <c r="AN44" i="130"/>
  <c r="AJ15" i="130"/>
  <c r="I56" i="130"/>
  <c r="X49" i="125"/>
  <c r="X40" i="127"/>
  <c r="H40" i="126"/>
  <c r="BE25" i="126"/>
  <c r="X8" i="126"/>
  <c r="AF44" i="127"/>
  <c r="I20" i="126"/>
  <c r="H35" i="126"/>
  <c r="S32" i="126"/>
  <c r="AG9" i="125"/>
  <c r="AY50" i="126"/>
  <c r="S48" i="126"/>
  <c r="AI38" i="126"/>
  <c r="AX45" i="125"/>
  <c r="N56" i="126"/>
  <c r="AC54" i="126"/>
  <c r="S57" i="128"/>
  <c r="AZ33" i="128"/>
  <c r="AC26" i="130"/>
  <c r="BC43" i="125"/>
  <c r="BA39" i="125"/>
  <c r="U35" i="126"/>
  <c r="AL43" i="127"/>
  <c r="AM13" i="124"/>
  <c r="Z41" i="126"/>
  <c r="S10" i="130"/>
  <c r="AD33" i="128"/>
  <c r="AX54" i="131"/>
  <c r="N33" i="126"/>
  <c r="AR41" i="130"/>
  <c r="O26" i="128"/>
  <c r="AS8" i="131"/>
  <c r="AS26" i="126"/>
  <c r="AP47" i="130"/>
  <c r="V46" i="128"/>
  <c r="AR21" i="131"/>
  <c r="AE24" i="125"/>
  <c r="Y55" i="130"/>
  <c r="AJ13" i="127"/>
  <c r="I37" i="126"/>
  <c r="AV13" i="128"/>
  <c r="J49" i="128"/>
  <c r="Y43" i="125"/>
  <c r="T10" i="125"/>
  <c r="AK23" i="128"/>
  <c r="S49" i="128"/>
  <c r="N22" i="129"/>
  <c r="AJ11" i="131"/>
  <c r="V41" i="128"/>
  <c r="BB45" i="128"/>
  <c r="AC45" i="129"/>
  <c r="AC50" i="131"/>
  <c r="AU30" i="128"/>
  <c r="P54" i="128"/>
  <c r="P32" i="127"/>
  <c r="K39" i="129"/>
  <c r="J47" i="130"/>
  <c r="AJ34" i="132"/>
  <c r="AR8" i="127"/>
  <c r="AP52" i="131"/>
  <c r="AN38" i="129"/>
  <c r="AN57" i="132"/>
  <c r="I47" i="127"/>
  <c r="AB31" i="131"/>
  <c r="T12" i="128"/>
  <c r="BA26" i="129"/>
  <c r="AZ12" i="131"/>
  <c r="AN39" i="128"/>
  <c r="AY24" i="128"/>
  <c r="G50" i="129"/>
  <c r="L33" i="131"/>
  <c r="AY48" i="128"/>
  <c r="T40" i="127"/>
  <c r="AW39" i="127"/>
  <c r="AE39" i="130"/>
  <c r="AZ8" i="127"/>
  <c r="AP29" i="127"/>
  <c r="M25" i="126"/>
  <c r="P46" i="130"/>
  <c r="M26" i="127"/>
  <c r="AP32" i="129"/>
  <c r="BD21" i="128"/>
  <c r="AC32" i="127"/>
  <c r="AI44" i="129"/>
  <c r="BB12" i="128"/>
  <c r="W53" i="130"/>
  <c r="AB23" i="126"/>
  <c r="AX50" i="130"/>
  <c r="AO44" i="126"/>
  <c r="AG53" i="128"/>
  <c r="M22" i="132"/>
  <c r="AM16" i="125"/>
  <c r="AO49" i="126"/>
  <c r="AP24" i="128"/>
  <c r="X22" i="132"/>
  <c r="BB11" i="125"/>
  <c r="AL55" i="126"/>
  <c r="P33" i="128"/>
  <c r="X36" i="132"/>
  <c r="AR11" i="125"/>
  <c r="AD29" i="126"/>
  <c r="N23" i="128"/>
  <c r="AV52" i="129"/>
  <c r="AT26" i="129"/>
  <c r="AP44" i="130"/>
  <c r="AF37" i="130"/>
  <c r="L9" i="128"/>
  <c r="P18" i="129"/>
  <c r="V16" i="130"/>
  <c r="AK57" i="130"/>
  <c r="AD51" i="127"/>
  <c r="T20" i="129"/>
  <c r="G23" i="129"/>
  <c r="AF9" i="129"/>
  <c r="AI32" i="126"/>
  <c r="T26" i="129"/>
  <c r="AV26" i="129"/>
  <c r="BB8" i="129"/>
  <c r="AC18" i="126"/>
  <c r="BC10" i="132"/>
  <c r="H22" i="131"/>
  <c r="AH44" i="128"/>
  <c r="AM31" i="129"/>
  <c r="BD33" i="129"/>
  <c r="AQ43" i="131"/>
  <c r="BE35" i="128"/>
  <c r="BE13" i="129"/>
  <c r="AZ39" i="129"/>
  <c r="AQ30" i="131"/>
  <c r="AY13" i="127"/>
  <c r="K37" i="126"/>
  <c r="BB9" i="125"/>
  <c r="S23" i="125"/>
  <c r="AH51" i="127"/>
  <c r="AV31" i="126"/>
  <c r="N8" i="125"/>
  <c r="AP11" i="125"/>
  <c r="Z26" i="125"/>
  <c r="AE10" i="125"/>
  <c r="AR32" i="125"/>
  <c r="AF23" i="125"/>
  <c r="AH46" i="125"/>
  <c r="G18" i="125"/>
  <c r="AI38" i="125"/>
  <c r="AQ51" i="128"/>
  <c r="V32" i="128"/>
  <c r="K26" i="129"/>
  <c r="L58" i="131"/>
  <c r="AL9" i="131"/>
  <c r="AQ20" i="125"/>
  <c r="AG15" i="127"/>
  <c r="AT34" i="132"/>
  <c r="AS27" i="131"/>
  <c r="AV45" i="127"/>
  <c r="AS34" i="128"/>
  <c r="AB34" i="125"/>
  <c r="AJ52" i="131"/>
  <c r="AH57" i="127"/>
  <c r="AG27" i="128"/>
  <c r="H58" i="125"/>
  <c r="N40" i="130"/>
  <c r="AC22" i="126"/>
  <c r="AI37" i="128"/>
  <c r="P46" i="124"/>
  <c r="AD9" i="130"/>
  <c r="W30" i="126"/>
  <c r="AI37" i="125"/>
  <c r="X37" i="129"/>
  <c r="AO48" i="127"/>
  <c r="Z38" i="127"/>
  <c r="X21" i="129"/>
  <c r="AX54" i="129"/>
  <c r="AF54" i="127"/>
  <c r="AF45" i="127"/>
  <c r="AP33" i="131"/>
  <c r="X33" i="128"/>
  <c r="AH33" i="127"/>
  <c r="U47" i="127"/>
  <c r="P14" i="131"/>
  <c r="N23" i="127"/>
  <c r="N35" i="127"/>
  <c r="H52" i="128"/>
  <c r="BA53" i="127"/>
  <c r="AD58" i="126"/>
  <c r="X39" i="129"/>
  <c r="H27" i="127"/>
  <c r="AO22" i="129"/>
  <c r="X14" i="128"/>
  <c r="H16" i="130"/>
  <c r="K29" i="127"/>
  <c r="AW29" i="129"/>
  <c r="AR24" i="128"/>
  <c r="H30" i="130"/>
  <c r="AG45" i="131"/>
  <c r="AZ30" i="125"/>
  <c r="X36" i="125"/>
  <c r="Q41" i="125"/>
  <c r="BE42" i="130"/>
  <c r="W36" i="125"/>
  <c r="Q58" i="125"/>
  <c r="AS57" i="125"/>
  <c r="M17" i="130"/>
  <c r="AY37" i="125"/>
  <c r="AZ27" i="125"/>
  <c r="AB51" i="125"/>
  <c r="AQ25" i="130"/>
  <c r="Y58" i="125"/>
  <c r="AC56" i="125"/>
  <c r="AL27" i="131"/>
  <c r="AQ38" i="131"/>
  <c r="N43" i="129"/>
  <c r="L9" i="130"/>
  <c r="AB17" i="130"/>
  <c r="AC42" i="125"/>
  <c r="AR34" i="131"/>
  <c r="M27" i="128"/>
  <c r="AN22" i="130"/>
  <c r="AI30" i="125"/>
  <c r="U10" i="127"/>
  <c r="M47" i="131"/>
  <c r="AC31" i="130"/>
  <c r="S53" i="125"/>
  <c r="AR33" i="127"/>
  <c r="L30" i="131"/>
  <c r="L20" i="130"/>
  <c r="AC31" i="125"/>
  <c r="AF58" i="132"/>
  <c r="AL51" i="131"/>
  <c r="H47" i="130"/>
  <c r="AT36" i="125"/>
  <c r="H44" i="130"/>
  <c r="AJ57" i="127"/>
  <c r="AT53" i="127"/>
  <c r="AG13" i="127"/>
  <c r="M57" i="130"/>
  <c r="M24" i="127"/>
  <c r="AP55" i="127"/>
  <c r="AM21" i="126"/>
  <c r="BB48" i="128"/>
  <c r="K44" i="127"/>
  <c r="AI16" i="126"/>
  <c r="BC8" i="126"/>
  <c r="BC26" i="127"/>
  <c r="AZ15" i="126"/>
  <c r="U26" i="126"/>
  <c r="AQ24" i="132"/>
  <c r="S27" i="130"/>
  <c r="J10" i="131"/>
  <c r="AC17" i="128"/>
  <c r="Z11" i="130"/>
  <c r="AI48" i="127"/>
  <c r="J17" i="129"/>
  <c r="T20" i="128"/>
  <c r="M29" i="130"/>
  <c r="AC54" i="127"/>
  <c r="Y41" i="129"/>
  <c r="BD27" i="128"/>
  <c r="M37" i="130"/>
  <c r="BE48" i="127"/>
  <c r="Q47" i="129"/>
  <c r="O38" i="128"/>
  <c r="AI45" i="130"/>
  <c r="BE45" i="130"/>
  <c r="AT31" i="125"/>
  <c r="AQ46" i="125"/>
  <c r="AK43" i="125"/>
  <c r="H51" i="130"/>
  <c r="AO51" i="125"/>
  <c r="AL32" i="125"/>
  <c r="AV33" i="125"/>
  <c r="T22" i="130"/>
  <c r="AD48" i="125"/>
  <c r="Z56" i="125"/>
  <c r="T40" i="124"/>
  <c r="BB14" i="130"/>
  <c r="AO44" i="125"/>
  <c r="AU23" i="124"/>
  <c r="Z33" i="128"/>
  <c r="L43" i="128"/>
  <c r="BC30" i="124"/>
  <c r="AN56" i="128"/>
  <c r="BE55" i="127"/>
  <c r="H51" i="119"/>
  <c r="AZ22" i="126"/>
  <c r="M34" i="127"/>
  <c r="BC20" i="119"/>
  <c r="AB56" i="119"/>
  <c r="AY25" i="126"/>
  <c r="AM25" i="126"/>
  <c r="AQ26" i="119"/>
  <c r="AK30" i="131"/>
  <c r="L42" i="130"/>
  <c r="AO58" i="125"/>
  <c r="AE52" i="125"/>
  <c r="AL56" i="125"/>
  <c r="AN35" i="123"/>
  <c r="Y25" i="121"/>
  <c r="K33" i="121"/>
  <c r="AY21" i="130"/>
  <c r="G12" i="123"/>
  <c r="AS41" i="121"/>
  <c r="X48" i="121"/>
  <c r="W22" i="130"/>
  <c r="AI17" i="123"/>
  <c r="L47" i="121"/>
  <c r="AS53" i="121"/>
  <c r="AX22" i="130"/>
  <c r="BD23" i="123"/>
  <c r="Z52" i="121"/>
  <c r="T9" i="129"/>
  <c r="L30" i="129"/>
  <c r="H10" i="124"/>
  <c r="AO24" i="121"/>
  <c r="V17" i="122"/>
  <c r="AK27" i="127"/>
  <c r="V38" i="124"/>
  <c r="Q48" i="127"/>
  <c r="N10" i="117"/>
  <c r="K30" i="130"/>
  <c r="BC12" i="124"/>
  <c r="AX9" i="126"/>
  <c r="AK14" i="126"/>
  <c r="BE52" i="127"/>
  <c r="Z39" i="129"/>
  <c r="U25" i="129"/>
  <c r="AL21" i="128"/>
  <c r="AI39" i="132"/>
  <c r="AT14" i="130"/>
  <c r="K25" i="130"/>
  <c r="BA40" i="132"/>
  <c r="P18" i="130"/>
  <c r="Z42" i="131"/>
  <c r="O17" i="130"/>
  <c r="O9" i="132"/>
  <c r="W34" i="131"/>
  <c r="O55" i="132"/>
  <c r="T25" i="132"/>
  <c r="N9" i="129"/>
  <c r="AJ54" i="129"/>
  <c r="BB11" i="127"/>
  <c r="AZ22" i="127"/>
  <c r="AC32" i="123"/>
  <c r="H22" i="123"/>
  <c r="P26" i="125"/>
  <c r="O45" i="125"/>
  <c r="AH18" i="122"/>
  <c r="Y52" i="126"/>
  <c r="AN20" i="130"/>
  <c r="AO37" i="130"/>
  <c r="L43" i="125"/>
  <c r="Z24" i="124"/>
  <c r="BA15" i="128"/>
  <c r="BD11" i="128"/>
  <c r="G37" i="123"/>
  <c r="P46" i="129"/>
  <c r="L41" i="128"/>
  <c r="H51" i="128"/>
  <c r="V58" i="123"/>
  <c r="AX20" i="122"/>
  <c r="AE9" i="124"/>
  <c r="AI38" i="131"/>
  <c r="AB34" i="119"/>
  <c r="T41" i="125"/>
  <c r="L20" i="125"/>
  <c r="AH21" i="125"/>
  <c r="AO57" i="126"/>
  <c r="Y40" i="125"/>
  <c r="AG11" i="128"/>
  <c r="AS47" i="128"/>
  <c r="V14" i="131"/>
  <c r="AH44" i="132"/>
  <c r="BE56" i="132"/>
  <c r="AP38" i="129"/>
  <c r="AR46" i="128"/>
  <c r="BE39" i="130"/>
  <c r="G45" i="128"/>
  <c r="N35" i="131"/>
  <c r="BE23" i="130"/>
  <c r="AT42" i="131"/>
  <c r="L22" i="131"/>
  <c r="AG38" i="127"/>
  <c r="H26" i="131"/>
  <c r="AU34" i="130"/>
  <c r="AD29" i="129"/>
  <c r="AT44" i="130"/>
  <c r="BD56" i="130"/>
  <c r="AF17" i="122"/>
  <c r="AX38" i="126"/>
  <c r="AQ22" i="129"/>
  <c r="AZ13" i="131"/>
  <c r="V36" i="128"/>
  <c r="L15" i="128"/>
  <c r="AZ27" i="128"/>
  <c r="Y40" i="130"/>
  <c r="AE13" i="125"/>
  <c r="AG55" i="125"/>
  <c r="AF23" i="130"/>
  <c r="W34" i="129"/>
  <c r="S44" i="127"/>
  <c r="T32" i="125"/>
  <c r="V17" i="128"/>
  <c r="AE25" i="130"/>
  <c r="AJ21" i="132"/>
  <c r="BD9" i="127"/>
  <c r="AB13" i="131"/>
  <c r="S8" i="125"/>
  <c r="Y58" i="126"/>
  <c r="AQ13" i="127"/>
  <c r="AZ55" i="131"/>
  <c r="AP39" i="125"/>
  <c r="O31" i="126"/>
  <c r="AB15" i="127"/>
  <c r="AU25" i="131"/>
  <c r="U46" i="125"/>
  <c r="AQ21" i="126"/>
  <c r="AD22" i="127"/>
  <c r="AX57" i="127"/>
  <c r="BD29" i="129"/>
  <c r="H14" i="129"/>
  <c r="AK18" i="129"/>
  <c r="I33" i="126"/>
  <c r="AZ31" i="129"/>
  <c r="AW25" i="129"/>
  <c r="N10" i="129"/>
  <c r="BC16" i="131"/>
  <c r="AT38" i="129"/>
  <c r="AW31" i="129"/>
  <c r="I45" i="129"/>
  <c r="AF39" i="131"/>
  <c r="AK45" i="129"/>
  <c r="X46" i="129"/>
  <c r="S50" i="129"/>
  <c r="AC26" i="131"/>
  <c r="AD25" i="132"/>
  <c r="M57" i="131"/>
  <c r="S24" i="127"/>
  <c r="M35" i="129"/>
  <c r="X26" i="125"/>
  <c r="BC43" i="131"/>
  <c r="AS42" i="127"/>
  <c r="V14" i="126"/>
  <c r="AB32" i="128"/>
  <c r="AY30" i="130"/>
  <c r="AD44" i="127"/>
  <c r="W44" i="129"/>
  <c r="BC37" i="128"/>
  <c r="H14" i="130"/>
  <c r="AH50" i="127"/>
  <c r="BB35" i="129"/>
  <c r="M39" i="128"/>
  <c r="H22" i="130"/>
  <c r="BA45" i="130"/>
  <c r="Y41" i="125"/>
  <c r="N46" i="125"/>
  <c r="AB44" i="125"/>
  <c r="Q30" i="130"/>
  <c r="Q30" i="125"/>
  <c r="H32" i="125"/>
  <c r="BE39" i="125"/>
  <c r="N53" i="130"/>
  <c r="AN49" i="125"/>
  <c r="AU38" i="124"/>
  <c r="T29" i="124"/>
  <c r="I40" i="129"/>
  <c r="AH40" i="124"/>
  <c r="BC50" i="130"/>
  <c r="BA43" i="130"/>
  <c r="T12" i="126"/>
  <c r="AR27" i="127"/>
  <c r="AD18" i="131"/>
  <c r="AG9" i="130"/>
  <c r="AK55" i="126"/>
  <c r="BB33" i="127"/>
  <c r="AH47" i="131"/>
  <c r="U17" i="130"/>
  <c r="O8" i="125"/>
  <c r="AE33" i="127"/>
  <c r="AG30" i="131"/>
  <c r="AB26" i="130"/>
  <c r="O53" i="125"/>
  <c r="AY12" i="124"/>
  <c r="Z25" i="128"/>
  <c r="Z51" i="127"/>
  <c r="AG51" i="127"/>
  <c r="O29" i="131"/>
  <c r="AY9" i="127"/>
  <c r="AX36" i="127"/>
  <c r="I55" i="127"/>
  <c r="AD33" i="129"/>
  <c r="V49" i="127"/>
  <c r="AK40" i="126"/>
  <c r="U15" i="126"/>
  <c r="AN48" i="129"/>
  <c r="AT41" i="127"/>
  <c r="Q22" i="126"/>
  <c r="AY25" i="125"/>
  <c r="N34" i="125"/>
  <c r="AI34" i="129"/>
  <c r="AQ37" i="130"/>
  <c r="BC20" i="127"/>
  <c r="AQ15" i="129"/>
  <c r="AU40" i="128"/>
  <c r="AH12" i="130"/>
  <c r="AJ45" i="127"/>
  <c r="AT37" i="129"/>
  <c r="AS38" i="128"/>
  <c r="BD12" i="130"/>
  <c r="AQ51" i="127"/>
  <c r="W51" i="129"/>
  <c r="BE43" i="128"/>
  <c r="S22" i="130"/>
  <c r="I54" i="130"/>
  <c r="Z36" i="125"/>
  <c r="N45" i="125"/>
  <c r="BD40" i="124"/>
  <c r="AN54" i="130"/>
  <c r="AQ32" i="125"/>
  <c r="Z11" i="124"/>
  <c r="AY15" i="124"/>
  <c r="AS16" i="129"/>
  <c r="AQ27" i="124"/>
  <c r="AB46" i="124"/>
  <c r="G32" i="124"/>
  <c r="AN17" i="129"/>
  <c r="V55" i="124"/>
  <c r="G48" i="124"/>
  <c r="AD18" i="127"/>
  <c r="AL8" i="127"/>
  <c r="AH11" i="128"/>
  <c r="I50" i="130"/>
  <c r="G26" i="131"/>
  <c r="AF29" i="129"/>
  <c r="AR52" i="128"/>
  <c r="BE15" i="129"/>
  <c r="L56" i="130"/>
  <c r="AH41" i="125"/>
  <c r="M43" i="130"/>
  <c r="AL14" i="130"/>
  <c r="AO52" i="130"/>
  <c r="P37" i="125"/>
  <c r="AF27" i="129"/>
  <c r="S13" i="130"/>
  <c r="AY47" i="130"/>
  <c r="BA33" i="125"/>
  <c r="U30" i="129"/>
  <c r="I36" i="130"/>
  <c r="AL42" i="130"/>
  <c r="AU40" i="124"/>
  <c r="AM34" i="124"/>
  <c r="AV12" i="126"/>
  <c r="BE27" i="126"/>
  <c r="AQ23" i="126"/>
  <c r="S29" i="129"/>
  <c r="AG22" i="126"/>
  <c r="N34" i="126"/>
  <c r="AT31" i="126"/>
  <c r="AE41" i="131"/>
  <c r="BE49" i="126"/>
  <c r="M49" i="126"/>
  <c r="I39" i="126"/>
  <c r="BD31" i="131"/>
  <c r="BC55" i="126"/>
  <c r="BB54" i="126"/>
  <c r="AT39" i="132"/>
  <c r="N40" i="126"/>
  <c r="AS36" i="126"/>
  <c r="AG32" i="128"/>
  <c r="S53" i="129"/>
  <c r="H48" i="130"/>
  <c r="AL12" i="129"/>
  <c r="M31" i="131"/>
  <c r="AY40" i="128"/>
  <c r="M12" i="130"/>
  <c r="AK26" i="129"/>
  <c r="O44" i="131"/>
  <c r="AI52" i="131"/>
  <c r="Z38" i="126"/>
  <c r="AP37" i="126"/>
  <c r="P34" i="126"/>
  <c r="U14" i="130"/>
  <c r="BD51" i="126"/>
  <c r="L50" i="126"/>
  <c r="AE46" i="126"/>
  <c r="O48" i="129"/>
  <c r="P22" i="126"/>
  <c r="L26" i="126"/>
  <c r="AM57" i="125"/>
  <c r="K57" i="128"/>
  <c r="AJ8" i="126"/>
  <c r="W40" i="125"/>
  <c r="BC22" i="125"/>
  <c r="AH45" i="125"/>
  <c r="BA49" i="130"/>
  <c r="W56" i="131"/>
  <c r="Y32" i="131"/>
  <c r="AU54" i="126"/>
  <c r="AH49" i="127"/>
  <c r="AG16" i="132"/>
  <c r="BD51" i="131"/>
  <c r="Y31" i="129"/>
  <c r="AJ48" i="132"/>
  <c r="Q34" i="127"/>
  <c r="AS36" i="131"/>
  <c r="Q35" i="128"/>
  <c r="W58" i="131"/>
  <c r="H12" i="126"/>
  <c r="AW15" i="131"/>
  <c r="J31" i="128"/>
  <c r="N49" i="130"/>
  <c r="J47" i="126"/>
  <c r="V45" i="131"/>
  <c r="AD52" i="128"/>
  <c r="AK44" i="128"/>
  <c r="AM27" i="130"/>
  <c r="Z11" i="127"/>
  <c r="V13" i="127"/>
  <c r="Z23" i="128"/>
  <c r="AS15" i="130"/>
  <c r="AR9" i="127"/>
  <c r="AE11" i="127"/>
  <c r="BE32" i="126"/>
  <c r="Q29" i="129"/>
  <c r="AI25" i="127"/>
  <c r="Y13" i="127"/>
  <c r="N9" i="125"/>
  <c r="J24" i="129"/>
  <c r="Q8" i="127"/>
  <c r="Q11" i="131"/>
  <c r="AH33" i="130"/>
  <c r="N56" i="132"/>
  <c r="AC23" i="129"/>
  <c r="I56" i="128"/>
  <c r="AO39" i="128"/>
  <c r="AG37" i="127"/>
  <c r="N30" i="129"/>
  <c r="AG20" i="127"/>
  <c r="AH30" i="128"/>
  <c r="L32" i="127"/>
  <c r="L36" i="129"/>
  <c r="Y38" i="129"/>
  <c r="AO58" i="131"/>
  <c r="U15" i="124"/>
  <c r="W52" i="124"/>
  <c r="U45" i="129"/>
  <c r="G46" i="131"/>
  <c r="Z29" i="124"/>
  <c r="Q21" i="124"/>
  <c r="AC54" i="129"/>
  <c r="I50" i="131"/>
  <c r="S29" i="123"/>
  <c r="AC15" i="123"/>
  <c r="AM10" i="128"/>
  <c r="T40" i="130"/>
  <c r="AE46" i="123"/>
  <c r="AC11" i="129"/>
  <c r="AG24" i="129"/>
  <c r="AM32" i="127"/>
  <c r="BA55" i="129"/>
  <c r="X12" i="132"/>
  <c r="N9" i="132"/>
  <c r="AP31" i="127"/>
  <c r="L18" i="126"/>
  <c r="BC38" i="129"/>
  <c r="AP47" i="131"/>
  <c r="BB51" i="128"/>
  <c r="BD24" i="129"/>
  <c r="AY45" i="129"/>
  <c r="AP30" i="131"/>
  <c r="AD58" i="128"/>
  <c r="L17" i="129"/>
  <c r="AG36" i="129"/>
  <c r="P52" i="131"/>
  <c r="L26" i="128"/>
  <c r="AF23" i="129"/>
  <c r="AH57" i="129"/>
  <c r="X41" i="131"/>
  <c r="V53" i="131"/>
  <c r="AM9" i="125"/>
  <c r="BD20" i="125"/>
  <c r="X8" i="125"/>
  <c r="AI50" i="129"/>
  <c r="AG8" i="125"/>
  <c r="AY18" i="125"/>
  <c r="AO16" i="125"/>
  <c r="K51" i="131"/>
  <c r="AR15" i="125"/>
  <c r="AG33" i="125"/>
  <c r="AQ37" i="125"/>
  <c r="BE55" i="131"/>
  <c r="O48" i="125"/>
  <c r="AB53" i="125"/>
  <c r="Z45" i="129"/>
  <c r="BA18" i="128"/>
  <c r="P25" i="128"/>
  <c r="AI30" i="127"/>
  <c r="O27" i="126"/>
  <c r="X16" i="127"/>
  <c r="AP12" i="127"/>
  <c r="AR51" i="129"/>
  <c r="AW16" i="126"/>
  <c r="AB23" i="127"/>
  <c r="U30" i="127"/>
  <c r="AM45" i="128"/>
  <c r="AB18" i="128"/>
  <c r="AW9" i="130"/>
  <c r="AE13" i="123"/>
  <c r="AE50" i="123"/>
  <c r="K30" i="128"/>
  <c r="AB13" i="130"/>
  <c r="AD9" i="123"/>
  <c r="AE10" i="123"/>
  <c r="M49" i="128"/>
  <c r="BC27" i="130"/>
  <c r="AB49" i="123"/>
  <c r="AW8" i="123"/>
  <c r="BB54" i="128"/>
  <c r="AZ36" i="130"/>
  <c r="BE23" i="123"/>
  <c r="AK49" i="128"/>
  <c r="N27" i="131"/>
  <c r="S38" i="127"/>
  <c r="BC53" i="129"/>
  <c r="Q9" i="132"/>
  <c r="V48" i="128"/>
  <c r="X27" i="130"/>
  <c r="AW22" i="131"/>
  <c r="K8" i="128"/>
  <c r="G15" i="130"/>
  <c r="AH22" i="127"/>
  <c r="AL16" i="129"/>
  <c r="AD14" i="128"/>
  <c r="AT13" i="130"/>
  <c r="BD53" i="127"/>
  <c r="AL23" i="129"/>
  <c r="AR23" i="128"/>
  <c r="AD36" i="130"/>
  <c r="AG11" i="127"/>
  <c r="AV46" i="129"/>
  <c r="W34" i="128"/>
  <c r="K45" i="130"/>
  <c r="Q26" i="130"/>
  <c r="Y31" i="125"/>
  <c r="O31" i="125"/>
  <c r="T36" i="125"/>
  <c r="T51" i="130"/>
  <c r="U37" i="125"/>
  <c r="BA51" i="125"/>
  <c r="AX53" i="125"/>
  <c r="AB37" i="130"/>
  <c r="AR35" i="125"/>
  <c r="AH54" i="125"/>
  <c r="AF46" i="125"/>
  <c r="AX30" i="130"/>
  <c r="BC53" i="125"/>
  <c r="AM24" i="124"/>
  <c r="O57" i="125"/>
  <c r="W45" i="126"/>
  <c r="AX43" i="127"/>
  <c r="K48" i="129"/>
  <c r="I21" i="126"/>
  <c r="AS12" i="127"/>
  <c r="AC48" i="127"/>
  <c r="T9" i="128"/>
  <c r="P9" i="126"/>
  <c r="AT44" i="127"/>
  <c r="AT45" i="127"/>
  <c r="BB14" i="128"/>
  <c r="P24" i="126"/>
  <c r="AR50" i="127"/>
  <c r="S18" i="126"/>
  <c r="AS9" i="128"/>
  <c r="Y33" i="128"/>
  <c r="Q13" i="130"/>
  <c r="AU17" i="123"/>
  <c r="AR51" i="123"/>
  <c r="AN43" i="128"/>
  <c r="BC18" i="130"/>
  <c r="Z36" i="123"/>
  <c r="K52" i="123"/>
  <c r="AQ54" i="128"/>
  <c r="AB47" i="130"/>
  <c r="AB18" i="123"/>
  <c r="AS9" i="123"/>
  <c r="BC58" i="128"/>
  <c r="AD52" i="130"/>
  <c r="AW24" i="123"/>
  <c r="L48" i="130"/>
  <c r="Q42" i="130"/>
  <c r="T20" i="124"/>
  <c r="U26" i="121"/>
  <c r="L38" i="122"/>
  <c r="AL14" i="128"/>
  <c r="AM8" i="124"/>
  <c r="AO45" i="127"/>
  <c r="AR54" i="117"/>
  <c r="K53" i="127"/>
  <c r="Z9" i="124"/>
  <c r="BD33" i="127"/>
  <c r="Q43" i="117"/>
  <c r="W47" i="128"/>
  <c r="AM38" i="128"/>
  <c r="BD34" i="128"/>
  <c r="AK29" i="128"/>
  <c r="AQ27" i="127"/>
  <c r="AY57" i="122"/>
  <c r="X51" i="119"/>
  <c r="BA57" i="119"/>
  <c r="AY51" i="125"/>
  <c r="AV40" i="121"/>
  <c r="AN52" i="119"/>
  <c r="AD8" i="119"/>
  <c r="V32" i="124"/>
  <c r="AD40" i="121"/>
  <c r="G58" i="119"/>
  <c r="Z14" i="119"/>
  <c r="I54" i="131"/>
  <c r="K40" i="121"/>
  <c r="AY12" i="119"/>
  <c r="H27" i="129"/>
  <c r="AC22" i="129"/>
  <c r="AE15" i="126"/>
  <c r="AQ38" i="124"/>
  <c r="BA55" i="118"/>
  <c r="AO16" i="131"/>
  <c r="BB54" i="130"/>
  <c r="Z39" i="130"/>
  <c r="V39" i="130"/>
  <c r="AO23" i="130"/>
  <c r="AY55" i="130"/>
  <c r="L18" i="130"/>
  <c r="Z15" i="128"/>
  <c r="AF43" i="131"/>
  <c r="AH22" i="132"/>
  <c r="AD35" i="132"/>
  <c r="Q45" i="132"/>
  <c r="AD53" i="132"/>
  <c r="AC10" i="132"/>
  <c r="AC36" i="132"/>
  <c r="AE12" i="130"/>
  <c r="AB12" i="125"/>
  <c r="H38" i="125"/>
  <c r="H34" i="126"/>
  <c r="AH46" i="126"/>
  <c r="AI55" i="129"/>
  <c r="AZ43" i="128"/>
  <c r="AD8" i="124"/>
  <c r="AI42" i="131"/>
  <c r="S35" i="129"/>
  <c r="I48" i="129"/>
  <c r="AX32" i="123"/>
  <c r="AZ15" i="123"/>
  <c r="Q39" i="127"/>
  <c r="X39" i="127"/>
  <c r="AQ12" i="122"/>
  <c r="AM44" i="127"/>
  <c r="I49" i="127"/>
  <c r="AB49" i="127"/>
  <c r="AS50" i="130"/>
  <c r="AH55" i="130"/>
  <c r="AG23" i="126"/>
  <c r="K34" i="126"/>
  <c r="M44" i="128"/>
  <c r="AT46" i="132"/>
  <c r="AO29" i="126"/>
  <c r="Q48" i="126"/>
  <c r="S17" i="128"/>
  <c r="AY23" i="127"/>
  <c r="AS43" i="126"/>
  <c r="AN49" i="126"/>
  <c r="AQ43" i="126"/>
  <c r="T37" i="127"/>
  <c r="AT20" i="129"/>
  <c r="AB10" i="129"/>
  <c r="AK8" i="126"/>
  <c r="I45" i="128"/>
  <c r="BC52" i="128"/>
  <c r="AH51" i="128"/>
  <c r="Y53" i="127"/>
  <c r="M20" i="128"/>
  <c r="J15" i="130"/>
  <c r="AO9" i="131"/>
  <c r="AW14" i="128"/>
  <c r="AZ24" i="132"/>
  <c r="BB34" i="126"/>
  <c r="AK16" i="125"/>
  <c r="AC39" i="127"/>
  <c r="AP17" i="128"/>
  <c r="Q46" i="125"/>
  <c r="V13" i="129"/>
  <c r="O11" i="126"/>
  <c r="X58" i="132"/>
  <c r="AB53" i="126"/>
  <c r="N27" i="128"/>
  <c r="T58" i="128"/>
  <c r="P55" i="128"/>
  <c r="AO32" i="122"/>
  <c r="AI31" i="126"/>
  <c r="K29" i="131"/>
  <c r="AL25" i="129"/>
  <c r="S30" i="128"/>
  <c r="BA35" i="132"/>
  <c r="BA33" i="127"/>
  <c r="AC46" i="129"/>
  <c r="BC51" i="125"/>
  <c r="U12" i="128"/>
  <c r="N22" i="125"/>
  <c r="AY50" i="129"/>
  <c r="AF40" i="121"/>
  <c r="P57" i="125"/>
  <c r="AM25" i="131"/>
  <c r="AU41" i="131"/>
  <c r="AM14" i="127"/>
  <c r="Z48" i="129"/>
  <c r="AV33" i="126"/>
  <c r="BE29" i="131"/>
  <c r="BE25" i="127"/>
  <c r="AC31" i="129"/>
  <c r="AK9" i="125"/>
  <c r="Z53" i="131"/>
  <c r="AR29" i="127"/>
  <c r="AC20" i="128"/>
  <c r="AZ38" i="125"/>
  <c r="AI11" i="131"/>
  <c r="BE44" i="127"/>
  <c r="BC21" i="126"/>
  <c r="AI18" i="129"/>
  <c r="AR26" i="127"/>
  <c r="AG49" i="127"/>
  <c r="AG51" i="126"/>
  <c r="X16" i="129"/>
  <c r="L30" i="127"/>
  <c r="AE55" i="127"/>
  <c r="AF21" i="127"/>
  <c r="AD15" i="128"/>
  <c r="I12" i="127"/>
  <c r="AL51" i="127"/>
  <c r="AI25" i="125"/>
  <c r="O43" i="128"/>
  <c r="K47" i="127"/>
  <c r="AW34" i="130"/>
  <c r="U58" i="128"/>
  <c r="AK13" i="126"/>
  <c r="H51" i="129"/>
  <c r="AO37" i="131"/>
  <c r="L48" i="128"/>
  <c r="G36" i="130"/>
  <c r="AS56" i="129"/>
  <c r="BE17" i="131"/>
  <c r="AT45" i="128"/>
  <c r="O23" i="126"/>
  <c r="AX31" i="128"/>
  <c r="N27" i="126"/>
  <c r="AJ33" i="127"/>
  <c r="AC10" i="126"/>
  <c r="H15" i="128"/>
  <c r="AG33" i="126"/>
  <c r="AY39" i="127"/>
  <c r="AP18" i="126"/>
  <c r="AR51" i="128"/>
  <c r="AP37" i="128"/>
  <c r="AY32" i="130"/>
  <c r="BB46" i="123"/>
  <c r="AX27" i="123"/>
  <c r="AG44" i="128"/>
  <c r="AC41" i="130"/>
  <c r="AO12" i="123"/>
  <c r="G18" i="123"/>
  <c r="AG47" i="128"/>
  <c r="AZ23" i="130"/>
  <c r="L58" i="123"/>
  <c r="V55" i="123"/>
  <c r="V10" i="130"/>
  <c r="T43" i="128"/>
  <c r="AN57" i="125"/>
  <c r="AD55" i="129"/>
  <c r="AR40" i="130"/>
  <c r="AD25" i="127"/>
  <c r="AI9" i="129"/>
  <c r="BB39" i="129"/>
  <c r="BC11" i="130"/>
  <c r="V26" i="127"/>
  <c r="T22" i="129"/>
  <c r="AC40" i="128"/>
  <c r="AF15" i="130"/>
  <c r="AP24" i="127"/>
  <c r="X29" i="129"/>
  <c r="AD20" i="128"/>
  <c r="H24" i="130"/>
  <c r="AK49" i="131"/>
  <c r="AQ23" i="125"/>
  <c r="AL22" i="125"/>
  <c r="W57" i="125"/>
  <c r="AO47" i="131"/>
  <c r="S36" i="125"/>
  <c r="AS42" i="125"/>
  <c r="AN46" i="125"/>
  <c r="AH17" i="130"/>
  <c r="BE56" i="125"/>
  <c r="J38" i="125"/>
  <c r="Q47" i="125"/>
  <c r="O25" i="130"/>
  <c r="N44" i="125"/>
  <c r="AD34" i="125"/>
  <c r="J32" i="130"/>
  <c r="AV55" i="130"/>
  <c r="AI11" i="126"/>
  <c r="AZ20" i="127"/>
  <c r="AH53" i="129"/>
  <c r="AM36" i="126"/>
  <c r="AU14" i="127"/>
  <c r="AH58" i="127"/>
  <c r="K38" i="129"/>
  <c r="BE26" i="126"/>
  <c r="AQ34" i="127"/>
  <c r="AT13" i="126"/>
  <c r="AC46" i="128"/>
  <c r="L41" i="126"/>
  <c r="BA41" i="127"/>
  <c r="BA58" i="126"/>
  <c r="Q52" i="128"/>
  <c r="BA43" i="128"/>
  <c r="Y50" i="130"/>
  <c r="X8" i="123"/>
  <c r="AX50" i="123"/>
  <c r="X48" i="128"/>
  <c r="AT39" i="130"/>
  <c r="AF13" i="123"/>
  <c r="AU49" i="123"/>
  <c r="AD43" i="128"/>
  <c r="AP56" i="130"/>
  <c r="AM32" i="122"/>
  <c r="AI15" i="122"/>
  <c r="AJ33" i="128"/>
  <c r="AW57" i="130"/>
  <c r="AN32" i="122"/>
  <c r="U18" i="129"/>
  <c r="O49" i="125"/>
  <c r="U55" i="127"/>
  <c r="AP26" i="128"/>
  <c r="AY40" i="129"/>
  <c r="AJ17" i="132"/>
  <c r="L50" i="127"/>
  <c r="AY29" i="126"/>
  <c r="BC26" i="128"/>
  <c r="N42" i="130"/>
  <c r="AF39" i="127"/>
  <c r="AG39" i="129"/>
  <c r="BD37" i="128"/>
  <c r="AF48" i="130"/>
  <c r="BB45" i="127"/>
  <c r="K53" i="129"/>
  <c r="AC43" i="128"/>
  <c r="I34" i="130"/>
  <c r="BB48" i="127"/>
  <c r="BE13" i="128"/>
  <c r="AH49" i="128"/>
  <c r="BC25" i="130"/>
  <c r="AB52" i="130"/>
  <c r="Y45" i="125"/>
  <c r="AB22" i="124"/>
  <c r="AH11" i="124"/>
  <c r="AL47" i="130"/>
  <c r="AR37" i="125"/>
  <c r="AF31" i="124"/>
  <c r="AW20" i="124"/>
  <c r="AD26" i="129"/>
  <c r="BD20" i="131"/>
  <c r="AR42" i="124"/>
  <c r="AN32" i="124"/>
  <c r="AG10" i="129"/>
  <c r="Y29" i="131"/>
  <c r="AI48" i="124"/>
  <c r="BC9" i="128"/>
  <c r="I56" i="125"/>
  <c r="N42" i="126"/>
  <c r="Z58" i="130"/>
  <c r="AG39" i="128"/>
  <c r="AQ56" i="128"/>
  <c r="T14" i="129"/>
  <c r="BB27" i="129"/>
  <c r="M46" i="128"/>
  <c r="N40" i="127"/>
  <c r="AZ14" i="129"/>
  <c r="W18" i="129"/>
  <c r="AR56" i="131"/>
  <c r="Q31" i="124"/>
  <c r="U52" i="124"/>
  <c r="Z22" i="129"/>
  <c r="K15" i="131"/>
  <c r="AJ18" i="124"/>
  <c r="BE9" i="124"/>
  <c r="BA32" i="129"/>
  <c r="I27" i="131"/>
  <c r="Q55" i="124"/>
  <c r="AQ58" i="124"/>
  <c r="AS38" i="129"/>
  <c r="H16" i="131"/>
  <c r="AP23" i="124"/>
  <c r="L25" i="128"/>
  <c r="Y55" i="128"/>
  <c r="S35" i="128"/>
  <c r="AE57" i="130"/>
  <c r="AS40" i="132"/>
  <c r="AH57" i="128"/>
  <c r="AY41" i="131"/>
  <c r="AH56" i="127"/>
  <c r="I23" i="129"/>
  <c r="U8" i="131"/>
  <c r="AZ56" i="129"/>
  <c r="AT41" i="130"/>
  <c r="AV29" i="129"/>
  <c r="AJ27" i="131"/>
  <c r="AN11" i="128"/>
  <c r="P48" i="130"/>
  <c r="AY13" i="129"/>
  <c r="AL36" i="131"/>
  <c r="I22" i="128"/>
  <c r="AJ33" i="130"/>
  <c r="BA20" i="129"/>
  <c r="Z45" i="131"/>
  <c r="BD50" i="130"/>
  <c r="W47" i="126"/>
  <c r="AK50" i="126"/>
  <c r="BC27" i="126"/>
  <c r="AB58" i="130"/>
  <c r="AT52" i="126"/>
  <c r="Q45" i="126"/>
  <c r="AU16" i="126"/>
  <c r="AT55" i="128"/>
  <c r="T43" i="126"/>
  <c r="AD15" i="125"/>
  <c r="AP12" i="125"/>
  <c r="BB29" i="127"/>
  <c r="AI54" i="126"/>
  <c r="AD23" i="125"/>
  <c r="AK10" i="131"/>
  <c r="M50" i="125"/>
  <c r="P55" i="125"/>
  <c r="AM15" i="127"/>
  <c r="X13" i="125"/>
  <c r="BA11" i="126"/>
  <c r="AR10" i="125"/>
  <c r="AS23" i="127"/>
  <c r="AS18" i="125"/>
  <c r="AL33" i="126"/>
  <c r="S18" i="125"/>
  <c r="AK13" i="127"/>
  <c r="BD42" i="127"/>
  <c r="P56" i="129"/>
  <c r="T50" i="122"/>
  <c r="AR46" i="122"/>
  <c r="AO36" i="127"/>
  <c r="AY15" i="129"/>
  <c r="BA51" i="122"/>
  <c r="I55" i="122"/>
  <c r="BC44" i="127"/>
  <c r="AG41" i="129"/>
  <c r="T35" i="122"/>
  <c r="BA29" i="122"/>
  <c r="BC50" i="127"/>
  <c r="K49" i="129"/>
  <c r="N48" i="122"/>
  <c r="AM29" i="131"/>
  <c r="AZ16" i="128"/>
  <c r="AQ58" i="126"/>
  <c r="AN25" i="127"/>
  <c r="P23" i="131"/>
  <c r="W36" i="127"/>
  <c r="V34" i="129"/>
  <c r="P37" i="129"/>
  <c r="AB9" i="127"/>
  <c r="BC16" i="129"/>
  <c r="X29" i="127"/>
  <c r="BA22" i="128"/>
  <c r="AP44" i="127"/>
  <c r="BC23" i="129"/>
  <c r="AD26" i="127"/>
  <c r="M48" i="128"/>
  <c r="AX17" i="127"/>
  <c r="M47" i="129"/>
  <c r="AZ42" i="127"/>
  <c r="AW43" i="128"/>
  <c r="BE32" i="127"/>
  <c r="M53" i="129"/>
  <c r="BB41" i="129"/>
  <c r="J31" i="131"/>
  <c r="Q25" i="124"/>
  <c r="AM33" i="123"/>
  <c r="AK33" i="129"/>
  <c r="AD54" i="131"/>
  <c r="AW40" i="123"/>
  <c r="Y27" i="123"/>
  <c r="AS16" i="128"/>
  <c r="AD10" i="130"/>
  <c r="N18" i="123"/>
  <c r="AV14" i="123"/>
  <c r="S10" i="128"/>
  <c r="K14" i="130"/>
  <c r="AT31" i="123"/>
  <c r="AX47" i="132"/>
  <c r="T13" i="131"/>
  <c r="AJ11" i="130"/>
  <c r="J21" i="125"/>
  <c r="AU49" i="125"/>
  <c r="S58" i="126"/>
  <c r="AH27" i="125"/>
  <c r="Y18" i="126"/>
  <c r="AU35" i="125"/>
  <c r="BD52" i="126"/>
  <c r="AE10" i="130"/>
  <c r="BD17" i="125"/>
  <c r="AH34" i="127"/>
  <c r="T54" i="129"/>
  <c r="AE40" i="121"/>
  <c r="L35" i="121"/>
  <c r="BC38" i="127"/>
  <c r="AZ38" i="129"/>
  <c r="BC15" i="121"/>
  <c r="AR9" i="121"/>
  <c r="AV37" i="130"/>
  <c r="U25" i="130"/>
  <c r="AR36" i="121"/>
  <c r="Q26" i="121"/>
  <c r="AN31" i="129"/>
  <c r="AC55" i="129"/>
  <c r="O43" i="121"/>
  <c r="BA9" i="129"/>
  <c r="W46" i="131"/>
  <c r="AY23" i="125"/>
  <c r="Q32" i="127"/>
  <c r="AP26" i="132"/>
  <c r="AY45" i="126"/>
  <c r="AG44" i="126"/>
  <c r="AN32" i="127"/>
  <c r="AX39" i="129"/>
  <c r="O20" i="126"/>
  <c r="H12" i="127"/>
  <c r="O43" i="127"/>
  <c r="AE53" i="129"/>
  <c r="W26" i="126"/>
  <c r="AW17" i="127"/>
  <c r="U49" i="127"/>
  <c r="T14" i="128"/>
  <c r="AB21" i="126"/>
  <c r="O50" i="127"/>
  <c r="AM15" i="126"/>
  <c r="AU8" i="128"/>
  <c r="Q29" i="128"/>
  <c r="AI10" i="130"/>
  <c r="AI14" i="123"/>
  <c r="AI51" i="123"/>
  <c r="H10" i="128"/>
  <c r="V18" i="130"/>
  <c r="V34" i="123"/>
  <c r="AT48" i="123"/>
  <c r="BB49" i="128"/>
  <c r="AO47" i="130"/>
  <c r="AS17" i="123"/>
  <c r="AO9" i="123"/>
  <c r="BD15" i="128"/>
  <c r="AQ52" i="130"/>
  <c r="AS24" i="123"/>
  <c r="T48" i="127"/>
  <c r="G54" i="132"/>
  <c r="AW56" i="129"/>
  <c r="Z29" i="125"/>
  <c r="AJ50" i="126"/>
  <c r="AJ39" i="125"/>
  <c r="AD40" i="125"/>
  <c r="AW53" i="127"/>
  <c r="AO46" i="125"/>
  <c r="V36" i="125"/>
  <c r="Q24" i="125"/>
  <c r="AC56" i="126"/>
  <c r="L25" i="131"/>
  <c r="P40" i="124"/>
  <c r="BD23" i="125"/>
  <c r="BC32" i="125"/>
  <c r="P36" i="131"/>
  <c r="AM29" i="126"/>
  <c r="AS31" i="129"/>
  <c r="AQ17" i="121"/>
  <c r="AY8" i="121"/>
  <c r="AZ8" i="131"/>
  <c r="AF24" i="131"/>
  <c r="AW31" i="121"/>
  <c r="AK20" i="121"/>
  <c r="AY11" i="127"/>
  <c r="BB23" i="127"/>
  <c r="BD36" i="121"/>
  <c r="BC20" i="121"/>
  <c r="AP29" i="126"/>
  <c r="X27" i="126"/>
  <c r="AS36" i="121"/>
  <c r="H46" i="127"/>
  <c r="BD54" i="130"/>
  <c r="AE39" i="127"/>
  <c r="AD27" i="126"/>
  <c r="AZ35" i="118"/>
  <c r="AJ16" i="125"/>
  <c r="AP22" i="130"/>
  <c r="Q45" i="131"/>
  <c r="AY20" i="130"/>
  <c r="AL52" i="131"/>
  <c r="AG15" i="130"/>
  <c r="AO16" i="130"/>
  <c r="AB8" i="130"/>
  <c r="U39" i="130"/>
  <c r="AD41" i="127"/>
  <c r="AP30" i="127"/>
  <c r="AC57" i="127"/>
  <c r="AX23" i="117"/>
  <c r="AD34" i="120"/>
  <c r="G39" i="117"/>
  <c r="AV46" i="117"/>
  <c r="BC41" i="124"/>
  <c r="Z36" i="120"/>
  <c r="AH38" i="117"/>
  <c r="X46" i="117"/>
  <c r="Y35" i="131"/>
  <c r="AY42" i="120"/>
  <c r="BE44" i="117"/>
  <c r="M36" i="117"/>
  <c r="BD36" i="131"/>
  <c r="AB49" i="120"/>
  <c r="AP30" i="117"/>
  <c r="AK39" i="128"/>
  <c r="AE57" i="131"/>
  <c r="V44" i="126"/>
  <c r="AP58" i="127"/>
  <c r="BA21" i="128"/>
  <c r="AV34" i="130"/>
  <c r="AW52" i="125"/>
  <c r="BB57" i="128"/>
  <c r="Z38" i="128"/>
  <c r="AU55" i="130"/>
  <c r="W17" i="131"/>
  <c r="W44" i="128"/>
  <c r="AJ29" i="128"/>
  <c r="AK48" i="130"/>
  <c r="AJ34" i="125"/>
  <c r="BD39" i="125"/>
  <c r="AL51" i="125"/>
  <c r="AC25" i="119"/>
  <c r="BA9" i="118"/>
  <c r="AI33" i="123"/>
  <c r="AH44" i="127"/>
  <c r="X12" i="126"/>
  <c r="AW44" i="127"/>
  <c r="S27" i="122"/>
  <c r="BD14" i="123"/>
  <c r="AT10" i="129"/>
  <c r="AY31" i="125"/>
  <c r="AN53" i="131"/>
  <c r="AZ52" i="118"/>
  <c r="AH47" i="132"/>
  <c r="AP45" i="125"/>
  <c r="AN8" i="130"/>
  <c r="AY58" i="118"/>
  <c r="AY32" i="131"/>
  <c r="P33" i="129"/>
  <c r="V32" i="129"/>
  <c r="Q31" i="129"/>
  <c r="I44" i="129"/>
  <c r="O44" i="122"/>
  <c r="BD41" i="119"/>
  <c r="AR48" i="119"/>
  <c r="N10" i="131"/>
  <c r="AR58" i="122"/>
  <c r="L11" i="119"/>
  <c r="AB17" i="119"/>
  <c r="T10" i="127"/>
  <c r="Y46" i="129"/>
  <c r="Z20" i="128"/>
  <c r="AI44" i="123"/>
  <c r="V12" i="120"/>
  <c r="L35" i="122"/>
  <c r="U44" i="129"/>
  <c r="AR32" i="131"/>
  <c r="AZ17" i="126"/>
  <c r="AX10" i="117"/>
  <c r="AV12" i="128"/>
  <c r="AZ38" i="131"/>
  <c r="AL53" i="126"/>
  <c r="BD46" i="117"/>
  <c r="AH42" i="127"/>
  <c r="AO56" i="130"/>
  <c r="I44" i="128"/>
  <c r="AJ38" i="128"/>
  <c r="BB38" i="125"/>
  <c r="AM12" i="121"/>
  <c r="I47" i="119"/>
  <c r="BB53" i="119"/>
  <c r="AD43" i="129"/>
  <c r="AW40" i="124"/>
  <c r="G36" i="126"/>
  <c r="AE52" i="130"/>
  <c r="AP51" i="125"/>
  <c r="AU10" i="124"/>
  <c r="K43" i="126"/>
  <c r="AE43" i="130"/>
  <c r="AM47" i="124"/>
  <c r="BA22" i="124"/>
  <c r="AH54" i="126"/>
  <c r="AH49" i="130"/>
  <c r="AL41" i="124"/>
  <c r="Q44" i="131"/>
  <c r="AE12" i="126"/>
  <c r="AW18" i="127"/>
  <c r="V44" i="119"/>
  <c r="BC33" i="119"/>
  <c r="M22" i="126"/>
  <c r="AX53" i="127"/>
  <c r="AQ49" i="119"/>
  <c r="AD39" i="119"/>
  <c r="L49" i="126"/>
  <c r="BE35" i="126"/>
  <c r="AL47" i="119"/>
  <c r="AT43" i="119"/>
  <c r="T15" i="126"/>
  <c r="N47" i="126"/>
  <c r="AV58" i="119"/>
  <c r="BB22" i="128"/>
  <c r="BC57" i="127"/>
  <c r="O46" i="127"/>
  <c r="P18" i="125"/>
  <c r="AQ9" i="127"/>
  <c r="Y49" i="127"/>
  <c r="AJ39" i="130"/>
  <c r="AF9" i="127"/>
  <c r="S14" i="127"/>
  <c r="L44" i="127"/>
  <c r="U58" i="130"/>
  <c r="P15" i="127"/>
  <c r="AI27" i="127"/>
  <c r="U24" i="130"/>
  <c r="AB52" i="125"/>
  <c r="AH9" i="124"/>
  <c r="V53" i="124"/>
  <c r="BB18" i="118"/>
  <c r="AH56" i="118"/>
  <c r="BB11" i="123"/>
  <c r="AH13" i="123"/>
  <c r="AW54" i="118"/>
  <c r="O39" i="118"/>
  <c r="W17" i="123"/>
  <c r="AW10" i="123"/>
  <c r="AC52" i="118"/>
  <c r="AK45" i="118"/>
  <c r="AJ9" i="123"/>
  <c r="AW15" i="123"/>
  <c r="AZ57" i="118"/>
  <c r="M51" i="118"/>
  <c r="AJ14" i="123"/>
  <c r="AT29" i="128"/>
  <c r="AV52" i="121"/>
  <c r="Y29" i="126"/>
  <c r="P33" i="130"/>
  <c r="BC16" i="126"/>
  <c r="AD53" i="129"/>
  <c r="BB36" i="126"/>
  <c r="BB38" i="126"/>
  <c r="AM21" i="125"/>
  <c r="AN57" i="128"/>
  <c r="AN31" i="126"/>
  <c r="AK40" i="125"/>
  <c r="AK11" i="125"/>
  <c r="J23" i="128"/>
  <c r="BA52" i="130"/>
  <c r="AJ56" i="123"/>
  <c r="X51" i="123"/>
  <c r="AK52" i="131"/>
  <c r="Z47" i="127"/>
  <c r="AV26" i="127"/>
  <c r="AL16" i="127"/>
  <c r="AX38" i="129"/>
  <c r="N52" i="130"/>
  <c r="AO21" i="129"/>
  <c r="AI56" i="118"/>
  <c r="L23" i="130"/>
  <c r="M56" i="130"/>
  <c r="V8" i="130"/>
  <c r="AY44" i="130"/>
  <c r="S21" i="130"/>
  <c r="T57" i="130"/>
  <c r="AT38" i="130"/>
  <c r="BD33" i="130"/>
  <c r="U51" i="129"/>
  <c r="G46" i="127"/>
  <c r="G24" i="126"/>
  <c r="Y10" i="126"/>
  <c r="J8" i="125"/>
  <c r="AW31" i="120"/>
  <c r="AL32" i="117"/>
  <c r="AB39" i="117"/>
  <c r="AN57" i="130"/>
  <c r="AE48" i="120"/>
  <c r="H39" i="117"/>
  <c r="BA46" i="117"/>
  <c r="AU54" i="130"/>
  <c r="AQ10" i="126"/>
  <c r="G32" i="127"/>
  <c r="AK30" i="130"/>
  <c r="Y40" i="129"/>
  <c r="AI21" i="125"/>
  <c r="AG10" i="126"/>
  <c r="AB32" i="129"/>
  <c r="O11" i="129"/>
  <c r="G20" i="129"/>
  <c r="BE38" i="126"/>
  <c r="T38" i="129"/>
  <c r="AL26" i="129"/>
  <c r="V10" i="129"/>
  <c r="AE47" i="125"/>
  <c r="AR34" i="126"/>
  <c r="AL31" i="126"/>
  <c r="AS14" i="126"/>
  <c r="AM57" i="126"/>
  <c r="U35" i="119"/>
  <c r="M54" i="117"/>
  <c r="AO9" i="117"/>
  <c r="O51" i="125"/>
  <c r="AW23" i="132"/>
  <c r="O44" i="129"/>
  <c r="AJ39" i="128"/>
  <c r="N20" i="129"/>
  <c r="AS47" i="132"/>
  <c r="AQ53" i="129"/>
  <c r="N30" i="128"/>
  <c r="AZ24" i="129"/>
  <c r="U10" i="132"/>
  <c r="AC29" i="128"/>
  <c r="AE49" i="128"/>
  <c r="AO23" i="129"/>
  <c r="Q53" i="127"/>
  <c r="AF29" i="131"/>
  <c r="G50" i="126"/>
  <c r="AB46" i="130"/>
  <c r="AW18" i="128"/>
  <c r="AO14" i="131"/>
  <c r="AW17" i="125"/>
  <c r="AF25" i="129"/>
  <c r="AQ13" i="125"/>
  <c r="S12" i="131"/>
  <c r="V39" i="126"/>
  <c r="T55" i="126"/>
  <c r="V30" i="125"/>
  <c r="AF38" i="131"/>
  <c r="O46" i="126"/>
  <c r="AU44" i="126"/>
  <c r="T47" i="130"/>
  <c r="AM50" i="117"/>
  <c r="W52" i="125"/>
  <c r="AL20" i="129"/>
  <c r="U27" i="125"/>
  <c r="AZ9" i="126"/>
  <c r="Q20" i="125"/>
  <c r="AC44" i="125"/>
  <c r="G34" i="125"/>
  <c r="AE57" i="125"/>
  <c r="BA8" i="125"/>
  <c r="BB49" i="125"/>
  <c r="AX39" i="125"/>
  <c r="O21" i="127"/>
  <c r="AV25" i="129"/>
  <c r="T18" i="122"/>
  <c r="L45" i="122"/>
  <c r="AM22" i="130"/>
  <c r="M10" i="125"/>
  <c r="AZ14" i="125"/>
  <c r="AX26" i="125"/>
  <c r="AR21" i="130"/>
  <c r="L37" i="125"/>
  <c r="AS56" i="125"/>
  <c r="AK53" i="125"/>
  <c r="AI37" i="130"/>
  <c r="X34" i="125"/>
  <c r="AW33" i="125"/>
  <c r="AU45" i="125"/>
  <c r="AZ50" i="130"/>
  <c r="N27" i="125"/>
  <c r="J57" i="125"/>
  <c r="AW38" i="132"/>
  <c r="AW54" i="127"/>
  <c r="BA30" i="128"/>
  <c r="AM9" i="124"/>
  <c r="O20" i="123"/>
  <c r="V56" i="129"/>
  <c r="AN46" i="131"/>
  <c r="Y48" i="123"/>
  <c r="O39" i="123"/>
  <c r="AB40" i="128"/>
  <c r="H13" i="130"/>
  <c r="AU13" i="123"/>
  <c r="Z30" i="123"/>
  <c r="AZ51" i="130"/>
  <c r="BB46" i="130"/>
  <c r="Z12" i="120"/>
  <c r="AD15" i="120"/>
  <c r="AH38" i="128"/>
  <c r="BA12" i="118"/>
  <c r="W41" i="118"/>
  <c r="AB39" i="131"/>
  <c r="AD37" i="129"/>
  <c r="T49" i="126"/>
  <c r="AJ21" i="131"/>
  <c r="AY14" i="127"/>
  <c r="AI26" i="126"/>
  <c r="AW54" i="130"/>
  <c r="BA10" i="127"/>
  <c r="H10" i="127"/>
  <c r="W39" i="126"/>
  <c r="T13" i="129"/>
  <c r="AV42" i="127"/>
  <c r="O30" i="127"/>
  <c r="G16" i="129"/>
  <c r="H40" i="124"/>
  <c r="AQ14" i="124"/>
  <c r="W8" i="124"/>
  <c r="AD57" i="118"/>
  <c r="M42" i="118"/>
  <c r="S52" i="123"/>
  <c r="AK29" i="123"/>
  <c r="AM14" i="117"/>
  <c r="AG18" i="117"/>
  <c r="O25" i="123"/>
  <c r="AJ11" i="123"/>
  <c r="AM47" i="117"/>
  <c r="Y23" i="127"/>
  <c r="AI49" i="125"/>
  <c r="AZ23" i="131"/>
  <c r="AT48" i="127"/>
  <c r="Y35" i="127"/>
  <c r="Q35" i="131"/>
  <c r="W54" i="128"/>
  <c r="AU32" i="127"/>
  <c r="AV38" i="127"/>
  <c r="L27" i="131"/>
  <c r="BE17" i="127"/>
  <c r="AW35" i="127"/>
  <c r="AN48" i="127"/>
  <c r="AB55" i="129"/>
  <c r="AL58" i="131"/>
  <c r="AY46" i="124"/>
  <c r="AE31" i="124"/>
  <c r="P26" i="117"/>
  <c r="AY16" i="117"/>
  <c r="BD15" i="122"/>
  <c r="AV23" i="122"/>
  <c r="AN22" i="132"/>
  <c r="AR47" i="127"/>
  <c r="I29" i="127"/>
  <c r="AZ33" i="129"/>
  <c r="L56" i="132"/>
  <c r="AX31" i="127"/>
  <c r="X13" i="127"/>
  <c r="AV39" i="129"/>
  <c r="S14" i="132"/>
  <c r="M48" i="127"/>
  <c r="J20" i="127"/>
  <c r="AN46" i="129"/>
  <c r="M56" i="131"/>
  <c r="AP42" i="131"/>
  <c r="J40" i="125"/>
  <c r="U9" i="125"/>
  <c r="AR53" i="128"/>
  <c r="AO24" i="131"/>
  <c r="AI16" i="125"/>
  <c r="P22" i="125"/>
  <c r="BD10" i="125"/>
  <c r="J9" i="130"/>
  <c r="S46" i="125"/>
  <c r="AP53" i="125"/>
  <c r="AL43" i="125"/>
  <c r="AF12" i="130"/>
  <c r="H53" i="125"/>
  <c r="Z35" i="125"/>
  <c r="S30" i="130"/>
  <c r="H50" i="128"/>
  <c r="AC29" i="130"/>
  <c r="AW25" i="125"/>
  <c r="BE33" i="125"/>
  <c r="AT33" i="130"/>
  <c r="K37" i="125"/>
  <c r="N50" i="125"/>
  <c r="Z30" i="125"/>
  <c r="AP41" i="130"/>
  <c r="BC54" i="125"/>
  <c r="X46" i="125"/>
  <c r="AT57" i="125"/>
  <c r="Q44" i="127"/>
  <c r="AY46" i="129"/>
  <c r="AE46" i="122"/>
  <c r="W33" i="122"/>
  <c r="BE35" i="130"/>
  <c r="S14" i="124"/>
  <c r="T56" i="124"/>
  <c r="I16" i="124"/>
  <c r="AZ8" i="129"/>
  <c r="M22" i="123"/>
  <c r="L10" i="123"/>
  <c r="X21" i="123"/>
  <c r="AF24" i="129"/>
  <c r="K23" i="123"/>
  <c r="BE32" i="123"/>
  <c r="V17" i="123"/>
  <c r="AG13" i="129"/>
  <c r="AL26" i="123"/>
  <c r="P10" i="123"/>
  <c r="BC31" i="131"/>
  <c r="AP44" i="128"/>
  <c r="S35" i="131"/>
  <c r="O35" i="130"/>
  <c r="BE39" i="123"/>
  <c r="G16" i="128"/>
  <c r="AC44" i="130"/>
  <c r="AR27" i="123"/>
  <c r="BA18" i="123"/>
  <c r="AF25" i="128"/>
  <c r="W50" i="130"/>
  <c r="AU35" i="123"/>
  <c r="T25" i="123"/>
  <c r="BA13" i="128"/>
  <c r="P12" i="128"/>
  <c r="AY35" i="120"/>
  <c r="BD54" i="120"/>
  <c r="T25" i="127"/>
  <c r="BB46" i="117"/>
  <c r="AN53" i="117"/>
  <c r="Z16" i="127"/>
  <c r="P51" i="126"/>
  <c r="Z48" i="124"/>
  <c r="BB14" i="127"/>
  <c r="L57" i="127"/>
  <c r="AY56" i="125"/>
  <c r="X35" i="128"/>
  <c r="AK24" i="127"/>
  <c r="BA38" i="127"/>
  <c r="V42" i="131"/>
  <c r="BA52" i="128"/>
  <c r="AY55" i="127"/>
  <c r="AO41" i="127"/>
  <c r="H55" i="129"/>
  <c r="BC58" i="131"/>
  <c r="Y32" i="124"/>
  <c r="AO27" i="124"/>
  <c r="AU25" i="117"/>
  <c r="AU16" i="117"/>
  <c r="AK40" i="122"/>
  <c r="O12" i="122"/>
  <c r="P33" i="117"/>
  <c r="I20" i="117"/>
  <c r="L18" i="122"/>
  <c r="AV12" i="122"/>
  <c r="AQ38" i="117"/>
  <c r="AL18" i="130"/>
  <c r="AG47" i="127"/>
  <c r="T15" i="129"/>
  <c r="AE12" i="125"/>
  <c r="G11" i="126"/>
  <c r="L49" i="128"/>
  <c r="AM45" i="126"/>
  <c r="I11" i="126"/>
  <c r="AT20" i="126"/>
  <c r="AD29" i="127"/>
  <c r="AZ27" i="126"/>
  <c r="AI20" i="126"/>
  <c r="AD48" i="126"/>
  <c r="H35" i="129"/>
  <c r="AL12" i="123"/>
  <c r="N18" i="131"/>
  <c r="L20" i="126"/>
  <c r="Y53" i="126"/>
  <c r="AJ47" i="126"/>
  <c r="AY16" i="131"/>
  <c r="AX47" i="126"/>
  <c r="J58" i="126"/>
  <c r="AK30" i="126"/>
  <c r="AF42" i="131"/>
  <c r="BC52" i="126"/>
  <c r="AC42" i="126"/>
  <c r="I39" i="128"/>
  <c r="P41" i="131"/>
  <c r="W31" i="131"/>
  <c r="BB33" i="129"/>
  <c r="BE43" i="125"/>
  <c r="AI25" i="131"/>
  <c r="AI53" i="125"/>
  <c r="AL58" i="125"/>
  <c r="H30" i="125"/>
  <c r="BD21" i="130"/>
  <c r="X14" i="125"/>
  <c r="BA45" i="125"/>
  <c r="BD49" i="125"/>
  <c r="L25" i="127"/>
  <c r="AG18" i="129"/>
  <c r="K39" i="122"/>
  <c r="V25" i="122"/>
  <c r="AO26" i="130"/>
  <c r="U40" i="124"/>
  <c r="L33" i="124"/>
  <c r="AY9" i="124"/>
  <c r="AL57" i="130"/>
  <c r="L11" i="124"/>
  <c r="I9" i="124"/>
  <c r="I21" i="124"/>
  <c r="J18" i="130"/>
  <c r="AY54" i="124"/>
  <c r="AT32" i="124"/>
  <c r="AR44" i="124"/>
  <c r="H35" i="130"/>
  <c r="W26" i="124"/>
  <c r="AK55" i="124"/>
  <c r="L36" i="131"/>
  <c r="I41" i="126"/>
  <c r="AW22" i="129"/>
  <c r="AO11" i="129"/>
  <c r="AU12" i="124"/>
  <c r="S23" i="130"/>
  <c r="V50" i="125"/>
  <c r="AD30" i="124"/>
  <c r="BE39" i="124"/>
  <c r="G16" i="130"/>
  <c r="AW46" i="125"/>
  <c r="N57" i="124"/>
  <c r="AQ47" i="124"/>
  <c r="AY33" i="127"/>
  <c r="AG52" i="129"/>
  <c r="AM13" i="121"/>
  <c r="BA22" i="121"/>
  <c r="N52" i="129"/>
  <c r="Z49" i="123"/>
  <c r="N40" i="122"/>
  <c r="AC40" i="122"/>
  <c r="AG38" i="129"/>
  <c r="AT25" i="122"/>
  <c r="AW32" i="122"/>
  <c r="M18" i="122"/>
  <c r="AG50" i="129"/>
  <c r="BB56" i="122"/>
  <c r="AK34" i="122"/>
  <c r="Q50" i="122"/>
  <c r="H33" i="129"/>
  <c r="W26" i="122"/>
  <c r="T36" i="122"/>
  <c r="AB24" i="127"/>
  <c r="AP47" i="122"/>
  <c r="AP51" i="128"/>
  <c r="AH55" i="126"/>
  <c r="L21" i="124"/>
  <c r="AT16" i="129"/>
  <c r="AS42" i="131"/>
  <c r="BA36" i="124"/>
  <c r="AH26" i="124"/>
  <c r="N49" i="129"/>
  <c r="H51" i="131"/>
  <c r="AJ9" i="124"/>
  <c r="AC15" i="124"/>
  <c r="Y54" i="127"/>
  <c r="AL50" i="127"/>
  <c r="AF8" i="121"/>
  <c r="AD44" i="121"/>
  <c r="H11" i="128"/>
  <c r="I50" i="121"/>
  <c r="G46" i="121"/>
  <c r="I57" i="121"/>
  <c r="AE53" i="128"/>
  <c r="AI49" i="120"/>
  <c r="AU43" i="120"/>
  <c r="AT42" i="120"/>
  <c r="BB58" i="128"/>
  <c r="P37" i="120"/>
  <c r="AT53" i="120"/>
  <c r="AH30" i="120"/>
  <c r="L24" i="128"/>
  <c r="U48" i="120"/>
  <c r="AD42" i="120"/>
  <c r="Y54" i="125"/>
  <c r="AD46" i="129"/>
  <c r="BA15" i="120"/>
  <c r="AB27" i="120"/>
  <c r="AH57" i="119"/>
  <c r="BD38" i="123"/>
  <c r="J22" i="123"/>
  <c r="BD55" i="118"/>
  <c r="AM12" i="117"/>
  <c r="AF21" i="123"/>
  <c r="J29" i="123"/>
  <c r="AV27" i="126"/>
  <c r="I34" i="124"/>
  <c r="AX41" i="124"/>
  <c r="AN44" i="124"/>
  <c r="I15" i="126"/>
  <c r="AW53" i="124"/>
  <c r="Y9" i="124"/>
  <c r="M12" i="124"/>
  <c r="AJ57" i="128"/>
  <c r="L18" i="117"/>
  <c r="O43" i="130"/>
  <c r="H34" i="124"/>
  <c r="P16" i="124"/>
  <c r="AS27" i="124"/>
  <c r="AC14" i="130"/>
  <c r="P11" i="124"/>
  <c r="S12" i="124"/>
  <c r="G57" i="124"/>
  <c r="BB30" i="130"/>
  <c r="P34" i="124"/>
  <c r="T16" i="124"/>
  <c r="AU43" i="125"/>
  <c r="AH23" i="126"/>
  <c r="AN30" i="129"/>
  <c r="BC49" i="130"/>
  <c r="P52" i="125"/>
  <c r="BD37" i="130"/>
  <c r="BC29" i="125"/>
  <c r="AM56" i="124"/>
  <c r="AQ18" i="124"/>
  <c r="BB31" i="130"/>
  <c r="AU55" i="125"/>
  <c r="AW35" i="124"/>
  <c r="V47" i="124"/>
  <c r="AQ54" i="127"/>
  <c r="L37" i="129"/>
  <c r="P20" i="122"/>
  <c r="AM33" i="121"/>
  <c r="O26" i="129"/>
  <c r="AK31" i="123"/>
  <c r="BC33" i="123"/>
  <c r="AW45" i="123"/>
  <c r="I36" i="129"/>
  <c r="AF42" i="122"/>
  <c r="T56" i="122"/>
  <c r="I18" i="122"/>
  <c r="BB47" i="129"/>
  <c r="AY33" i="122"/>
  <c r="BB30" i="122"/>
  <c r="AT42" i="122"/>
  <c r="AZ58" i="129"/>
  <c r="AG24" i="122"/>
  <c r="AT53" i="122"/>
  <c r="BB53" i="128"/>
  <c r="BE15" i="122"/>
  <c r="M44" i="129"/>
  <c r="AP17" i="126"/>
  <c r="BC20" i="124"/>
  <c r="AP16" i="129"/>
  <c r="AG35" i="131"/>
  <c r="AS36" i="124"/>
  <c r="AD26" i="124"/>
  <c r="U23" i="129"/>
  <c r="Z50" i="131"/>
  <c r="K24" i="124"/>
  <c r="BA32" i="124"/>
  <c r="Q41" i="128"/>
  <c r="AW31" i="128"/>
  <c r="K13" i="121"/>
  <c r="K50" i="121"/>
  <c r="AI34" i="128"/>
  <c r="AU20" i="121"/>
  <c r="AL49" i="121"/>
  <c r="M9" i="121"/>
  <c r="W53" i="128"/>
  <c r="AP30" i="120"/>
  <c r="Z49" i="120"/>
  <c r="AP24" i="120"/>
  <c r="AX58" i="128"/>
  <c r="BE43" i="120"/>
  <c r="AG36" i="120"/>
  <c r="L38" i="120"/>
  <c r="H24" i="128"/>
  <c r="K31" i="120"/>
  <c r="AU49" i="120"/>
  <c r="L46" i="131"/>
  <c r="AN13" i="118"/>
  <c r="AG13" i="126"/>
  <c r="AR31" i="125"/>
  <c r="BB32" i="124"/>
  <c r="AB35" i="129"/>
  <c r="BC27" i="131"/>
  <c r="BB48" i="124"/>
  <c r="M40" i="123"/>
  <c r="S56" i="129"/>
  <c r="I47" i="131"/>
  <c r="Q14" i="123"/>
  <c r="AK14" i="123"/>
  <c r="L34" i="131"/>
  <c r="AL55" i="131"/>
  <c r="AC57" i="121"/>
  <c r="S44" i="121"/>
  <c r="AS51" i="128"/>
  <c r="AP38" i="119"/>
  <c r="AQ16" i="119"/>
  <c r="BA29" i="119"/>
  <c r="J21" i="128"/>
  <c r="AK22" i="118"/>
  <c r="AO18" i="118"/>
  <c r="AD41" i="118"/>
  <c r="V45" i="128"/>
  <c r="AO13" i="118"/>
  <c r="AZ41" i="118"/>
  <c r="BE8" i="118"/>
  <c r="AS26" i="128"/>
  <c r="S24" i="118"/>
  <c r="J20" i="118"/>
  <c r="AU9" i="125"/>
  <c r="O34" i="128"/>
  <c r="X46" i="126"/>
  <c r="AU45" i="126"/>
  <c r="AQ40" i="117"/>
  <c r="AZ29" i="122"/>
  <c r="O42" i="122"/>
  <c r="AN29" i="117"/>
  <c r="AD42" i="117"/>
  <c r="BD38" i="122"/>
  <c r="AT49" i="122"/>
  <c r="AR57" i="126"/>
  <c r="O33" i="123"/>
  <c r="I41" i="123"/>
  <c r="AT43" i="123"/>
  <c r="P21" i="126"/>
  <c r="AY23" i="123"/>
  <c r="AX18" i="123"/>
  <c r="U25" i="123"/>
  <c r="BA10" i="125"/>
  <c r="G44" i="124"/>
  <c r="AL47" i="127"/>
  <c r="BC26" i="117"/>
  <c r="AO34" i="117"/>
  <c r="AD37" i="117"/>
  <c r="N53" i="127"/>
  <c r="Z33" i="117"/>
  <c r="P41" i="117"/>
  <c r="AS43" i="117"/>
  <c r="P24" i="127"/>
  <c r="AS38" i="117"/>
  <c r="AH46" i="117"/>
  <c r="AW41" i="126"/>
  <c r="AF47" i="128"/>
  <c r="S13" i="127"/>
  <c r="U35" i="129"/>
  <c r="AE12" i="122"/>
  <c r="N47" i="128"/>
  <c r="BD40" i="129"/>
  <c r="AV51" i="122"/>
  <c r="AZ45" i="122"/>
  <c r="AD23" i="127"/>
  <c r="AR10" i="129"/>
  <c r="AS9" i="122"/>
  <c r="G55" i="122"/>
  <c r="AO47" i="127"/>
  <c r="AP45" i="131"/>
  <c r="AN25" i="119"/>
  <c r="BD8" i="119"/>
  <c r="U43" i="127"/>
  <c r="W38" i="124"/>
  <c r="Q46" i="124"/>
  <c r="AZ48" i="124"/>
  <c r="AO40" i="126"/>
  <c r="AY26" i="124"/>
  <c r="AJ34" i="124"/>
  <c r="Z37" i="124"/>
  <c r="V40" i="126"/>
  <c r="V33" i="124"/>
  <c r="G34" i="124"/>
  <c r="AW10" i="124"/>
  <c r="BB40" i="126"/>
  <c r="AO38" i="124"/>
  <c r="J22" i="124"/>
  <c r="V14" i="125"/>
  <c r="W51" i="126"/>
  <c r="AF22" i="125"/>
  <c r="BC9" i="129"/>
  <c r="AC8" i="122"/>
  <c r="AS53" i="127"/>
  <c r="AJ34" i="129"/>
  <c r="Y30" i="122"/>
  <c r="U16" i="122"/>
  <c r="I24" i="127"/>
  <c r="AF41" i="129"/>
  <c r="Q38" i="122"/>
  <c r="M25" i="122"/>
  <c r="AZ32" i="126"/>
  <c r="G12" i="126"/>
  <c r="AH23" i="119"/>
  <c r="G20" i="119"/>
  <c r="AH29" i="126"/>
  <c r="P36" i="124"/>
  <c r="BE45" i="124"/>
  <c r="AJ48" i="124"/>
  <c r="BD34" i="126"/>
  <c r="AC9" i="123"/>
  <c r="U16" i="123"/>
  <c r="G20" i="123"/>
  <c r="AE41" i="126"/>
  <c r="BB14" i="123"/>
  <c r="AV22" i="123"/>
  <c r="AC25" i="123"/>
  <c r="BB46" i="126"/>
  <c r="AC21" i="123"/>
  <c r="W34" i="125"/>
  <c r="K47" i="125"/>
  <c r="AU14" i="129"/>
  <c r="AC36" i="123"/>
  <c r="Q26" i="126"/>
  <c r="AL23" i="121"/>
  <c r="K54" i="127"/>
  <c r="AM57" i="128"/>
  <c r="AU45" i="121"/>
  <c r="V36" i="121"/>
  <c r="AB50" i="126"/>
  <c r="O27" i="125"/>
  <c r="AF54" i="121"/>
  <c r="AD48" i="121"/>
  <c r="AQ52" i="126"/>
  <c r="V26" i="129"/>
  <c r="J12" i="118"/>
  <c r="AQ42" i="118"/>
  <c r="BD31" i="126"/>
  <c r="AP22" i="123"/>
  <c r="AI30" i="123"/>
  <c r="U33" i="123"/>
  <c r="AM42" i="125"/>
  <c r="S8" i="123"/>
  <c r="AX22" i="123"/>
  <c r="Y29" i="123"/>
  <c r="AM23" i="125"/>
  <c r="M20" i="123"/>
  <c r="AV34" i="123"/>
  <c r="O41" i="123"/>
  <c r="AM55" i="125"/>
  <c r="G32" i="123"/>
  <c r="AX11" i="127"/>
  <c r="BA38" i="118"/>
  <c r="AY23" i="129"/>
  <c r="AN49" i="122"/>
  <c r="Q30" i="124"/>
  <c r="G41" i="120"/>
  <c r="AR38" i="124"/>
  <c r="AB21" i="123"/>
  <c r="S26" i="129"/>
  <c r="AS57" i="123"/>
  <c r="AJ48" i="123"/>
  <c r="AY21" i="131"/>
  <c r="L16" i="124"/>
  <c r="AI14" i="121"/>
  <c r="Y22" i="121"/>
  <c r="AD18" i="129"/>
  <c r="M34" i="124"/>
  <c r="G21" i="121"/>
  <c r="BD27" i="121"/>
  <c r="X16" i="125"/>
  <c r="M33" i="121"/>
  <c r="AK9" i="128"/>
  <c r="U56" i="121"/>
  <c r="AM48" i="120"/>
  <c r="N40" i="120"/>
  <c r="AY8" i="128"/>
  <c r="AM15" i="120"/>
  <c r="AC40" i="120"/>
  <c r="I17" i="120"/>
  <c r="AU15" i="128"/>
  <c r="AU40" i="120"/>
  <c r="AQ13" i="120"/>
  <c r="L40" i="124"/>
  <c r="AN32" i="119"/>
  <c r="AY8" i="124"/>
  <c r="M22" i="125"/>
  <c r="M23" i="124"/>
  <c r="AY32" i="129"/>
  <c r="O15" i="131"/>
  <c r="G39" i="124"/>
  <c r="V44" i="124"/>
  <c r="AU38" i="129"/>
  <c r="O37" i="131"/>
  <c r="AY58" i="124"/>
  <c r="AZ44" i="124"/>
  <c r="AN43" i="131"/>
  <c r="BB37" i="131"/>
  <c r="AO15" i="121"/>
  <c r="BE51" i="121"/>
  <c r="AO53" i="128"/>
  <c r="W43" i="119"/>
  <c r="AI13" i="119"/>
  <c r="BD34" i="119"/>
  <c r="K52" i="128"/>
  <c r="AH16" i="119"/>
  <c r="N47" i="119"/>
  <c r="N56" i="119"/>
  <c r="AG57" i="128"/>
  <c r="AL41" i="119"/>
  <c r="N57" i="119"/>
  <c r="AM48" i="118"/>
  <c r="Z36" i="128"/>
  <c r="X58" i="119"/>
  <c r="N40" i="118"/>
  <c r="J8" i="132"/>
  <c r="Q53" i="129"/>
  <c r="X51" i="126"/>
  <c r="AY55" i="131"/>
  <c r="AD12" i="123"/>
  <c r="AK13" i="128"/>
  <c r="AU22" i="130"/>
  <c r="AW35" i="123"/>
  <c r="AZ27" i="123"/>
  <c r="AY16" i="128"/>
  <c r="BC35" i="130"/>
  <c r="AT44" i="123"/>
  <c r="G16" i="123"/>
  <c r="AK14" i="129"/>
  <c r="AX9" i="129"/>
  <c r="U16" i="120"/>
  <c r="X24" i="120"/>
  <c r="BB40" i="127"/>
  <c r="W35" i="117"/>
  <c r="W31" i="117"/>
  <c r="AU14" i="117"/>
  <c r="I14" i="127"/>
  <c r="AL56" i="117"/>
  <c r="AI12" i="117"/>
  <c r="O15" i="117"/>
  <c r="AK31" i="127"/>
  <c r="K11" i="117"/>
  <c r="BD17" i="117"/>
  <c r="AN21" i="117"/>
  <c r="J24" i="127"/>
  <c r="AN16" i="117"/>
  <c r="AE24" i="117"/>
  <c r="BB41" i="128"/>
  <c r="AU33" i="130"/>
  <c r="G57" i="129"/>
  <c r="AB49" i="130"/>
  <c r="AP53" i="123"/>
  <c r="U23" i="128"/>
  <c r="BA20" i="130"/>
  <c r="W55" i="123"/>
  <c r="AP52" i="123"/>
  <c r="AY41" i="128"/>
  <c r="Z47" i="130"/>
  <c r="T51" i="123"/>
  <c r="T52" i="123"/>
  <c r="U31" i="127"/>
  <c r="AT15" i="127"/>
  <c r="AI38" i="120"/>
  <c r="AE27" i="120"/>
  <c r="J42" i="127"/>
  <c r="AO21" i="117"/>
  <c r="V29" i="117"/>
  <c r="H32" i="117"/>
  <c r="N49" i="127"/>
  <c r="V48" i="124"/>
  <c r="N55" i="124"/>
  <c r="L58" i="124"/>
  <c r="AL54" i="127"/>
  <c r="AU53" i="124"/>
  <c r="G10" i="124"/>
  <c r="AR12" i="124"/>
  <c r="U11" i="127"/>
  <c r="AR8" i="124"/>
  <c r="W15" i="124"/>
  <c r="S27" i="128"/>
  <c r="G24" i="125"/>
  <c r="Y21" i="127"/>
  <c r="Q33" i="127"/>
  <c r="AS15" i="123"/>
  <c r="Y29" i="120"/>
  <c r="AH29" i="128"/>
  <c r="AJ51" i="125"/>
  <c r="AW55" i="128"/>
  <c r="AN44" i="128"/>
  <c r="G34" i="128"/>
  <c r="O43" i="125"/>
  <c r="BD52" i="123"/>
  <c r="AO50" i="123"/>
  <c r="Z39" i="125"/>
  <c r="I49" i="125"/>
  <c r="AE10" i="122"/>
  <c r="S17" i="122"/>
  <c r="AC58" i="126"/>
  <c r="AI55" i="120"/>
  <c r="W40" i="121"/>
  <c r="BD40" i="121"/>
  <c r="BB40" i="121"/>
  <c r="AH50" i="120"/>
  <c r="AO26" i="122"/>
  <c r="X31" i="122"/>
  <c r="J45" i="122"/>
  <c r="AQ56" i="120"/>
  <c r="V57" i="122"/>
  <c r="AJ58" i="122"/>
  <c r="L26" i="122"/>
  <c r="G27" i="120"/>
  <c r="AE53" i="131"/>
  <c r="AB22" i="130"/>
  <c r="W56" i="117"/>
  <c r="AW12" i="117"/>
  <c r="AE56" i="124"/>
  <c r="AM31" i="117"/>
  <c r="AD8" i="117"/>
  <c r="AB30" i="129"/>
  <c r="AQ53" i="120"/>
  <c r="AQ56" i="117"/>
  <c r="AN12" i="117"/>
  <c r="O41" i="129"/>
  <c r="J57" i="122"/>
  <c r="AU40" i="121"/>
  <c r="BC11" i="121"/>
  <c r="AR9" i="128"/>
  <c r="AU18" i="121"/>
  <c r="Z55" i="121"/>
  <c r="AI15" i="121"/>
  <c r="BB54" i="120"/>
  <c r="V42" i="121"/>
  <c r="AQ43" i="121"/>
  <c r="BC16" i="121"/>
  <c r="BA49" i="120"/>
  <c r="BC40" i="121"/>
  <c r="AL40" i="121"/>
  <c r="AQ9" i="121"/>
  <c r="J56" i="120"/>
  <c r="AL38" i="122"/>
  <c r="BA39" i="122"/>
  <c r="L52" i="122"/>
  <c r="AC26" i="120"/>
  <c r="AW43" i="129"/>
  <c r="J51" i="126"/>
  <c r="BD51" i="129"/>
  <c r="P49" i="127"/>
  <c r="Z33" i="123"/>
  <c r="K39" i="128"/>
  <c r="AO50" i="117"/>
  <c r="M52" i="125"/>
  <c r="AY58" i="119"/>
  <c r="T27" i="117"/>
  <c r="BE34" i="117"/>
  <c r="X36" i="128"/>
  <c r="AU57" i="120"/>
  <c r="AN51" i="120"/>
  <c r="AM15" i="119"/>
  <c r="BE42" i="128"/>
  <c r="W42" i="119"/>
  <c r="AZ12" i="119"/>
  <c r="K34" i="119"/>
  <c r="H50" i="119"/>
  <c r="Y10" i="121"/>
  <c r="AP11" i="121"/>
  <c r="BD20" i="121"/>
  <c r="X55" i="119"/>
  <c r="AO21" i="121"/>
  <c r="H23" i="121"/>
  <c r="H32" i="121"/>
  <c r="BE14" i="119"/>
  <c r="AG33" i="121"/>
  <c r="AZ34" i="121"/>
  <c r="I44" i="121"/>
  <c r="L21" i="119"/>
  <c r="AG14" i="128"/>
  <c r="M46" i="131"/>
  <c r="AF55" i="130"/>
  <c r="X46" i="130"/>
  <c r="AS23" i="126"/>
  <c r="AZ55" i="126"/>
  <c r="S25" i="128"/>
  <c r="S15" i="130"/>
  <c r="I49" i="123"/>
  <c r="AN30" i="123"/>
  <c r="AL26" i="125"/>
  <c r="AC34" i="129"/>
  <c r="AN32" i="129"/>
  <c r="P23" i="128"/>
  <c r="L11" i="125"/>
  <c r="Z13" i="130"/>
  <c r="AZ21" i="130"/>
  <c r="AY8" i="118"/>
  <c r="AJ25" i="126"/>
  <c r="N43" i="130"/>
  <c r="M15" i="131"/>
  <c r="V9" i="131"/>
  <c r="O40" i="125"/>
  <c r="T26" i="130"/>
  <c r="AY38" i="131"/>
  <c r="G35" i="131"/>
  <c r="AR22" i="126"/>
  <c r="AS23" i="128"/>
  <c r="J38" i="127"/>
  <c r="AT14" i="127"/>
  <c r="AW41" i="120"/>
  <c r="AL16" i="120"/>
  <c r="K55" i="118"/>
  <c r="AJ53" i="118"/>
  <c r="L35" i="119"/>
  <c r="AB45" i="120"/>
  <c r="AM43" i="117"/>
  <c r="J40" i="117"/>
  <c r="Q42" i="119"/>
  <c r="AK25" i="126"/>
  <c r="AN23" i="128"/>
  <c r="K45" i="128"/>
  <c r="AH55" i="128"/>
  <c r="BB42" i="117"/>
  <c r="AI21" i="130"/>
  <c r="AH53" i="130"/>
  <c r="O23" i="130"/>
  <c r="AX17" i="130"/>
  <c r="BE18" i="129"/>
  <c r="BC40" i="129"/>
  <c r="AS39" i="130"/>
  <c r="U35" i="130"/>
  <c r="H18" i="128"/>
  <c r="AP56" i="127"/>
  <c r="AN22" i="126"/>
  <c r="Y11" i="126"/>
  <c r="AY32" i="125"/>
  <c r="BC30" i="120"/>
  <c r="H33" i="117"/>
  <c r="AW39" i="117"/>
  <c r="AX53" i="129"/>
  <c r="BD24" i="132"/>
  <c r="Z49" i="131"/>
  <c r="G30" i="128"/>
  <c r="Q15" i="130"/>
  <c r="K49" i="132"/>
  <c r="Z57" i="131"/>
  <c r="AG35" i="128"/>
  <c r="AI55" i="130"/>
  <c r="AL16" i="132"/>
  <c r="AE42" i="128"/>
  <c r="N56" i="130"/>
  <c r="W11" i="127"/>
  <c r="AB42" i="125"/>
  <c r="AX22" i="127"/>
  <c r="BB17" i="117"/>
  <c r="AB48" i="129"/>
  <c r="AW58" i="125"/>
  <c r="G31" i="127"/>
  <c r="S37" i="117"/>
  <c r="AO43" i="128"/>
  <c r="AX18" i="131"/>
  <c r="AZ26" i="126"/>
  <c r="AY36" i="117"/>
  <c r="Y33" i="127"/>
  <c r="AV27" i="131"/>
  <c r="AL29" i="126"/>
  <c r="AY43" i="117"/>
  <c r="AK33" i="130"/>
  <c r="AJ18" i="121"/>
  <c r="O58" i="127"/>
  <c r="U10" i="130"/>
  <c r="AT34" i="126"/>
  <c r="H42" i="129"/>
  <c r="J31" i="126"/>
  <c r="AT50" i="126"/>
  <c r="O29" i="126"/>
  <c r="AM26" i="128"/>
  <c r="Y43" i="126"/>
  <c r="Y45" i="126"/>
  <c r="BD40" i="125"/>
  <c r="K35" i="128"/>
  <c r="K36" i="130"/>
  <c r="AY49" i="123"/>
  <c r="X47" i="123"/>
  <c r="AH30" i="124"/>
  <c r="AV56" i="127"/>
  <c r="AC10" i="127"/>
  <c r="AU39" i="127"/>
  <c r="AK20" i="131"/>
  <c r="BD25" i="126"/>
  <c r="V8" i="126"/>
  <c r="AR18" i="126"/>
  <c r="AN37" i="131"/>
  <c r="P16" i="126"/>
  <c r="M13" i="126"/>
  <c r="G26" i="126"/>
  <c r="T53" i="131"/>
  <c r="G27" i="126"/>
  <c r="Z9" i="126"/>
  <c r="BD22" i="128"/>
  <c r="AK55" i="121"/>
  <c r="AR33" i="128"/>
  <c r="AJ48" i="126"/>
  <c r="M51" i="124"/>
  <c r="AU44" i="129"/>
  <c r="AD43" i="131"/>
  <c r="AD22" i="124"/>
  <c r="AK18" i="124"/>
  <c r="AB50" i="129"/>
  <c r="AR15" i="131"/>
  <c r="AI35" i="124"/>
  <c r="BC39" i="124"/>
  <c r="U47" i="125"/>
  <c r="AD58" i="125"/>
  <c r="AB57" i="121"/>
  <c r="U43" i="121"/>
  <c r="K48" i="128"/>
  <c r="AH38" i="120"/>
  <c r="I55" i="120"/>
  <c r="AY47" i="128"/>
  <c r="AD35" i="131"/>
  <c r="AV41" i="131"/>
  <c r="J49" i="127"/>
  <c r="Z22" i="128"/>
  <c r="V15" i="130"/>
  <c r="S48" i="131"/>
  <c r="AR20" i="128"/>
  <c r="BA46" i="128"/>
  <c r="X23" i="129"/>
  <c r="AU31" i="131"/>
  <c r="X29" i="128"/>
  <c r="J36" i="128"/>
  <c r="Y48" i="130"/>
  <c r="G49" i="125"/>
  <c r="AS36" i="125"/>
  <c r="V42" i="125"/>
  <c r="AR31" i="119"/>
  <c r="T10" i="118"/>
  <c r="AQ17" i="123"/>
  <c r="AK8" i="123"/>
  <c r="H36" i="118"/>
  <c r="I17" i="118"/>
  <c r="AG24" i="123"/>
  <c r="K49" i="123"/>
  <c r="AS47" i="118"/>
  <c r="AO38" i="130"/>
  <c r="AP18" i="127"/>
  <c r="AV56" i="126"/>
  <c r="AR22" i="130"/>
  <c r="AV23" i="127"/>
  <c r="AH33" i="126"/>
  <c r="AR20" i="129"/>
  <c r="S36" i="127"/>
  <c r="BA11" i="127"/>
  <c r="AV24" i="125"/>
  <c r="AH24" i="129"/>
  <c r="S43" i="127"/>
  <c r="M46" i="127"/>
  <c r="AC26" i="129"/>
  <c r="P20" i="124"/>
  <c r="AV17" i="124"/>
  <c r="AT54" i="124"/>
  <c r="Y50" i="118"/>
  <c r="AR33" i="118"/>
  <c r="M48" i="123"/>
  <c r="S30" i="123"/>
  <c r="I9" i="117"/>
  <c r="V21" i="132"/>
  <c r="V17" i="125"/>
  <c r="J50" i="126"/>
  <c r="V51" i="128"/>
  <c r="K21" i="132"/>
  <c r="V25" i="125"/>
  <c r="T17" i="126"/>
  <c r="AL41" i="128"/>
  <c r="AL44" i="132"/>
  <c r="AZ13" i="125"/>
  <c r="T30" i="126"/>
  <c r="AQ40" i="127"/>
  <c r="AD8" i="128"/>
  <c r="P13" i="129"/>
  <c r="BA44" i="130"/>
  <c r="T54" i="130"/>
  <c r="H56" i="128"/>
  <c r="AY11" i="129"/>
  <c r="BB20" i="130"/>
  <c r="Q44" i="130"/>
  <c r="M33" i="126"/>
  <c r="AO20" i="129"/>
  <c r="BB14" i="129"/>
  <c r="AJ12" i="129"/>
  <c r="N18" i="126"/>
  <c r="AO26" i="129"/>
  <c r="AK27" i="129"/>
  <c r="AL35" i="129"/>
  <c r="AL36" i="132"/>
  <c r="P47" i="129"/>
  <c r="AF58" i="125"/>
  <c r="AX56" i="125"/>
  <c r="S39" i="123"/>
  <c r="M58" i="129"/>
  <c r="AB38" i="131"/>
  <c r="AP18" i="123"/>
  <c r="I32" i="123"/>
  <c r="AG33" i="129"/>
  <c r="AP56" i="131"/>
  <c r="AH9" i="123"/>
  <c r="AX47" i="123"/>
  <c r="AD33" i="130"/>
  <c r="AS25" i="130"/>
  <c r="Y14" i="120"/>
  <c r="M17" i="120"/>
  <c r="L31" i="128"/>
  <c r="AQ21" i="118"/>
  <c r="L44" i="118"/>
  <c r="BD14" i="118"/>
  <c r="M34" i="128"/>
  <c r="AX57" i="118"/>
  <c r="AS58" i="118"/>
  <c r="T53" i="118"/>
  <c r="O49" i="128"/>
  <c r="J53" i="118"/>
  <c r="AG55" i="118"/>
  <c r="AV39" i="118"/>
  <c r="AR54" i="128"/>
  <c r="AD58" i="118"/>
  <c r="AB24" i="129"/>
  <c r="AN44" i="129"/>
  <c r="Z13" i="131"/>
  <c r="N38" i="124"/>
  <c r="AP11" i="127"/>
  <c r="AW29" i="122"/>
  <c r="AJ55" i="127"/>
  <c r="AI52" i="129"/>
  <c r="J48" i="122"/>
  <c r="H44" i="122"/>
  <c r="BC31" i="127"/>
  <c r="AO31" i="129"/>
  <c r="AD11" i="122"/>
  <c r="AH55" i="122"/>
  <c r="BC39" i="126"/>
  <c r="AN54" i="125"/>
  <c r="AO29" i="119"/>
  <c r="U25" i="119"/>
  <c r="AQ35" i="126"/>
  <c r="BD20" i="123"/>
  <c r="AE35" i="123"/>
  <c r="AF37" i="127"/>
  <c r="Z46" i="120"/>
  <c r="AL50" i="126"/>
  <c r="BB33" i="130"/>
  <c r="AM39" i="125"/>
  <c r="O57" i="128"/>
  <c r="X22" i="126"/>
  <c r="BC40" i="125"/>
  <c r="AY16" i="125"/>
  <c r="N45" i="128"/>
  <c r="BA8" i="126"/>
  <c r="O22" i="125"/>
  <c r="AY24" i="125"/>
  <c r="O52" i="128"/>
  <c r="Z41" i="130"/>
  <c r="L53" i="123"/>
  <c r="AF40" i="122"/>
  <c r="Q54" i="131"/>
  <c r="AR35" i="127"/>
  <c r="T51" i="127"/>
  <c r="AB52" i="127"/>
  <c r="I34" i="131"/>
  <c r="W56" i="126"/>
  <c r="AX39" i="126"/>
  <c r="AR51" i="126"/>
  <c r="AV31" i="131"/>
  <c r="M52" i="129"/>
  <c r="AK57" i="125"/>
  <c r="N26" i="131"/>
  <c r="Q45" i="129"/>
  <c r="AC29" i="125"/>
  <c r="AJ15" i="131"/>
  <c r="AS8" i="125"/>
  <c r="W45" i="125"/>
  <c r="Z49" i="125"/>
  <c r="AO41" i="131"/>
  <c r="BE13" i="125"/>
  <c r="W33" i="125"/>
  <c r="AD35" i="125"/>
  <c r="AV25" i="127"/>
  <c r="AC18" i="129"/>
  <c r="BA55" i="122"/>
  <c r="AI29" i="122"/>
  <c r="AI25" i="130"/>
  <c r="I38" i="125"/>
  <c r="AQ43" i="125"/>
  <c r="AO54" i="125"/>
  <c r="AT45" i="131"/>
  <c r="Q35" i="125"/>
  <c r="AP48" i="126"/>
  <c r="Y37" i="127"/>
  <c r="AV9" i="130"/>
  <c r="L55" i="125"/>
  <c r="U43" i="126"/>
  <c r="U44" i="127"/>
  <c r="AC25" i="130"/>
  <c r="P42" i="125"/>
  <c r="AT8" i="125"/>
  <c r="H38" i="127"/>
  <c r="BB9" i="126"/>
  <c r="L56" i="129"/>
  <c r="P20" i="129"/>
  <c r="AF35" i="129"/>
  <c r="AY51" i="124"/>
  <c r="S33" i="129"/>
  <c r="S49" i="129"/>
  <c r="K33" i="129"/>
  <c r="L25" i="129"/>
  <c r="AP35" i="129"/>
  <c r="AH10" i="128"/>
  <c r="AF9" i="128"/>
  <c r="G49" i="129"/>
  <c r="Y49" i="129"/>
  <c r="AQ13" i="128"/>
  <c r="I17" i="128"/>
  <c r="I38" i="128"/>
  <c r="Y45" i="127"/>
  <c r="BD43" i="131"/>
  <c r="AW12" i="130"/>
  <c r="L39" i="123"/>
  <c r="AZ15" i="128"/>
  <c r="AZ43" i="130"/>
  <c r="BB26" i="123"/>
  <c r="P52" i="123"/>
  <c r="H25" i="128"/>
  <c r="BB49" i="130"/>
  <c r="AG39" i="123"/>
  <c r="P25" i="123"/>
  <c r="AR56" i="129"/>
  <c r="AG58" i="129"/>
  <c r="Z35" i="120"/>
  <c r="AN35" i="120"/>
  <c r="AJ24" i="127"/>
  <c r="J51" i="117"/>
  <c r="L58" i="117"/>
  <c r="AV9" i="117"/>
  <c r="AN57" i="127"/>
  <c r="AB24" i="117"/>
  <c r="P32" i="117"/>
  <c r="AW34" i="117"/>
  <c r="AX25" i="127"/>
  <c r="AS30" i="117"/>
  <c r="AL37" i="117"/>
  <c r="X41" i="117"/>
  <c r="I20" i="127"/>
  <c r="T36" i="117"/>
  <c r="X44" i="128"/>
  <c r="AV23" i="126"/>
  <c r="H40" i="130"/>
  <c r="AT57" i="123"/>
  <c r="P16" i="130"/>
  <c r="AN32" i="121"/>
  <c r="I14" i="130"/>
  <c r="N55" i="130"/>
  <c r="AI48" i="121"/>
  <c r="K38" i="121"/>
  <c r="G33" i="129"/>
  <c r="U52" i="129"/>
  <c r="I54" i="121"/>
  <c r="AK44" i="121"/>
  <c r="BC16" i="125"/>
  <c r="AB37" i="127"/>
  <c r="O13" i="118"/>
  <c r="BD36" i="118"/>
  <c r="BD54" i="126"/>
  <c r="AQ41" i="123"/>
  <c r="BD10" i="123"/>
  <c r="AF22" i="129"/>
  <c r="V25" i="126"/>
  <c r="AS49" i="124"/>
  <c r="AV44" i="129"/>
  <c r="I29" i="125"/>
  <c r="P54" i="125"/>
  <c r="AI24" i="125"/>
  <c r="BB44" i="125"/>
  <c r="AZ34" i="125"/>
  <c r="AU15" i="131"/>
  <c r="BA13" i="125"/>
  <c r="AV50" i="125"/>
  <c r="AU54" i="125"/>
  <c r="AR24" i="127"/>
  <c r="AK17" i="129"/>
  <c r="P55" i="122"/>
  <c r="AL46" i="122"/>
  <c r="AN10" i="130"/>
  <c r="I48" i="125"/>
  <c r="P43" i="125"/>
  <c r="BA53" i="125"/>
  <c r="AZ42" i="130"/>
  <c r="AS54" i="124"/>
  <c r="AC33" i="124"/>
  <c r="S45" i="124"/>
  <c r="O14" i="130"/>
  <c r="T15" i="125"/>
  <c r="AW46" i="127"/>
  <c r="AF16" i="129"/>
  <c r="BD30" i="130"/>
  <c r="AD37" i="125"/>
  <c r="V51" i="130"/>
  <c r="Q36" i="125"/>
  <c r="AZ52" i="125"/>
  <c r="AY57" i="125"/>
  <c r="H46" i="130"/>
  <c r="AD52" i="125"/>
  <c r="AM38" i="124"/>
  <c r="V25" i="124"/>
  <c r="AX49" i="129"/>
  <c r="Y54" i="119"/>
  <c r="H57" i="128"/>
  <c r="AQ10" i="119"/>
  <c r="AU41" i="119"/>
  <c r="BA52" i="119"/>
  <c r="S22" i="128"/>
  <c r="X35" i="119"/>
  <c r="AX23" i="119"/>
  <c r="AR35" i="119"/>
  <c r="AK27" i="128"/>
  <c r="Y17" i="119"/>
  <c r="AG47" i="119"/>
  <c r="I36" i="132"/>
  <c r="AW58" i="124"/>
  <c r="S17" i="126"/>
  <c r="AW35" i="131"/>
  <c r="O21" i="123"/>
  <c r="X16" i="128"/>
  <c r="N22" i="130"/>
  <c r="U37" i="123"/>
  <c r="AY24" i="123"/>
  <c r="Z12" i="128"/>
  <c r="AS30" i="130"/>
  <c r="Z42" i="123"/>
  <c r="S34" i="123"/>
  <c r="H40" i="129"/>
  <c r="AS21" i="129"/>
  <c r="Q13" i="120"/>
  <c r="BE23" i="120"/>
  <c r="AH36" i="128"/>
  <c r="M57" i="118"/>
  <c r="AU40" i="117"/>
  <c r="AP11" i="117"/>
  <c r="O14" i="127"/>
  <c r="AH56" i="117"/>
  <c r="AV12" i="117"/>
  <c r="AE15" i="117"/>
  <c r="AK20" i="127"/>
  <c r="W11" i="117"/>
  <c r="O18" i="117"/>
  <c r="AZ21" i="117"/>
  <c r="T22" i="127"/>
  <c r="AZ16" i="117"/>
  <c r="AR24" i="117"/>
  <c r="J14" i="128"/>
  <c r="W51" i="130"/>
  <c r="T43" i="129"/>
  <c r="W16" i="130"/>
  <c r="AS14" i="123"/>
  <c r="Q24" i="128"/>
  <c r="Y20" i="130"/>
  <c r="N31" i="123"/>
  <c r="X52" i="123"/>
  <c r="AN29" i="128"/>
  <c r="K29" i="130"/>
  <c r="AH44" i="123"/>
  <c r="Q58" i="123"/>
  <c r="AD41" i="128"/>
  <c r="AD9" i="127"/>
  <c r="AU25" i="120"/>
  <c r="I29" i="120"/>
  <c r="H42" i="127"/>
  <c r="AO43" i="117"/>
  <c r="X50" i="117"/>
  <c r="L53" i="117"/>
  <c r="AY48" i="127"/>
  <c r="BE44" i="124"/>
  <c r="H52" i="124"/>
  <c r="AO54" i="124"/>
  <c r="T54" i="127"/>
  <c r="AL50" i="124"/>
  <c r="AQ57" i="124"/>
  <c r="AN9" i="124"/>
  <c r="I27" i="127"/>
  <c r="N56" i="124"/>
  <c r="V11" i="124"/>
  <c r="N20" i="125"/>
  <c r="AL36" i="127"/>
  <c r="Y16" i="127"/>
  <c r="AH45" i="131"/>
  <c r="Q44" i="122"/>
  <c r="W9" i="127"/>
  <c r="AZ13" i="129"/>
  <c r="P8" i="122"/>
  <c r="V33" i="122"/>
  <c r="AF26" i="127"/>
  <c r="AT11" i="129"/>
  <c r="BE48" i="122"/>
  <c r="AD39" i="122"/>
  <c r="AX10" i="126"/>
  <c r="U27" i="129"/>
  <c r="Y29" i="119"/>
  <c r="K11" i="119"/>
  <c r="AH36" i="127"/>
  <c r="AF21" i="124"/>
  <c r="J29" i="124"/>
  <c r="AY31" i="124"/>
  <c r="AO18" i="126"/>
  <c r="BB56" i="124"/>
  <c r="X12" i="124"/>
  <c r="AS23" i="124"/>
  <c r="N10" i="126"/>
  <c r="U58" i="124"/>
  <c r="AD35" i="124"/>
  <c r="AW41" i="124"/>
  <c r="S13" i="126"/>
  <c r="H30" i="124"/>
  <c r="AD44" i="124"/>
  <c r="AL29" i="125"/>
  <c r="BB45" i="122"/>
  <c r="AC21" i="125"/>
  <c r="AS48" i="126"/>
  <c r="X42" i="130"/>
  <c r="AL55" i="119"/>
  <c r="K21" i="126"/>
  <c r="G44" i="131"/>
  <c r="AT33" i="126"/>
  <c r="AB54" i="126"/>
  <c r="AF26" i="129"/>
  <c r="AH38" i="125"/>
  <c r="AS56" i="122"/>
  <c r="AT54" i="122"/>
  <c r="H11" i="125"/>
  <c r="P35" i="125"/>
  <c r="AU29" i="122"/>
  <c r="AF57" i="122"/>
  <c r="U8" i="121"/>
  <c r="AW38" i="127"/>
  <c r="V55" i="118"/>
  <c r="AS22" i="127"/>
  <c r="AF46" i="117"/>
  <c r="K24" i="117"/>
  <c r="G36" i="117"/>
  <c r="W8" i="127"/>
  <c r="AR17" i="117"/>
  <c r="T52" i="117"/>
  <c r="W12" i="117"/>
  <c r="AV13" i="127"/>
  <c r="AI42" i="117"/>
  <c r="AE16" i="117"/>
  <c r="AE29" i="129"/>
  <c r="AF47" i="131"/>
  <c r="BB40" i="129"/>
  <c r="AQ32" i="130"/>
  <c r="AO14" i="123"/>
  <c r="M25" i="128"/>
  <c r="AP20" i="130"/>
  <c r="J31" i="123"/>
  <c r="AY20" i="123"/>
  <c r="AK30" i="128"/>
  <c r="AD27" i="130"/>
  <c r="AO36" i="123"/>
  <c r="H58" i="123"/>
  <c r="AS57" i="128"/>
  <c r="AI17" i="128"/>
  <c r="AO26" i="120"/>
  <c r="AC51" i="120"/>
  <c r="AP52" i="127"/>
  <c r="AC49" i="117"/>
  <c r="O56" i="117"/>
  <c r="BB58" i="117"/>
  <c r="L48" i="127"/>
  <c r="J42" i="124"/>
  <c r="AF49" i="124"/>
  <c r="T52" i="124"/>
  <c r="AF53" i="127"/>
  <c r="J48" i="124"/>
  <c r="BE54" i="124"/>
  <c r="BC57" i="124"/>
  <c r="AQ58" i="127"/>
  <c r="AL53" i="124"/>
  <c r="AI9" i="124"/>
  <c r="AE20" i="125"/>
  <c r="AD11" i="127"/>
  <c r="M9" i="127"/>
  <c r="I44" i="126"/>
  <c r="AE27" i="122"/>
  <c r="AY16" i="127"/>
  <c r="X18" i="129"/>
  <c r="S55" i="122"/>
  <c r="AK49" i="122"/>
  <c r="AV14" i="127"/>
  <c r="U20" i="129"/>
  <c r="T13" i="122"/>
  <c r="AO38" i="122"/>
  <c r="AM8" i="126"/>
  <c r="AE29" i="130"/>
  <c r="G27" i="119"/>
  <c r="S10" i="119"/>
  <c r="AQ56" i="127"/>
  <c r="X21" i="124"/>
  <c r="BA27" i="124"/>
  <c r="AQ31" i="124"/>
  <c r="AG12" i="126"/>
  <c r="Y10" i="124"/>
  <c r="M17" i="124"/>
  <c r="BD20" i="124"/>
  <c r="J9" i="126"/>
  <c r="AT15" i="124"/>
  <c r="AK23" i="124"/>
  <c r="S26" i="124"/>
  <c r="S12" i="126"/>
  <c r="S22" i="124"/>
  <c r="BD29" i="124"/>
  <c r="AI32" i="125"/>
  <c r="AM8" i="125"/>
  <c r="M33" i="125"/>
  <c r="L12" i="128"/>
  <c r="I9" i="122"/>
  <c r="P54" i="127"/>
  <c r="BE34" i="129"/>
  <c r="G31" i="122"/>
  <c r="AX16" i="122"/>
  <c r="AX10" i="127"/>
  <c r="M57" i="129"/>
  <c r="AX38" i="122"/>
  <c r="BC36" i="122"/>
  <c r="U33" i="126"/>
  <c r="AS35" i="126"/>
  <c r="AG30" i="119"/>
  <c r="V15" i="119"/>
  <c r="AN29" i="126"/>
  <c r="S33" i="124"/>
  <c r="M41" i="124"/>
  <c r="AX43" i="124"/>
  <c r="H42" i="126"/>
  <c r="AP32" i="123"/>
  <c r="BB45" i="123"/>
  <c r="AP48" i="123"/>
  <c r="S42" i="126"/>
  <c r="AN44" i="123"/>
  <c r="AC51" i="123"/>
  <c r="AY9" i="123"/>
  <c r="AR47" i="126"/>
  <c r="M50" i="123"/>
  <c r="AQ30" i="125"/>
  <c r="L49" i="121"/>
  <c r="S12" i="118"/>
  <c r="AG51" i="124"/>
  <c r="AB58" i="125"/>
  <c r="AD13" i="124"/>
  <c r="I40" i="117"/>
  <c r="AC34" i="125"/>
  <c r="M27" i="130"/>
  <c r="L22" i="124"/>
  <c r="AJ54" i="124"/>
  <c r="AH11" i="129"/>
  <c r="V56" i="124"/>
  <c r="V55" i="122"/>
  <c r="J15" i="122"/>
  <c r="W33" i="129"/>
  <c r="G11" i="124"/>
  <c r="AY21" i="122"/>
  <c r="N32" i="122"/>
  <c r="AK15" i="130"/>
  <c r="AG49" i="118"/>
  <c r="AS21" i="123"/>
  <c r="I23" i="125"/>
  <c r="AO52" i="123"/>
  <c r="BB52" i="123"/>
  <c r="AR55" i="123"/>
  <c r="BC15" i="125"/>
  <c r="X58" i="123"/>
  <c r="AC58" i="123"/>
  <c r="BC44" i="123"/>
  <c r="J24" i="125"/>
  <c r="G57" i="123"/>
  <c r="BB27" i="127"/>
  <c r="V42" i="127"/>
  <c r="W41" i="130"/>
  <c r="X10" i="120"/>
  <c r="AY37" i="131"/>
  <c r="AZ29" i="121"/>
  <c r="J56" i="131"/>
  <c r="BD21" i="131"/>
  <c r="AE46" i="121"/>
  <c r="W49" i="121"/>
  <c r="AK32" i="131"/>
  <c r="H58" i="131"/>
  <c r="AT48" i="121"/>
  <c r="AT43" i="132"/>
  <c r="AJ43" i="125"/>
  <c r="M26" i="131"/>
  <c r="G37" i="118"/>
  <c r="S31" i="131"/>
  <c r="BB43" i="125"/>
  <c r="AV13" i="122"/>
  <c r="I44" i="122"/>
  <c r="AB35" i="128"/>
  <c r="AK56" i="125"/>
  <c r="AL33" i="122"/>
  <c r="AB41" i="122"/>
  <c r="AO24" i="127"/>
  <c r="T31" i="125"/>
  <c r="BE38" i="122"/>
  <c r="AU46" i="122"/>
  <c r="P43" i="127"/>
  <c r="AQ36" i="125"/>
  <c r="AB45" i="122"/>
  <c r="J45" i="130"/>
  <c r="AM13" i="129"/>
  <c r="AX31" i="126"/>
  <c r="G36" i="118"/>
  <c r="P49" i="131"/>
  <c r="H53" i="120"/>
  <c r="L31" i="129"/>
  <c r="AE54" i="129"/>
  <c r="W33" i="120"/>
  <c r="AL58" i="120"/>
  <c r="G34" i="129"/>
  <c r="AT35" i="129"/>
  <c r="S39" i="120"/>
  <c r="S24" i="128"/>
  <c r="AG44" i="131"/>
  <c r="AC25" i="126"/>
  <c r="AD12" i="117"/>
  <c r="AI34" i="130"/>
  <c r="AY11" i="124"/>
  <c r="BB8" i="122"/>
  <c r="BB17" i="122"/>
  <c r="AM29" i="129"/>
  <c r="BA29" i="124"/>
  <c r="N30" i="122"/>
  <c r="H39" i="122"/>
  <c r="AG22" i="129"/>
  <c r="L37" i="124"/>
  <c r="X37" i="122"/>
  <c r="AH45" i="122"/>
  <c r="BE9" i="129"/>
  <c r="J45" i="124"/>
  <c r="P44" i="122"/>
  <c r="AJ53" i="126"/>
  <c r="H43" i="126"/>
  <c r="AH31" i="129"/>
  <c r="AK44" i="125"/>
  <c r="AN25" i="128"/>
  <c r="AI56" i="120"/>
  <c r="P53" i="127"/>
  <c r="H35" i="127"/>
  <c r="AE25" i="120"/>
  <c r="AQ50" i="120"/>
  <c r="Q17" i="127"/>
  <c r="X27" i="125"/>
  <c r="AK31" i="120"/>
  <c r="AF25" i="125"/>
  <c r="AE37" i="131"/>
  <c r="K46" i="126"/>
  <c r="AL44" i="126"/>
  <c r="G55" i="127"/>
  <c r="AC58" i="124"/>
  <c r="N24" i="121"/>
  <c r="Z34" i="121"/>
  <c r="AV23" i="130"/>
  <c r="L56" i="124"/>
  <c r="W38" i="121"/>
  <c r="Q46" i="121"/>
  <c r="BB43" i="130"/>
  <c r="AC10" i="124"/>
  <c r="AT44" i="121"/>
  <c r="AI51" i="121"/>
  <c r="Q53" i="130"/>
  <c r="AX15" i="124"/>
  <c r="O50" i="121"/>
  <c r="Q17" i="126"/>
  <c r="AM32" i="132"/>
  <c r="BD40" i="128"/>
  <c r="L33" i="123"/>
  <c r="AE46" i="119"/>
  <c r="I53" i="126"/>
  <c r="AZ51" i="120"/>
  <c r="AQ46" i="117"/>
  <c r="AK39" i="127"/>
  <c r="N20" i="117"/>
  <c r="AY26" i="117"/>
  <c r="L10" i="131"/>
  <c r="AW43" i="122"/>
  <c r="I40" i="119"/>
  <c r="X40" i="119"/>
  <c r="G31" i="129"/>
  <c r="U32" i="122"/>
  <c r="AG26" i="119"/>
  <c r="AE36" i="119"/>
  <c r="AH15" i="123"/>
  <c r="BA14" i="131"/>
  <c r="V57" i="127"/>
  <c r="AU26" i="124"/>
  <c r="AF34" i="124"/>
  <c r="V37" i="124"/>
  <c r="AE49" i="127"/>
  <c r="N33" i="124"/>
  <c r="AN13" i="124"/>
  <c r="AI25" i="124"/>
  <c r="U48" i="127"/>
  <c r="AJ38" i="124"/>
  <c r="AC37" i="124"/>
  <c r="K48" i="126"/>
  <c r="O18" i="126"/>
  <c r="AM38" i="125"/>
  <c r="AV11" i="130"/>
  <c r="BE53" i="122"/>
  <c r="T30" i="127"/>
  <c r="P34" i="129"/>
  <c r="W29" i="122"/>
  <c r="AT15" i="122"/>
  <c r="BC58" i="127"/>
  <c r="L41" i="129"/>
  <c r="AN37" i="122"/>
  <c r="AK24" i="122"/>
  <c r="AC33" i="126"/>
  <c r="O9" i="126"/>
  <c r="I27" i="119"/>
  <c r="AH12" i="119"/>
  <c r="BE14" i="126"/>
  <c r="AC23" i="124"/>
  <c r="O31" i="124"/>
  <c r="AZ33" i="124"/>
  <c r="AI34" i="126"/>
  <c r="I40" i="123"/>
  <c r="X40" i="123"/>
  <c r="I9" i="123"/>
  <c r="P33" i="126"/>
  <c r="AP40" i="123"/>
  <c r="AT11" i="123"/>
  <c r="AG14" i="123"/>
  <c r="AQ38" i="126"/>
  <c r="AC10" i="123"/>
  <c r="AJ29" i="126"/>
  <c r="Y17" i="125"/>
  <c r="T10" i="129"/>
  <c r="G37" i="124"/>
  <c r="U27" i="127"/>
  <c r="BC17" i="121"/>
  <c r="AG50" i="127"/>
  <c r="K56" i="129"/>
  <c r="J41" i="121"/>
  <c r="J32" i="121"/>
  <c r="S52" i="127"/>
  <c r="AM39" i="128"/>
  <c r="AD51" i="121"/>
  <c r="AJ44" i="121"/>
  <c r="AU18" i="126"/>
  <c r="W39" i="130"/>
  <c r="J27" i="118"/>
  <c r="AS33" i="118"/>
  <c r="AT43" i="126"/>
  <c r="N13" i="123"/>
  <c r="BA26" i="123"/>
  <c r="AU30" i="123"/>
  <c r="AD54" i="126"/>
  <c r="BC51" i="123"/>
  <c r="I22" i="123"/>
  <c r="AN27" i="123"/>
  <c r="AJ10" i="126"/>
  <c r="W18" i="123"/>
  <c r="G34" i="123"/>
  <c r="AC39" i="123"/>
  <c r="AD23" i="126"/>
  <c r="U31" i="123"/>
  <c r="AM49" i="129"/>
  <c r="K9" i="129"/>
  <c r="AS40" i="125"/>
  <c r="AL42" i="122"/>
  <c r="N11" i="129"/>
  <c r="AK21" i="121"/>
  <c r="I15" i="125"/>
  <c r="Y24" i="125"/>
  <c r="AE37" i="121"/>
  <c r="AF36" i="121"/>
  <c r="AB47" i="125"/>
  <c r="P36" i="125"/>
  <c r="N52" i="121"/>
  <c r="AX36" i="121"/>
  <c r="AS17" i="125"/>
  <c r="AC27" i="126"/>
  <c r="AO51" i="118"/>
  <c r="AW41" i="118"/>
  <c r="M11" i="125"/>
  <c r="G54" i="123"/>
  <c r="H54" i="123"/>
  <c r="W38" i="129"/>
  <c r="AU20" i="125"/>
  <c r="AM10" i="122"/>
  <c r="AM25" i="122"/>
  <c r="L43" i="127"/>
  <c r="J26" i="125"/>
  <c r="AM43" i="122"/>
  <c r="J40" i="122"/>
  <c r="AH11" i="126"/>
  <c r="AP31" i="125"/>
  <c r="AB40" i="122"/>
  <c r="K58" i="125"/>
  <c r="AE21" i="128"/>
  <c r="AN15" i="125"/>
  <c r="K14" i="120"/>
  <c r="AE15" i="122"/>
  <c r="Q49" i="117"/>
  <c r="AF14" i="123"/>
  <c r="AG39" i="121"/>
  <c r="V12" i="128"/>
  <c r="AQ20" i="121"/>
  <c r="AH49" i="121"/>
  <c r="BB49" i="131"/>
  <c r="BD46" i="123"/>
  <c r="AS13" i="121"/>
  <c r="L21" i="121"/>
  <c r="Q48" i="131"/>
  <c r="Z12" i="123"/>
  <c r="AG13" i="121"/>
  <c r="AC21" i="121"/>
  <c r="G31" i="124"/>
  <c r="Q25" i="118"/>
  <c r="Z34" i="120"/>
  <c r="AO35" i="120"/>
  <c r="BA44" i="120"/>
  <c r="AZ31" i="118"/>
  <c r="AQ41" i="120"/>
  <c r="N43" i="120"/>
  <c r="BB30" i="120"/>
  <c r="BA34" i="118"/>
  <c r="BC52" i="120"/>
  <c r="J58" i="120"/>
  <c r="O46" i="120"/>
  <c r="AB41" i="118"/>
  <c r="W55" i="125"/>
  <c r="AD20" i="125"/>
  <c r="H38" i="119"/>
  <c r="L38" i="119"/>
  <c r="K30" i="120"/>
  <c r="K55" i="124"/>
  <c r="AT29" i="123"/>
  <c r="Z35" i="118"/>
  <c r="AU31" i="118"/>
  <c r="BC25" i="123"/>
  <c r="AW33" i="123"/>
  <c r="AK18" i="127"/>
  <c r="AC20" i="124"/>
  <c r="W27" i="124"/>
  <c r="I31" i="124"/>
  <c r="Z50" i="127"/>
  <c r="I26" i="124"/>
  <c r="AX33" i="124"/>
  <c r="AN36" i="124"/>
  <c r="U24" i="118"/>
  <c r="G47" i="120"/>
  <c r="W48" i="120"/>
  <c r="AE56" i="120"/>
  <c r="AN31" i="118"/>
  <c r="AS39" i="120"/>
  <c r="N42" i="120"/>
  <c r="AH51" i="120"/>
  <c r="X34" i="118"/>
  <c r="V47" i="120"/>
  <c r="AL54" i="120"/>
  <c r="U45" i="120"/>
  <c r="AY39" i="118"/>
  <c r="T43" i="131"/>
  <c r="AN36" i="126"/>
  <c r="BC14" i="119"/>
  <c r="V27" i="119"/>
  <c r="AB44" i="118"/>
  <c r="H32" i="123"/>
  <c r="BC22" i="123"/>
  <c r="W26" i="117"/>
  <c r="AK41" i="117"/>
  <c r="BE52" i="123"/>
  <c r="S53" i="123"/>
  <c r="Q9" i="126"/>
  <c r="AK43" i="124"/>
  <c r="AG50" i="124"/>
  <c r="U53" i="124"/>
  <c r="I18" i="126"/>
  <c r="AG11" i="124"/>
  <c r="Y18" i="124"/>
  <c r="K22" i="124"/>
  <c r="AN37" i="117"/>
  <c r="G43" i="119"/>
  <c r="AT44" i="119"/>
  <c r="AN55" i="119"/>
  <c r="AX36" i="117"/>
  <c r="AK49" i="119"/>
  <c r="AE51" i="119"/>
  <c r="P10" i="119"/>
  <c r="BB18" i="117"/>
  <c r="AZ55" i="119"/>
  <c r="AN57" i="119"/>
  <c r="AF14" i="119"/>
  <c r="Y25" i="117"/>
  <c r="V10" i="128"/>
  <c r="AU21" i="126"/>
  <c r="Q48" i="125"/>
  <c r="J29" i="125"/>
  <c r="AE12" i="124"/>
  <c r="AC49" i="124"/>
  <c r="AY8" i="125"/>
  <c r="Z33" i="125"/>
  <c r="O9" i="121"/>
  <c r="BC53" i="121"/>
  <c r="AO49" i="129"/>
  <c r="AH14" i="122"/>
  <c r="AY50" i="122"/>
  <c r="AW56" i="125"/>
  <c r="AO48" i="129"/>
  <c r="AP56" i="128"/>
  <c r="AC54" i="128"/>
  <c r="M8" i="129"/>
  <c r="AW33" i="127"/>
  <c r="I55" i="129"/>
  <c r="V37" i="128"/>
  <c r="P27" i="128"/>
  <c r="AW26" i="126"/>
  <c r="AL58" i="128"/>
  <c r="AE38" i="128"/>
  <c r="H34" i="128"/>
  <c r="AE43" i="126"/>
  <c r="M12" i="125"/>
  <c r="AF10" i="125"/>
  <c r="BD45" i="125"/>
  <c r="H22" i="120"/>
  <c r="AM31" i="118"/>
  <c r="AS48" i="124"/>
  <c r="AF55" i="124"/>
  <c r="V57" i="120"/>
  <c r="AT22" i="118"/>
  <c r="AE58" i="124"/>
  <c r="Z20" i="124"/>
  <c r="AX33" i="120"/>
  <c r="H17" i="127"/>
  <c r="AB10" i="130"/>
  <c r="AO15" i="130"/>
  <c r="AW49" i="127"/>
  <c r="J24" i="128"/>
  <c r="AL22" i="129"/>
  <c r="AH12" i="131"/>
  <c r="AO46" i="128"/>
  <c r="AC57" i="128"/>
  <c r="S46" i="129"/>
  <c r="M22" i="131"/>
  <c r="N36" i="128"/>
  <c r="AM39" i="127"/>
  <c r="M48" i="130"/>
  <c r="AE29" i="125"/>
  <c r="H52" i="125"/>
  <c r="AD32" i="125"/>
  <c r="P39" i="118"/>
  <c r="X10" i="118"/>
  <c r="AJ22" i="123"/>
  <c r="Q24" i="123"/>
  <c r="O26" i="118"/>
  <c r="O35" i="132"/>
  <c r="AV50" i="126"/>
  <c r="K10" i="126"/>
  <c r="AO38" i="128"/>
  <c r="BA58" i="132"/>
  <c r="AN56" i="126"/>
  <c r="I13" i="126"/>
  <c r="X45" i="128"/>
  <c r="AU43" i="131"/>
  <c r="T29" i="126"/>
  <c r="Y21" i="126"/>
  <c r="AQ49" i="128"/>
  <c r="BE30" i="131"/>
  <c r="AX48" i="130"/>
  <c r="V22" i="131"/>
  <c r="V18" i="131"/>
  <c r="AN33" i="126"/>
  <c r="AH54" i="130"/>
  <c r="V33" i="131"/>
  <c r="BE40" i="130"/>
  <c r="K58" i="130"/>
  <c r="AM56" i="129"/>
  <c r="Q52" i="130"/>
  <c r="Q31" i="130"/>
  <c r="AB34" i="129"/>
  <c r="H12" i="129"/>
  <c r="BA29" i="130"/>
  <c r="AC22" i="130"/>
  <c r="G55" i="130"/>
  <c r="P55" i="121"/>
  <c r="AG52" i="131"/>
  <c r="AF21" i="126"/>
  <c r="AS55" i="124"/>
  <c r="V44" i="129"/>
  <c r="BA43" i="131"/>
  <c r="AN20" i="124"/>
  <c r="AK56" i="124"/>
  <c r="H50" i="129"/>
  <c r="X51" i="131"/>
  <c r="AF41" i="124"/>
  <c r="I25" i="124"/>
  <c r="AV16" i="125"/>
  <c r="AO9" i="125"/>
  <c r="H12" i="121"/>
  <c r="P48" i="121"/>
  <c r="G48" i="128"/>
  <c r="AJ43" i="120"/>
  <c r="M36" i="120"/>
  <c r="AQ37" i="120"/>
  <c r="Y54" i="128"/>
  <c r="K30" i="119"/>
  <c r="G36" i="119"/>
  <c r="W48" i="119"/>
  <c r="AI15" i="128"/>
  <c r="AZ27" i="119"/>
  <c r="K10" i="119"/>
  <c r="Y31" i="119"/>
  <c r="BA24" i="128"/>
  <c r="AR53" i="119"/>
  <c r="AI48" i="119"/>
  <c r="X49" i="129"/>
  <c r="Z40" i="130"/>
  <c r="N41" i="126"/>
  <c r="AJ46" i="125"/>
  <c r="Z29" i="122"/>
  <c r="AC33" i="127"/>
  <c r="T30" i="129"/>
  <c r="T45" i="122"/>
  <c r="AP16" i="122"/>
  <c r="K24" i="127"/>
  <c r="I13" i="129"/>
  <c r="AN33" i="122"/>
  <c r="AQ18" i="122"/>
  <c r="BE18" i="126"/>
  <c r="N48" i="127"/>
  <c r="AJ32" i="119"/>
  <c r="Z22" i="119"/>
  <c r="AN26" i="126"/>
  <c r="AC51" i="124"/>
  <c r="S58" i="124"/>
  <c r="AI55" i="127"/>
  <c r="AI57" i="124"/>
  <c r="O47" i="131"/>
  <c r="J23" i="131"/>
  <c r="BB44" i="126"/>
  <c r="AS48" i="125"/>
  <c r="Z16" i="126"/>
  <c r="AO11" i="126"/>
  <c r="AE50" i="126"/>
  <c r="AY51" i="131"/>
  <c r="T27" i="126"/>
  <c r="T23" i="126"/>
  <c r="S56" i="126"/>
  <c r="Z31" i="128"/>
  <c r="AU15" i="130"/>
  <c r="AN50" i="123"/>
  <c r="Y31" i="123"/>
  <c r="L27" i="125"/>
  <c r="N9" i="128"/>
  <c r="O21" i="128"/>
  <c r="Q33" i="128"/>
  <c r="T44" i="125"/>
  <c r="Q55" i="128"/>
  <c r="BC38" i="128"/>
  <c r="BE44" i="128"/>
  <c r="Z55" i="125"/>
  <c r="BD51" i="125"/>
  <c r="W50" i="120"/>
  <c r="Q58" i="126"/>
  <c r="AJ51" i="130"/>
  <c r="AY10" i="125"/>
  <c r="T37" i="128"/>
  <c r="BE53" i="126"/>
  <c r="AP15" i="125"/>
  <c r="AH17" i="125"/>
  <c r="AC31" i="127"/>
  <c r="AO48" i="126"/>
  <c r="AE15" i="125"/>
  <c r="K8" i="125"/>
  <c r="AW54" i="128"/>
  <c r="AL25" i="130"/>
  <c r="L40" i="122"/>
  <c r="Y39" i="122"/>
  <c r="AH23" i="131"/>
  <c r="Q11" i="126"/>
  <c r="M12" i="126"/>
  <c r="U25" i="126"/>
  <c r="BC12" i="128"/>
  <c r="AD34" i="131"/>
  <c r="AT22" i="126"/>
  <c r="AJ31" i="131"/>
  <c r="AV48" i="128"/>
  <c r="AS48" i="130"/>
  <c r="U31" i="126"/>
  <c r="AB34" i="131"/>
  <c r="AR35" i="128"/>
  <c r="AH10" i="129"/>
  <c r="AT54" i="126"/>
  <c r="AU13" i="131"/>
  <c r="Y56" i="128"/>
  <c r="V57" i="128"/>
  <c r="H42" i="130"/>
  <c r="V24" i="127"/>
  <c r="AB26" i="127"/>
  <c r="J22" i="127"/>
  <c r="AL32" i="130"/>
  <c r="BD21" i="127"/>
  <c r="T27" i="127"/>
  <c r="AG11" i="125"/>
  <c r="BB21" i="129"/>
  <c r="AN27" i="127"/>
  <c r="AX15" i="127"/>
  <c r="AR56" i="125"/>
  <c r="I43" i="129"/>
  <c r="W43" i="127"/>
  <c r="AG39" i="131"/>
  <c r="AZ16" i="131"/>
  <c r="Q53" i="125"/>
  <c r="AT48" i="125"/>
  <c r="AW46" i="128"/>
  <c r="N21" i="122"/>
  <c r="Z55" i="127"/>
  <c r="K52" i="129"/>
  <c r="AD42" i="122"/>
  <c r="H37" i="122"/>
  <c r="U15" i="127"/>
  <c r="BB57" i="129"/>
  <c r="AL53" i="122"/>
  <c r="AJ49" i="122"/>
  <c r="P41" i="126"/>
  <c r="AK44" i="126"/>
  <c r="BB32" i="119"/>
  <c r="AY17" i="119"/>
  <c r="W29" i="126"/>
  <c r="AN39" i="123"/>
  <c r="AX10" i="123"/>
  <c r="AG13" i="123"/>
  <c r="O36" i="126"/>
  <c r="AF22" i="123"/>
  <c r="BE31" i="123"/>
  <c r="AU34" i="123"/>
  <c r="AV42" i="126"/>
  <c r="AQ30" i="123"/>
  <c r="AB37" i="123"/>
  <c r="N41" i="123"/>
  <c r="O48" i="126"/>
  <c r="J36" i="123"/>
  <c r="AV39" i="128"/>
  <c r="H46" i="128"/>
  <c r="N53" i="126"/>
  <c r="M13" i="117"/>
  <c r="BA11" i="129"/>
  <c r="T55" i="120"/>
  <c r="O14" i="128"/>
  <c r="AH58" i="128"/>
  <c r="W52" i="120"/>
  <c r="W37" i="120"/>
  <c r="AD23" i="128"/>
  <c r="U56" i="128"/>
  <c r="AG56" i="120"/>
  <c r="O49" i="129"/>
  <c r="AH56" i="131"/>
  <c r="J17" i="130"/>
  <c r="AT32" i="131"/>
  <c r="AY12" i="129"/>
  <c r="AX22" i="124"/>
  <c r="V30" i="122"/>
  <c r="L39" i="122"/>
  <c r="AB33" i="126"/>
  <c r="X36" i="120"/>
  <c r="O8" i="126"/>
  <c r="AI20" i="125"/>
  <c r="M13" i="124"/>
  <c r="P45" i="129"/>
  <c r="AR29" i="131"/>
  <c r="I30" i="124"/>
  <c r="BE18" i="124"/>
  <c r="BA37" i="129"/>
  <c r="BB51" i="131"/>
  <c r="P50" i="124"/>
  <c r="BB34" i="124"/>
  <c r="AK48" i="125"/>
  <c r="AQ31" i="125"/>
  <c r="L12" i="121"/>
  <c r="T48" i="121"/>
  <c r="AI48" i="128"/>
  <c r="AR47" i="120"/>
  <c r="AT29" i="120"/>
  <c r="AR41" i="120"/>
  <c r="BA57" i="128"/>
  <c r="M12" i="119"/>
  <c r="AJ47" i="119"/>
  <c r="J58" i="119"/>
  <c r="Q23" i="128"/>
  <c r="S24" i="132"/>
  <c r="AW44" i="124"/>
  <c r="AJ22" i="126"/>
  <c r="P35" i="131"/>
  <c r="V9" i="123"/>
  <c r="AX15" i="128"/>
  <c r="L21" i="130"/>
  <c r="AD34" i="123"/>
  <c r="AT26" i="123"/>
  <c r="AC15" i="128"/>
  <c r="T30" i="130"/>
  <c r="AR43" i="123"/>
  <c r="AS31" i="123"/>
  <c r="W36" i="130"/>
  <c r="AP58" i="130"/>
  <c r="Q10" i="120"/>
  <c r="BC22" i="120"/>
  <c r="AW51" i="128"/>
  <c r="AK52" i="118"/>
  <c r="AK36" i="118"/>
  <c r="N29" i="127"/>
  <c r="Y41" i="128"/>
  <c r="AU34" i="125"/>
  <c r="AM30" i="130"/>
  <c r="AO8" i="126"/>
  <c r="BE20" i="128"/>
  <c r="Z14" i="124"/>
  <c r="H36" i="130"/>
  <c r="H46" i="126"/>
  <c r="O12" i="128"/>
  <c r="BB58" i="131"/>
  <c r="J10" i="130"/>
  <c r="J37" i="126"/>
  <c r="AU20" i="129"/>
  <c r="K32" i="129"/>
  <c r="L49" i="127"/>
  <c r="J39" i="127"/>
  <c r="BC10" i="127"/>
  <c r="U33" i="128"/>
  <c r="AY54" i="127"/>
  <c r="BC45" i="127"/>
  <c r="AX41" i="131"/>
  <c r="AE13" i="127"/>
  <c r="L14" i="127"/>
  <c r="AZ52" i="127"/>
  <c r="AS21" i="130"/>
  <c r="AG46" i="127"/>
  <c r="AV36" i="127"/>
  <c r="M54" i="131"/>
  <c r="G21" i="131"/>
  <c r="BD49" i="126"/>
  <c r="AO17" i="123"/>
  <c r="I32" i="129"/>
  <c r="AO33" i="121"/>
  <c r="AS50" i="131"/>
  <c r="P10" i="130"/>
  <c r="AJ52" i="121"/>
  <c r="G38" i="121"/>
  <c r="T55" i="130"/>
  <c r="M40" i="129"/>
  <c r="BD53" i="121"/>
  <c r="AG44" i="121"/>
  <c r="AP18" i="125"/>
  <c r="H40" i="127"/>
  <c r="AR12" i="118"/>
  <c r="AQ43" i="118"/>
  <c r="BE48" i="126"/>
  <c r="AS39" i="123"/>
  <c r="O10" i="123"/>
  <c r="AN15" i="123"/>
  <c r="AU18" i="125"/>
  <c r="Z20" i="123"/>
  <c r="H27" i="123"/>
  <c r="AO30" i="123"/>
  <c r="M18" i="125"/>
  <c r="AO25" i="123"/>
  <c r="AD33" i="123"/>
  <c r="P36" i="123"/>
  <c r="AL11" i="125"/>
  <c r="L32" i="123"/>
  <c r="G30" i="131"/>
  <c r="Q30" i="131"/>
  <c r="V17" i="127"/>
  <c r="Z31" i="131"/>
  <c r="AD24" i="128"/>
  <c r="AV15" i="119"/>
  <c r="AZ39" i="127"/>
  <c r="W48" i="125"/>
  <c r="AZ32" i="119"/>
  <c r="G47" i="119"/>
  <c r="N20" i="127"/>
  <c r="X26" i="131"/>
  <c r="AZ14" i="119"/>
  <c r="M55" i="129"/>
  <c r="AO54" i="131"/>
  <c r="AH15" i="125"/>
  <c r="AV11" i="125"/>
  <c r="AU16" i="130"/>
  <c r="AS50" i="124"/>
  <c r="BD32" i="121"/>
  <c r="AP39" i="121"/>
  <c r="W29" i="132"/>
  <c r="AO26" i="124"/>
  <c r="K25" i="126"/>
  <c r="AN27" i="131"/>
  <c r="U27" i="123"/>
  <c r="AM43" i="128"/>
  <c r="AL12" i="130"/>
  <c r="G52" i="123"/>
  <c r="AY21" i="123"/>
  <c r="N10" i="128"/>
  <c r="V29" i="130"/>
  <c r="AW39" i="123"/>
  <c r="Q33" i="123"/>
  <c r="I32" i="130"/>
  <c r="AC23" i="130"/>
  <c r="AI10" i="120"/>
  <c r="N22" i="120"/>
  <c r="AK55" i="128"/>
  <c r="BB15" i="118"/>
  <c r="L43" i="118"/>
  <c r="U10" i="118"/>
  <c r="AU9" i="127"/>
  <c r="O58" i="117"/>
  <c r="J27" i="117"/>
  <c r="L39" i="117"/>
  <c r="AU15" i="127"/>
  <c r="L46" i="127"/>
  <c r="AI44" i="130"/>
  <c r="AD32" i="130"/>
  <c r="AP11" i="130"/>
  <c r="BE13" i="123"/>
  <c r="AG20" i="128"/>
  <c r="I21" i="130"/>
  <c r="X30" i="123"/>
  <c r="AU20" i="123"/>
  <c r="AI31" i="128"/>
  <c r="AU27" i="130"/>
  <c r="AJ36" i="123"/>
  <c r="N26" i="123"/>
  <c r="AQ10" i="122"/>
  <c r="K34" i="123"/>
  <c r="M35" i="126"/>
  <c r="AT38" i="124"/>
  <c r="AI46" i="124"/>
  <c r="S49" i="124"/>
  <c r="AU32" i="126"/>
  <c r="Q45" i="124"/>
  <c r="K52" i="124"/>
  <c r="AV54" i="124"/>
  <c r="V38" i="126"/>
  <c r="AP50" i="124"/>
  <c r="BB49" i="126"/>
  <c r="BA14" i="126"/>
  <c r="AI38" i="130"/>
  <c r="Q17" i="124"/>
  <c r="AY42" i="127"/>
  <c r="AT40" i="121"/>
  <c r="AC43" i="127"/>
  <c r="BD48" i="129"/>
  <c r="AL21" i="121"/>
  <c r="X26" i="121"/>
  <c r="BB47" i="127"/>
  <c r="AB52" i="129"/>
  <c r="AU47" i="121"/>
  <c r="X39" i="121"/>
  <c r="AR35" i="126"/>
  <c r="AO38" i="131"/>
  <c r="AM32" i="118"/>
  <c r="Z16" i="118"/>
  <c r="BA36" i="126"/>
  <c r="AI21" i="123"/>
  <c r="AC29" i="123"/>
  <c r="K32" i="123"/>
  <c r="N23" i="126"/>
  <c r="AS49" i="123"/>
  <c r="AC20" i="123"/>
  <c r="BD25" i="123"/>
  <c r="I32" i="126"/>
  <c r="AV16" i="123"/>
  <c r="W32" i="123"/>
  <c r="AX37" i="123"/>
  <c r="AE37" i="126"/>
  <c r="AP29" i="123"/>
  <c r="I42" i="130"/>
  <c r="O13" i="130"/>
  <c r="AP52" i="126"/>
  <c r="AG14" i="122"/>
  <c r="AV48" i="126"/>
  <c r="V26" i="121"/>
  <c r="M10" i="126"/>
  <c r="AT35" i="126"/>
  <c r="L43" i="121"/>
  <c r="BD26" i="121"/>
  <c r="AE11" i="125"/>
  <c r="BA24" i="125"/>
  <c r="AN57" i="121"/>
  <c r="BA42" i="121"/>
  <c r="AO17" i="125"/>
  <c r="P25" i="126"/>
  <c r="G50" i="118"/>
  <c r="X42" i="118"/>
  <c r="T9" i="125"/>
  <c r="H15" i="123"/>
  <c r="AL22" i="123"/>
  <c r="W58" i="130"/>
  <c r="Z20" i="125"/>
  <c r="AS45" i="123"/>
  <c r="AG52" i="123"/>
  <c r="AG55" i="128"/>
  <c r="AO25" i="125"/>
  <c r="AL53" i="123"/>
  <c r="BA57" i="123"/>
  <c r="W40" i="131"/>
  <c r="U31" i="125"/>
  <c r="AQ52" i="123"/>
  <c r="P54" i="126"/>
  <c r="X34" i="126"/>
  <c r="Z16" i="129"/>
  <c r="BD31" i="120"/>
  <c r="AH10" i="125"/>
  <c r="AM47" i="120"/>
  <c r="AB32" i="130"/>
  <c r="P25" i="130"/>
  <c r="L40" i="120"/>
  <c r="G9" i="120"/>
  <c r="U23" i="130"/>
  <c r="AK35" i="130"/>
  <c r="S22" i="120"/>
  <c r="AW27" i="130"/>
  <c r="W37" i="125"/>
  <c r="G26" i="129"/>
  <c r="T57" i="118"/>
  <c r="AK46" i="127"/>
  <c r="BA38" i="125"/>
  <c r="AG44" i="122"/>
  <c r="S51" i="122"/>
  <c r="AU25" i="127"/>
  <c r="AY39" i="125"/>
  <c r="J35" i="122"/>
  <c r="BA42" i="122"/>
  <c r="AB38" i="127"/>
  <c r="AE31" i="125"/>
  <c r="AJ41" i="122"/>
  <c r="P48" i="122"/>
  <c r="AM48" i="126"/>
  <c r="G46" i="125"/>
  <c r="BC46" i="122"/>
  <c r="S46" i="130"/>
  <c r="AB39" i="125"/>
  <c r="AT32" i="122"/>
  <c r="AM12" i="118"/>
  <c r="G30" i="121"/>
  <c r="I44" i="123"/>
  <c r="L16" i="130"/>
  <c r="AO10" i="119"/>
  <c r="BD35" i="128"/>
  <c r="AO41" i="119"/>
  <c r="AJ23" i="119"/>
  <c r="X31" i="131"/>
  <c r="BD24" i="123"/>
  <c r="AX13" i="120"/>
  <c r="O11" i="120"/>
  <c r="BC24" i="129"/>
  <c r="X34" i="123"/>
  <c r="S10" i="120"/>
  <c r="AE17" i="120"/>
  <c r="O9" i="120"/>
  <c r="H29" i="120"/>
  <c r="AS25" i="117"/>
  <c r="W37" i="126"/>
  <c r="Q29" i="123"/>
  <c r="BB35" i="123"/>
  <c r="AR38" i="123"/>
  <c r="AX43" i="126"/>
  <c r="AN34" i="123"/>
  <c r="AE42" i="123"/>
  <c r="K45" i="123"/>
  <c r="S49" i="126"/>
  <c r="G41" i="123"/>
  <c r="BB13" i="130"/>
  <c r="AF21" i="130"/>
  <c r="G21" i="126"/>
  <c r="Y15" i="122"/>
  <c r="G16" i="126"/>
  <c r="AZ32" i="121"/>
  <c r="AK35" i="127"/>
  <c r="Z48" i="127"/>
  <c r="AV48" i="121"/>
  <c r="AO32" i="121"/>
  <c r="BC51" i="126"/>
  <c r="AK35" i="126"/>
  <c r="AB48" i="121"/>
  <c r="W33" i="121"/>
  <c r="AK18" i="125"/>
  <c r="AS21" i="126"/>
  <c r="BB49" i="118"/>
  <c r="AG39" i="118"/>
  <c r="I26" i="125"/>
  <c r="BE14" i="123"/>
  <c r="AH22" i="123"/>
  <c r="J43" i="132"/>
  <c r="V20" i="125"/>
  <c r="G53" i="123"/>
  <c r="AJ43" i="123"/>
  <c r="L52" i="132"/>
  <c r="AJ25" i="125"/>
  <c r="AG58" i="123"/>
  <c r="BA48" i="123"/>
  <c r="BA40" i="131"/>
  <c r="Q31" i="125"/>
  <c r="AO47" i="123"/>
  <c r="O14" i="126"/>
  <c r="Y25" i="126"/>
  <c r="AF11" i="129"/>
  <c r="T57" i="120"/>
  <c r="AO21" i="126"/>
  <c r="Q43" i="121"/>
  <c r="AG51" i="131"/>
  <c r="BB43" i="131"/>
  <c r="BD58" i="121"/>
  <c r="AF40" i="120"/>
  <c r="S16" i="130"/>
  <c r="H10" i="130"/>
  <c r="AX8" i="120"/>
  <c r="AN11" i="132"/>
  <c r="AZ54" i="125"/>
  <c r="AZ26" i="130"/>
  <c r="I56" i="118"/>
  <c r="BE18" i="128"/>
  <c r="T55" i="125"/>
  <c r="AT29" i="122"/>
  <c r="AI47" i="122"/>
  <c r="AS54" i="131"/>
  <c r="AT41" i="125"/>
  <c r="X34" i="122"/>
  <c r="L42" i="122"/>
  <c r="AC11" i="130"/>
  <c r="AN52" i="125"/>
  <c r="AY39" i="122"/>
  <c r="AF47" i="122"/>
  <c r="V52" i="130"/>
  <c r="W58" i="125"/>
  <c r="N46" i="122"/>
  <c r="AY10" i="129"/>
  <c r="N24" i="129"/>
  <c r="AN48" i="128"/>
  <c r="AO27" i="118"/>
  <c r="AP8" i="130"/>
  <c r="AB53" i="120"/>
  <c r="AG49" i="129"/>
  <c r="S51" i="129"/>
  <c r="AV33" i="120"/>
  <c r="AT23" i="120"/>
  <c r="L17" i="128"/>
  <c r="AU17" i="128"/>
  <c r="AR39" i="120"/>
  <c r="BB50" i="128"/>
  <c r="S45" i="131"/>
  <c r="AS22" i="126"/>
  <c r="AY12" i="117"/>
  <c r="AF43" i="129"/>
  <c r="AH15" i="124"/>
  <c r="AC9" i="122"/>
  <c r="AK18" i="122"/>
  <c r="AI31" i="129"/>
  <c r="Y29" i="124"/>
  <c r="AB37" i="122"/>
  <c r="AL45" i="122"/>
  <c r="BD31" i="129"/>
  <c r="AV34" i="124"/>
  <c r="T44" i="122"/>
  <c r="V51" i="122"/>
  <c r="Y32" i="129"/>
  <c r="O41" i="124"/>
  <c r="AW49" i="122"/>
  <c r="AV54" i="125"/>
  <c r="BC41" i="121"/>
  <c r="N43" i="118"/>
  <c r="N58" i="125"/>
  <c r="AO50" i="120"/>
  <c r="AE35" i="125"/>
  <c r="AS26" i="124"/>
  <c r="AV53" i="118"/>
  <c r="AM23" i="127"/>
  <c r="AI26" i="117"/>
  <c r="Q51" i="117"/>
  <c r="S51" i="131"/>
  <c r="AM12" i="122"/>
  <c r="BE31" i="120"/>
  <c r="AY38" i="120"/>
  <c r="AB50" i="131"/>
  <c r="K43" i="122"/>
  <c r="N36" i="120"/>
  <c r="L44" i="120"/>
  <c r="AB56" i="126"/>
  <c r="Y46" i="125"/>
  <c r="AX50" i="124"/>
  <c r="AM31" i="123"/>
  <c r="U27" i="121"/>
  <c r="K35" i="121"/>
  <c r="Y21" i="125"/>
  <c r="AM12" i="123"/>
  <c r="AR33" i="121"/>
  <c r="AG41" i="121"/>
  <c r="AK25" i="125"/>
  <c r="AV40" i="123"/>
  <c r="O39" i="121"/>
  <c r="S27" i="126"/>
  <c r="AO58" i="126"/>
  <c r="W52" i="123"/>
  <c r="AE30" i="127"/>
  <c r="L46" i="126"/>
  <c r="AH43" i="119"/>
  <c r="AQ12" i="126"/>
  <c r="L8" i="126"/>
  <c r="AK17" i="119"/>
  <c r="AR54" i="119"/>
  <c r="BC33" i="126"/>
  <c r="AC31" i="126"/>
  <c r="AF20" i="119"/>
  <c r="AQ26" i="126"/>
  <c r="I15" i="130"/>
  <c r="AP44" i="131"/>
  <c r="AS29" i="131"/>
  <c r="AQ42" i="130"/>
  <c r="AX9" i="123"/>
  <c r="Q30" i="121"/>
  <c r="G37" i="121"/>
  <c r="V52" i="125"/>
  <c r="AH16" i="123"/>
  <c r="W9" i="120"/>
  <c r="Y13" i="120"/>
  <c r="L27" i="130"/>
  <c r="AO33" i="123"/>
  <c r="I12" i="120"/>
  <c r="AX18" i="120"/>
  <c r="AR8" i="129"/>
  <c r="AL45" i="123"/>
  <c r="AC17" i="120"/>
  <c r="AF14" i="131"/>
  <c r="AQ34" i="131"/>
  <c r="AJ44" i="119"/>
  <c r="BC9" i="125"/>
  <c r="BD31" i="125"/>
  <c r="AD32" i="118"/>
  <c r="AP47" i="126"/>
  <c r="G53" i="129"/>
  <c r="V41" i="118"/>
  <c r="AC37" i="118"/>
  <c r="Q13" i="125"/>
  <c r="AF50" i="128"/>
  <c r="V47" i="118"/>
  <c r="AU21" i="130"/>
  <c r="AX56" i="130"/>
  <c r="AV51" i="130"/>
  <c r="AT30" i="130"/>
  <c r="G42" i="126"/>
  <c r="P47" i="123"/>
  <c r="X53" i="120"/>
  <c r="AK24" i="120"/>
  <c r="L49" i="125"/>
  <c r="AU54" i="123"/>
  <c r="W44" i="120"/>
  <c r="Q51" i="120"/>
  <c r="AD9" i="124"/>
  <c r="S56" i="123"/>
  <c r="AZ49" i="120"/>
  <c r="AP56" i="120"/>
  <c r="AL27" i="124"/>
  <c r="AM49" i="122"/>
  <c r="U55" i="120"/>
  <c r="L11" i="127"/>
  <c r="Q49" i="127"/>
  <c r="V58" i="129"/>
  <c r="AT38" i="123"/>
  <c r="L40" i="123"/>
  <c r="AP52" i="125"/>
  <c r="AT58" i="126"/>
  <c r="AF38" i="118"/>
  <c r="AE40" i="132"/>
  <c r="AC58" i="125"/>
  <c r="AU31" i="126"/>
  <c r="X45" i="118"/>
  <c r="AY39" i="126"/>
  <c r="AL44" i="129"/>
  <c r="AP15" i="129"/>
  <c r="BA22" i="129"/>
  <c r="J52" i="129"/>
  <c r="X23" i="122"/>
  <c r="AZ56" i="120"/>
  <c r="AO52" i="120"/>
  <c r="O36" i="130"/>
  <c r="V39" i="122"/>
  <c r="AK22" i="119"/>
  <c r="AE30" i="119"/>
  <c r="S52" i="130"/>
  <c r="AG8" i="122"/>
  <c r="M29" i="119"/>
  <c r="AX35" i="119"/>
  <c r="AD45" i="130"/>
  <c r="BB13" i="122"/>
  <c r="AI34" i="119"/>
  <c r="H16" i="128"/>
  <c r="Q42" i="125"/>
  <c r="V58" i="122"/>
  <c r="W47" i="119"/>
  <c r="K47" i="120"/>
  <c r="AZ9" i="122"/>
  <c r="AW38" i="123"/>
  <c r="AF42" i="123"/>
  <c r="AL24" i="125"/>
  <c r="T38" i="123"/>
  <c r="BA29" i="123"/>
  <c r="AP15" i="121"/>
  <c r="AB18" i="120"/>
  <c r="H54" i="118"/>
  <c r="BB52" i="118"/>
  <c r="H41" i="120"/>
  <c r="AF25" i="120"/>
  <c r="L52" i="118"/>
  <c r="AD48" i="118"/>
  <c r="Q44" i="125"/>
  <c r="AX39" i="121"/>
  <c r="X45" i="125"/>
  <c r="BB49" i="122"/>
  <c r="AR56" i="122"/>
  <c r="AD45" i="131"/>
  <c r="AJ50" i="125"/>
  <c r="W55" i="122"/>
  <c r="H11" i="122"/>
  <c r="X17" i="130"/>
  <c r="BE55" i="125"/>
  <c r="AW9" i="122"/>
  <c r="AR35" i="130"/>
  <c r="Z49" i="130"/>
  <c r="AN35" i="128"/>
  <c r="AH55" i="119"/>
  <c r="O39" i="131"/>
  <c r="W23" i="120"/>
  <c r="AF42" i="129"/>
  <c r="AJ36" i="129"/>
  <c r="L23" i="120"/>
  <c r="N58" i="120"/>
  <c r="G37" i="129"/>
  <c r="L49" i="129"/>
  <c r="AX38" i="120"/>
  <c r="O25" i="129"/>
  <c r="AE43" i="131"/>
  <c r="AK23" i="126"/>
  <c r="Z12" i="117"/>
  <c r="AU23" i="130"/>
  <c r="V40" i="124"/>
  <c r="AJ56" i="122"/>
  <c r="BB16" i="122"/>
  <c r="BA37" i="130"/>
  <c r="AL24" i="124"/>
  <c r="U17" i="122"/>
  <c r="Y27" i="122"/>
  <c r="AE37" i="130"/>
  <c r="BC32" i="124"/>
  <c r="AK25" i="122"/>
  <c r="AN35" i="122"/>
  <c r="N38" i="130"/>
  <c r="N41" i="124"/>
  <c r="AV33" i="122"/>
  <c r="V50" i="126"/>
  <c r="J15" i="126"/>
  <c r="K16" i="130"/>
  <c r="I40" i="125"/>
  <c r="AR21" i="128"/>
  <c r="K57" i="120"/>
  <c r="AC24" i="127"/>
  <c r="AV57" i="127"/>
  <c r="I26" i="120"/>
  <c r="BC50" i="120"/>
  <c r="AT12" i="127"/>
  <c r="BE46" i="127"/>
  <c r="AX31" i="120"/>
  <c r="AT25" i="125"/>
  <c r="AH34" i="131"/>
  <c r="AF38" i="126"/>
  <c r="BC24" i="126"/>
  <c r="V12" i="127"/>
  <c r="Y58" i="124"/>
  <c r="AD18" i="121"/>
  <c r="AS29" i="121"/>
  <c r="AF42" i="125"/>
  <c r="AX42" i="124"/>
  <c r="AD42" i="121"/>
  <c r="N50" i="121"/>
  <c r="BC42" i="125"/>
  <c r="Y48" i="124"/>
  <c r="AY48" i="121"/>
  <c r="AQ55" i="121"/>
  <c r="AD32" i="124"/>
  <c r="AX53" i="124"/>
  <c r="T54" i="121"/>
  <c r="AD45" i="129"/>
  <c r="BB42" i="129"/>
  <c r="AQ12" i="125"/>
  <c r="AV53" i="129"/>
  <c r="AX44" i="127"/>
  <c r="AI56" i="119"/>
  <c r="W20" i="126"/>
  <c r="N56" i="128"/>
  <c r="AU20" i="119"/>
  <c r="T56" i="119"/>
  <c r="AV26" i="126"/>
  <c r="BE31" i="127"/>
  <c r="N26" i="119"/>
  <c r="BB37" i="125"/>
  <c r="AU35" i="130"/>
  <c r="AB57" i="125"/>
  <c r="AX58" i="125"/>
  <c r="M25" i="125"/>
  <c r="AM49" i="123"/>
  <c r="BB21" i="121"/>
  <c r="AN29" i="121"/>
  <c r="W16" i="131"/>
  <c r="BB9" i="123"/>
  <c r="BA36" i="121"/>
  <c r="AL44" i="121"/>
  <c r="AH16" i="131"/>
  <c r="BB21" i="123"/>
  <c r="T43" i="121"/>
  <c r="BC49" i="121"/>
  <c r="AR16" i="131"/>
  <c r="AR33" i="123"/>
  <c r="AJ48" i="121"/>
  <c r="G32" i="129"/>
  <c r="K8" i="127"/>
  <c r="BC55" i="121"/>
  <c r="BC46" i="117"/>
  <c r="P52" i="118"/>
  <c r="S34" i="130"/>
  <c r="BA43" i="117"/>
  <c r="AN18" i="124"/>
  <c r="K58" i="127"/>
  <c r="BD30" i="124"/>
  <c r="K57" i="124"/>
  <c r="AH8" i="126"/>
  <c r="AJ46" i="122"/>
  <c r="X34" i="119"/>
  <c r="L42" i="119"/>
  <c r="M57" i="126"/>
  <c r="H58" i="122"/>
  <c r="T41" i="119"/>
  <c r="BA47" i="119"/>
  <c r="AU25" i="121"/>
  <c r="S50" i="124"/>
  <c r="AF13" i="118"/>
  <c r="AS14" i="118"/>
  <c r="AU12" i="129"/>
  <c r="P9" i="124"/>
  <c r="AB18" i="118"/>
  <c r="AU20" i="118"/>
  <c r="AM52" i="125"/>
  <c r="AX31" i="124"/>
  <c r="X24" i="118"/>
  <c r="AO25" i="118"/>
  <c r="Y43" i="130"/>
  <c r="Y37" i="124"/>
  <c r="AX41" i="128"/>
  <c r="P51" i="125"/>
  <c r="Q58" i="127"/>
  <c r="AT27" i="127"/>
  <c r="AF16" i="123"/>
  <c r="AV27" i="120"/>
  <c r="AP32" i="128"/>
  <c r="BB53" i="125"/>
  <c r="AY21" i="128"/>
  <c r="BC57" i="128"/>
  <c r="M16" i="125"/>
  <c r="AN43" i="125"/>
  <c r="AP40" i="122"/>
  <c r="AV11" i="122"/>
  <c r="Z52" i="125"/>
  <c r="AC49" i="125"/>
  <c r="I22" i="122"/>
  <c r="BB29" i="122"/>
  <c r="AF55" i="125"/>
  <c r="AN50" i="124"/>
  <c r="U15" i="118"/>
  <c r="AK16" i="118"/>
  <c r="AN44" i="131"/>
  <c r="X9" i="124"/>
  <c r="AF18" i="118"/>
  <c r="AY20" i="118"/>
  <c r="AI35" i="129"/>
  <c r="P14" i="124"/>
  <c r="AS24" i="118"/>
  <c r="J26" i="118"/>
  <c r="AP22" i="128"/>
  <c r="V20" i="124"/>
  <c r="BE36" i="124"/>
  <c r="AW53" i="121"/>
  <c r="P21" i="125"/>
  <c r="AV26" i="125"/>
  <c r="AB50" i="128"/>
  <c r="J43" i="118"/>
  <c r="AV51" i="126"/>
  <c r="AQ36" i="131"/>
  <c r="I36" i="126"/>
  <c r="AO47" i="126"/>
  <c r="Y43" i="131"/>
  <c r="Y50" i="125"/>
  <c r="AT41" i="122"/>
  <c r="AK48" i="122"/>
  <c r="K55" i="127"/>
  <c r="AM55" i="124"/>
  <c r="AF34" i="122"/>
  <c r="BA14" i="122"/>
  <c r="AS43" i="128"/>
  <c r="Y21" i="123"/>
  <c r="AC16" i="117"/>
  <c r="AT17" i="117"/>
  <c r="BD14" i="117"/>
  <c r="AM23" i="123"/>
  <c r="AM24" i="117"/>
  <c r="AM57" i="117"/>
  <c r="AB41" i="120"/>
  <c r="AX25" i="124"/>
  <c r="G49" i="118"/>
  <c r="AC50" i="118"/>
  <c r="Y44" i="120"/>
  <c r="AV33" i="129"/>
  <c r="Q34" i="120"/>
  <c r="AI9" i="117"/>
  <c r="AN33" i="123"/>
  <c r="AZ34" i="124"/>
  <c r="AI8" i="122"/>
  <c r="AN9" i="122"/>
  <c r="AU34" i="127"/>
  <c r="BC26" i="131"/>
  <c r="M37" i="120"/>
  <c r="AM47" i="119"/>
  <c r="AW43" i="127"/>
  <c r="V42" i="124"/>
  <c r="AO49" i="124"/>
  <c r="Q38" i="131"/>
  <c r="M10" i="127"/>
  <c r="AS52" i="130"/>
  <c r="I18" i="125"/>
  <c r="AN9" i="126"/>
  <c r="AE50" i="128"/>
  <c r="AE37" i="127"/>
  <c r="AG9" i="126"/>
  <c r="W18" i="126"/>
  <c r="G58" i="128"/>
  <c r="AM9" i="126"/>
  <c r="BB17" i="126"/>
  <c r="M29" i="126"/>
  <c r="AP31" i="129"/>
  <c r="AB58" i="131"/>
  <c r="AI31" i="123"/>
  <c r="AR49" i="123"/>
  <c r="AJ46" i="126"/>
  <c r="K44" i="125"/>
  <c r="AQ33" i="125"/>
  <c r="BD58" i="125"/>
  <c r="BD44" i="126"/>
  <c r="BC33" i="130"/>
  <c r="S9" i="130"/>
  <c r="BE41" i="130"/>
  <c r="AX55" i="126"/>
  <c r="T43" i="127"/>
  <c r="K39" i="123"/>
  <c r="BA21" i="130"/>
  <c r="Z33" i="131"/>
  <c r="G45" i="126"/>
  <c r="G43" i="131"/>
  <c r="AY14" i="126"/>
  <c r="AW10" i="126"/>
  <c r="AZ50" i="126"/>
  <c r="AT41" i="131"/>
  <c r="AU27" i="126"/>
  <c r="AS24" i="126"/>
  <c r="AD16" i="126"/>
  <c r="AH31" i="128"/>
  <c r="AE16" i="130"/>
  <c r="W51" i="123"/>
  <c r="AQ31" i="123"/>
  <c r="X42" i="125"/>
  <c r="I52" i="128"/>
  <c r="BC39" i="128"/>
  <c r="AT46" i="128"/>
  <c r="S33" i="127"/>
  <c r="G39" i="128"/>
  <c r="O24" i="131"/>
  <c r="AB45" i="126"/>
  <c r="AR16" i="130"/>
  <c r="AL57" i="128"/>
  <c r="AR9" i="131"/>
  <c r="AS20" i="125"/>
  <c r="AL38" i="130"/>
  <c r="AN10" i="127"/>
  <c r="V21" i="131"/>
  <c r="P11" i="125"/>
  <c r="AV11" i="129"/>
  <c r="AC33" i="125"/>
  <c r="BE24" i="125"/>
  <c r="Z58" i="128"/>
  <c r="AC34" i="128"/>
  <c r="AS39" i="131"/>
  <c r="AH31" i="125"/>
  <c r="AZ58" i="128"/>
  <c r="AL43" i="128"/>
  <c r="AY27" i="129"/>
  <c r="BC34" i="131"/>
  <c r="M56" i="128"/>
  <c r="AQ30" i="128"/>
  <c r="AO12" i="128"/>
  <c r="I45" i="131"/>
  <c r="AM56" i="127"/>
  <c r="AQ18" i="127"/>
  <c r="AG47" i="131"/>
  <c r="V24" i="126"/>
  <c r="G15" i="126"/>
  <c r="AU39" i="125"/>
  <c r="AJ27" i="122"/>
  <c r="AR32" i="127"/>
  <c r="AH29" i="129"/>
  <c r="AD44" i="122"/>
  <c r="AS34" i="122"/>
  <c r="AZ11" i="127"/>
  <c r="BB12" i="129"/>
  <c r="AF50" i="122"/>
  <c r="Q23" i="122"/>
  <c r="AO17" i="126"/>
  <c r="AZ18" i="127"/>
  <c r="AF32" i="119"/>
  <c r="V22" i="119"/>
  <c r="Q29" i="126"/>
  <c r="H56" i="124"/>
  <c r="AP11" i="124"/>
  <c r="AC14" i="124"/>
  <c r="AF23" i="126"/>
  <c r="AB21" i="124"/>
  <c r="AF42" i="124"/>
  <c r="T45" i="124"/>
  <c r="BD8" i="126"/>
  <c r="T41" i="124"/>
  <c r="BA47" i="124"/>
  <c r="AF50" i="124"/>
  <c r="K16" i="126"/>
  <c r="AL46" i="124"/>
  <c r="H56" i="126"/>
  <c r="AH22" i="125"/>
  <c r="AL33" i="130"/>
  <c r="AO9" i="119"/>
  <c r="L36" i="125"/>
  <c r="W21" i="120"/>
  <c r="AW49" i="130"/>
  <c r="BB27" i="130"/>
  <c r="AU20" i="120"/>
  <c r="AJ11" i="120"/>
  <c r="AM27" i="129"/>
  <c r="K21" i="129"/>
  <c r="AY26" i="120"/>
  <c r="BA52" i="131"/>
  <c r="J42" i="125"/>
  <c r="AK30" i="127"/>
  <c r="AH8" i="117"/>
  <c r="AV31" i="128"/>
  <c r="N56" i="125"/>
  <c r="AQ29" i="122"/>
  <c r="AF36" i="122"/>
  <c r="AL30" i="129"/>
  <c r="AP14" i="124"/>
  <c r="W36" i="131"/>
  <c r="AY36" i="127"/>
  <c r="AG37" i="124"/>
  <c r="G24" i="129"/>
  <c r="AV9" i="124"/>
  <c r="W53" i="124"/>
  <c r="I44" i="124"/>
  <c r="G22" i="129"/>
  <c r="AC39" i="131"/>
  <c r="AZ12" i="124"/>
  <c r="AX49" i="124"/>
  <c r="AJ34" i="130"/>
  <c r="N33" i="130"/>
  <c r="AZ12" i="121"/>
  <c r="AX49" i="121"/>
  <c r="AN36" i="129"/>
  <c r="BC42" i="121"/>
  <c r="AW44" i="121"/>
  <c r="N56" i="121"/>
  <c r="AW12" i="128"/>
  <c r="V44" i="121"/>
  <c r="M21" i="121"/>
  <c r="AX32" i="121"/>
  <c r="AK11" i="128"/>
  <c r="AX41" i="125"/>
  <c r="U39" i="120"/>
  <c r="AZ43" i="126"/>
  <c r="AV13" i="125"/>
  <c r="AZ24" i="124"/>
  <c r="AD32" i="129"/>
  <c r="U42" i="131"/>
  <c r="BC44" i="124"/>
  <c r="AE29" i="124"/>
  <c r="Z38" i="129"/>
  <c r="BA29" i="131"/>
  <c r="AC45" i="124"/>
  <c r="AL49" i="124"/>
  <c r="K40" i="124"/>
  <c r="AU16" i="124"/>
  <c r="AF57" i="121"/>
  <c r="AV57" i="121"/>
  <c r="BD48" i="128"/>
  <c r="AC40" i="119"/>
  <c r="AG35" i="119"/>
  <c r="AC20" i="119"/>
  <c r="AF17" i="131"/>
  <c r="AX12" i="128"/>
  <c r="S42" i="130"/>
  <c r="AK30" i="129"/>
  <c r="L29" i="131"/>
  <c r="I13" i="128"/>
  <c r="AV24" i="130"/>
  <c r="BC13" i="129"/>
  <c r="L37" i="131"/>
  <c r="L32" i="128"/>
  <c r="N17" i="130"/>
  <c r="Z21" i="129"/>
  <c r="J45" i="131"/>
  <c r="AK18" i="130"/>
  <c r="AE47" i="126"/>
  <c r="AT38" i="126"/>
  <c r="BA56" i="126"/>
  <c r="I14" i="129"/>
  <c r="O53" i="126"/>
  <c r="W33" i="126"/>
  <c r="AO51" i="126"/>
  <c r="BD17" i="127"/>
  <c r="G49" i="126"/>
  <c r="AH14" i="125"/>
  <c r="U18" i="125"/>
  <c r="AG23" i="128"/>
  <c r="AK43" i="126"/>
  <c r="H26" i="125"/>
  <c r="BB20" i="128"/>
  <c r="BD41" i="128"/>
  <c r="L30" i="128"/>
  <c r="AX58" i="118"/>
  <c r="AL50" i="130"/>
  <c r="AX24" i="120"/>
  <c r="AL13" i="128"/>
  <c r="G53" i="128"/>
  <c r="AK53" i="120"/>
  <c r="AP42" i="120"/>
  <c r="AJ42" i="128"/>
  <c r="I42" i="128"/>
  <c r="AT57" i="120"/>
  <c r="M38" i="127"/>
  <c r="AW55" i="131"/>
  <c r="AJ32" i="126"/>
  <c r="AN9" i="117"/>
  <c r="I33" i="130"/>
  <c r="AD21" i="124"/>
  <c r="AL21" i="122"/>
  <c r="BA31" i="122"/>
  <c r="AP31" i="128"/>
  <c r="AX29" i="124"/>
  <c r="Z50" i="122"/>
  <c r="AD57" i="122"/>
  <c r="AW36" i="128"/>
  <c r="U35" i="124"/>
  <c r="AY55" i="122"/>
  <c r="AM11" i="121"/>
  <c r="BA36" i="128"/>
  <c r="AV41" i="124"/>
  <c r="AM29" i="121"/>
  <c r="AZ23" i="129"/>
  <c r="AH22" i="129"/>
  <c r="BB26" i="117"/>
  <c r="AH23" i="124"/>
  <c r="BC48" i="124"/>
  <c r="H23" i="118"/>
  <c r="BB20" i="125"/>
  <c r="S54" i="127"/>
  <c r="AI34" i="118"/>
  <c r="AU18" i="118"/>
  <c r="X9" i="125"/>
  <c r="S22" i="126"/>
  <c r="AG44" i="118"/>
  <c r="AZ51" i="128"/>
  <c r="AX15" i="129"/>
  <c r="N50" i="130"/>
  <c r="G58" i="130"/>
  <c r="AB18" i="131"/>
  <c r="K40" i="122"/>
  <c r="AF56" i="120"/>
  <c r="AE44" i="120"/>
  <c r="AT35" i="127"/>
  <c r="AN39" i="129"/>
  <c r="I49" i="126"/>
  <c r="AD10" i="131"/>
  <c r="U11" i="122"/>
  <c r="AJ20" i="127"/>
  <c r="X30" i="129"/>
  <c r="Q27" i="122"/>
  <c r="AU12" i="122"/>
  <c r="Q26" i="127"/>
  <c r="N39" i="129"/>
  <c r="AD30" i="122"/>
  <c r="I23" i="122"/>
  <c r="H23" i="126"/>
  <c r="X55" i="127"/>
  <c r="AO32" i="119"/>
  <c r="AU22" i="119"/>
  <c r="H10" i="126"/>
  <c r="AC13" i="124"/>
  <c r="Y21" i="124"/>
  <c r="I24" i="124"/>
  <c r="I35" i="126"/>
  <c r="AL44" i="124"/>
  <c r="T51" i="124"/>
  <c r="BE53" i="124"/>
  <c r="W16" i="126"/>
  <c r="U13" i="126"/>
  <c r="K13" i="130"/>
  <c r="H25" i="124"/>
  <c r="AE8" i="130"/>
  <c r="AB44" i="122"/>
  <c r="AI35" i="127"/>
  <c r="AV41" i="129"/>
  <c r="AM50" i="121"/>
  <c r="AD10" i="121"/>
  <c r="AC38" i="127"/>
  <c r="Y54" i="129"/>
  <c r="N27" i="121"/>
  <c r="AQ34" i="121"/>
  <c r="AC47" i="126"/>
  <c r="T53" i="125"/>
  <c r="AD32" i="119"/>
  <c r="J55" i="119"/>
  <c r="P36" i="126"/>
  <c r="BC9" i="123"/>
  <c r="AD25" i="123"/>
  <c r="H17" i="131"/>
  <c r="AU53" i="128"/>
  <c r="L12" i="129"/>
  <c r="T46" i="129"/>
  <c r="AJ42" i="131"/>
  <c r="AJ44" i="128"/>
  <c r="AZ25" i="129"/>
  <c r="AY51" i="129"/>
  <c r="U30" i="131"/>
  <c r="AQ11" i="127"/>
  <c r="BA23" i="129"/>
  <c r="W36" i="129"/>
  <c r="AC48" i="131"/>
  <c r="J32" i="129"/>
  <c r="AH13" i="125"/>
  <c r="AP25" i="125"/>
  <c r="AO11" i="125"/>
  <c r="N54" i="127"/>
  <c r="AQ21" i="125"/>
  <c r="BC26" i="125"/>
  <c r="AS16" i="125"/>
  <c r="L55" i="131"/>
  <c r="AV42" i="125"/>
  <c r="H48" i="125"/>
  <c r="O52" i="125"/>
  <c r="AT8" i="130"/>
  <c r="S48" i="125"/>
  <c r="L34" i="125"/>
  <c r="V21" i="126"/>
  <c r="Q51" i="126"/>
  <c r="AG24" i="128"/>
  <c r="G29" i="131"/>
  <c r="AE35" i="128"/>
  <c r="AR55" i="120"/>
  <c r="Z57" i="127"/>
  <c r="Y31" i="128"/>
  <c r="AM13" i="119"/>
  <c r="Q22" i="119"/>
  <c r="AP48" i="127"/>
  <c r="AK58" i="125"/>
  <c r="AN8" i="119"/>
  <c r="AV54" i="131"/>
  <c r="J47" i="131"/>
  <c r="Y57" i="126"/>
  <c r="Y15" i="125"/>
  <c r="AX31" i="125"/>
  <c r="AC36" i="124"/>
  <c r="N34" i="121"/>
  <c r="T44" i="121"/>
  <c r="AL42" i="127"/>
  <c r="AX13" i="124"/>
  <c r="AI38" i="121"/>
  <c r="Y46" i="121"/>
  <c r="M42" i="127"/>
  <c r="AE20" i="124"/>
  <c r="BB44" i="121"/>
  <c r="AR51" i="121"/>
  <c r="AW32" i="127"/>
  <c r="AT25" i="124"/>
  <c r="W50" i="121"/>
  <c r="M54" i="129"/>
  <c r="Q49" i="128"/>
  <c r="L20" i="127"/>
  <c r="M55" i="123"/>
  <c r="W13" i="123"/>
  <c r="AX17" i="132"/>
  <c r="P48" i="125"/>
  <c r="W9" i="125"/>
  <c r="AZ33" i="118"/>
  <c r="AL9" i="132"/>
  <c r="V37" i="125"/>
  <c r="O55" i="131"/>
  <c r="S58" i="118"/>
  <c r="S45" i="125"/>
  <c r="AU32" i="129"/>
  <c r="AB31" i="129"/>
  <c r="AX42" i="129"/>
  <c r="O10" i="130"/>
  <c r="G47" i="122"/>
  <c r="K16" i="119"/>
  <c r="J55" i="128"/>
  <c r="H36" i="127"/>
  <c r="AQ11" i="131"/>
  <c r="AN42" i="124"/>
  <c r="BC57" i="129"/>
  <c r="L37" i="122"/>
  <c r="AU10" i="127"/>
  <c r="AN54" i="129"/>
  <c r="AQ53" i="122"/>
  <c r="BE49" i="122"/>
  <c r="AZ25" i="127"/>
  <c r="O47" i="129"/>
  <c r="AM32" i="121"/>
  <c r="AD16" i="121"/>
  <c r="AO41" i="126"/>
  <c r="J58" i="128"/>
  <c r="AV35" i="119"/>
  <c r="AQ21" i="119"/>
  <c r="AB36" i="126"/>
  <c r="BB27" i="123"/>
  <c r="AG43" i="123"/>
  <c r="AV46" i="123"/>
  <c r="O49" i="126"/>
  <c r="AL25" i="123"/>
  <c r="AB33" i="123"/>
  <c r="N36" i="123"/>
  <c r="AQ32" i="131"/>
  <c r="X15" i="131"/>
  <c r="T35" i="127"/>
  <c r="S48" i="122"/>
  <c r="V39" i="127"/>
  <c r="AV32" i="121"/>
  <c r="BE36" i="128"/>
  <c r="AO57" i="128"/>
  <c r="AR48" i="121"/>
  <c r="S38" i="121"/>
  <c r="AT52" i="127"/>
  <c r="AF49" i="127"/>
  <c r="Q54" i="121"/>
  <c r="L38" i="121"/>
  <c r="AP46" i="129"/>
  <c r="BE10" i="119"/>
  <c r="BC23" i="124"/>
  <c r="AT16" i="122"/>
  <c r="AV26" i="122"/>
  <c r="AP32" i="126"/>
  <c r="AO29" i="124"/>
  <c r="I25" i="122"/>
  <c r="K35" i="122"/>
  <c r="X55" i="125"/>
  <c r="BC36" i="124"/>
  <c r="O33" i="122"/>
  <c r="L9" i="127"/>
  <c r="BD21" i="126"/>
  <c r="AO8" i="131"/>
  <c r="AR30" i="126"/>
  <c r="V40" i="128"/>
  <c r="AL45" i="120"/>
  <c r="U20" i="127"/>
  <c r="AX12" i="127"/>
  <c r="AP26" i="120"/>
  <c r="AL51" i="120"/>
  <c r="AI41" i="127"/>
  <c r="AV50" i="127"/>
  <c r="AI32" i="120"/>
  <c r="S41" i="126"/>
  <c r="AO26" i="131"/>
  <c r="K20" i="126"/>
  <c r="AD37" i="126"/>
  <c r="AG41" i="128"/>
  <c r="Q58" i="124"/>
  <c r="AP40" i="121"/>
  <c r="Z12" i="121"/>
  <c r="AG58" i="125"/>
  <c r="AS47" i="124"/>
  <c r="AQ36" i="121"/>
  <c r="AF46" i="121"/>
  <c r="AS11" i="130"/>
  <c r="L53" i="124"/>
  <c r="J45" i="121"/>
  <c r="P52" i="121"/>
  <c r="M22" i="129"/>
  <c r="V58" i="124"/>
  <c r="AU50" i="121"/>
  <c r="W29" i="129"/>
  <c r="BB26" i="129"/>
  <c r="M56" i="126"/>
  <c r="Z24" i="129"/>
  <c r="AH26" i="127"/>
  <c r="BD55" i="119"/>
  <c r="AG18" i="126"/>
  <c r="Z40" i="128"/>
  <c r="AV8" i="119"/>
  <c r="BA10" i="119"/>
  <c r="AP25" i="126"/>
  <c r="AM27" i="127"/>
  <c r="J26" i="119"/>
  <c r="Q9" i="125"/>
  <c r="AO34" i="130"/>
  <c r="BC31" i="125"/>
  <c r="N39" i="125"/>
  <c r="AK39" i="126"/>
  <c r="Y17" i="124"/>
  <c r="AL26" i="121"/>
  <c r="X34" i="121"/>
  <c r="AL47" i="125"/>
  <c r="I42" i="123"/>
  <c r="AV31" i="121"/>
  <c r="AG38" i="121"/>
  <c r="G40" i="124"/>
  <c r="AP13" i="123"/>
  <c r="O37" i="121"/>
  <c r="I45" i="121"/>
  <c r="AU25" i="124"/>
  <c r="AK25" i="123"/>
  <c r="AK43" i="121"/>
  <c r="N24" i="125"/>
  <c r="W21" i="125"/>
  <c r="X55" i="122"/>
  <c r="AO52" i="127"/>
  <c r="AG54" i="126"/>
  <c r="BC45" i="119"/>
  <c r="N29" i="126"/>
  <c r="T24" i="126"/>
  <c r="Q21" i="119"/>
  <c r="Q57" i="119"/>
  <c r="AB34" i="126"/>
  <c r="AL11" i="126"/>
  <c r="BA22" i="119"/>
  <c r="AC52" i="125"/>
  <c r="M34" i="130"/>
  <c r="AQ54" i="131"/>
  <c r="AW48" i="131"/>
  <c r="AS50" i="129"/>
  <c r="AZ20" i="123"/>
  <c r="AM43" i="120"/>
  <c r="J40" i="120"/>
  <c r="BD31" i="130"/>
  <c r="I35" i="123"/>
  <c r="P11" i="120"/>
  <c r="AF17" i="120"/>
  <c r="AD49" i="130"/>
  <c r="X11" i="123"/>
  <c r="P16" i="120"/>
  <c r="AW23" i="120"/>
  <c r="AP52" i="130"/>
  <c r="X16" i="123"/>
  <c r="AH22" i="120"/>
  <c r="AT31" i="128"/>
  <c r="J42" i="130"/>
  <c r="BE57" i="130"/>
  <c r="V20" i="123"/>
  <c r="AX9" i="130"/>
  <c r="T45" i="127"/>
  <c r="T53" i="124"/>
  <c r="BA55" i="124"/>
  <c r="AL45" i="126"/>
  <c r="M47" i="124"/>
  <c r="G54" i="124"/>
  <c r="L57" i="128"/>
  <c r="O47" i="121"/>
  <c r="AE37" i="119"/>
  <c r="U45" i="119"/>
  <c r="M54" i="127"/>
  <c r="AK52" i="121"/>
  <c r="AJ39" i="119"/>
  <c r="AH47" i="119"/>
  <c r="W20" i="118"/>
  <c r="AO29" i="127"/>
  <c r="Q54" i="118"/>
  <c r="AF12" i="124"/>
  <c r="AH32" i="121"/>
  <c r="AQ42" i="121"/>
  <c r="O57" i="127"/>
  <c r="AJ17" i="124"/>
  <c r="AS39" i="121"/>
  <c r="H49" i="121"/>
  <c r="Q23" i="127"/>
  <c r="BA23" i="124"/>
  <c r="AH47" i="121"/>
  <c r="AG55" i="130"/>
  <c r="AD53" i="130"/>
  <c r="AU34" i="126"/>
  <c r="AW17" i="129"/>
  <c r="AN24" i="127"/>
  <c r="BB54" i="119"/>
  <c r="BB20" i="126"/>
  <c r="AJ11" i="129"/>
  <c r="BA18" i="119"/>
  <c r="AW10" i="119"/>
  <c r="BB24" i="126"/>
  <c r="AY11" i="128"/>
  <c r="W18" i="119"/>
  <c r="AE53" i="126"/>
  <c r="T17" i="130"/>
  <c r="AW16" i="125"/>
  <c r="G45" i="125"/>
  <c r="AY8" i="126"/>
  <c r="I55" i="124"/>
  <c r="Q33" i="121"/>
  <c r="BB39" i="121"/>
  <c r="AO38" i="125"/>
  <c r="K31" i="123"/>
  <c r="AW36" i="121"/>
  <c r="AH44" i="121"/>
  <c r="K55" i="125"/>
  <c r="AG36" i="123"/>
  <c r="P43" i="121"/>
  <c r="AY49" i="121"/>
  <c r="AI33" i="125"/>
  <c r="BB42" i="123"/>
  <c r="AF48" i="121"/>
  <c r="AN55" i="126"/>
  <c r="V15" i="126"/>
  <c r="S38" i="122"/>
  <c r="AD50" i="127"/>
  <c r="AF46" i="126"/>
  <c r="O49" i="119"/>
  <c r="J27" i="126"/>
  <c r="AB58" i="126"/>
  <c r="AQ13" i="119"/>
  <c r="AL51" i="119"/>
  <c r="AO34" i="126"/>
  <c r="H38" i="126"/>
  <c r="AI26" i="119"/>
  <c r="AX23" i="125"/>
  <c r="AH34" i="130"/>
  <c r="AE54" i="131"/>
  <c r="BD29" i="131"/>
  <c r="L8" i="129"/>
  <c r="L52" i="123"/>
  <c r="AT43" i="121"/>
  <c r="M51" i="121"/>
  <c r="BA47" i="125"/>
  <c r="AH18" i="123"/>
  <c r="AK18" i="120"/>
  <c r="Z11" i="120"/>
  <c r="AH48" i="125"/>
  <c r="AL34" i="123"/>
  <c r="AU9" i="120"/>
  <c r="V17" i="120"/>
  <c r="BA37" i="124"/>
  <c r="AF46" i="123"/>
  <c r="AU15" i="120"/>
  <c r="AC45" i="131"/>
  <c r="BC49" i="131"/>
  <c r="AN30" i="118"/>
  <c r="BA23" i="125"/>
  <c r="AJ44" i="125"/>
  <c r="BB31" i="118"/>
  <c r="G40" i="125"/>
  <c r="AU36" i="128"/>
  <c r="AQ41" i="118"/>
  <c r="AX37" i="118"/>
  <c r="BC10" i="125"/>
  <c r="V54" i="127"/>
  <c r="AU47" i="118"/>
  <c r="AI14" i="129"/>
  <c r="AK40" i="129"/>
  <c r="Y11" i="130"/>
  <c r="BA48" i="130"/>
  <c r="AE26" i="125"/>
  <c r="BA53" i="123"/>
  <c r="AS53" i="120"/>
  <c r="I25" i="120"/>
  <c r="U20" i="131"/>
  <c r="AZ12" i="122"/>
  <c r="I43" i="120"/>
  <c r="BD49" i="120"/>
  <c r="AF20" i="131"/>
  <c r="S18" i="122"/>
  <c r="AG48" i="120"/>
  <c r="Y55" i="120"/>
  <c r="AP20" i="131"/>
  <c r="AV24" i="122"/>
  <c r="G54" i="120"/>
  <c r="AV45" i="129"/>
  <c r="AU35" i="131"/>
  <c r="T10" i="126"/>
  <c r="AE38" i="121"/>
  <c r="AU17" i="124"/>
  <c r="BA37" i="119"/>
  <c r="H44" i="123"/>
  <c r="AO46" i="123"/>
  <c r="AB9" i="126"/>
  <c r="W45" i="123"/>
  <c r="M52" i="123"/>
  <c r="AV24" i="124"/>
  <c r="AO45" i="121"/>
  <c r="AE50" i="118"/>
  <c r="T13" i="118"/>
  <c r="AC56" i="124"/>
  <c r="AB9" i="121"/>
  <c r="AO12" i="118"/>
  <c r="BE18" i="118"/>
  <c r="AF56" i="126"/>
  <c r="AC39" i="118"/>
  <c r="AD29" i="117"/>
  <c r="AD8" i="122"/>
  <c r="P11" i="119"/>
  <c r="AF17" i="119"/>
  <c r="AB33" i="127"/>
  <c r="BE47" i="122"/>
  <c r="P16" i="119"/>
  <c r="AW23" i="119"/>
  <c r="AP40" i="126"/>
  <c r="Q13" i="122"/>
  <c r="AH22" i="119"/>
  <c r="BB39" i="128"/>
  <c r="AK52" i="128"/>
  <c r="AF56" i="123"/>
  <c r="AZ16" i="120"/>
  <c r="L54" i="122"/>
  <c r="AF39" i="128"/>
  <c r="AC33" i="131"/>
  <c r="AH42" i="126"/>
  <c r="Q12" i="117"/>
  <c r="AI9" i="127"/>
  <c r="AK39" i="131"/>
  <c r="AS52" i="126"/>
  <c r="AW54" i="117"/>
  <c r="AI27" i="126"/>
  <c r="K45" i="129"/>
  <c r="AC44" i="128"/>
  <c r="BE38" i="128"/>
  <c r="S24" i="131"/>
  <c r="AW37" i="121"/>
  <c r="AY43" i="119"/>
  <c r="AU50" i="119"/>
  <c r="Q9" i="128"/>
  <c r="AH21" i="121"/>
  <c r="AG57" i="119"/>
  <c r="AU13" i="119"/>
  <c r="Y49" i="128"/>
  <c r="J30" i="121"/>
  <c r="Z12" i="119"/>
  <c r="AJ20" i="119"/>
  <c r="AC49" i="128"/>
  <c r="T37" i="121"/>
  <c r="V18" i="119"/>
  <c r="I41" i="131"/>
  <c r="X56" i="131"/>
  <c r="AV39" i="119"/>
  <c r="BD25" i="118"/>
  <c r="X16" i="120"/>
  <c r="AP50" i="125"/>
  <c r="K49" i="131"/>
  <c r="Q57" i="126"/>
  <c r="AB55" i="126"/>
  <c r="W45" i="131"/>
  <c r="AH36" i="131"/>
  <c r="W46" i="126"/>
  <c r="BC14" i="125"/>
  <c r="AB23" i="129"/>
  <c r="AR12" i="131"/>
  <c r="AB52" i="128"/>
  <c r="AZ13" i="128"/>
  <c r="S33" i="126"/>
  <c r="AO57" i="121"/>
  <c r="AU32" i="118"/>
  <c r="AJ39" i="118"/>
  <c r="J18" i="124"/>
  <c r="N22" i="121"/>
  <c r="AR38" i="118"/>
  <c r="AX20" i="118"/>
  <c r="N23" i="124"/>
  <c r="AB27" i="121"/>
  <c r="AE14" i="118"/>
  <c r="BB39" i="118"/>
  <c r="O24" i="124"/>
  <c r="AY33" i="121"/>
  <c r="S38" i="118"/>
  <c r="G25" i="131"/>
  <c r="X41" i="126"/>
  <c r="J45" i="126"/>
  <c r="S44" i="126"/>
  <c r="Y56" i="119"/>
  <c r="AV56" i="131"/>
  <c r="BA25" i="130"/>
  <c r="AB35" i="125"/>
  <c r="AU53" i="125"/>
  <c r="Z49" i="129"/>
  <c r="AV47" i="130"/>
  <c r="AP27" i="125"/>
  <c r="AY16" i="124"/>
  <c r="BB26" i="125"/>
  <c r="T48" i="129"/>
  <c r="AR48" i="127"/>
  <c r="AZ56" i="127"/>
  <c r="AX53" i="122"/>
  <c r="AC18" i="120"/>
  <c r="AI26" i="118"/>
  <c r="AO30" i="118"/>
  <c r="V18" i="120"/>
  <c r="G13" i="120"/>
  <c r="Z50" i="118"/>
  <c r="O58" i="118"/>
  <c r="Z14" i="120"/>
  <c r="AE18" i="120"/>
  <c r="AX56" i="118"/>
  <c r="BB36" i="118"/>
  <c r="AQ17" i="120"/>
  <c r="L9" i="120"/>
  <c r="AN35" i="118"/>
  <c r="Z24" i="123"/>
  <c r="H13" i="128"/>
  <c r="S56" i="120"/>
  <c r="S17" i="123"/>
  <c r="AB38" i="121"/>
  <c r="AF24" i="128"/>
  <c r="AR10" i="121"/>
  <c r="L31" i="126"/>
  <c r="H47" i="124"/>
  <c r="AZ55" i="121"/>
  <c r="X11" i="121"/>
  <c r="AU46" i="121"/>
  <c r="BC17" i="119"/>
  <c r="M16" i="124"/>
  <c r="BB23" i="124"/>
  <c r="AK23" i="120"/>
  <c r="AF58" i="119"/>
  <c r="Z31" i="124"/>
  <c r="AY44" i="124"/>
  <c r="Z9" i="123"/>
  <c r="AN48" i="131"/>
  <c r="AY11" i="123"/>
  <c r="AB40" i="120"/>
  <c r="AQ40" i="120"/>
  <c r="AQ38" i="129"/>
  <c r="AF31" i="123"/>
  <c r="I40" i="120"/>
  <c r="X40" i="120"/>
  <c r="L39" i="129"/>
  <c r="AH43" i="123"/>
  <c r="AP40" i="120"/>
  <c r="P39" i="125"/>
  <c r="AH32" i="125"/>
  <c r="AP54" i="119"/>
  <c r="M24" i="125"/>
  <c r="BD38" i="125"/>
  <c r="AY14" i="118"/>
  <c r="AN58" i="126"/>
  <c r="AF15" i="129"/>
  <c r="Z32" i="118"/>
  <c r="BA37" i="118"/>
  <c r="U53" i="126"/>
  <c r="AF15" i="128"/>
  <c r="AW46" i="118"/>
  <c r="AL29" i="130"/>
  <c r="AR55" i="130"/>
  <c r="AB34" i="130"/>
  <c r="AI29" i="130"/>
  <c r="AU10" i="126"/>
  <c r="J38" i="123"/>
  <c r="T8" i="120"/>
  <c r="AJ14" i="120"/>
  <c r="L41" i="125"/>
  <c r="AF52" i="123"/>
  <c r="M24" i="120"/>
  <c r="AZ31" i="120"/>
  <c r="AE56" i="125"/>
  <c r="P58" i="123"/>
  <c r="AG30" i="120"/>
  <c r="S37" i="120"/>
  <c r="BB34" i="125"/>
  <c r="AZ56" i="123"/>
  <c r="BD35" i="120"/>
  <c r="BD58" i="128"/>
  <c r="J57" i="128"/>
  <c r="Q51" i="130"/>
  <c r="AM47" i="123"/>
  <c r="N37" i="124"/>
  <c r="AE26" i="118"/>
  <c r="U52" i="125"/>
  <c r="AD51" i="126"/>
  <c r="AD39" i="118"/>
  <c r="AS11" i="132"/>
  <c r="AF13" i="125"/>
  <c r="N31" i="126"/>
  <c r="BC44" i="118"/>
  <c r="BE16" i="126"/>
  <c r="N44" i="129"/>
  <c r="AG14" i="129"/>
  <c r="T12" i="129"/>
  <c r="AB9" i="129"/>
  <c r="AF18" i="122"/>
  <c r="AE57" i="120"/>
  <c r="V53" i="120"/>
  <c r="AK50" i="125"/>
  <c r="AX58" i="122"/>
  <c r="AM29" i="119"/>
  <c r="AM44" i="119"/>
  <c r="AE58" i="125"/>
  <c r="AO25" i="122"/>
  <c r="AM10" i="119"/>
  <c r="AM25" i="119"/>
  <c r="BC47" i="124"/>
  <c r="L32" i="122"/>
  <c r="AM43" i="119"/>
  <c r="Q57" i="131"/>
  <c r="L38" i="131"/>
  <c r="AG16" i="125"/>
  <c r="AS37" i="122"/>
  <c r="S8" i="122"/>
  <c r="N13" i="128"/>
  <c r="BC38" i="125"/>
  <c r="AF58" i="128"/>
  <c r="I25" i="117"/>
  <c r="AV18" i="131"/>
  <c r="AJ35" i="125"/>
  <c r="AR43" i="127"/>
  <c r="BB53" i="117"/>
  <c r="AS30" i="129"/>
  <c r="AC58" i="129"/>
  <c r="AG12" i="128"/>
  <c r="AI16" i="128"/>
  <c r="AE8" i="127"/>
  <c r="G52" i="122"/>
  <c r="BD56" i="119"/>
  <c r="AB12" i="119"/>
  <c r="Y22" i="128"/>
  <c r="N25" i="122"/>
  <c r="AS56" i="119"/>
  <c r="AC12" i="119"/>
  <c r="AV10" i="129"/>
  <c r="AJ33" i="122"/>
  <c r="M11" i="119"/>
  <c r="X24" i="119"/>
  <c r="AC53" i="127"/>
  <c r="N41" i="122"/>
  <c r="L23" i="119"/>
  <c r="BA12" i="128"/>
  <c r="BC52" i="131"/>
  <c r="AS33" i="119"/>
  <c r="N52" i="118"/>
  <c r="AD54" i="117"/>
  <c r="L57" i="118"/>
  <c r="O23" i="122"/>
  <c r="S44" i="130"/>
  <c r="AS32" i="125"/>
  <c r="BB58" i="122"/>
  <c r="H14" i="122"/>
  <c r="Z18" i="117"/>
  <c r="BB50" i="120"/>
  <c r="AX27" i="117"/>
  <c r="AR35" i="117"/>
  <c r="X55" i="126"/>
  <c r="M55" i="120"/>
  <c r="AF20" i="117"/>
  <c r="AH27" i="117"/>
  <c r="BA35" i="121"/>
  <c r="X15" i="122"/>
  <c r="K11" i="124"/>
  <c r="AI12" i="124"/>
  <c r="AE16" i="124"/>
  <c r="AW16" i="122"/>
  <c r="K16" i="124"/>
  <c r="AI17" i="124"/>
  <c r="AL41" i="125"/>
  <c r="O38" i="122"/>
  <c r="AG22" i="124"/>
  <c r="AZ23" i="124"/>
  <c r="AW31" i="125"/>
  <c r="J23" i="129"/>
  <c r="BC48" i="128"/>
  <c r="BD55" i="125"/>
  <c r="H45" i="120"/>
  <c r="AZ32" i="122"/>
  <c r="AV12" i="124"/>
  <c r="T15" i="123"/>
  <c r="AY37" i="121"/>
  <c r="N17" i="128"/>
  <c r="AF24" i="121"/>
  <c r="AB53" i="121"/>
  <c r="J46" i="131"/>
  <c r="AK50" i="123"/>
  <c r="M8" i="121"/>
  <c r="BB14" i="121"/>
  <c r="T43" i="130"/>
  <c r="AH38" i="123"/>
  <c r="AJ23" i="121"/>
  <c r="N31" i="121"/>
  <c r="M30" i="123"/>
  <c r="BA18" i="122"/>
  <c r="S15" i="124"/>
  <c r="AR21" i="124"/>
  <c r="AF45" i="124"/>
  <c r="AJ21" i="122"/>
  <c r="AN16" i="124"/>
  <c r="BD17" i="124"/>
  <c r="AI16" i="124"/>
  <c r="P23" i="122"/>
  <c r="AK22" i="124"/>
  <c r="BD23" i="124"/>
  <c r="BD16" i="124"/>
  <c r="AI22" i="125"/>
  <c r="BB9" i="124"/>
  <c r="AX38" i="121"/>
  <c r="T15" i="118"/>
  <c r="AT17" i="121"/>
  <c r="L36" i="123"/>
  <c r="BD20" i="128"/>
  <c r="AK53" i="119"/>
  <c r="I34" i="128"/>
  <c r="M42" i="119"/>
  <c r="T20" i="119"/>
  <c r="Z40" i="127"/>
  <c r="BE27" i="123"/>
  <c r="M21" i="120"/>
  <c r="K13" i="120"/>
  <c r="AL8" i="126"/>
  <c r="N35" i="123"/>
  <c r="AV11" i="120"/>
  <c r="AN18" i="120"/>
  <c r="AV40" i="119"/>
  <c r="I48" i="122"/>
  <c r="P57" i="124"/>
  <c r="AH58" i="124"/>
  <c r="AJ26" i="120"/>
  <c r="AR54" i="122"/>
  <c r="O49" i="124"/>
  <c r="AK50" i="124"/>
  <c r="BC31" i="120"/>
  <c r="AN45" i="122"/>
  <c r="M8" i="124"/>
  <c r="AC9" i="124"/>
  <c r="AX10" i="120"/>
  <c r="M39" i="129"/>
  <c r="G44" i="120"/>
  <c r="S38" i="130"/>
  <c r="I41" i="128"/>
  <c r="AV53" i="120"/>
  <c r="AO10" i="121"/>
  <c r="I14" i="132"/>
  <c r="V33" i="125"/>
  <c r="O43" i="126"/>
  <c r="AJ50" i="118"/>
  <c r="W46" i="127"/>
  <c r="AO14" i="125"/>
  <c r="AM29" i="122"/>
  <c r="AM44" i="122"/>
  <c r="AT42" i="127"/>
  <c r="X38" i="127"/>
  <c r="L54" i="130"/>
  <c r="N31" i="131"/>
  <c r="AN39" i="125"/>
  <c r="BE33" i="130"/>
  <c r="N33" i="125"/>
  <c r="L31" i="125"/>
  <c r="G29" i="125"/>
  <c r="P55" i="130"/>
  <c r="AC48" i="125"/>
  <c r="AI58" i="125"/>
  <c r="AM57" i="124"/>
  <c r="AC46" i="127"/>
  <c r="AL34" i="129"/>
  <c r="AH53" i="122"/>
  <c r="AF49" i="122"/>
  <c r="BD23" i="129"/>
  <c r="Q27" i="123"/>
  <c r="AL38" i="123"/>
  <c r="AQ50" i="123"/>
  <c r="AY16" i="129"/>
  <c r="AM30" i="122"/>
  <c r="BD16" i="122"/>
  <c r="AX29" i="122"/>
  <c r="J30" i="129"/>
  <c r="BB58" i="129"/>
  <c r="X49" i="123"/>
  <c r="T24" i="130"/>
  <c r="AT51" i="127"/>
  <c r="AK37" i="124"/>
  <c r="AG15" i="129"/>
  <c r="G34" i="131"/>
  <c r="AE53" i="124"/>
  <c r="AC44" i="124"/>
  <c r="AE22" i="129"/>
  <c r="O41" i="131"/>
  <c r="K23" i="124"/>
  <c r="AO32" i="124"/>
  <c r="AK32" i="130"/>
  <c r="S17" i="129"/>
  <c r="BD12" i="121"/>
  <c r="BB49" i="121"/>
  <c r="AW15" i="128"/>
  <c r="BD21" i="121"/>
  <c r="O51" i="121"/>
  <c r="AN15" i="121"/>
  <c r="AS31" i="125"/>
  <c r="I8" i="129"/>
  <c r="AU10" i="130"/>
  <c r="AE41" i="130"/>
  <c r="S27" i="125"/>
  <c r="I12" i="129"/>
  <c r="AR27" i="130"/>
  <c r="Y34" i="130"/>
  <c r="N40" i="124"/>
  <c r="AO55" i="129"/>
  <c r="AP36" i="130"/>
  <c r="AM48" i="129"/>
  <c r="AU14" i="124"/>
  <c r="AF12" i="129"/>
  <c r="S14" i="126"/>
  <c r="AE36" i="126"/>
  <c r="AB22" i="126"/>
  <c r="AX20" i="127"/>
  <c r="BD23" i="126"/>
  <c r="AL34" i="126"/>
  <c r="O32" i="126"/>
  <c r="AQ53" i="131"/>
  <c r="AD50" i="126"/>
  <c r="AG49" i="126"/>
  <c r="N46" i="126"/>
  <c r="AQ31" i="130"/>
  <c r="BA17" i="126"/>
  <c r="AL13" i="126"/>
  <c r="AK21" i="130"/>
  <c r="AD17" i="127"/>
  <c r="L55" i="126"/>
  <c r="AN45" i="119"/>
  <c r="M29" i="125"/>
  <c r="AT12" i="120"/>
  <c r="Y32" i="130"/>
  <c r="AT23" i="130"/>
  <c r="AY13" i="120"/>
  <c r="BA10" i="120"/>
  <c r="AJ58" i="130"/>
  <c r="O54" i="130"/>
  <c r="J26" i="120"/>
  <c r="U25" i="128"/>
  <c r="J51" i="125"/>
  <c r="T22" i="128"/>
  <c r="Y17" i="117"/>
  <c r="AW22" i="125"/>
  <c r="AW53" i="125"/>
  <c r="BA27" i="122"/>
  <c r="AU35" i="122"/>
  <c r="N29" i="129"/>
  <c r="AY43" i="125"/>
  <c r="N13" i="122"/>
  <c r="Z21" i="122"/>
  <c r="AP51" i="129"/>
  <c r="AB49" i="125"/>
  <c r="H20" i="122"/>
  <c r="BA26" i="122"/>
  <c r="G20" i="128"/>
  <c r="AW54" i="125"/>
  <c r="AL25" i="122"/>
  <c r="H54" i="129"/>
  <c r="AS24" i="128"/>
  <c r="AM13" i="120"/>
  <c r="J30" i="126"/>
  <c r="U10" i="125"/>
  <c r="AI54" i="119"/>
  <c r="AN35" i="126"/>
  <c r="AZ47" i="125"/>
  <c r="X20" i="119"/>
  <c r="J57" i="119"/>
  <c r="Q30" i="126"/>
  <c r="AC38" i="131"/>
  <c r="AM50" i="118"/>
  <c r="H14" i="126"/>
  <c r="AL51" i="130"/>
  <c r="K52" i="131"/>
  <c r="W52" i="131"/>
  <c r="AC9" i="130"/>
  <c r="T33" i="123"/>
  <c r="AR21" i="120"/>
  <c r="AB12" i="120"/>
  <c r="AL22" i="127"/>
  <c r="Y47" i="129"/>
  <c r="AU32" i="128"/>
  <c r="K46" i="129"/>
  <c r="BD21" i="122"/>
  <c r="Z56" i="128"/>
  <c r="AC57" i="130"/>
  <c r="G38" i="122"/>
  <c r="M39" i="122"/>
  <c r="AP55" i="128"/>
  <c r="AL58" i="130"/>
  <c r="M20" i="122"/>
  <c r="AV47" i="122"/>
  <c r="AZ33" i="127"/>
  <c r="AW8" i="127"/>
  <c r="AE40" i="119"/>
  <c r="O34" i="119"/>
  <c r="X44" i="127"/>
  <c r="AX37" i="124"/>
  <c r="AN45" i="124"/>
  <c r="W48" i="124"/>
  <c r="AC47" i="127"/>
  <c r="AL26" i="124"/>
  <c r="X34" i="124"/>
  <c r="J37" i="124"/>
  <c r="AI46" i="127"/>
  <c r="K15" i="126"/>
  <c r="AW29" i="127"/>
  <c r="BC44" i="126"/>
  <c r="BC34" i="130"/>
  <c r="AX57" i="122"/>
  <c r="AU29" i="127"/>
  <c r="AU33" i="129"/>
  <c r="AU23" i="122"/>
  <c r="AT14" i="122"/>
  <c r="N26" i="127"/>
  <c r="AQ39" i="129"/>
  <c r="AK36" i="122"/>
  <c r="I24" i="122"/>
  <c r="Y33" i="126"/>
  <c r="AQ40" i="126"/>
  <c r="J33" i="119"/>
  <c r="AG16" i="119"/>
  <c r="AF12" i="126"/>
  <c r="U31" i="124"/>
  <c r="AQ26" i="124"/>
  <c r="AF38" i="124"/>
  <c r="AB12" i="129"/>
  <c r="AU54" i="129"/>
  <c r="V39" i="128"/>
  <c r="AN9" i="127"/>
  <c r="S27" i="129"/>
  <c r="S52" i="129"/>
  <c r="AE41" i="128"/>
  <c r="Z13" i="127"/>
  <c r="P24" i="129"/>
  <c r="Q40" i="128"/>
  <c r="AJ51" i="128"/>
  <c r="L15" i="127"/>
  <c r="AG8" i="129"/>
  <c r="BC18" i="129"/>
  <c r="AR31" i="131"/>
  <c r="AW13" i="124"/>
  <c r="AY37" i="124"/>
  <c r="BC25" i="129"/>
  <c r="S17" i="131"/>
  <c r="AD54" i="124"/>
  <c r="O39" i="124"/>
  <c r="Y50" i="129"/>
  <c r="AE15" i="131"/>
  <c r="M27" i="124"/>
  <c r="AS11" i="124"/>
  <c r="U56" i="129"/>
  <c r="BE41" i="131"/>
  <c r="T48" i="124"/>
  <c r="X39" i="130"/>
  <c r="O32" i="130"/>
  <c r="S26" i="117"/>
  <c r="AH55" i="125"/>
  <c r="T46" i="124"/>
  <c r="BD32" i="118"/>
  <c r="AZ17" i="125"/>
  <c r="L52" i="127"/>
  <c r="AC31" i="118"/>
  <c r="V29" i="118"/>
  <c r="AG26" i="125"/>
  <c r="AM27" i="126"/>
  <c r="M44" i="118"/>
  <c r="AM49" i="128"/>
  <c r="AE24" i="129"/>
  <c r="N32" i="130"/>
  <c r="AX25" i="130"/>
  <c r="L58" i="125"/>
  <c r="AQ55" i="123"/>
  <c r="O26" i="120"/>
  <c r="AP45" i="120"/>
  <c r="AR23" i="130"/>
  <c r="K36" i="122"/>
  <c r="G35" i="120"/>
  <c r="AK47" i="120"/>
  <c r="AC24" i="130"/>
  <c r="AN42" i="122"/>
  <c r="S46" i="120"/>
  <c r="Q53" i="120"/>
  <c r="BD24" i="130"/>
  <c r="S24" i="122"/>
  <c r="AT51" i="120"/>
  <c r="AT12" i="131"/>
  <c r="AL17" i="127"/>
  <c r="AB37" i="129"/>
  <c r="K38" i="127"/>
  <c r="AS54" i="120"/>
  <c r="AX20" i="126"/>
  <c r="AY43" i="131"/>
  <c r="G13" i="125"/>
  <c r="AB21" i="125"/>
  <c r="W53" i="126"/>
  <c r="M11" i="130"/>
  <c r="BD50" i="125"/>
  <c r="Q33" i="125"/>
  <c r="AH12" i="127"/>
  <c r="M20" i="130"/>
  <c r="J25" i="127"/>
  <c r="AS10" i="127"/>
  <c r="AS8" i="124"/>
  <c r="AG10" i="121"/>
  <c r="X23" i="118"/>
  <c r="X9" i="131"/>
  <c r="Z21" i="131"/>
  <c r="AQ51" i="129"/>
  <c r="AJ55" i="119"/>
  <c r="AD12" i="124"/>
  <c r="M22" i="120"/>
  <c r="M55" i="130"/>
  <c r="Z40" i="129"/>
  <c r="AJ21" i="120"/>
  <c r="AJ12" i="120"/>
  <c r="BD12" i="129"/>
  <c r="AD10" i="129"/>
  <c r="BA27" i="120"/>
  <c r="AX45" i="128"/>
  <c r="Y40" i="124"/>
  <c r="K37" i="127"/>
  <c r="M25" i="117"/>
  <c r="BE55" i="130"/>
  <c r="N47" i="125"/>
  <c r="AK11" i="122"/>
  <c r="AC18" i="122"/>
  <c r="Q13" i="129"/>
  <c r="AJ20" i="124"/>
  <c r="Q16" i="122"/>
  <c r="S26" i="122"/>
  <c r="AI58" i="129"/>
  <c r="AV33" i="127"/>
  <c r="BE35" i="127"/>
  <c r="AU56" i="125"/>
  <c r="Y33" i="117"/>
  <c r="AY43" i="129"/>
  <c r="AF46" i="120"/>
  <c r="AX48" i="128"/>
  <c r="H58" i="128"/>
  <c r="M50" i="120"/>
  <c r="P52" i="120"/>
  <c r="BA12" i="127"/>
  <c r="AJ8" i="127"/>
  <c r="M33" i="120"/>
  <c r="AU9" i="126"/>
  <c r="AT56" i="131"/>
  <c r="AD43" i="127"/>
  <c r="BE12" i="126"/>
  <c r="BB26" i="128"/>
  <c r="W23" i="124"/>
  <c r="AS44" i="122"/>
  <c r="AU51" i="122"/>
  <c r="AD17" i="129"/>
  <c r="K25" i="127"/>
  <c r="AR29" i="128"/>
  <c r="K31" i="127"/>
  <c r="AP41" i="129"/>
  <c r="AD42" i="127"/>
  <c r="AO37" i="128"/>
  <c r="G57" i="127"/>
  <c r="AG47" i="129"/>
  <c r="BA51" i="127"/>
  <c r="J27" i="128"/>
  <c r="T33" i="127"/>
  <c r="AG53" i="129"/>
  <c r="Z56" i="129"/>
  <c r="H45" i="131"/>
  <c r="AM13" i="123"/>
  <c r="G22" i="123"/>
  <c r="AZ41" i="129"/>
  <c r="AF27" i="131"/>
  <c r="AZ37" i="123"/>
  <c r="U38" i="123"/>
  <c r="AK17" i="128"/>
  <c r="BC10" i="130"/>
  <c r="W25" i="123"/>
  <c r="I45" i="123"/>
  <c r="AS14" i="128"/>
  <c r="AW14" i="130"/>
  <c r="AD30" i="123"/>
  <c r="BE18" i="130"/>
  <c r="W17" i="130"/>
  <c r="AH54" i="128"/>
  <c r="BA8" i="123"/>
  <c r="BC27" i="123"/>
  <c r="AV35" i="125"/>
  <c r="AK32" i="129"/>
  <c r="U42" i="118"/>
  <c r="AK40" i="131"/>
  <c r="AJ53" i="125"/>
  <c r="BB31" i="125"/>
  <c r="W39" i="118"/>
  <c r="T14" i="127"/>
  <c r="AF45" i="129"/>
  <c r="AO43" i="129"/>
  <c r="I42" i="129"/>
  <c r="K41" i="125"/>
  <c r="AE13" i="122"/>
  <c r="G56" i="120"/>
  <c r="AM11" i="119"/>
  <c r="I11" i="130"/>
  <c r="H45" i="122"/>
  <c r="AS9" i="119"/>
  <c r="BE15" i="119"/>
  <c r="AT16" i="127"/>
  <c r="AH31" i="122"/>
  <c r="AS14" i="119"/>
  <c r="BD11" i="119"/>
  <c r="H31" i="125"/>
  <c r="M11" i="122"/>
  <c r="AN9" i="119"/>
  <c r="AU51" i="132"/>
  <c r="AZ42" i="129"/>
  <c r="W11" i="131"/>
  <c r="S15" i="128"/>
  <c r="AW54" i="119"/>
  <c r="AT17" i="126"/>
  <c r="AN42" i="130"/>
  <c r="BB8" i="131"/>
  <c r="G48" i="131"/>
  <c r="P27" i="126"/>
  <c r="I49" i="130"/>
  <c r="AZ32" i="131"/>
  <c r="N34" i="131"/>
  <c r="AV43" i="128"/>
  <c r="AP12" i="128"/>
  <c r="AU37" i="127"/>
  <c r="Y25" i="127"/>
  <c r="AZ20" i="120"/>
  <c r="AU11" i="120"/>
  <c r="AH54" i="118"/>
  <c r="W12" i="127"/>
  <c r="AO17" i="127"/>
  <c r="U57" i="126"/>
  <c r="Z36" i="117"/>
  <c r="AY54" i="129"/>
  <c r="AY47" i="120"/>
  <c r="Q57" i="128"/>
  <c r="N53" i="128"/>
  <c r="I51" i="120"/>
  <c r="AN33" i="120"/>
  <c r="AF29" i="128"/>
  <c r="AM9" i="127"/>
  <c r="AG55" i="120"/>
  <c r="AG52" i="127"/>
  <c r="J57" i="131"/>
  <c r="AV15" i="130"/>
  <c r="Y52" i="127"/>
  <c r="AD50" i="129"/>
  <c r="BB22" i="124"/>
  <c r="AO37" i="122"/>
  <c r="AQ45" i="122"/>
  <c r="P9" i="127"/>
  <c r="AB12" i="124"/>
  <c r="AS26" i="121"/>
  <c r="BC36" i="121"/>
  <c r="BA9" i="127"/>
  <c r="AZ30" i="130"/>
  <c r="AL27" i="130"/>
  <c r="BB51" i="127"/>
  <c r="AW48" i="130"/>
  <c r="AI21" i="127"/>
  <c r="BD53" i="119"/>
  <c r="AM11" i="126"/>
  <c r="M8" i="130"/>
  <c r="P18" i="119"/>
  <c r="L10" i="119"/>
  <c r="AG26" i="126"/>
  <c r="AE26" i="129"/>
  <c r="AN17" i="119"/>
  <c r="AE23" i="126"/>
  <c r="J55" i="122"/>
  <c r="AU15" i="123"/>
  <c r="AE52" i="123"/>
  <c r="BC58" i="120"/>
  <c r="AE31" i="120"/>
  <c r="I24" i="125"/>
  <c r="AX57" i="123"/>
  <c r="I30" i="120"/>
  <c r="AX36" i="120"/>
  <c r="BC8" i="125"/>
  <c r="AL56" i="123"/>
  <c r="AI35" i="120"/>
  <c r="P38" i="128"/>
  <c r="BD45" i="128"/>
  <c r="AN33" i="131"/>
  <c r="S54" i="124"/>
  <c r="I14" i="124"/>
  <c r="P24" i="118"/>
  <c r="Q52" i="125"/>
  <c r="T52" i="126"/>
  <c r="L41" i="118"/>
  <c r="BC29" i="118"/>
  <c r="H13" i="125"/>
  <c r="J18" i="126"/>
  <c r="AW45" i="118"/>
  <c r="AU47" i="127"/>
  <c r="M17" i="129"/>
  <c r="AE13" i="129"/>
  <c r="AK29" i="129"/>
  <c r="AR44" i="130"/>
  <c r="BE14" i="122"/>
  <c r="BC45" i="120"/>
  <c r="AY53" i="120"/>
  <c r="AR58" i="131"/>
  <c r="AC54" i="122"/>
  <c r="J51" i="120"/>
  <c r="L58" i="120"/>
  <c r="AI47" i="130"/>
  <c r="BA24" i="122"/>
  <c r="AL56" i="120"/>
  <c r="U29" i="120"/>
  <c r="Q10" i="129"/>
  <c r="V31" i="122"/>
  <c r="BB26" i="120"/>
  <c r="J14" i="131"/>
  <c r="AV44" i="131"/>
  <c r="AP34" i="126"/>
  <c r="AS23" i="122"/>
  <c r="AK53" i="123"/>
  <c r="Y24" i="132"/>
  <c r="BC48" i="125"/>
  <c r="J51" i="129"/>
  <c r="AE40" i="117"/>
  <c r="V22" i="128"/>
  <c r="AD45" i="125"/>
  <c r="AJ49" i="128"/>
  <c r="BB11" i="117"/>
  <c r="AW40" i="129"/>
  <c r="O51" i="129"/>
  <c r="H12" i="128"/>
  <c r="BE14" i="128"/>
  <c r="AE55" i="126"/>
  <c r="AC51" i="122"/>
  <c r="W56" i="119"/>
  <c r="X12" i="119"/>
  <c r="N41" i="127"/>
  <c r="AL16" i="122"/>
  <c r="AO56" i="119"/>
  <c r="Y12" i="119"/>
  <c r="AR56" i="127"/>
  <c r="J25" i="122"/>
  <c r="I11" i="119"/>
  <c r="BE23" i="119"/>
  <c r="J40" i="126"/>
  <c r="X33" i="122"/>
  <c r="AQ22" i="119"/>
  <c r="AB17" i="127"/>
  <c r="BD55" i="127"/>
  <c r="AK55" i="122"/>
  <c r="BE39" i="120"/>
  <c r="BE46" i="121"/>
  <c r="P56" i="127"/>
  <c r="BE39" i="131"/>
  <c r="U49" i="126"/>
  <c r="AF49" i="117"/>
  <c r="Z31" i="129"/>
  <c r="J49" i="131"/>
  <c r="G14" i="129"/>
  <c r="BE38" i="131"/>
  <c r="X48" i="126"/>
  <c r="AS48" i="127"/>
  <c r="AL49" i="128"/>
  <c r="M45" i="128"/>
  <c r="AD54" i="129"/>
  <c r="K10" i="121"/>
  <c r="T46" i="119"/>
  <c r="V53" i="119"/>
  <c r="K10" i="127"/>
  <c r="AE23" i="121"/>
  <c r="AD9" i="119"/>
  <c r="AY16" i="119"/>
  <c r="BA25" i="127"/>
  <c r="BB29" i="121"/>
  <c r="AD15" i="119"/>
  <c r="AD23" i="119"/>
  <c r="AQ26" i="127"/>
  <c r="Y35" i="121"/>
  <c r="H22" i="119"/>
  <c r="AZ11" i="130"/>
  <c r="AG43" i="125"/>
  <c r="AG41" i="124"/>
  <c r="N54" i="124"/>
  <c r="AG33" i="123"/>
  <c r="H50" i="126"/>
  <c r="AB33" i="122"/>
  <c r="AC40" i="124"/>
  <c r="X22" i="124"/>
  <c r="BB38" i="122"/>
  <c r="G49" i="122"/>
  <c r="AQ42" i="128"/>
  <c r="AC31" i="119"/>
  <c r="AE11" i="117"/>
  <c r="S18" i="117"/>
  <c r="BA32" i="127"/>
  <c r="AI12" i="119"/>
  <c r="X12" i="117"/>
  <c r="AO18" i="117"/>
  <c r="I27" i="118"/>
  <c r="AE52" i="120"/>
  <c r="AG48" i="118"/>
  <c r="W51" i="122"/>
  <c r="Z51" i="120"/>
  <c r="X58" i="120"/>
  <c r="BE39" i="129"/>
  <c r="AU22" i="122"/>
  <c r="AY56" i="120"/>
  <c r="AG29" i="120"/>
  <c r="AD41" i="129"/>
  <c r="AF30" i="122"/>
  <c r="O27" i="120"/>
  <c r="J47" i="125"/>
  <c r="X39" i="125"/>
  <c r="W32" i="126"/>
  <c r="AE52" i="122"/>
  <c r="AV56" i="123"/>
  <c r="AV46" i="131"/>
  <c r="T58" i="125"/>
  <c r="AT54" i="130"/>
  <c r="AK54" i="118"/>
  <c r="AH11" i="131"/>
  <c r="X54" i="125"/>
  <c r="AK37" i="129"/>
  <c r="L40" i="117"/>
  <c r="O15" i="130"/>
  <c r="AS35" i="129"/>
  <c r="N55" i="129"/>
  <c r="T40" i="128"/>
  <c r="S23" i="127"/>
  <c r="AC50" i="122"/>
  <c r="W55" i="119"/>
  <c r="AO11" i="119"/>
  <c r="W47" i="131"/>
  <c r="AH8" i="122"/>
  <c r="AJ56" i="119"/>
  <c r="U12" i="119"/>
  <c r="AQ50" i="128"/>
  <c r="AD16" i="122"/>
  <c r="BB10" i="119"/>
  <c r="BA23" i="119"/>
  <c r="M45" i="125"/>
  <c r="BC24" i="122"/>
  <c r="AL22" i="119"/>
  <c r="H49" i="128"/>
  <c r="W26" i="128"/>
  <c r="M29" i="122"/>
  <c r="AB48" i="120"/>
  <c r="AU42" i="121"/>
  <c r="AD10" i="127"/>
  <c r="O34" i="131"/>
  <c r="AL41" i="126"/>
  <c r="AB49" i="117"/>
  <c r="AJ11" i="127"/>
  <c r="Y48" i="131"/>
  <c r="AB12" i="126"/>
  <c r="BE54" i="117"/>
  <c r="Y27" i="126"/>
  <c r="AV52" i="128"/>
  <c r="AX44" i="128"/>
  <c r="AD39" i="128"/>
  <c r="I47" i="130"/>
  <c r="AQ57" i="121"/>
  <c r="AI49" i="119"/>
  <c r="AC56" i="119"/>
  <c r="BB47" i="128"/>
  <c r="W23" i="121"/>
  <c r="X54" i="119"/>
  <c r="AK21" i="119"/>
  <c r="H37" i="128"/>
  <c r="AX29" i="121"/>
  <c r="O20" i="119"/>
  <c r="BD26" i="119"/>
  <c r="AW44" i="128"/>
  <c r="U35" i="121"/>
  <c r="AK25" i="119"/>
  <c r="BB56" i="131"/>
  <c r="AM29" i="130"/>
  <c r="AC20" i="118"/>
  <c r="AW17" i="118"/>
  <c r="AT27" i="120"/>
  <c r="AK44" i="131"/>
  <c r="AQ24" i="131"/>
  <c r="AC34" i="126"/>
  <c r="AE22" i="125"/>
  <c r="V37" i="129"/>
  <c r="AH44" i="131"/>
  <c r="Q23" i="125"/>
  <c r="H20" i="125"/>
  <c r="AC48" i="129"/>
  <c r="T45" i="131"/>
  <c r="AR15" i="128"/>
  <c r="AM21" i="127"/>
  <c r="AT13" i="125"/>
  <c r="AW15" i="121"/>
  <c r="S32" i="118"/>
  <c r="AH9" i="118"/>
  <c r="AO43" i="124"/>
  <c r="BB15" i="121"/>
  <c r="AD11" i="118"/>
  <c r="BD23" i="118"/>
  <c r="AV37" i="124"/>
  <c r="AE22" i="121"/>
  <c r="AI17" i="118"/>
  <c r="AV41" i="118"/>
  <c r="J52" i="124"/>
  <c r="AT27" i="121"/>
  <c r="Y39" i="118"/>
  <c r="AG26" i="123"/>
  <c r="AL26" i="130"/>
  <c r="AO37" i="123"/>
  <c r="V51" i="125"/>
  <c r="AG23" i="122"/>
  <c r="AR51" i="130"/>
  <c r="AM44" i="121"/>
  <c r="AL45" i="128"/>
  <c r="BC29" i="124"/>
  <c r="BE29" i="121"/>
  <c r="AU36" i="121"/>
  <c r="AK29" i="124"/>
  <c r="AC13" i="119"/>
  <c r="BC50" i="124"/>
  <c r="H58" i="124"/>
  <c r="Q9" i="124"/>
  <c r="W20" i="119"/>
  <c r="G9" i="124"/>
  <c r="AR15" i="124"/>
  <c r="I41" i="125"/>
  <c r="AO30" i="120"/>
  <c r="AT14" i="125"/>
  <c r="AW45" i="120"/>
  <c r="AX14" i="117"/>
  <c r="AR22" i="117"/>
  <c r="AB10" i="118"/>
  <c r="L51" i="120"/>
  <c r="Y21" i="117"/>
  <c r="AG9" i="117"/>
  <c r="L11" i="118"/>
  <c r="AB56" i="120"/>
  <c r="Q8" i="117"/>
  <c r="AJ34" i="126"/>
  <c r="H43" i="128"/>
  <c r="I24" i="126"/>
  <c r="AS32" i="126"/>
  <c r="O49" i="117"/>
  <c r="AV40" i="129"/>
  <c r="W40" i="129"/>
  <c r="V24" i="130"/>
  <c r="BD18" i="130"/>
  <c r="V35" i="129"/>
  <c r="W9" i="129"/>
  <c r="AG16" i="130"/>
  <c r="AC51" i="130"/>
  <c r="S51" i="128"/>
  <c r="H53" i="127"/>
  <c r="Y23" i="126"/>
  <c r="AT12" i="126"/>
  <c r="AP38" i="131"/>
  <c r="AN43" i="120"/>
  <c r="L33" i="117"/>
  <c r="BA39" i="117"/>
  <c r="AZ38" i="128"/>
  <c r="AN47" i="120"/>
  <c r="M35" i="117"/>
  <c r="BD42" i="117"/>
  <c r="BD38" i="128"/>
  <c r="BB52" i="120"/>
  <c r="AI41" i="117"/>
  <c r="AO52" i="117"/>
  <c r="Y39" i="128"/>
  <c r="AC58" i="120"/>
  <c r="Z51" i="117"/>
  <c r="AM18" i="125"/>
  <c r="O45" i="126"/>
  <c r="AC52" i="130"/>
  <c r="AQ14" i="128"/>
  <c r="BE10" i="125"/>
  <c r="Z52" i="126"/>
  <c r="V33" i="129"/>
  <c r="AY17" i="129"/>
  <c r="X47" i="129"/>
  <c r="AN36" i="128"/>
  <c r="J39" i="129"/>
  <c r="BC31" i="129"/>
  <c r="AQ58" i="129"/>
  <c r="X52" i="131"/>
  <c r="O34" i="126"/>
  <c r="L32" i="126"/>
  <c r="AS15" i="126"/>
  <c r="AJ51" i="126"/>
  <c r="Y37" i="119"/>
  <c r="AW25" i="117"/>
  <c r="AL33" i="117"/>
  <c r="AU8" i="124"/>
  <c r="L43" i="119"/>
  <c r="AU21" i="124"/>
  <c r="BE31" i="124"/>
  <c r="AR13" i="124"/>
  <c r="AB48" i="119"/>
  <c r="V30" i="124"/>
  <c r="X39" i="124"/>
  <c r="AV13" i="124"/>
  <c r="AW53" i="119"/>
  <c r="AB37" i="124"/>
  <c r="O41" i="125"/>
  <c r="X55" i="129"/>
  <c r="AM29" i="128"/>
  <c r="AE45" i="129"/>
  <c r="AE45" i="130"/>
  <c r="AW9" i="128"/>
  <c r="AM24" i="128"/>
  <c r="G23" i="128"/>
  <c r="AQ18" i="128"/>
  <c r="AK43" i="128"/>
  <c r="AG45" i="126"/>
  <c r="AP33" i="128"/>
  <c r="G27" i="128"/>
  <c r="AP17" i="127"/>
  <c r="J54" i="126"/>
  <c r="AZ21" i="125"/>
  <c r="AI13" i="125"/>
  <c r="AK41" i="122"/>
  <c r="G37" i="119"/>
  <c r="AR55" i="124"/>
  <c r="AW11" i="124"/>
  <c r="AZ54" i="121"/>
  <c r="J43" i="119"/>
  <c r="AZ39" i="124"/>
  <c r="AK47" i="124"/>
  <c r="Q50" i="121"/>
  <c r="AL48" i="119"/>
  <c r="S46" i="124"/>
  <c r="Q53" i="124"/>
  <c r="M40" i="120"/>
  <c r="L54" i="119"/>
  <c r="AT51" i="124"/>
  <c r="Q13" i="123"/>
  <c r="AP47" i="118"/>
  <c r="AB52" i="120"/>
  <c r="M54" i="119"/>
  <c r="U33" i="124"/>
  <c r="AR35" i="124"/>
  <c r="AP22" i="119"/>
  <c r="AR24" i="126"/>
  <c r="AE20" i="122"/>
  <c r="AN21" i="119"/>
  <c r="AV34" i="119"/>
  <c r="T24" i="127"/>
  <c r="AH16" i="125"/>
  <c r="G11" i="125"/>
  <c r="AG17" i="125"/>
  <c r="S24" i="126"/>
  <c r="BE48" i="125"/>
  <c r="AJ41" i="125"/>
  <c r="Q32" i="125"/>
  <c r="AD48" i="127"/>
  <c r="T29" i="123"/>
  <c r="AU15" i="121"/>
  <c r="BC51" i="119"/>
  <c r="AP17" i="119"/>
  <c r="T44" i="129"/>
  <c r="V24" i="121"/>
  <c r="Y16" i="119"/>
  <c r="Q24" i="119"/>
  <c r="AH51" i="129"/>
  <c r="AL32" i="121"/>
  <c r="AZ22" i="119"/>
  <c r="AL36" i="125"/>
  <c r="J27" i="124"/>
  <c r="V39" i="119"/>
  <c r="AF40" i="118"/>
  <c r="Y23" i="120"/>
  <c r="AO24" i="125"/>
  <c r="BA11" i="131"/>
  <c r="AU15" i="126"/>
  <c r="Y38" i="126"/>
  <c r="BE57" i="125"/>
  <c r="AU58" i="131"/>
  <c r="T51" i="126"/>
  <c r="AD25" i="126"/>
  <c r="P57" i="130"/>
  <c r="I49" i="131"/>
  <c r="AG51" i="128"/>
  <c r="X52" i="128"/>
  <c r="I31" i="126"/>
  <c r="T12" i="121"/>
  <c r="Z15" i="118"/>
  <c r="Z23" i="118"/>
  <c r="BB51" i="125"/>
  <c r="AX15" i="121"/>
  <c r="O38" i="118"/>
  <c r="V36" i="118"/>
  <c r="M27" i="125"/>
  <c r="W22" i="121"/>
  <c r="AY30" i="118"/>
  <c r="Z45" i="118"/>
  <c r="AQ57" i="125"/>
  <c r="AP27" i="121"/>
  <c r="H44" i="118"/>
  <c r="AY49" i="132"/>
  <c r="P30" i="129"/>
  <c r="AV42" i="131"/>
  <c r="BE37" i="130"/>
  <c r="U9" i="119"/>
  <c r="X33" i="125"/>
  <c r="BC20" i="130"/>
  <c r="BB32" i="125"/>
  <c r="AX43" i="125"/>
  <c r="AI57" i="131"/>
  <c r="L34" i="130"/>
  <c r="AD47" i="125"/>
  <c r="P53" i="125"/>
  <c r="L27" i="126"/>
  <c r="M21" i="129"/>
  <c r="O48" i="127"/>
  <c r="O38" i="127"/>
  <c r="AJ24" i="122"/>
  <c r="W58" i="121"/>
  <c r="AV26" i="118"/>
  <c r="AQ31" i="118"/>
  <c r="AT11" i="121"/>
  <c r="S12" i="120"/>
  <c r="M32" i="118"/>
  <c r="BB38" i="118"/>
  <c r="L17" i="121"/>
  <c r="AR17" i="120"/>
  <c r="AI37" i="118"/>
  <c r="Y45" i="118"/>
  <c r="AX11" i="121"/>
  <c r="X8" i="120"/>
  <c r="G44" i="118"/>
  <c r="Y57" i="128"/>
  <c r="H51" i="127"/>
  <c r="AC38" i="130"/>
  <c r="AO58" i="130"/>
  <c r="AV12" i="118"/>
  <c r="AH20" i="131"/>
  <c r="N18" i="130"/>
  <c r="AJ50" i="131"/>
  <c r="AQ51" i="131"/>
  <c r="AB44" i="127"/>
  <c r="BC45" i="130"/>
  <c r="Q55" i="131"/>
  <c r="V56" i="131"/>
  <c r="Z35" i="131"/>
  <c r="AJ22" i="127"/>
  <c r="J57" i="127"/>
  <c r="BE45" i="127"/>
  <c r="K18" i="118"/>
  <c r="AD39" i="120"/>
  <c r="Y9" i="117"/>
  <c r="Q16" i="117"/>
  <c r="AY38" i="130"/>
  <c r="AL38" i="120"/>
  <c r="AP51" i="117"/>
  <c r="AI58" i="117"/>
  <c r="AQ30" i="127"/>
  <c r="J45" i="120"/>
  <c r="Q57" i="117"/>
  <c r="AP32" i="117"/>
  <c r="P14" i="126"/>
  <c r="AG25" i="120"/>
  <c r="AC25" i="117"/>
  <c r="AK52" i="129"/>
  <c r="AG37" i="128"/>
  <c r="G56" i="124"/>
  <c r="AJ53" i="117"/>
  <c r="P58" i="120"/>
  <c r="BA57" i="127"/>
  <c r="BC58" i="121"/>
  <c r="AH16" i="130"/>
  <c r="H29" i="123"/>
  <c r="AP53" i="121"/>
  <c r="AI44" i="121"/>
  <c r="AP57" i="119"/>
  <c r="M29" i="118"/>
  <c r="U15" i="123"/>
  <c r="M23" i="123"/>
  <c r="AD24" i="119"/>
  <c r="O43" i="118"/>
  <c r="AC50" i="123"/>
  <c r="V13" i="123"/>
  <c r="AV51" i="123"/>
  <c r="V45" i="124"/>
  <c r="AE17" i="122"/>
  <c r="AV18" i="122"/>
  <c r="AU21" i="122"/>
  <c r="AJ50" i="117"/>
  <c r="S12" i="122"/>
  <c r="AN13" i="122"/>
  <c r="V52" i="122"/>
  <c r="AE8" i="117"/>
  <c r="O40" i="122"/>
  <c r="AE8" i="122"/>
  <c r="AV52" i="122"/>
  <c r="BD30" i="125"/>
  <c r="AE58" i="131"/>
  <c r="G21" i="119"/>
  <c r="AX54" i="117"/>
  <c r="AM49" i="117"/>
  <c r="AX24" i="129"/>
  <c r="AJ21" i="117"/>
  <c r="S48" i="124"/>
  <c r="AT38" i="127"/>
  <c r="AK31" i="124"/>
  <c r="S57" i="124"/>
  <c r="K45" i="126"/>
  <c r="X52" i="122"/>
  <c r="AS34" i="119"/>
  <c r="AF42" i="119"/>
  <c r="AN37" i="125"/>
  <c r="AM49" i="121"/>
  <c r="O35" i="119"/>
  <c r="BB42" i="119"/>
  <c r="BB18" i="121"/>
  <c r="K47" i="124"/>
  <c r="AI55" i="122"/>
  <c r="AZ56" i="122"/>
  <c r="AG26" i="121"/>
  <c r="AL16" i="124"/>
  <c r="AZ23" i="122"/>
  <c r="S25" i="122"/>
  <c r="Z30" i="122"/>
  <c r="AI57" i="117"/>
  <c r="AR17" i="122"/>
  <c r="I20" i="122"/>
  <c r="N38" i="122"/>
  <c r="AO54" i="121"/>
  <c r="AL49" i="129"/>
  <c r="P18" i="128"/>
  <c r="AZ27" i="122"/>
  <c r="AO56" i="128"/>
  <c r="Y56" i="126"/>
  <c r="BB10" i="124"/>
  <c r="AK13" i="124"/>
  <c r="AS44" i="126"/>
  <c r="Q56" i="124"/>
  <c r="AM11" i="123"/>
  <c r="AN44" i="127"/>
  <c r="W47" i="121"/>
  <c r="AM10" i="118"/>
  <c r="AM25" i="118"/>
  <c r="X17" i="126"/>
  <c r="AT52" i="121"/>
  <c r="X35" i="118"/>
  <c r="AU10" i="118"/>
  <c r="AN23" i="117"/>
  <c r="X36" i="122"/>
  <c r="AE35" i="122"/>
  <c r="O37" i="122"/>
  <c r="AV39" i="117"/>
  <c r="I31" i="122"/>
  <c r="AK42" i="122"/>
  <c r="AE44" i="122"/>
  <c r="AU57" i="118"/>
  <c r="X56" i="123"/>
  <c r="K55" i="122"/>
  <c r="AB25" i="122"/>
  <c r="AP50" i="118"/>
  <c r="H20" i="126"/>
  <c r="AT35" i="128"/>
  <c r="J16" i="124"/>
  <c r="AR35" i="121"/>
  <c r="L51" i="123"/>
  <c r="AP21" i="119"/>
  <c r="J38" i="129"/>
  <c r="AP12" i="130"/>
  <c r="AO39" i="125"/>
  <c r="J30" i="124"/>
  <c r="P15" i="131"/>
  <c r="AS20" i="123"/>
  <c r="AH31" i="121"/>
  <c r="T38" i="121"/>
  <c r="AE39" i="128"/>
  <c r="V11" i="131"/>
  <c r="AY33" i="130"/>
  <c r="AP35" i="130"/>
  <c r="BA13" i="123"/>
  <c r="AR17" i="128"/>
  <c r="BE44" i="130"/>
  <c r="T30" i="123"/>
  <c r="BE18" i="123"/>
  <c r="BA25" i="128"/>
  <c r="P29" i="130"/>
  <c r="AY35" i="123"/>
  <c r="J26" i="123"/>
  <c r="AG58" i="128"/>
  <c r="K53" i="128"/>
  <c r="Z30" i="120"/>
  <c r="AP53" i="120"/>
  <c r="J26" i="127"/>
  <c r="AJ41" i="117"/>
  <c r="P48" i="117"/>
  <c r="BA50" i="117"/>
  <c r="AB47" i="127"/>
  <c r="BE48" i="117"/>
  <c r="AS55" i="117"/>
  <c r="V58" i="117"/>
  <c r="AQ52" i="127"/>
  <c r="AW18" i="126"/>
  <c r="AN34" i="128"/>
  <c r="AU23" i="127"/>
  <c r="AI46" i="129"/>
  <c r="AP33" i="122"/>
  <c r="U50" i="128"/>
  <c r="BB52" i="130"/>
  <c r="AR13" i="122"/>
  <c r="O36" i="122"/>
  <c r="AM29" i="127"/>
  <c r="AL40" i="129"/>
  <c r="O57" i="122"/>
  <c r="O51" i="122"/>
  <c r="M51" i="127"/>
  <c r="AC27" i="125"/>
  <c r="AZ15" i="119"/>
  <c r="AV57" i="119"/>
  <c r="BD37" i="127"/>
  <c r="BB37" i="124"/>
  <c r="AV45" i="124"/>
  <c r="AE48" i="124"/>
  <c r="AP42" i="130"/>
  <c r="AV46" i="127"/>
  <c r="AV47" i="129"/>
  <c r="G37" i="128"/>
  <c r="V25" i="130"/>
  <c r="AC50" i="127"/>
  <c r="BA8" i="128"/>
  <c r="AG42" i="128"/>
  <c r="AI17" i="130"/>
  <c r="Y55" i="127"/>
  <c r="AK14" i="128"/>
  <c r="AS33" i="128"/>
  <c r="S57" i="130"/>
  <c r="O41" i="130"/>
  <c r="AW47" i="125"/>
  <c r="AY14" i="124"/>
  <c r="N12" i="124"/>
  <c r="AM43" i="129"/>
  <c r="AM46" i="124"/>
  <c r="AU34" i="124"/>
  <c r="N25" i="124"/>
  <c r="AY26" i="129"/>
  <c r="U25" i="131"/>
  <c r="K43" i="124"/>
  <c r="AW14" i="124"/>
  <c r="U11" i="129"/>
  <c r="K30" i="131"/>
  <c r="V31" i="124"/>
  <c r="AJ42" i="130"/>
  <c r="S41" i="130"/>
  <c r="O20" i="121"/>
  <c r="H27" i="126"/>
  <c r="U45" i="126"/>
  <c r="AH48" i="119"/>
  <c r="AU29" i="126"/>
  <c r="G45" i="129"/>
  <c r="BB23" i="119"/>
  <c r="J9" i="119"/>
  <c r="I42" i="126"/>
  <c r="AZ32" i="125"/>
  <c r="BC25" i="119"/>
  <c r="AT30" i="131"/>
  <c r="AC34" i="130"/>
  <c r="H43" i="131"/>
  <c r="U43" i="131"/>
  <c r="G41" i="125"/>
  <c r="AP36" i="123"/>
  <c r="M13" i="120"/>
  <c r="I21" i="120"/>
  <c r="H44" i="127"/>
  <c r="AZ42" i="123"/>
  <c r="BA12" i="120"/>
  <c r="V20" i="120"/>
  <c r="AP47" i="127"/>
  <c r="L12" i="123"/>
  <c r="BE17" i="120"/>
  <c r="AJ25" i="120"/>
  <c r="AL44" i="127"/>
  <c r="L17" i="123"/>
  <c r="T24" i="120"/>
  <c r="Y37" i="128"/>
  <c r="AQ25" i="128"/>
  <c r="O22" i="120"/>
  <c r="AO45" i="119"/>
  <c r="AI35" i="121"/>
  <c r="BB16" i="126"/>
  <c r="AP41" i="131"/>
  <c r="AS25" i="127"/>
  <c r="M8" i="126"/>
  <c r="O41" i="126"/>
  <c r="AD12" i="131"/>
  <c r="AK17" i="126"/>
  <c r="AO36" i="126"/>
  <c r="W14" i="131"/>
  <c r="K56" i="125"/>
  <c r="G29" i="128"/>
  <c r="X54" i="128"/>
  <c r="AQ17" i="127"/>
  <c r="G17" i="121"/>
  <c r="AZ54" i="119"/>
  <c r="AU56" i="128"/>
  <c r="AK53" i="128"/>
  <c r="AR14" i="131"/>
  <c r="M30" i="121"/>
  <c r="AD26" i="126"/>
  <c r="M25" i="121"/>
  <c r="AZ42" i="131"/>
  <c r="Q37" i="131"/>
  <c r="I42" i="121"/>
  <c r="AB41" i="121"/>
  <c r="AG22" i="131"/>
  <c r="BA9" i="131"/>
  <c r="H56" i="121"/>
  <c r="AV29" i="132"/>
  <c r="AK47" i="125"/>
  <c r="AD37" i="128"/>
  <c r="X52" i="118"/>
  <c r="AF55" i="131"/>
  <c r="H15" i="125"/>
  <c r="Y22" i="122"/>
  <c r="O30" i="122"/>
  <c r="U52" i="128"/>
  <c r="AV29" i="125"/>
  <c r="Q46" i="122"/>
  <c r="AX52" i="122"/>
  <c r="I25" i="128"/>
  <c r="AW40" i="130"/>
  <c r="BC13" i="130"/>
  <c r="U52" i="127"/>
  <c r="N50" i="119"/>
  <c r="BC25" i="131"/>
  <c r="S23" i="120"/>
  <c r="Q14" i="129"/>
  <c r="M9" i="129"/>
  <c r="AQ22" i="120"/>
  <c r="BE12" i="120"/>
  <c r="BC17" i="129"/>
  <c r="AY58" i="129"/>
  <c r="Z29" i="120"/>
  <c r="AP50" i="127"/>
  <c r="Z17" i="124"/>
  <c r="AM44" i="126"/>
  <c r="AY11" i="117"/>
  <c r="J24" i="130"/>
  <c r="T37" i="125"/>
  <c r="O58" i="122"/>
  <c r="AL14" i="122"/>
  <c r="S21" i="127"/>
  <c r="K31" i="128"/>
  <c r="AC8" i="125"/>
  <c r="U12" i="126"/>
  <c r="BA50" i="126"/>
  <c r="AQ38" i="128"/>
  <c r="AU11" i="125"/>
  <c r="M21" i="126"/>
  <c r="AO45" i="126"/>
  <c r="BA29" i="128"/>
  <c r="AT10" i="125"/>
  <c r="AO10" i="126"/>
  <c r="BB56" i="126"/>
  <c r="G40" i="127"/>
  <c r="N18" i="127"/>
  <c r="AB14" i="129"/>
  <c r="AV56" i="122"/>
  <c r="AS55" i="122"/>
  <c r="V20" i="127"/>
  <c r="Z13" i="129"/>
  <c r="V26" i="122"/>
  <c r="G48" i="122"/>
  <c r="AR53" i="127"/>
  <c r="H22" i="129"/>
  <c r="AX12" i="122"/>
  <c r="AN38" i="122"/>
  <c r="X48" i="127"/>
  <c r="L29" i="129"/>
  <c r="S22" i="122"/>
  <c r="BE21" i="131"/>
  <c r="Y30" i="130"/>
  <c r="K48" i="130"/>
  <c r="BB24" i="130"/>
  <c r="AN44" i="120"/>
  <c r="AN18" i="128"/>
  <c r="M36" i="131"/>
  <c r="BE26" i="125"/>
  <c r="I25" i="125"/>
  <c r="AZ21" i="126"/>
  <c r="L54" i="131"/>
  <c r="BD24" i="125"/>
  <c r="S32" i="125"/>
  <c r="AB48" i="128"/>
  <c r="AO41" i="130"/>
  <c r="AU11" i="127"/>
  <c r="J14" i="127"/>
  <c r="AD17" i="124"/>
  <c r="BA15" i="121"/>
  <c r="U33" i="118"/>
  <c r="L29" i="118"/>
  <c r="M42" i="123"/>
  <c r="AZ20" i="121"/>
  <c r="AO26" i="118"/>
  <c r="I26" i="118"/>
  <c r="AI46" i="123"/>
  <c r="O26" i="121"/>
  <c r="AG20" i="118"/>
  <c r="S42" i="118"/>
  <c r="V45" i="123"/>
  <c r="AK32" i="121"/>
  <c r="AX39" i="118"/>
  <c r="BA48" i="129"/>
  <c r="K56" i="131"/>
  <c r="AP55" i="130"/>
  <c r="BE56" i="130"/>
  <c r="AJ44" i="131"/>
  <c r="AY8" i="130"/>
  <c r="M51" i="129"/>
  <c r="V55" i="129"/>
  <c r="H52" i="129"/>
  <c r="AE15" i="130"/>
  <c r="AR58" i="129"/>
  <c r="W53" i="129"/>
  <c r="AL40" i="128"/>
  <c r="AT12" i="129"/>
  <c r="P42" i="126"/>
  <c r="AO55" i="126"/>
  <c r="O52" i="126"/>
  <c r="AJ14" i="124"/>
  <c r="N37" i="119"/>
  <c r="AQ17" i="124"/>
  <c r="AX33" i="127"/>
  <c r="K14" i="126"/>
  <c r="BE51" i="120"/>
  <c r="AN38" i="126"/>
  <c r="BD11" i="125"/>
  <c r="AD51" i="119"/>
  <c r="AL18" i="126"/>
  <c r="AI32" i="131"/>
  <c r="AU57" i="119"/>
  <c r="AT40" i="118"/>
  <c r="AW57" i="126"/>
  <c r="W38" i="130"/>
  <c r="AH21" i="118"/>
  <c r="H49" i="125"/>
  <c r="AG38" i="130"/>
  <c r="AM42" i="130"/>
  <c r="AD12" i="130"/>
  <c r="AR47" i="129"/>
  <c r="BE33" i="123"/>
  <c r="AG22" i="120"/>
  <c r="P13" i="120"/>
  <c r="AE42" i="126"/>
  <c r="AD52" i="123"/>
  <c r="AH58" i="120"/>
  <c r="G31" i="120"/>
  <c r="AB48" i="126"/>
  <c r="AI38" i="129"/>
  <c r="BE12" i="128"/>
  <c r="M48" i="125"/>
  <c r="H15" i="124"/>
  <c r="AL31" i="124"/>
  <c r="L24" i="118"/>
  <c r="U26" i="125"/>
  <c r="AK10" i="126"/>
  <c r="AN36" i="118"/>
  <c r="AF30" i="118"/>
  <c r="AO12" i="125"/>
  <c r="P20" i="126"/>
  <c r="AD46" i="118"/>
  <c r="Q12" i="127"/>
  <c r="I17" i="129"/>
  <c r="AC55" i="130"/>
  <c r="AJ9" i="129"/>
  <c r="Y8" i="130"/>
  <c r="AR30" i="122"/>
  <c r="BA46" i="120"/>
  <c r="AC41" i="120"/>
  <c r="H13" i="127"/>
  <c r="W53" i="125"/>
  <c r="L16" i="126"/>
  <c r="AI9" i="125"/>
  <c r="K45" i="127"/>
  <c r="Q27" i="125"/>
  <c r="U27" i="126"/>
  <c r="K18" i="125"/>
  <c r="G51" i="127"/>
  <c r="Y48" i="125"/>
  <c r="AW34" i="126"/>
  <c r="AI50" i="125"/>
  <c r="AS45" i="127"/>
  <c r="AL31" i="127"/>
  <c r="X57" i="129"/>
  <c r="Z10" i="122"/>
  <c r="AX48" i="122"/>
  <c r="AS37" i="127"/>
  <c r="AP34" i="129"/>
  <c r="AD18" i="122"/>
  <c r="AL12" i="122"/>
  <c r="M47" i="127"/>
  <c r="M37" i="129"/>
  <c r="BC8" i="121"/>
  <c r="BC9" i="121"/>
  <c r="AE52" i="127"/>
  <c r="AR50" i="129"/>
  <c r="AY32" i="121"/>
  <c r="AW21" i="128"/>
  <c r="U14" i="125"/>
  <c r="AS8" i="126"/>
  <c r="BB57" i="126"/>
  <c r="AC17" i="119"/>
  <c r="AO22" i="127"/>
  <c r="G42" i="130"/>
  <c r="AY24" i="124"/>
  <c r="Q46" i="131"/>
  <c r="AK18" i="126"/>
  <c r="AN48" i="130"/>
  <c r="U31" i="131"/>
  <c r="AX58" i="131"/>
  <c r="BA50" i="130"/>
  <c r="BE52" i="129"/>
  <c r="BC36" i="127"/>
  <c r="AC58" i="127"/>
  <c r="H17" i="121"/>
  <c r="AD8" i="120"/>
  <c r="AP25" i="118"/>
  <c r="AE33" i="118"/>
  <c r="AI43" i="120"/>
  <c r="O14" i="120"/>
  <c r="AT52" i="118"/>
  <c r="V50" i="118"/>
  <c r="L40" i="119"/>
  <c r="AK20" i="120"/>
  <c r="U58" i="118"/>
  <c r="AJ56" i="118"/>
  <c r="K24" i="119"/>
  <c r="AF10" i="120"/>
  <c r="X55" i="118"/>
  <c r="N36" i="127"/>
  <c r="AN52" i="131"/>
  <c r="AU52" i="128"/>
  <c r="AI20" i="128"/>
  <c r="O15" i="129"/>
  <c r="Z41" i="127"/>
  <c r="V45" i="130"/>
  <c r="N37" i="128"/>
  <c r="AU26" i="128"/>
  <c r="AM13" i="126"/>
  <c r="AX55" i="129"/>
  <c r="G38" i="128"/>
  <c r="AL33" i="128"/>
  <c r="BD49" i="128"/>
  <c r="AD18" i="125"/>
  <c r="AB10" i="125"/>
  <c r="AZ45" i="125"/>
  <c r="Y53" i="121"/>
  <c r="AH36" i="119"/>
  <c r="Y34" i="124"/>
  <c r="AH15" i="129"/>
  <c r="AT45" i="129"/>
  <c r="AM43" i="125"/>
  <c r="K32" i="124"/>
  <c r="K48" i="124"/>
  <c r="AS23" i="118"/>
  <c r="K23" i="125"/>
  <c r="I8" i="126"/>
  <c r="O36" i="118"/>
  <c r="J21" i="118"/>
  <c r="AJ12" i="125"/>
  <c r="M24" i="126"/>
  <c r="AK44" i="118"/>
  <c r="AE12" i="128"/>
  <c r="U16" i="129"/>
  <c r="BB21" i="130"/>
  <c r="N45" i="130"/>
  <c r="AY58" i="131"/>
  <c r="G18" i="122"/>
  <c r="V48" i="120"/>
  <c r="M43" i="120"/>
  <c r="AP23" i="129"/>
  <c r="G9" i="122"/>
  <c r="BC51" i="120"/>
  <c r="BA58" i="120"/>
  <c r="M24" i="129"/>
  <c r="Y37" i="125"/>
  <c r="S38" i="125"/>
  <c r="AL48" i="127"/>
  <c r="AB11" i="122"/>
  <c r="H24" i="123"/>
  <c r="AT30" i="125"/>
  <c r="X10" i="130"/>
  <c r="AO53" i="118"/>
  <c r="AR39" i="131"/>
  <c r="P47" i="125"/>
  <c r="G25" i="129"/>
  <c r="BE51" i="118"/>
  <c r="AS16" i="130"/>
  <c r="AV51" i="127"/>
  <c r="X24" i="123"/>
  <c r="J22" i="121"/>
  <c r="AT37" i="118"/>
  <c r="V34" i="118"/>
  <c r="AF15" i="125"/>
  <c r="X27" i="121"/>
  <c r="AU27" i="118"/>
  <c r="AW44" i="118"/>
  <c r="BA15" i="125"/>
  <c r="AU33" i="121"/>
  <c r="AH43" i="118"/>
  <c r="AK42" i="132"/>
  <c r="AJ47" i="125"/>
  <c r="AS31" i="126"/>
  <c r="G31" i="126"/>
  <c r="Q9" i="119"/>
  <c r="M37" i="125"/>
  <c r="Z20" i="130"/>
  <c r="J35" i="125"/>
  <c r="Z46" i="125"/>
  <c r="Y55" i="125"/>
  <c r="BE27" i="130"/>
  <c r="L56" i="125"/>
  <c r="AD27" i="125"/>
  <c r="T22" i="126"/>
  <c r="S9" i="129"/>
  <c r="N22" i="127"/>
  <c r="AP37" i="127"/>
  <c r="T55" i="123"/>
  <c r="AX45" i="121"/>
  <c r="AF24" i="118"/>
  <c r="T32" i="118"/>
  <c r="AU14" i="121"/>
  <c r="Z23" i="120"/>
  <c r="AU29" i="118"/>
  <c r="AJ36" i="118"/>
  <c r="S18" i="121"/>
  <c r="M10" i="120"/>
  <c r="N35" i="118"/>
  <c r="BE42" i="118"/>
  <c r="W18" i="121"/>
  <c r="AG15" i="120"/>
  <c r="AO41" i="118"/>
  <c r="AM52" i="128"/>
  <c r="AH58" i="131"/>
  <c r="AX17" i="125"/>
  <c r="BA55" i="126"/>
  <c r="AE12" i="118"/>
  <c r="N48" i="125"/>
  <c r="AN17" i="130"/>
  <c r="AW41" i="131"/>
  <c r="AL43" i="131"/>
  <c r="H30" i="131"/>
  <c r="O26" i="130"/>
  <c r="AJ46" i="131"/>
  <c r="T47" i="131"/>
  <c r="AX42" i="131"/>
  <c r="AM46" i="127"/>
  <c r="AG45" i="127"/>
  <c r="U25" i="127"/>
  <c r="Y38" i="119"/>
  <c r="BE38" i="120"/>
  <c r="AM10" i="117"/>
  <c r="AM25" i="117"/>
  <c r="K22" i="117"/>
  <c r="AW39" i="120"/>
  <c r="AC45" i="117"/>
  <c r="W52" i="117"/>
  <c r="AK32" i="117"/>
  <c r="X46" i="120"/>
  <c r="BB50" i="117"/>
  <c r="AT57" i="117"/>
  <c r="AU17" i="117"/>
  <c r="AN31" i="120"/>
  <c r="AC56" i="117"/>
  <c r="AS13" i="125"/>
  <c r="H30" i="127"/>
  <c r="AG50" i="125"/>
  <c r="AE34" i="131"/>
  <c r="Z43" i="117"/>
  <c r="AK49" i="129"/>
  <c r="AI12" i="129"/>
  <c r="Y44" i="130"/>
  <c r="J38" i="130"/>
  <c r="AE51" i="128"/>
  <c r="AC10" i="129"/>
  <c r="M36" i="130"/>
  <c r="AO54" i="130"/>
  <c r="AK54" i="127"/>
  <c r="Q12" i="126"/>
  <c r="AX25" i="126"/>
  <c r="BC53" i="126"/>
  <c r="I53" i="129"/>
  <c r="AE42" i="120"/>
  <c r="AK29" i="117"/>
  <c r="W36" i="117"/>
  <c r="AS15" i="127"/>
  <c r="AN30" i="119"/>
  <c r="U35" i="117"/>
  <c r="K43" i="117"/>
  <c r="AB16" i="127"/>
  <c r="AX37" i="119"/>
  <c r="AV41" i="117"/>
  <c r="AN48" i="117"/>
  <c r="L17" i="127"/>
  <c r="U44" i="119"/>
  <c r="S47" i="117"/>
  <c r="Q54" i="128"/>
  <c r="AQ55" i="125"/>
  <c r="L34" i="124"/>
  <c r="BC26" i="123"/>
  <c r="Z57" i="119"/>
  <c r="N54" i="126"/>
  <c r="H32" i="120"/>
  <c r="AD32" i="126"/>
  <c r="AJ23" i="123"/>
  <c r="BE30" i="120"/>
  <c r="AL37" i="120"/>
  <c r="K49" i="118"/>
  <c r="Y32" i="118"/>
  <c r="I20" i="123"/>
  <c r="AR34" i="123"/>
  <c r="M47" i="118"/>
  <c r="BB56" i="118"/>
  <c r="AV32" i="123"/>
  <c r="W47" i="123"/>
  <c r="BD36" i="125"/>
  <c r="AV43" i="120"/>
  <c r="U18" i="127"/>
  <c r="V9" i="120"/>
  <c r="BB32" i="118"/>
  <c r="P36" i="118"/>
  <c r="AL10" i="122"/>
  <c r="V15" i="120"/>
  <c r="AS34" i="118"/>
  <c r="AF42" i="118"/>
  <c r="AL18" i="122"/>
  <c r="AY21" i="120"/>
  <c r="T41" i="118"/>
  <c r="BB26" i="130"/>
  <c r="Z44" i="127"/>
  <c r="AH45" i="127"/>
  <c r="AM12" i="126"/>
  <c r="AQ47" i="118"/>
  <c r="AN51" i="125"/>
  <c r="BD17" i="130"/>
  <c r="AO22" i="131"/>
  <c r="BB32" i="131"/>
  <c r="V38" i="125"/>
  <c r="AK25" i="130"/>
  <c r="AD36" i="131"/>
  <c r="AV37" i="131"/>
  <c r="BE37" i="125"/>
  <c r="U41" i="128"/>
  <c r="P39" i="127"/>
  <c r="V38" i="127"/>
  <c r="BC37" i="119"/>
  <c r="AJ38" i="120"/>
  <c r="AP48" i="118"/>
  <c r="AJ54" i="118"/>
  <c r="M12" i="118"/>
  <c r="V46" i="120"/>
  <c r="Q38" i="117"/>
  <c r="G46" i="117"/>
  <c r="H58" i="118"/>
  <c r="AF51" i="120"/>
  <c r="AR44" i="117"/>
  <c r="AG51" i="117"/>
  <c r="U51" i="118"/>
  <c r="AP36" i="120"/>
  <c r="Q50" i="117"/>
  <c r="BB53" i="126"/>
  <c r="AB40" i="127"/>
  <c r="AY8" i="131"/>
  <c r="I47" i="129"/>
  <c r="AY42" i="117"/>
  <c r="AW34" i="129"/>
  <c r="H17" i="129"/>
  <c r="H45" i="130"/>
  <c r="AW37" i="130"/>
  <c r="AV56" i="129"/>
  <c r="BD17" i="129"/>
  <c r="AQ15" i="130"/>
  <c r="AK51" i="130"/>
  <c r="I21" i="128"/>
  <c r="AS40" i="126"/>
  <c r="AC24" i="126"/>
  <c r="AT14" i="126"/>
  <c r="AR42" i="130"/>
  <c r="G43" i="120"/>
  <c r="AJ33" i="117"/>
  <c r="Z41" i="117"/>
  <c r="AY36" i="128"/>
  <c r="K40" i="119"/>
  <c r="AG35" i="117"/>
  <c r="W43" i="117"/>
  <c r="AS44" i="128"/>
  <c r="K13" i="119"/>
  <c r="G42" i="117"/>
  <c r="AS52" i="117"/>
  <c r="Y47" i="128"/>
  <c r="AI18" i="119"/>
  <c r="AD51" i="117"/>
  <c r="AD26" i="125"/>
  <c r="BC18" i="126"/>
  <c r="AR44" i="125"/>
  <c r="AL14" i="131"/>
  <c r="AC38" i="125"/>
  <c r="L20" i="129"/>
  <c r="AQ33" i="129"/>
  <c r="AU18" i="129"/>
  <c r="L48" i="129"/>
  <c r="AN14" i="125"/>
  <c r="AP55" i="129"/>
  <c r="AX48" i="129"/>
  <c r="BC47" i="129"/>
  <c r="AY48" i="131"/>
  <c r="AN34" i="126"/>
  <c r="AW32" i="126"/>
  <c r="AX27" i="126"/>
  <c r="S25" i="125"/>
  <c r="AJ36" i="119"/>
  <c r="S56" i="117"/>
  <c r="BE11" i="117"/>
  <c r="U27" i="124"/>
  <c r="AF43" i="119"/>
  <c r="L26" i="124"/>
  <c r="V36" i="124"/>
  <c r="AW42" i="124"/>
  <c r="AW48" i="119"/>
  <c r="AD34" i="124"/>
  <c r="AB44" i="124"/>
  <c r="AX36" i="124"/>
  <c r="V54" i="119"/>
  <c r="AU42" i="124"/>
  <c r="AI55" i="126"/>
  <c r="T58" i="121"/>
  <c r="AN8" i="123"/>
  <c r="U46" i="121"/>
  <c r="AB40" i="117"/>
  <c r="J49" i="125"/>
  <c r="AN58" i="120"/>
  <c r="U18" i="130"/>
  <c r="AI48" i="122"/>
  <c r="AV34" i="120"/>
  <c r="AN42" i="120"/>
  <c r="AU10" i="117"/>
  <c r="AQ8" i="117"/>
  <c r="BE54" i="123"/>
  <c r="AN52" i="123"/>
  <c r="Z13" i="117"/>
  <c r="AC38" i="117"/>
  <c r="W40" i="122"/>
  <c r="AL40" i="122"/>
  <c r="AP13" i="125"/>
  <c r="AY12" i="125"/>
  <c r="AN18" i="118"/>
  <c r="O23" i="118"/>
  <c r="AX21" i="124"/>
  <c r="AI29" i="124"/>
  <c r="AE10" i="119"/>
  <c r="AP29" i="118"/>
  <c r="Q27" i="124"/>
  <c r="G35" i="124"/>
  <c r="Y52" i="119"/>
  <c r="M35" i="118"/>
  <c r="AN33" i="124"/>
  <c r="AD35" i="127"/>
  <c r="M50" i="130"/>
  <c r="AV53" i="130"/>
  <c r="AN39" i="127"/>
  <c r="AT30" i="128"/>
  <c r="AX45" i="129"/>
  <c r="BA42" i="131"/>
  <c r="AY53" i="128"/>
  <c r="AM57" i="127"/>
  <c r="M31" i="128"/>
  <c r="AS18" i="131"/>
  <c r="W40" i="127"/>
  <c r="S10" i="127"/>
  <c r="AG48" i="130"/>
  <c r="H45" i="125"/>
  <c r="J43" i="125"/>
  <c r="AE54" i="125"/>
  <c r="AP44" i="118"/>
  <c r="AX11" i="118"/>
  <c r="AH48" i="123"/>
  <c r="W11" i="123"/>
  <c r="U25" i="118"/>
  <c r="Q16" i="118"/>
  <c r="Q47" i="123"/>
  <c r="N30" i="123"/>
  <c r="AR31" i="118"/>
  <c r="AR22" i="118"/>
  <c r="X26" i="123"/>
  <c r="J42" i="123"/>
  <c r="AW34" i="118"/>
  <c r="G29" i="118"/>
  <c r="Z38" i="123"/>
  <c r="AS37" i="130"/>
  <c r="AB8" i="126"/>
  <c r="AR40" i="125"/>
  <c r="AZ9" i="129"/>
  <c r="H32" i="127"/>
  <c r="AI39" i="125"/>
  <c r="AH36" i="129"/>
  <c r="Q54" i="127"/>
  <c r="AG14" i="127"/>
  <c r="O34" i="130"/>
  <c r="AC39" i="129"/>
  <c r="AF31" i="127"/>
  <c r="AN47" i="127"/>
  <c r="Y27" i="129"/>
  <c r="BD45" i="131"/>
  <c r="S18" i="124"/>
  <c r="S55" i="124"/>
  <c r="AM33" i="117"/>
  <c r="I13" i="117"/>
  <c r="V14" i="123"/>
  <c r="M37" i="123"/>
  <c r="AP38" i="117"/>
  <c r="AP36" i="117"/>
  <c r="U57" i="123"/>
  <c r="AH57" i="123"/>
  <c r="M45" i="117"/>
  <c r="M43" i="117"/>
  <c r="BC55" i="123"/>
  <c r="O56" i="123"/>
  <c r="AK50" i="117"/>
  <c r="AK48" i="117"/>
  <c r="AX54" i="123"/>
  <c r="T48" i="126"/>
  <c r="AR17" i="129"/>
  <c r="BC40" i="130"/>
  <c r="L54" i="126"/>
  <c r="U57" i="127"/>
  <c r="AZ18" i="130"/>
  <c r="Z58" i="127"/>
  <c r="AZ43" i="127"/>
  <c r="AZ58" i="127"/>
  <c r="AI13" i="129"/>
  <c r="G29" i="127"/>
  <c r="AM24" i="126"/>
  <c r="K8" i="126"/>
  <c r="AW44" i="129"/>
  <c r="J41" i="131"/>
  <c r="BB50" i="124"/>
  <c r="H55" i="124"/>
  <c r="AT22" i="117"/>
  <c r="AR13" i="117"/>
  <c r="AJ16" i="122"/>
  <c r="P24" i="122"/>
  <c r="AP34" i="127"/>
  <c r="AF26" i="125"/>
  <c r="AE45" i="125"/>
  <c r="AU22" i="125"/>
  <c r="AZ46" i="127"/>
  <c r="AK33" i="125"/>
  <c r="AI45" i="125"/>
  <c r="P23" i="125"/>
  <c r="AL10" i="126"/>
  <c r="AP33" i="125"/>
  <c r="I46" i="125"/>
  <c r="Y18" i="125"/>
  <c r="AD49" i="124"/>
  <c r="O30" i="123"/>
  <c r="Q29" i="120"/>
  <c r="G52" i="119"/>
  <c r="AK53" i="118"/>
  <c r="AE33" i="119"/>
  <c r="AK25" i="120"/>
  <c r="AS53" i="118"/>
  <c r="G52" i="118"/>
  <c r="BD36" i="130"/>
  <c r="AC40" i="123"/>
  <c r="O35" i="123"/>
  <c r="AG10" i="123"/>
  <c r="AJ14" i="129"/>
  <c r="AR10" i="123"/>
  <c r="BB39" i="123"/>
  <c r="BD38" i="129"/>
  <c r="AV43" i="126"/>
  <c r="AJ39" i="129"/>
  <c r="AZ47" i="120"/>
  <c r="I35" i="117"/>
  <c r="AZ42" i="117"/>
  <c r="K43" i="129"/>
  <c r="O53" i="120"/>
  <c r="AE41" i="117"/>
  <c r="AJ52" i="117"/>
  <c r="AE57" i="129"/>
  <c r="AP58" i="120"/>
  <c r="V51" i="117"/>
  <c r="AN42" i="126"/>
  <c r="BD9" i="126"/>
  <c r="N12" i="128"/>
  <c r="AH52" i="128"/>
  <c r="AZ25" i="125"/>
  <c r="BD32" i="126"/>
  <c r="AW32" i="129"/>
  <c r="W17" i="129"/>
  <c r="BD20" i="129"/>
  <c r="W58" i="126"/>
  <c r="AO38" i="129"/>
  <c r="BE30" i="129"/>
  <c r="AW57" i="129"/>
  <c r="AY45" i="125"/>
  <c r="AV34" i="126"/>
  <c r="X32" i="126"/>
  <c r="T14" i="126"/>
  <c r="AS58" i="126"/>
  <c r="AR36" i="119"/>
  <c r="T48" i="117"/>
  <c r="H55" i="117"/>
  <c r="V57" i="125"/>
  <c r="H43" i="119"/>
  <c r="L56" i="117"/>
  <c r="AU27" i="124"/>
  <c r="AU47" i="125"/>
  <c r="X48" i="119"/>
  <c r="AY25" i="124"/>
  <c r="BE35" i="124"/>
  <c r="BA37" i="125"/>
  <c r="AS53" i="119"/>
  <c r="V34" i="124"/>
  <c r="AZ40" i="125"/>
  <c r="AE16" i="129"/>
  <c r="BD52" i="129"/>
  <c r="Y55" i="129"/>
  <c r="AB30" i="130"/>
  <c r="Q51" i="129"/>
  <c r="AT54" i="129"/>
  <c r="AF20" i="128"/>
  <c r="N14" i="128"/>
  <c r="BA16" i="128"/>
  <c r="AM56" i="128"/>
  <c r="AG29" i="128"/>
  <c r="K23" i="128"/>
  <c r="AC47" i="128"/>
  <c r="AF22" i="126"/>
  <c r="AD8" i="125"/>
  <c r="W11" i="125"/>
  <c r="X50" i="122"/>
  <c r="T31" i="119"/>
  <c r="G55" i="124"/>
  <c r="AO11" i="124"/>
  <c r="X8" i="121"/>
  <c r="S46" i="119"/>
  <c r="AS45" i="124"/>
  <c r="Z52" i="124"/>
  <c r="AO53" i="121"/>
  <c r="AT51" i="119"/>
  <c r="H51" i="124"/>
  <c r="AJ57" i="124"/>
  <c r="BB36" i="121"/>
  <c r="U57" i="119"/>
  <c r="X56" i="124"/>
  <c r="BA8" i="129"/>
  <c r="AO22" i="126"/>
  <c r="Z45" i="127"/>
  <c r="Q38" i="128"/>
  <c r="AG17" i="128"/>
  <c r="Y49" i="126"/>
  <c r="AK8" i="125"/>
  <c r="AT42" i="128"/>
  <c r="W31" i="128"/>
  <c r="BC17" i="131"/>
  <c r="AB55" i="125"/>
  <c r="BC46" i="128"/>
  <c r="AJ31" i="128"/>
  <c r="AM10" i="130"/>
  <c r="BE18" i="125"/>
  <c r="AX38" i="125"/>
  <c r="BA41" i="125"/>
  <c r="AF40" i="119"/>
  <c r="AV16" i="118"/>
  <c r="Y15" i="124"/>
  <c r="Q23" i="124"/>
  <c r="V9" i="119"/>
  <c r="BA14" i="118"/>
  <c r="G39" i="123"/>
  <c r="Y12" i="123"/>
  <c r="AY21" i="119"/>
  <c r="H21" i="118"/>
  <c r="AK9" i="123"/>
  <c r="U24" i="123"/>
  <c r="I16" i="119"/>
  <c r="Z26" i="118"/>
  <c r="AK21" i="123"/>
  <c r="AF26" i="130"/>
  <c r="J33" i="128"/>
  <c r="J31" i="118"/>
  <c r="AU58" i="118"/>
  <c r="AF9" i="123"/>
  <c r="U39" i="122"/>
  <c r="J21" i="119"/>
  <c r="Q9" i="130"/>
  <c r="L31" i="121"/>
  <c r="AT25" i="119"/>
  <c r="AI33" i="119"/>
  <c r="AN11" i="125"/>
  <c r="AV31" i="129"/>
  <c r="AX43" i="129"/>
  <c r="T37" i="129"/>
  <c r="AK49" i="125"/>
  <c r="I8" i="128"/>
  <c r="P16" i="128"/>
  <c r="U15" i="128"/>
  <c r="AR41" i="117"/>
  <c r="Z58" i="117"/>
  <c r="AD54" i="121"/>
  <c r="AS55" i="121"/>
  <c r="BE31" i="122"/>
  <c r="AH33" i="117"/>
  <c r="L14" i="121"/>
  <c r="X15" i="121"/>
  <c r="BB12" i="122"/>
  <c r="BB37" i="117"/>
  <c r="Q10" i="121"/>
  <c r="AG11" i="121"/>
  <c r="AQ8" i="122"/>
  <c r="AL41" i="127"/>
  <c r="BC57" i="125"/>
  <c r="S17" i="118"/>
  <c r="V53" i="118"/>
  <c r="AP49" i="124"/>
  <c r="AJ58" i="118"/>
  <c r="BE8" i="122"/>
  <c r="AI52" i="127"/>
  <c r="M47" i="125"/>
  <c r="T11" i="122"/>
  <c r="AJ17" i="122"/>
  <c r="U38" i="126"/>
  <c r="AN49" i="120"/>
  <c r="AQ13" i="117"/>
  <c r="AY21" i="117"/>
  <c r="S39" i="125"/>
  <c r="O54" i="120"/>
  <c r="BA20" i="117"/>
  <c r="BC27" i="117"/>
  <c r="AR26" i="121"/>
  <c r="AT29" i="124"/>
  <c r="U50" i="121"/>
  <c r="AK51" i="121"/>
  <c r="S34" i="121"/>
  <c r="AY50" i="124"/>
  <c r="AG8" i="121"/>
  <c r="AX9" i="121"/>
  <c r="P39" i="122"/>
  <c r="BE55" i="117"/>
  <c r="N20" i="121"/>
  <c r="AJ21" i="121"/>
  <c r="L46" i="122"/>
  <c r="AW47" i="127"/>
  <c r="AO51" i="131"/>
  <c r="AZ10" i="120"/>
  <c r="V24" i="123"/>
  <c r="AJ25" i="123"/>
  <c r="H41" i="125"/>
  <c r="AP42" i="122"/>
  <c r="AI48" i="131"/>
  <c r="BA44" i="124"/>
  <c r="AG41" i="122"/>
  <c r="AK50" i="122"/>
  <c r="Z42" i="127"/>
  <c r="BA16" i="119"/>
  <c r="AH52" i="117"/>
  <c r="AG44" i="117"/>
  <c r="AJ9" i="126"/>
  <c r="O15" i="119"/>
  <c r="AJ36" i="117"/>
  <c r="V44" i="117"/>
  <c r="AC31" i="117"/>
  <c r="AP52" i="122"/>
  <c r="K37" i="120"/>
  <c r="AC38" i="120"/>
  <c r="AG47" i="117"/>
  <c r="AR12" i="122"/>
  <c r="AW32" i="120"/>
  <c r="P34" i="120"/>
  <c r="AE56" i="118"/>
  <c r="AW52" i="123"/>
  <c r="BC16" i="120"/>
  <c r="AH23" i="120"/>
  <c r="AQ56" i="118"/>
  <c r="S31" i="118"/>
  <c r="AD35" i="128"/>
  <c r="M10" i="122"/>
  <c r="AX21" i="128"/>
  <c r="BA49" i="122"/>
  <c r="BD44" i="117"/>
  <c r="AU27" i="128"/>
  <c r="T20" i="125"/>
  <c r="AO10" i="128"/>
  <c r="AC33" i="128"/>
  <c r="O38" i="126"/>
  <c r="AQ16" i="122"/>
  <c r="AB51" i="119"/>
  <c r="AE38" i="125"/>
  <c r="AT56" i="125"/>
  <c r="G46" i="129"/>
  <c r="M26" i="122"/>
  <c r="AB42" i="127"/>
  <c r="AR32" i="121"/>
  <c r="AC32" i="129"/>
  <c r="G58" i="129"/>
  <c r="AN48" i="121"/>
  <c r="O38" i="121"/>
  <c r="I43" i="128"/>
  <c r="AQ57" i="128"/>
  <c r="M54" i="121"/>
  <c r="AP44" i="121"/>
  <c r="Y9" i="125"/>
  <c r="BD45" i="127"/>
  <c r="AV48" i="118"/>
  <c r="I39" i="118"/>
  <c r="BB14" i="125"/>
  <c r="P14" i="123"/>
  <c r="AO21" i="123"/>
  <c r="T24" i="123"/>
  <c r="M17" i="125"/>
  <c r="P21" i="123"/>
  <c r="AW27" i="123"/>
  <c r="AL31" i="123"/>
  <c r="X11" i="127"/>
  <c r="L24" i="127"/>
  <c r="AU9" i="130"/>
  <c r="AW40" i="120"/>
  <c r="S38" i="126"/>
  <c r="BA34" i="121"/>
  <c r="J54" i="131"/>
  <c r="V47" i="131"/>
  <c r="AO50" i="121"/>
  <c r="W35" i="121"/>
  <c r="S8" i="131"/>
  <c r="AJ39" i="131"/>
  <c r="G52" i="121"/>
  <c r="AS26" i="132"/>
  <c r="AU58" i="125"/>
  <c r="BA32" i="125"/>
  <c r="AT45" i="118"/>
  <c r="V31" i="131"/>
  <c r="AH29" i="125"/>
  <c r="G34" i="122"/>
  <c r="AZ41" i="122"/>
  <c r="BB54" i="125"/>
  <c r="AQ39" i="128"/>
  <c r="BE29" i="126"/>
  <c r="Z30" i="127"/>
  <c r="AD47" i="126"/>
  <c r="AZ41" i="128"/>
  <c r="J35" i="126"/>
  <c r="X58" i="127"/>
  <c r="AB52" i="126"/>
  <c r="BA51" i="128"/>
  <c r="T42" i="126"/>
  <c r="Y34" i="127"/>
  <c r="AF58" i="126"/>
  <c r="X56" i="128"/>
  <c r="AJ45" i="128"/>
  <c r="U50" i="130"/>
  <c r="AT53" i="123"/>
  <c r="AW57" i="123"/>
  <c r="BE52" i="128"/>
  <c r="J56" i="130"/>
  <c r="AT52" i="123"/>
  <c r="BE43" i="123"/>
  <c r="Z41" i="128"/>
  <c r="AM39" i="129"/>
  <c r="AV30" i="122"/>
  <c r="AW23" i="122"/>
  <c r="AY10" i="127"/>
  <c r="X13" i="129"/>
  <c r="AX49" i="122"/>
  <c r="AJ45" i="130"/>
  <c r="BD13" i="129"/>
  <c r="X18" i="121"/>
  <c r="AT46" i="119"/>
  <c r="AJ41" i="121"/>
  <c r="T53" i="128"/>
  <c r="L42" i="131"/>
  <c r="T20" i="131"/>
  <c r="X53" i="128"/>
  <c r="AQ8" i="126"/>
  <c r="T49" i="131"/>
  <c r="BE30" i="127"/>
  <c r="AW9" i="126"/>
  <c r="AM34" i="125"/>
  <c r="AS9" i="125"/>
  <c r="AW47" i="128"/>
  <c r="Q43" i="128"/>
  <c r="P53" i="128"/>
  <c r="BD16" i="121"/>
  <c r="BC48" i="119"/>
  <c r="M15" i="119"/>
  <c r="AM38" i="126"/>
  <c r="AN23" i="121"/>
  <c r="AP40" i="118"/>
  <c r="V12" i="118"/>
  <c r="AC8" i="126"/>
  <c r="K30" i="121"/>
  <c r="AQ10" i="118"/>
  <c r="N18" i="118"/>
  <c r="BE10" i="126"/>
  <c r="AG35" i="121"/>
  <c r="AQ16" i="118"/>
  <c r="AW36" i="129"/>
  <c r="AD42" i="131"/>
  <c r="AG41" i="131"/>
  <c r="J47" i="129"/>
  <c r="K30" i="126"/>
  <c r="BA27" i="127"/>
  <c r="BA27" i="129"/>
  <c r="AR38" i="130"/>
  <c r="S8" i="129"/>
  <c r="T47" i="127"/>
  <c r="AP11" i="129"/>
  <c r="AW15" i="129"/>
  <c r="AO15" i="129"/>
  <c r="AL31" i="128"/>
  <c r="AY22" i="126"/>
  <c r="AY18" i="126"/>
  <c r="AH53" i="126"/>
  <c r="AW20" i="127"/>
  <c r="Y22" i="119"/>
  <c r="AX29" i="117"/>
  <c r="K20" i="127"/>
  <c r="N32" i="127"/>
  <c r="AN31" i="124"/>
  <c r="AW39" i="128"/>
  <c r="BC10" i="126"/>
  <c r="AF51" i="119"/>
  <c r="J13" i="126"/>
  <c r="M17" i="126"/>
  <c r="Q15" i="119"/>
  <c r="S52" i="119"/>
  <c r="AQ24" i="126"/>
  <c r="AF16" i="126"/>
  <c r="BC16" i="119"/>
  <c r="V58" i="127"/>
  <c r="AW13" i="130"/>
  <c r="Z15" i="124"/>
  <c r="S26" i="131"/>
  <c r="AJ56" i="131"/>
  <c r="AU24" i="123"/>
  <c r="AC25" i="121"/>
  <c r="O33" i="121"/>
  <c r="W22" i="129"/>
  <c r="O13" i="123"/>
  <c r="AR49" i="121"/>
  <c r="AK56" i="121"/>
  <c r="AV22" i="129"/>
  <c r="Q29" i="125"/>
  <c r="K30" i="125"/>
  <c r="O55" i="120"/>
  <c r="M41" i="126"/>
  <c r="G38" i="125"/>
  <c r="M40" i="118"/>
  <c r="AL52" i="126"/>
  <c r="AS17" i="130"/>
  <c r="AU14" i="118"/>
  <c r="AL21" i="118"/>
  <c r="AB47" i="126"/>
  <c r="H25" i="129"/>
  <c r="AW37" i="118"/>
  <c r="N30" i="131"/>
  <c r="AP23" i="130"/>
  <c r="AW32" i="130"/>
  <c r="N14" i="130"/>
  <c r="AJ52" i="127"/>
  <c r="X37" i="123"/>
  <c r="AN23" i="120"/>
  <c r="P14" i="120"/>
  <c r="AC17" i="125"/>
  <c r="AX23" i="128"/>
  <c r="M32" i="129"/>
  <c r="J22" i="125"/>
  <c r="AO24" i="128"/>
  <c r="AK41" i="128"/>
  <c r="AT44" i="129"/>
  <c r="BC39" i="125"/>
  <c r="H48" i="128"/>
  <c r="G9" i="127"/>
  <c r="AS12" i="128"/>
  <c r="AF47" i="125"/>
  <c r="J30" i="128"/>
  <c r="K42" i="127"/>
  <c r="H34" i="130"/>
  <c r="AY31" i="130"/>
  <c r="AQ10" i="120"/>
  <c r="AU13" i="120"/>
  <c r="AG24" i="130"/>
  <c r="Z36" i="130"/>
  <c r="AC11" i="120"/>
  <c r="J21" i="120"/>
  <c r="AC15" i="129"/>
  <c r="P36" i="129"/>
  <c r="AS11" i="120"/>
  <c r="AO47" i="120"/>
  <c r="AK36" i="129"/>
  <c r="AL48" i="129"/>
  <c r="BD26" i="120"/>
  <c r="AT46" i="131"/>
  <c r="AP56" i="125"/>
  <c r="AT17" i="130"/>
  <c r="AL45" i="130"/>
  <c r="BC8" i="124"/>
  <c r="BC21" i="131"/>
  <c r="AP50" i="129"/>
  <c r="AV37" i="129"/>
  <c r="AH38" i="129"/>
  <c r="AW15" i="130"/>
  <c r="AK56" i="129"/>
  <c r="G38" i="129"/>
  <c r="AV34" i="129"/>
  <c r="AD48" i="130"/>
  <c r="AB42" i="126"/>
  <c r="AU25" i="126"/>
  <c r="Z46" i="126"/>
  <c r="BA58" i="124"/>
  <c r="AS36" i="119"/>
  <c r="J13" i="124"/>
  <c r="AL23" i="124"/>
  <c r="AI42" i="123"/>
  <c r="V34" i="119"/>
  <c r="AC26" i="124"/>
  <c r="O34" i="124"/>
  <c r="S43" i="123"/>
  <c r="AO39" i="119"/>
  <c r="AZ32" i="124"/>
  <c r="AK39" i="124"/>
  <c r="J37" i="123"/>
  <c r="P46" i="119"/>
  <c r="S38" i="124"/>
  <c r="U45" i="128"/>
  <c r="V42" i="126"/>
  <c r="AV58" i="125"/>
  <c r="AW48" i="127"/>
  <c r="BE10" i="127"/>
  <c r="AZ51" i="125"/>
  <c r="AJ24" i="128"/>
  <c r="AZ57" i="127"/>
  <c r="AC23" i="127"/>
  <c r="AY47" i="125"/>
  <c r="J47" i="128"/>
  <c r="AS33" i="127"/>
  <c r="AP16" i="127"/>
  <c r="AL54" i="129"/>
  <c r="V58" i="131"/>
  <c r="AB32" i="124"/>
  <c r="BB21" i="124"/>
  <c r="AE39" i="117"/>
  <c r="Z16" i="117"/>
  <c r="S54" i="123"/>
  <c r="AX15" i="126"/>
  <c r="BE21" i="126"/>
  <c r="L43" i="120"/>
  <c r="U41" i="119"/>
  <c r="AB45" i="121"/>
  <c r="AC39" i="126"/>
  <c r="AB26" i="131"/>
  <c r="Y16" i="126"/>
  <c r="AI30" i="126"/>
  <c r="AM36" i="125"/>
  <c r="AN49" i="131"/>
  <c r="AJ13" i="126"/>
  <c r="P55" i="126"/>
  <c r="AC40" i="130"/>
  <c r="Y56" i="125"/>
  <c r="L54" i="128"/>
  <c r="K15" i="128"/>
  <c r="AH43" i="127"/>
  <c r="K17" i="121"/>
  <c r="AU51" i="119"/>
  <c r="AQ56" i="119"/>
  <c r="BC13" i="126"/>
  <c r="Y12" i="121"/>
  <c r="V38" i="118"/>
  <c r="AH32" i="118"/>
  <c r="X50" i="126"/>
  <c r="S50" i="132"/>
  <c r="J33" i="125"/>
  <c r="P55" i="127"/>
  <c r="I9" i="130"/>
  <c r="P13" i="119"/>
  <c r="AC32" i="126"/>
  <c r="X18" i="130"/>
  <c r="BB39" i="125"/>
  <c r="AC50" i="125"/>
  <c r="AG37" i="125"/>
  <c r="AB27" i="130"/>
  <c r="BC46" i="125"/>
  <c r="BA56" i="125"/>
  <c r="W33" i="127"/>
  <c r="AG44" i="130"/>
  <c r="AB21" i="127"/>
  <c r="L12" i="127"/>
  <c r="AK32" i="123"/>
  <c r="Y14" i="121"/>
  <c r="AB24" i="118"/>
  <c r="V43" i="118"/>
  <c r="J34" i="126"/>
  <c r="U35" i="127"/>
  <c r="G23" i="131"/>
  <c r="K13" i="126"/>
  <c r="AD22" i="126"/>
  <c r="AB48" i="127"/>
  <c r="AD49" i="131"/>
  <c r="AH18" i="126"/>
  <c r="AI44" i="126"/>
  <c r="AO53" i="127"/>
  <c r="AC32" i="131"/>
  <c r="W48" i="126"/>
  <c r="AG21" i="125"/>
  <c r="AS54" i="129"/>
  <c r="AM27" i="128"/>
  <c r="P47" i="120"/>
  <c r="N37" i="120"/>
  <c r="AX26" i="128"/>
  <c r="AI25" i="128"/>
  <c r="BC54" i="120"/>
  <c r="L37" i="120"/>
  <c r="L29" i="127"/>
  <c r="AZ13" i="127"/>
  <c r="AU50" i="120"/>
  <c r="AR51" i="120"/>
  <c r="G41" i="127"/>
  <c r="M35" i="127"/>
  <c r="AQ55" i="120"/>
  <c r="AF9" i="131"/>
  <c r="Y38" i="127"/>
  <c r="AG49" i="128"/>
  <c r="AC10" i="128"/>
  <c r="AV58" i="130"/>
  <c r="AH15" i="127"/>
  <c r="P43" i="131"/>
  <c r="G32" i="128"/>
  <c r="AQ26" i="128"/>
  <c r="L42" i="127"/>
  <c r="AE14" i="130"/>
  <c r="AK37" i="128"/>
  <c r="N33" i="128"/>
  <c r="Q15" i="129"/>
  <c r="M21" i="125"/>
  <c r="Q26" i="125"/>
  <c r="AV18" i="125"/>
  <c r="AJ53" i="121"/>
  <c r="AZ39" i="119"/>
  <c r="Z39" i="124"/>
  <c r="L47" i="124"/>
  <c r="S29" i="120"/>
  <c r="AS37" i="118"/>
  <c r="AE49" i="124"/>
  <c r="Y56" i="124"/>
  <c r="Q41" i="120"/>
  <c r="BC11" i="118"/>
  <c r="BD54" i="124"/>
  <c r="O57" i="124"/>
  <c r="AR29" i="120"/>
  <c r="AY17" i="118"/>
  <c r="AV36" i="124"/>
  <c r="BE14" i="131"/>
  <c r="BC24" i="128"/>
  <c r="V46" i="130"/>
  <c r="X47" i="126"/>
  <c r="AN8" i="126"/>
  <c r="AV55" i="129"/>
  <c r="AK51" i="127"/>
  <c r="AG8" i="126"/>
  <c r="AZ16" i="126"/>
  <c r="AZ50" i="128"/>
  <c r="BD51" i="127"/>
  <c r="AT16" i="126"/>
  <c r="AP26" i="126"/>
  <c r="AJ52" i="129"/>
  <c r="T57" i="131"/>
  <c r="AR20" i="123"/>
  <c r="M21" i="123"/>
  <c r="AP32" i="127"/>
  <c r="AL23" i="125"/>
  <c r="AE18" i="125"/>
  <c r="AN46" i="132"/>
  <c r="AV55" i="125"/>
  <c r="G54" i="131"/>
  <c r="N57" i="129"/>
  <c r="AM32" i="119"/>
  <c r="AK52" i="126"/>
  <c r="N11" i="130"/>
  <c r="M39" i="125"/>
  <c r="V22" i="125"/>
  <c r="AJ40" i="125"/>
  <c r="AD26" i="130"/>
  <c r="AV51" i="125"/>
  <c r="BB58" i="125"/>
  <c r="AO37" i="127"/>
  <c r="T39" i="130"/>
  <c r="AL20" i="127"/>
  <c r="AB11" i="127"/>
  <c r="AM32" i="123"/>
  <c r="AH20" i="121"/>
  <c r="H24" i="118"/>
  <c r="AY42" i="118"/>
  <c r="AI17" i="122"/>
  <c r="AM49" i="120"/>
  <c r="T30" i="118"/>
  <c r="J37" i="118"/>
  <c r="U37" i="122"/>
  <c r="V30" i="127"/>
  <c r="BC45" i="131"/>
  <c r="U55" i="129"/>
  <c r="U13" i="128"/>
  <c r="AS22" i="118"/>
  <c r="I47" i="126"/>
  <c r="S18" i="130"/>
  <c r="Z22" i="131"/>
  <c r="AB10" i="131"/>
  <c r="I52" i="125"/>
  <c r="BB25" i="130"/>
  <c r="H39" i="131"/>
  <c r="AF53" i="131"/>
  <c r="BD31" i="127"/>
  <c r="I25" i="129"/>
  <c r="AQ53" i="127"/>
  <c r="BE42" i="119"/>
  <c r="AS10" i="117"/>
  <c r="BE16" i="117"/>
  <c r="S51" i="125"/>
  <c r="T48" i="119"/>
  <c r="AS15" i="117"/>
  <c r="X23" i="117"/>
  <c r="AR51" i="125"/>
  <c r="AO53" i="119"/>
  <c r="BE21" i="117"/>
  <c r="K56" i="126"/>
  <c r="AP48" i="130"/>
  <c r="Z33" i="129"/>
  <c r="BC37" i="129"/>
  <c r="J14" i="130"/>
  <c r="BE25" i="129"/>
  <c r="AN47" i="129"/>
  <c r="AS13" i="128"/>
  <c r="AX18" i="128"/>
  <c r="Y37" i="129"/>
  <c r="AU50" i="129"/>
  <c r="BD23" i="128"/>
  <c r="AZ12" i="128"/>
  <c r="M58" i="128"/>
  <c r="G37" i="126"/>
  <c r="AX10" i="125"/>
  <c r="I17" i="125"/>
  <c r="AL52" i="123"/>
  <c r="AK34" i="119"/>
  <c r="S21" i="124"/>
  <c r="Q29" i="124"/>
  <c r="AN8" i="121"/>
  <c r="P39" i="119"/>
  <c r="AO10" i="124"/>
  <c r="BA16" i="124"/>
  <c r="S55" i="121"/>
  <c r="AQ45" i="119"/>
  <c r="AO15" i="124"/>
  <c r="T23" i="124"/>
  <c r="W55" i="121"/>
  <c r="Z51" i="119"/>
  <c r="BA21" i="124"/>
  <c r="AW47" i="130"/>
  <c r="AK46" i="126"/>
  <c r="N43" i="127"/>
  <c r="BA41" i="128"/>
  <c r="AM41" i="128"/>
  <c r="AP9" i="125"/>
  <c r="AO24" i="126"/>
  <c r="AT43" i="128"/>
  <c r="U32" i="128"/>
  <c r="T45" i="126"/>
  <c r="AG18" i="125"/>
  <c r="AB42" i="128"/>
  <c r="AT36" i="128"/>
  <c r="BE15" i="131"/>
  <c r="BA18" i="125"/>
  <c r="G56" i="125"/>
  <c r="S29" i="125"/>
  <c r="AE34" i="120"/>
  <c r="W16" i="118"/>
  <c r="I53" i="124"/>
  <c r="Q26" i="124"/>
  <c r="AT10" i="119"/>
  <c r="P14" i="118"/>
  <c r="G29" i="123"/>
  <c r="AZ35" i="123"/>
  <c r="BE27" i="119"/>
  <c r="V20" i="118"/>
  <c r="AC34" i="123"/>
  <c r="U42" i="123"/>
  <c r="Q11" i="119"/>
  <c r="AJ25" i="118"/>
  <c r="BD39" i="123"/>
  <c r="Z26" i="126"/>
  <c r="AJ56" i="129"/>
  <c r="BB21" i="128"/>
  <c r="AH42" i="131"/>
  <c r="G52" i="128"/>
  <c r="T50" i="128"/>
  <c r="AQ39" i="130"/>
  <c r="W14" i="127"/>
  <c r="AI16" i="127"/>
  <c r="AU40" i="127"/>
  <c r="AB31" i="130"/>
  <c r="AH18" i="127"/>
  <c r="BD25" i="127"/>
  <c r="AQ51" i="130"/>
  <c r="M41" i="125"/>
  <c r="W40" i="124"/>
  <c r="AS31" i="124"/>
  <c r="AZ20" i="118"/>
  <c r="AP10" i="118"/>
  <c r="BE49" i="123"/>
  <c r="AI12" i="123"/>
  <c r="N54" i="118"/>
  <c r="AB54" i="118"/>
  <c r="AL9" i="123"/>
  <c r="P33" i="123"/>
  <c r="X49" i="118"/>
  <c r="I52" i="118"/>
  <c r="AH30" i="123"/>
  <c r="N45" i="123"/>
  <c r="AG56" i="118"/>
  <c r="AE57" i="118"/>
  <c r="AD42" i="123"/>
  <c r="X53" i="125"/>
  <c r="AS35" i="125"/>
  <c r="BA11" i="124"/>
  <c r="AP9" i="124"/>
  <c r="BE9" i="130"/>
  <c r="AC35" i="121"/>
  <c r="AQ24" i="118"/>
  <c r="AU37" i="126"/>
  <c r="Z35" i="121"/>
  <c r="AF39" i="118"/>
  <c r="AD15" i="118"/>
  <c r="AU14" i="131"/>
  <c r="S50" i="127"/>
  <c r="J52" i="127"/>
  <c r="AG24" i="127"/>
  <c r="AC31" i="131"/>
  <c r="M55" i="127"/>
  <c r="BB10" i="127"/>
  <c r="BB36" i="127"/>
  <c r="AT23" i="128"/>
  <c r="Q52" i="127"/>
  <c r="W54" i="122"/>
  <c r="AC43" i="119"/>
  <c r="AJ10" i="124"/>
  <c r="AW16" i="124"/>
  <c r="BE54" i="122"/>
  <c r="BB48" i="119"/>
  <c r="AJ15" i="124"/>
  <c r="P23" i="124"/>
  <c r="Z13" i="122"/>
  <c r="AE54" i="119"/>
  <c r="AW21" i="124"/>
  <c r="N13" i="130"/>
  <c r="AR11" i="126"/>
  <c r="L27" i="127"/>
  <c r="M53" i="128"/>
  <c r="I56" i="129"/>
  <c r="S31" i="126"/>
  <c r="Y58" i="127"/>
  <c r="L38" i="128"/>
  <c r="O33" i="128"/>
  <c r="M39" i="132"/>
  <c r="AP35" i="126"/>
  <c r="X43" i="128"/>
  <c r="AR37" i="128"/>
  <c r="AB35" i="124"/>
  <c r="W22" i="125"/>
  <c r="T11" i="125"/>
  <c r="AT46" i="125"/>
  <c r="N25" i="120"/>
  <c r="AH16" i="118"/>
  <c r="AB57" i="124"/>
  <c r="Q13" i="124"/>
  <c r="AW15" i="119"/>
  <c r="AR23" i="118"/>
  <c r="AM56" i="123"/>
  <c r="AM21" i="123"/>
  <c r="AR21" i="119"/>
  <c r="O30" i="118"/>
  <c r="AM38" i="123"/>
  <c r="BD40" i="123"/>
  <c r="BA15" i="119"/>
  <c r="AK35" i="118"/>
  <c r="W40" i="123"/>
  <c r="M18" i="126"/>
  <c r="AV17" i="129"/>
  <c r="J34" i="129"/>
  <c r="W58" i="127"/>
  <c r="AO22" i="128"/>
  <c r="Q13" i="128"/>
  <c r="AQ21" i="131"/>
  <c r="AM38" i="127"/>
  <c r="V25" i="127"/>
  <c r="Z49" i="128"/>
  <c r="AK8" i="130"/>
  <c r="AT20" i="127"/>
  <c r="N8" i="127"/>
  <c r="AG54" i="130"/>
  <c r="U56" i="125"/>
  <c r="P33" i="125"/>
  <c r="AM39" i="124"/>
  <c r="AW12" i="118"/>
  <c r="AK11" i="118"/>
  <c r="K51" i="123"/>
  <c r="BB30" i="123"/>
  <c r="Y25" i="118"/>
  <c r="I54" i="118"/>
  <c r="AG51" i="123"/>
  <c r="V32" i="123"/>
  <c r="AV31" i="118"/>
  <c r="BC50" i="118"/>
  <c r="AJ29" i="123"/>
  <c r="T44" i="123"/>
  <c r="O37" i="118"/>
  <c r="AS56" i="118"/>
  <c r="AD41" i="123"/>
  <c r="N17" i="129"/>
  <c r="AL31" i="129"/>
  <c r="O11" i="125"/>
  <c r="W9" i="128"/>
  <c r="AB55" i="127"/>
  <c r="BE16" i="130"/>
  <c r="BB54" i="129"/>
  <c r="I15" i="127"/>
  <c r="AP35" i="127"/>
  <c r="S34" i="128"/>
  <c r="AX10" i="128"/>
  <c r="T32" i="127"/>
  <c r="AG32" i="127"/>
  <c r="AT27" i="129"/>
  <c r="AP46" i="131"/>
  <c r="BB46" i="124"/>
  <c r="L38" i="124"/>
  <c r="S22" i="117"/>
  <c r="AI22" i="117"/>
  <c r="P45" i="123"/>
  <c r="AS51" i="123"/>
  <c r="AX45" i="117"/>
  <c r="AW22" i="117"/>
  <c r="AU46" i="123"/>
  <c r="AI53" i="123"/>
  <c r="Y51" i="117"/>
  <c r="AJ29" i="117"/>
  <c r="AJ54" i="123"/>
  <c r="AM57" i="122"/>
  <c r="AX56" i="117"/>
  <c r="H35" i="117"/>
  <c r="AM24" i="122"/>
  <c r="H29" i="121"/>
  <c r="AC44" i="121"/>
  <c r="AP53" i="127"/>
  <c r="AI46" i="125"/>
  <c r="P54" i="124"/>
  <c r="H56" i="120"/>
  <c r="AR47" i="118"/>
  <c r="Y20" i="122"/>
  <c r="O52" i="121"/>
  <c r="H48" i="118"/>
  <c r="AX10" i="118"/>
  <c r="H38" i="130"/>
  <c r="AR14" i="125"/>
  <c r="T24" i="125"/>
  <c r="U35" i="125"/>
  <c r="AB16" i="130"/>
  <c r="AL33" i="125"/>
  <c r="AP30" i="125"/>
  <c r="AG42" i="125"/>
  <c r="AC16" i="125"/>
  <c r="V32" i="118"/>
  <c r="AB40" i="125"/>
  <c r="AV36" i="130"/>
  <c r="H50" i="130"/>
  <c r="AP39" i="130"/>
  <c r="AP40" i="125"/>
  <c r="AE36" i="130"/>
  <c r="AU49" i="130"/>
  <c r="Y39" i="130"/>
  <c r="BB15" i="125"/>
  <c r="S12" i="130"/>
  <c r="P50" i="130"/>
  <c r="V53" i="126"/>
  <c r="AB8" i="123"/>
  <c r="BA13" i="130"/>
  <c r="BA33" i="131"/>
  <c r="AE45" i="126"/>
  <c r="K39" i="131"/>
  <c r="AY15" i="126"/>
  <c r="BA12" i="126"/>
  <c r="AS56" i="126"/>
  <c r="V37" i="130"/>
  <c r="V35" i="126"/>
  <c r="O33" i="126"/>
  <c r="AF51" i="126"/>
  <c r="BC31" i="128"/>
  <c r="K17" i="130"/>
  <c r="L42" i="123"/>
  <c r="AU31" i="123"/>
  <c r="U36" i="125"/>
  <c r="AF57" i="128"/>
  <c r="AE46" i="128"/>
  <c r="X51" i="128"/>
  <c r="AM29" i="124"/>
  <c r="AV27" i="127"/>
  <c r="I31" i="127"/>
  <c r="W23" i="127"/>
  <c r="AM43" i="124"/>
  <c r="AT11" i="127"/>
  <c r="AB13" i="127"/>
  <c r="AS24" i="127"/>
  <c r="I40" i="124"/>
  <c r="X8" i="127"/>
  <c r="AT31" i="127"/>
  <c r="AL25" i="131"/>
  <c r="Y42" i="119"/>
  <c r="Z40" i="125"/>
  <c r="X14" i="130"/>
  <c r="N11" i="125"/>
  <c r="AU57" i="126"/>
  <c r="K49" i="126"/>
  <c r="O12" i="125"/>
  <c r="BC23" i="125"/>
  <c r="Q56" i="130"/>
  <c r="AK14" i="125"/>
  <c r="AP20" i="125"/>
  <c r="W13" i="125"/>
  <c r="L29" i="128"/>
  <c r="O58" i="130"/>
  <c r="AN25" i="122"/>
  <c r="K53" i="122"/>
  <c r="T51" i="131"/>
  <c r="AK33" i="126"/>
  <c r="BA15" i="126"/>
  <c r="T34" i="126"/>
  <c r="AN40" i="130"/>
  <c r="AE9" i="125"/>
  <c r="S26" i="125"/>
  <c r="AD25" i="125"/>
  <c r="N8" i="130"/>
  <c r="AC14" i="125"/>
  <c r="G17" i="125"/>
  <c r="Y8" i="125"/>
  <c r="AS14" i="130"/>
  <c r="AI11" i="125"/>
  <c r="BC12" i="125"/>
  <c r="AW16" i="127"/>
  <c r="BC46" i="129"/>
  <c r="AL40" i="130"/>
  <c r="AG57" i="131"/>
  <c r="BD37" i="125"/>
  <c r="AN14" i="130"/>
  <c r="M54" i="125"/>
  <c r="AK54" i="125"/>
  <c r="AH58" i="125"/>
  <c r="Z42" i="130"/>
  <c r="N29" i="125"/>
  <c r="J52" i="125"/>
  <c r="BC45" i="125"/>
  <c r="AR42" i="127"/>
  <c r="BE45" i="129"/>
  <c r="BD44" i="122"/>
  <c r="Q32" i="122"/>
  <c r="AP45" i="130"/>
  <c r="H11" i="124"/>
  <c r="AZ11" i="124"/>
  <c r="BD56" i="124"/>
  <c r="AM41" i="129"/>
  <c r="AK45" i="123"/>
  <c r="M18" i="123"/>
  <c r="AX42" i="123"/>
  <c r="BE40" i="129"/>
  <c r="BC24" i="123"/>
  <c r="AU10" i="123"/>
  <c r="Z23" i="123"/>
  <c r="U40" i="129"/>
  <c r="O49" i="123"/>
  <c r="AZ44" i="123"/>
  <c r="K53" i="125"/>
  <c r="L45" i="129"/>
  <c r="S21" i="128"/>
  <c r="AL35" i="128"/>
  <c r="N46" i="121"/>
  <c r="H58" i="120"/>
  <c r="BE27" i="124"/>
  <c r="AX57" i="120"/>
  <c r="N12" i="118"/>
  <c r="M30" i="124"/>
  <c r="BB36" i="124"/>
  <c r="BA8" i="127"/>
  <c r="AG29" i="117"/>
  <c r="S36" i="117"/>
  <c r="I39" i="117"/>
  <c r="AO14" i="127"/>
  <c r="AQ29" i="117"/>
  <c r="AF36" i="117"/>
  <c r="AM24" i="130"/>
  <c r="AC8" i="124"/>
  <c r="AB49" i="122"/>
  <c r="M16" i="118"/>
  <c r="K11" i="123"/>
  <c r="BD17" i="123"/>
  <c r="AK32" i="118"/>
  <c r="AN22" i="118"/>
  <c r="AN16" i="123"/>
  <c r="AE24" i="123"/>
  <c r="AB34" i="118"/>
  <c r="BB27" i="118"/>
  <c r="G23" i="123"/>
  <c r="O44" i="130"/>
  <c r="AH54" i="129"/>
  <c r="AH52" i="126"/>
  <c r="AJ44" i="130"/>
  <c r="AH31" i="127"/>
  <c r="AK22" i="125"/>
  <c r="BA47" i="129"/>
  <c r="AZ36" i="127"/>
  <c r="O34" i="127"/>
  <c r="P43" i="129"/>
  <c r="AC43" i="129"/>
  <c r="AO30" i="127"/>
  <c r="AV31" i="127"/>
  <c r="AW12" i="129"/>
  <c r="AT44" i="131"/>
  <c r="AZ17" i="124"/>
  <c r="AX54" i="124"/>
  <c r="AX42" i="118"/>
  <c r="I53" i="118"/>
  <c r="AU12" i="123"/>
  <c r="W36" i="123"/>
  <c r="AC32" i="117"/>
  <c r="AG30" i="117"/>
  <c r="L57" i="123"/>
  <c r="Q57" i="123"/>
  <c r="AZ37" i="117"/>
  <c r="BD35" i="117"/>
  <c r="AT55" i="123"/>
  <c r="AY55" i="123"/>
  <c r="W44" i="117"/>
  <c r="Y42" i="117"/>
  <c r="AB54" i="123"/>
  <c r="N55" i="126"/>
  <c r="BC24" i="130"/>
  <c r="S25" i="131"/>
  <c r="M16" i="126"/>
  <c r="BD49" i="127"/>
  <c r="Z22" i="130"/>
  <c r="AN13" i="127"/>
  <c r="AQ39" i="127"/>
  <c r="BB53" i="127"/>
  <c r="AE20" i="130"/>
  <c r="AJ29" i="127"/>
  <c r="AJ43" i="127"/>
  <c r="AG55" i="127"/>
  <c r="AB44" i="129"/>
  <c r="AR37" i="131"/>
  <c r="AJ55" i="124"/>
  <c r="Y41" i="124"/>
  <c r="AO26" i="117"/>
  <c r="AN13" i="117"/>
  <c r="H13" i="122"/>
  <c r="AD20" i="122"/>
  <c r="J31" i="129"/>
  <c r="AP51" i="126"/>
  <c r="AT51" i="126"/>
  <c r="AO56" i="126"/>
  <c r="BD45" i="129"/>
  <c r="AZ39" i="126"/>
  <c r="BD39" i="126"/>
  <c r="AM11" i="125"/>
  <c r="AR47" i="128"/>
  <c r="AS27" i="126"/>
  <c r="AQ40" i="125"/>
  <c r="Y34" i="129"/>
  <c r="AG15" i="125"/>
  <c r="U42" i="129"/>
  <c r="U30" i="125"/>
  <c r="J36" i="126"/>
  <c r="AR9" i="130"/>
  <c r="AP21" i="126"/>
  <c r="X52" i="126"/>
  <c r="BC41" i="126"/>
  <c r="G21" i="128"/>
  <c r="AF11" i="126"/>
  <c r="AD57" i="126"/>
  <c r="BC47" i="126"/>
  <c r="Z13" i="128"/>
  <c r="AH37" i="130"/>
  <c r="M49" i="123"/>
  <c r="P37" i="123"/>
  <c r="AM10" i="125"/>
  <c r="AK13" i="130"/>
  <c r="T50" i="130"/>
  <c r="I41" i="130"/>
  <c r="AP37" i="125"/>
  <c r="J48" i="129"/>
  <c r="AT39" i="129"/>
  <c r="Z53" i="129"/>
  <c r="AG49" i="125"/>
  <c r="V57" i="129"/>
  <c r="G48" i="129"/>
  <c r="AI32" i="129"/>
  <c r="P15" i="125"/>
  <c r="K36" i="129"/>
  <c r="O55" i="129"/>
  <c r="L51" i="128"/>
  <c r="AK23" i="131"/>
  <c r="G10" i="117"/>
  <c r="P56" i="117"/>
  <c r="AG46" i="117"/>
  <c r="AY57" i="118"/>
  <c r="BD58" i="117"/>
  <c r="G45" i="130"/>
  <c r="T54" i="120"/>
  <c r="AX53" i="117"/>
  <c r="V16" i="117"/>
  <c r="AY53" i="129"/>
  <c r="BD26" i="122"/>
  <c r="AD14" i="122"/>
  <c r="AF31" i="122"/>
  <c r="I52" i="129"/>
  <c r="N40" i="121"/>
  <c r="AD24" i="121"/>
  <c r="AD36" i="121"/>
  <c r="P9" i="117"/>
  <c r="N30" i="124"/>
  <c r="J15" i="119"/>
  <c r="AL16" i="119"/>
  <c r="AJ45" i="117"/>
  <c r="BA38" i="117"/>
  <c r="Y25" i="119"/>
  <c r="AR26" i="119"/>
  <c r="Y29" i="117"/>
  <c r="Y44" i="117"/>
  <c r="AW36" i="119"/>
  <c r="P38" i="119"/>
  <c r="J55" i="117"/>
  <c r="O15" i="127"/>
  <c r="X31" i="128"/>
  <c r="AM24" i="123"/>
  <c r="X10" i="117"/>
  <c r="AL57" i="120"/>
  <c r="M58" i="127"/>
  <c r="I55" i="121"/>
  <c r="AK23" i="129"/>
  <c r="AG31" i="123"/>
  <c r="AG50" i="121"/>
  <c r="Y57" i="121"/>
  <c r="BC11" i="119"/>
  <c r="AV30" i="118"/>
  <c r="BD44" i="123"/>
  <c r="AT51" i="123"/>
  <c r="AW22" i="118"/>
  <c r="S43" i="118"/>
  <c r="J10" i="123"/>
  <c r="AH17" i="123"/>
  <c r="AN24" i="124"/>
  <c r="Q35" i="124"/>
  <c r="AE22" i="119"/>
  <c r="AT23" i="119"/>
  <c r="AJ25" i="117"/>
  <c r="AD56" i="124"/>
  <c r="AU21" i="119"/>
  <c r="J23" i="119"/>
  <c r="AV57" i="117"/>
  <c r="AT46" i="117"/>
  <c r="AV31" i="119"/>
  <c r="K33" i="119"/>
  <c r="P23" i="117"/>
  <c r="BA18" i="126"/>
  <c r="BB25" i="124"/>
  <c r="AF23" i="120"/>
  <c r="AK35" i="122"/>
  <c r="H26" i="118"/>
  <c r="AY13" i="125"/>
  <c r="AJ32" i="120"/>
  <c r="V15" i="125"/>
  <c r="AE55" i="123"/>
  <c r="BB41" i="120"/>
  <c r="AB38" i="120"/>
  <c r="AX32" i="118"/>
  <c r="V52" i="118"/>
  <c r="BA25" i="123"/>
  <c r="AQ33" i="123"/>
  <c r="Y57" i="118"/>
  <c r="AP58" i="118"/>
  <c r="AB32" i="123"/>
  <c r="N39" i="123"/>
  <c r="K53" i="123"/>
  <c r="H24" i="122"/>
  <c r="J45" i="118"/>
  <c r="AB46" i="118"/>
  <c r="AB58" i="123"/>
  <c r="K18" i="122"/>
  <c r="N10" i="118"/>
  <c r="AQ11" i="118"/>
  <c r="AS48" i="123"/>
  <c r="AF58" i="123"/>
  <c r="BA31" i="118"/>
  <c r="T33" i="118"/>
  <c r="K58" i="123"/>
  <c r="AC47" i="130"/>
  <c r="AP23" i="120"/>
  <c r="O20" i="122"/>
  <c r="AC43" i="121"/>
  <c r="AH45" i="117"/>
  <c r="AV13" i="130"/>
  <c r="AS27" i="129"/>
  <c r="J36" i="127"/>
  <c r="AM56" i="126"/>
  <c r="AI13" i="126"/>
  <c r="AU14" i="126"/>
  <c r="L33" i="120"/>
  <c r="O46" i="117"/>
  <c r="AL12" i="131"/>
  <c r="AU40" i="130"/>
  <c r="J54" i="127"/>
  <c r="AF14" i="130"/>
  <c r="AS22" i="128"/>
  <c r="AI41" i="119"/>
  <c r="AP57" i="127"/>
  <c r="BC24" i="131"/>
  <c r="AE56" i="119"/>
  <c r="AB9" i="119"/>
  <c r="AM26" i="126"/>
  <c r="AC27" i="130"/>
  <c r="S16" i="119"/>
  <c r="AG58" i="127"/>
  <c r="N56" i="131"/>
  <c r="I11" i="125"/>
  <c r="K17" i="125"/>
  <c r="S42" i="129"/>
  <c r="G46" i="124"/>
  <c r="I33" i="121"/>
  <c r="AT39" i="121"/>
  <c r="G41" i="126"/>
  <c r="AX23" i="124"/>
  <c r="BE32" i="121"/>
  <c r="AY39" i="121"/>
  <c r="P47" i="126"/>
  <c r="BC37" i="127"/>
  <c r="Z46" i="127"/>
  <c r="BB20" i="123"/>
  <c r="AQ25" i="127"/>
  <c r="AZ24" i="126"/>
  <c r="AR46" i="119"/>
  <c r="AJ11" i="126"/>
  <c r="G20" i="126"/>
  <c r="BC10" i="119"/>
  <c r="L49" i="119"/>
  <c r="AQ25" i="126"/>
  <c r="BB31" i="126"/>
  <c r="M24" i="119"/>
  <c r="AV20" i="126"/>
  <c r="AH14" i="130"/>
  <c r="O43" i="131"/>
  <c r="AY15" i="131"/>
  <c r="Y9" i="130"/>
  <c r="AL50" i="123"/>
  <c r="V35" i="121"/>
  <c r="H43" i="121"/>
  <c r="V38" i="129"/>
  <c r="AV22" i="130"/>
  <c r="BE31" i="131"/>
  <c r="AL24" i="128"/>
  <c r="AI41" i="130"/>
  <c r="AO14" i="129"/>
  <c r="AO39" i="131"/>
  <c r="AZ35" i="127"/>
  <c r="M54" i="130"/>
  <c r="AC16" i="129"/>
  <c r="AJ48" i="131"/>
  <c r="P23" i="126"/>
  <c r="AG20" i="129"/>
  <c r="AN37" i="129"/>
  <c r="AB17" i="125"/>
  <c r="AB25" i="125"/>
  <c r="AB23" i="121"/>
  <c r="AU58" i="121"/>
  <c r="AN56" i="125"/>
  <c r="BD33" i="125"/>
  <c r="AP23" i="121"/>
  <c r="AB18" i="121"/>
  <c r="AH22" i="131"/>
  <c r="AD46" i="131"/>
  <c r="BD33" i="121"/>
  <c r="K54" i="121"/>
  <c r="AD58" i="131"/>
  <c r="BC20" i="131"/>
  <c r="AG53" i="121"/>
  <c r="AG33" i="131"/>
  <c r="J30" i="127"/>
  <c r="U11" i="128"/>
  <c r="AU41" i="128"/>
  <c r="U16" i="128"/>
  <c r="AQ45" i="128"/>
  <c r="P27" i="129"/>
  <c r="AN53" i="130"/>
  <c r="AC58" i="130"/>
  <c r="AX8" i="127"/>
  <c r="AK11" i="129"/>
  <c r="P52" i="130"/>
  <c r="M20" i="129"/>
  <c r="Q48" i="130"/>
  <c r="L21" i="126"/>
  <c r="BE20" i="126"/>
  <c r="J53" i="126"/>
  <c r="N52" i="128"/>
  <c r="AD40" i="119"/>
  <c r="K30" i="117"/>
  <c r="BD36" i="117"/>
  <c r="BD18" i="126"/>
  <c r="M44" i="119"/>
  <c r="X8" i="117"/>
  <c r="AO14" i="117"/>
  <c r="AC17" i="126"/>
  <c r="S51" i="119"/>
  <c r="AB13" i="117"/>
  <c r="AU20" i="117"/>
  <c r="U18" i="126"/>
  <c r="AC58" i="119"/>
  <c r="AB18" i="117"/>
  <c r="AI12" i="125"/>
  <c r="N33" i="131"/>
  <c r="AK26" i="126"/>
  <c r="AU37" i="125"/>
  <c r="AL11" i="127"/>
  <c r="AU57" i="127"/>
  <c r="AK53" i="130"/>
  <c r="P10" i="127"/>
  <c r="AR18" i="127"/>
  <c r="L22" i="126"/>
  <c r="AM9" i="129"/>
  <c r="BA15" i="127"/>
  <c r="BD22" i="127"/>
  <c r="K56" i="130"/>
  <c r="AH43" i="125"/>
  <c r="J10" i="124"/>
  <c r="AU55" i="124"/>
  <c r="AR56" i="118"/>
  <c r="BD49" i="118"/>
  <c r="AC18" i="123"/>
  <c r="AH23" i="129"/>
  <c r="AR52" i="129"/>
  <c r="AM14" i="123"/>
  <c r="AH29" i="121"/>
  <c r="Y23" i="122"/>
  <c r="AW35" i="130"/>
  <c r="AE8" i="124"/>
  <c r="W15" i="126"/>
  <c r="AD48" i="117"/>
  <c r="W11" i="128"/>
  <c r="K38" i="131"/>
  <c r="Y12" i="126"/>
  <c r="AN46" i="117"/>
  <c r="BE23" i="127"/>
  <c r="AJ25" i="130"/>
  <c r="BD43" i="128"/>
  <c r="AF38" i="128"/>
  <c r="AM44" i="125"/>
  <c r="AU25" i="122"/>
  <c r="AW51" i="119"/>
  <c r="AD58" i="119"/>
  <c r="L53" i="130"/>
  <c r="N11" i="121"/>
  <c r="I55" i="119"/>
  <c r="N11" i="119"/>
  <c r="AN37" i="130"/>
  <c r="AG35" i="125"/>
  <c r="AK34" i="125"/>
  <c r="K45" i="120"/>
  <c r="O46" i="119"/>
  <c r="Y10" i="120"/>
  <c r="AL58" i="126"/>
  <c r="BB38" i="131"/>
  <c r="L23" i="126"/>
  <c r="AD44" i="126"/>
  <c r="H25" i="125"/>
  <c r="L26" i="131"/>
  <c r="Q34" i="126"/>
  <c r="Y50" i="126"/>
  <c r="BA35" i="130"/>
  <c r="AH13" i="124"/>
  <c r="V21" i="128"/>
  <c r="G26" i="128"/>
  <c r="J43" i="127"/>
  <c r="O17" i="121"/>
  <c r="I40" i="118"/>
  <c r="X40" i="118"/>
  <c r="AB15" i="125"/>
  <c r="AE33" i="131"/>
  <c r="AT21" i="125"/>
  <c r="AM50" i="129"/>
  <c r="G16" i="131"/>
  <c r="T41" i="131"/>
  <c r="AX18" i="125"/>
  <c r="U26" i="129"/>
  <c r="BE26" i="131"/>
  <c r="AR11" i="131"/>
  <c r="AU17" i="125"/>
  <c r="AB18" i="129"/>
  <c r="BB34" i="131"/>
  <c r="AN58" i="131"/>
  <c r="M46" i="126"/>
  <c r="AS25" i="126"/>
  <c r="AZ44" i="119"/>
  <c r="H31" i="119"/>
  <c r="AZ51" i="126"/>
  <c r="AP37" i="130"/>
  <c r="J47" i="119"/>
  <c r="AG43" i="119"/>
  <c r="AK47" i="126"/>
  <c r="AR52" i="130"/>
  <c r="T20" i="118"/>
  <c r="BC25" i="118"/>
  <c r="U42" i="126"/>
  <c r="AP37" i="129"/>
  <c r="J18" i="118"/>
  <c r="AK31" i="128"/>
  <c r="T53" i="129"/>
  <c r="BB50" i="125"/>
  <c r="AD21" i="128"/>
  <c r="L56" i="127"/>
  <c r="AH38" i="127"/>
  <c r="AB20" i="128"/>
  <c r="W20" i="127"/>
  <c r="BB37" i="127"/>
  <c r="AF21" i="125"/>
  <c r="BE47" i="128"/>
  <c r="AD33" i="127"/>
  <c r="AN33" i="127"/>
  <c r="AN29" i="129"/>
  <c r="AQ57" i="131"/>
  <c r="BD47" i="124"/>
  <c r="X38" i="124"/>
  <c r="O33" i="117"/>
  <c r="S31" i="117"/>
  <c r="AH58" i="123"/>
  <c r="AN58" i="123"/>
  <c r="AQ32" i="117"/>
  <c r="AD23" i="117"/>
  <c r="AC22" i="122"/>
  <c r="S30" i="122"/>
  <c r="N38" i="117"/>
  <c r="J30" i="117"/>
  <c r="BD27" i="122"/>
  <c r="AP35" i="122"/>
  <c r="AO44" i="117"/>
  <c r="AF35" i="117"/>
  <c r="W34" i="122"/>
  <c r="P16" i="129"/>
  <c r="Z25" i="117"/>
  <c r="X29" i="125"/>
  <c r="AY25" i="129"/>
  <c r="AE27" i="125"/>
  <c r="M58" i="125"/>
  <c r="Y22" i="125"/>
  <c r="AG44" i="125"/>
  <c r="AE34" i="125"/>
  <c r="BC14" i="124"/>
  <c r="AC10" i="125"/>
  <c r="W50" i="125"/>
  <c r="S41" i="125"/>
  <c r="O24" i="127"/>
  <c r="Q17" i="129"/>
  <c r="AD54" i="122"/>
  <c r="AW45" i="122"/>
  <c r="AC8" i="130"/>
  <c r="H18" i="125"/>
  <c r="S47" i="125"/>
  <c r="AI14" i="127"/>
  <c r="X43" i="129"/>
  <c r="AN58" i="125"/>
  <c r="S42" i="131"/>
  <c r="AF32" i="126"/>
  <c r="AJ46" i="127"/>
  <c r="BE27" i="129"/>
  <c r="G27" i="129"/>
  <c r="O27" i="129"/>
  <c r="H15" i="126"/>
  <c r="AY37" i="129"/>
  <c r="AB25" i="129"/>
  <c r="Z9" i="129"/>
  <c r="AZ23" i="126"/>
  <c r="AF25" i="126"/>
  <c r="AO20" i="126"/>
  <c r="T13" i="126"/>
  <c r="AQ33" i="127"/>
  <c r="BB33" i="119"/>
  <c r="AS23" i="117"/>
  <c r="Z31" i="117"/>
  <c r="AK57" i="126"/>
  <c r="AV45" i="119"/>
  <c r="T32" i="117"/>
  <c r="BE38" i="117"/>
  <c r="AR46" i="126"/>
  <c r="AN25" i="126"/>
  <c r="L8" i="130"/>
  <c r="AO27" i="129"/>
  <c r="AH37" i="129"/>
  <c r="BB41" i="131"/>
  <c r="AS53" i="130"/>
  <c r="Y39" i="129"/>
  <c r="AK40" i="128"/>
  <c r="AV8" i="128"/>
  <c r="Z30" i="129"/>
  <c r="BB52" i="129"/>
  <c r="AS18" i="128"/>
  <c r="V15" i="128"/>
  <c r="M13" i="128"/>
  <c r="AX48" i="126"/>
  <c r="AX50" i="126"/>
  <c r="AL40" i="125"/>
  <c r="AX39" i="123"/>
  <c r="AU27" i="119"/>
  <c r="AX20" i="124"/>
  <c r="AV27" i="124"/>
  <c r="L23" i="131"/>
  <c r="AJ21" i="125"/>
  <c r="J58" i="129"/>
  <c r="BC53" i="131"/>
  <c r="V43" i="131"/>
  <c r="AS41" i="125"/>
  <c r="J18" i="129"/>
  <c r="V12" i="131"/>
  <c r="AR10" i="130"/>
  <c r="U58" i="125"/>
  <c r="J25" i="129"/>
  <c r="T34" i="131"/>
  <c r="P34" i="130"/>
  <c r="J12" i="125"/>
  <c r="BE24" i="127"/>
  <c r="AN24" i="118"/>
  <c r="AI14" i="118"/>
  <c r="X20" i="125"/>
  <c r="AZ37" i="127"/>
  <c r="AG31" i="118"/>
  <c r="AO11" i="118"/>
  <c r="W41" i="125"/>
  <c r="AY27" i="126"/>
  <c r="N29" i="118"/>
  <c r="M21" i="118"/>
  <c r="BB46" i="125"/>
  <c r="T39" i="126"/>
  <c r="H34" i="118"/>
  <c r="AW55" i="126"/>
  <c r="AE17" i="128"/>
  <c r="AN26" i="130"/>
  <c r="AS17" i="126"/>
  <c r="AL40" i="126"/>
  <c r="T34" i="129"/>
  <c r="AO58" i="127"/>
  <c r="O12" i="126"/>
  <c r="AV15" i="126"/>
  <c r="AM11" i="128"/>
  <c r="AK53" i="127"/>
  <c r="AT15" i="126"/>
  <c r="O25" i="126"/>
  <c r="AD47" i="129"/>
  <c r="AB49" i="131"/>
  <c r="AM50" i="123"/>
  <c r="M10" i="123"/>
  <c r="AS40" i="129"/>
  <c r="BA45" i="126"/>
  <c r="BE45" i="126"/>
  <c r="AL27" i="126"/>
  <c r="AK54" i="126"/>
  <c r="Y58" i="131"/>
  <c r="H20" i="131"/>
  <c r="Y49" i="131"/>
  <c r="L24" i="126"/>
  <c r="S9" i="131"/>
  <c r="BA23" i="131"/>
  <c r="K50" i="131"/>
  <c r="BC37" i="126"/>
  <c r="BC9" i="131"/>
  <c r="H31" i="131"/>
  <c r="AY17" i="128"/>
  <c r="AL40" i="127"/>
  <c r="AJ47" i="130"/>
  <c r="W29" i="125"/>
  <c r="AK55" i="125"/>
  <c r="AC33" i="130"/>
  <c r="AH49" i="125"/>
  <c r="AW39" i="125"/>
  <c r="AG51" i="125"/>
  <c r="U42" i="130"/>
  <c r="AJ38" i="125"/>
  <c r="AH36" i="125"/>
  <c r="AZ44" i="125"/>
  <c r="AX30" i="127"/>
  <c r="N34" i="129"/>
  <c r="I47" i="122"/>
  <c r="AY43" i="122"/>
  <c r="AE53" i="130"/>
  <c r="AR39" i="123"/>
  <c r="M51" i="123"/>
  <c r="AH25" i="127"/>
  <c r="AJ57" i="131"/>
  <c r="O12" i="129"/>
  <c r="M10" i="129"/>
  <c r="AW45" i="131"/>
  <c r="AB39" i="130"/>
  <c r="U53" i="129"/>
  <c r="AN42" i="129"/>
  <c r="BE40" i="128"/>
  <c r="AH51" i="130"/>
  <c r="AZ45" i="129"/>
  <c r="G11" i="128"/>
  <c r="BE9" i="128"/>
  <c r="K58" i="129"/>
  <c r="L43" i="126"/>
  <c r="L45" i="126"/>
  <c r="U41" i="126"/>
  <c r="AG15" i="123"/>
  <c r="M32" i="119"/>
  <c r="AT20" i="124"/>
  <c r="AR27" i="124"/>
  <c r="L51" i="122"/>
  <c r="AQ36" i="119"/>
  <c r="AB10" i="124"/>
  <c r="AO16" i="124"/>
  <c r="AW51" i="122"/>
  <c r="AK56" i="131"/>
  <c r="AY25" i="127"/>
  <c r="Z17" i="127"/>
  <c r="W55" i="128"/>
  <c r="AC53" i="129"/>
  <c r="AJ27" i="126"/>
  <c r="G55" i="128"/>
  <c r="AQ37" i="128"/>
  <c r="AJ27" i="128"/>
  <c r="AY58" i="126"/>
  <c r="H48" i="127"/>
  <c r="V44" i="128"/>
  <c r="AP38" i="128"/>
  <c r="AO33" i="129"/>
  <c r="L11" i="122"/>
  <c r="AV27" i="119"/>
  <c r="AG12" i="117"/>
  <c r="AB50" i="123"/>
  <c r="H57" i="123"/>
  <c r="AG14" i="117"/>
  <c r="AR29" i="117"/>
  <c r="AW55" i="123"/>
  <c r="AP55" i="123"/>
  <c r="I21" i="117"/>
  <c r="O35" i="117"/>
  <c r="W54" i="123"/>
  <c r="AM50" i="126"/>
  <c r="AV24" i="131"/>
  <c r="AY27" i="131"/>
  <c r="Q14" i="126"/>
  <c r="AG43" i="127"/>
  <c r="BA50" i="131"/>
  <c r="BA20" i="127"/>
  <c r="AF57" i="127"/>
  <c r="AR46" i="127"/>
  <c r="T27" i="130"/>
  <c r="G47" i="127"/>
  <c r="Q21" i="127"/>
  <c r="AC51" i="127"/>
  <c r="AW55" i="129"/>
  <c r="AB30" i="131"/>
  <c r="BB41" i="124"/>
  <c r="V46" i="124"/>
  <c r="T26" i="117"/>
  <c r="Z17" i="117"/>
  <c r="AR27" i="122"/>
  <c r="AC35" i="122"/>
  <c r="AC12" i="127"/>
  <c r="AY15" i="127"/>
  <c r="N47" i="127"/>
  <c r="AH10" i="126"/>
  <c r="AN13" i="125"/>
  <c r="BC49" i="127"/>
  <c r="AZ8" i="126"/>
  <c r="AQ34" i="126"/>
  <c r="AW45" i="125"/>
  <c r="AQ11" i="126"/>
  <c r="AW33" i="126"/>
  <c r="J13" i="129"/>
  <c r="AY44" i="126"/>
  <c r="AH21" i="129"/>
  <c r="AV47" i="125"/>
  <c r="Z36" i="126"/>
  <c r="V46" i="127"/>
  <c r="BD20" i="126"/>
  <c r="AJ52" i="126"/>
  <c r="AL42" i="126"/>
  <c r="AU30" i="130"/>
  <c r="BE8" i="126"/>
  <c r="H58" i="126"/>
  <c r="AH47" i="126"/>
  <c r="X8" i="128"/>
  <c r="AF36" i="130"/>
  <c r="X46" i="123"/>
  <c r="AN38" i="123"/>
  <c r="G33" i="126"/>
  <c r="AO40" i="130"/>
  <c r="Z14" i="130"/>
  <c r="P41" i="130"/>
  <c r="AI8" i="125"/>
  <c r="AU11" i="129"/>
  <c r="AY24" i="129"/>
  <c r="AJ48" i="129"/>
  <c r="Y20" i="125"/>
  <c r="AU58" i="129"/>
  <c r="Z25" i="129"/>
  <c r="BE48" i="129"/>
  <c r="M13" i="125"/>
  <c r="BB30" i="129"/>
  <c r="AU25" i="129"/>
  <c r="AZ12" i="125"/>
  <c r="AL8" i="122"/>
  <c r="U27" i="128"/>
  <c r="M48" i="131"/>
  <c r="AC57" i="126"/>
  <c r="BB29" i="130"/>
  <c r="AJ30" i="126"/>
  <c r="AJ55" i="126"/>
  <c r="K52" i="126"/>
  <c r="S21" i="129"/>
  <c r="AY35" i="126"/>
  <c r="T50" i="126"/>
  <c r="AN46" i="126"/>
  <c r="BB36" i="128"/>
  <c r="AX35" i="130"/>
  <c r="AK10" i="123"/>
  <c r="AJ32" i="123"/>
  <c r="AI35" i="125"/>
  <c r="AQ53" i="128"/>
  <c r="BE40" i="127"/>
  <c r="U40" i="127"/>
  <c r="AU16" i="131"/>
  <c r="AC52" i="127"/>
  <c r="T53" i="127"/>
  <c r="AI29" i="127"/>
  <c r="AR30" i="131"/>
  <c r="BA47" i="127"/>
  <c r="H31" i="127"/>
  <c r="BC42" i="127"/>
  <c r="AN42" i="131"/>
  <c r="Q13" i="127"/>
  <c r="H54" i="127"/>
  <c r="G34" i="130"/>
  <c r="I30" i="127"/>
  <c r="G14" i="123"/>
  <c r="AJ30" i="123"/>
  <c r="S41" i="123"/>
  <c r="AJ10" i="130"/>
  <c r="J26" i="117"/>
  <c r="BA25" i="126"/>
  <c r="X13" i="119"/>
  <c r="O55" i="117"/>
  <c r="AO10" i="117"/>
  <c r="AY35" i="128"/>
  <c r="AI31" i="120"/>
  <c r="P50" i="120"/>
  <c r="Y45" i="120"/>
  <c r="AR36" i="128"/>
  <c r="H35" i="120"/>
  <c r="W30" i="120"/>
  <c r="S42" i="120"/>
  <c r="M30" i="128"/>
  <c r="AD18" i="120"/>
  <c r="U29" i="117"/>
  <c r="M20" i="117"/>
  <c r="BC22" i="122"/>
  <c r="K30" i="122"/>
  <c r="AR34" i="117"/>
  <c r="AN25" i="117"/>
  <c r="AN23" i="122"/>
  <c r="U46" i="122"/>
  <c r="K41" i="117"/>
  <c r="G32" i="117"/>
  <c r="AX44" i="122"/>
  <c r="AF56" i="130"/>
  <c r="V29" i="126"/>
  <c r="K24" i="129"/>
  <c r="AT20" i="125"/>
  <c r="AN12" i="126"/>
  <c r="AO27" i="127"/>
  <c r="Y22" i="126"/>
  <c r="BB12" i="126"/>
  <c r="AY42" i="126"/>
  <c r="AH55" i="129"/>
  <c r="S26" i="126"/>
  <c r="T58" i="126"/>
  <c r="N48" i="126"/>
  <c r="I40" i="128"/>
  <c r="AF18" i="130"/>
  <c r="AJ20" i="123"/>
  <c r="AS35" i="123"/>
  <c r="AP55" i="126"/>
  <c r="AY10" i="131"/>
  <c r="I51" i="131"/>
  <c r="AC43" i="131"/>
  <c r="BE22" i="125"/>
  <c r="AK31" i="130"/>
  <c r="AM55" i="129"/>
  <c r="AN9" i="129"/>
  <c r="K15" i="125"/>
  <c r="AM42" i="129"/>
  <c r="AW10" i="129"/>
  <c r="AZ18" i="129"/>
  <c r="P8" i="125"/>
  <c r="AE21" i="129"/>
  <c r="J20" i="129"/>
  <c r="BA26" i="126"/>
  <c r="AH22" i="122"/>
  <c r="AF39" i="129"/>
  <c r="AO53" i="131"/>
  <c r="AB51" i="126"/>
  <c r="P32" i="130"/>
  <c r="AZ29" i="126"/>
  <c r="AL25" i="126"/>
  <c r="V46" i="126"/>
  <c r="AE30" i="130"/>
  <c r="L36" i="126"/>
  <c r="AU13" i="126"/>
  <c r="AG57" i="126"/>
  <c r="X32" i="128"/>
  <c r="Q36" i="130"/>
  <c r="P42" i="123"/>
  <c r="AF32" i="123"/>
  <c r="V32" i="125"/>
  <c r="T49" i="128"/>
  <c r="AU25" i="128"/>
  <c r="H33" i="128"/>
  <c r="AH45" i="124"/>
  <c r="AV48" i="127"/>
  <c r="X51" i="127"/>
  <c r="AG21" i="127"/>
  <c r="AQ56" i="124"/>
  <c r="J46" i="127"/>
  <c r="W26" i="127"/>
  <c r="AO39" i="127"/>
  <c r="Y39" i="131"/>
  <c r="K33" i="127"/>
  <c r="AY51" i="127"/>
  <c r="X27" i="131"/>
  <c r="AH24" i="118"/>
  <c r="AN12" i="125"/>
  <c r="BC47" i="130"/>
  <c r="AQ15" i="125"/>
  <c r="AY50" i="130"/>
  <c r="M9" i="125"/>
  <c r="S14" i="125"/>
  <c r="AW26" i="125"/>
  <c r="O58" i="128"/>
  <c r="AH12" i="125"/>
  <c r="AZ23" i="125"/>
  <c r="Y39" i="125"/>
  <c r="AM10" i="127"/>
  <c r="T40" i="129"/>
  <c r="P11" i="122"/>
  <c r="AN56" i="122"/>
  <c r="AQ20" i="131"/>
  <c r="BE41" i="126"/>
  <c r="AG30" i="126"/>
  <c r="Y42" i="126"/>
  <c r="BC14" i="130"/>
  <c r="AZ41" i="125"/>
  <c r="AS24" i="125"/>
  <c r="AT35" i="125"/>
  <c r="BA15" i="130"/>
  <c r="AB18" i="125"/>
  <c r="AR47" i="125"/>
  <c r="AW13" i="125"/>
  <c r="L32" i="130"/>
  <c r="S42" i="125"/>
  <c r="L25" i="125"/>
  <c r="X35" i="126"/>
  <c r="AR58" i="126"/>
  <c r="Q22" i="128"/>
  <c r="AX35" i="128"/>
  <c r="S31" i="122"/>
  <c r="AQ48" i="124"/>
  <c r="M46" i="124"/>
  <c r="AE21" i="122"/>
  <c r="AC57" i="119"/>
  <c r="K45" i="124"/>
  <c r="AZ51" i="124"/>
  <c r="AK56" i="128"/>
  <c r="BC34" i="118"/>
  <c r="AZ27" i="118"/>
  <c r="AB22" i="118"/>
  <c r="AZ37" i="128"/>
  <c r="L14" i="118"/>
  <c r="AO43" i="118"/>
  <c r="AG10" i="118"/>
  <c r="AB40" i="126"/>
  <c r="T14" i="123"/>
  <c r="AU17" i="129"/>
  <c r="AG52" i="122"/>
  <c r="AC26" i="122"/>
  <c r="BD50" i="122"/>
  <c r="BA30" i="129"/>
  <c r="AJ23" i="122"/>
  <c r="AS10" i="122"/>
  <c r="BE21" i="122"/>
  <c r="AW42" i="129"/>
  <c r="W56" i="122"/>
  <c r="AB16" i="122"/>
  <c r="AX46" i="128"/>
  <c r="AD44" i="123"/>
  <c r="AS55" i="130"/>
  <c r="I16" i="126"/>
  <c r="G38" i="124"/>
  <c r="BB15" i="129"/>
  <c r="AV34" i="131"/>
  <c r="BD53" i="124"/>
  <c r="V26" i="124"/>
  <c r="Q23" i="129"/>
  <c r="G42" i="131"/>
  <c r="AV23" i="124"/>
  <c r="AW32" i="124"/>
  <c r="BE49" i="129"/>
  <c r="AM14" i="128"/>
  <c r="G13" i="121"/>
  <c r="G50" i="121"/>
  <c r="AK16" i="128"/>
  <c r="H16" i="121"/>
  <c r="AW45" i="121"/>
  <c r="AB56" i="121"/>
  <c r="Y17" i="128"/>
  <c r="L17" i="120"/>
  <c r="K17" i="120"/>
  <c r="AW12" i="120"/>
  <c r="BC13" i="128"/>
  <c r="AN11" i="120"/>
  <c r="P24" i="120"/>
  <c r="AL10" i="120"/>
  <c r="S12" i="128"/>
  <c r="BA17" i="120"/>
  <c r="O18" i="120"/>
  <c r="O49" i="131"/>
  <c r="AH27" i="119"/>
  <c r="Z52" i="128"/>
  <c r="M49" i="125"/>
  <c r="AS34" i="124"/>
  <c r="T33" i="129"/>
  <c r="AF51" i="131"/>
  <c r="AO53" i="124"/>
  <c r="Y38" i="124"/>
  <c r="AY41" i="129"/>
  <c r="AX38" i="131"/>
  <c r="AE54" i="124"/>
  <c r="AT40" i="123"/>
  <c r="AJ54" i="131"/>
  <c r="BC46" i="131"/>
  <c r="U10" i="121"/>
  <c r="AX47" i="121"/>
  <c r="AQ52" i="128"/>
  <c r="AW41" i="119"/>
  <c r="H24" i="119"/>
  <c r="AY35" i="119"/>
  <c r="AF54" i="128"/>
  <c r="P31" i="118"/>
  <c r="BB26" i="118"/>
  <c r="J8" i="118"/>
  <c r="O13" i="128"/>
  <c r="W21" i="118"/>
  <c r="AF44" i="118"/>
  <c r="W15" i="118"/>
  <c r="AK42" i="128"/>
  <c r="AY32" i="118"/>
  <c r="W27" i="118"/>
  <c r="Q40" i="130"/>
  <c r="I13" i="125"/>
  <c r="AB16" i="125"/>
  <c r="AD50" i="131"/>
  <c r="Y22" i="123"/>
  <c r="AU10" i="128"/>
  <c r="AO27" i="130"/>
  <c r="W38" i="123"/>
  <c r="L49" i="123"/>
  <c r="S16" i="128"/>
  <c r="M49" i="130"/>
  <c r="Q37" i="123"/>
  <c r="AR17" i="123"/>
  <c r="BE42" i="129"/>
  <c r="BE36" i="129"/>
  <c r="AF34" i="120"/>
  <c r="AT34" i="120"/>
  <c r="V16" i="127"/>
  <c r="AB22" i="117"/>
  <c r="P52" i="117"/>
  <c r="S12" i="117"/>
  <c r="U17" i="127"/>
  <c r="U52" i="117"/>
  <c r="T8" i="117"/>
  <c r="AW10" i="117"/>
  <c r="W32" i="127"/>
  <c r="AR57" i="117"/>
  <c r="X13" i="117"/>
  <c r="AW15" i="117"/>
  <c r="N27" i="127"/>
  <c r="H12" i="117"/>
  <c r="X18" i="117"/>
  <c r="AO9" i="126"/>
  <c r="BA42" i="129"/>
  <c r="AS12" i="129"/>
  <c r="AV9" i="129"/>
  <c r="G41" i="124"/>
  <c r="AY44" i="121"/>
  <c r="W12" i="131"/>
  <c r="AZ44" i="126"/>
  <c r="AB8" i="131"/>
  <c r="AL45" i="131"/>
  <c r="AL22" i="131"/>
  <c r="AI37" i="126"/>
  <c r="AP15" i="123"/>
  <c r="J14" i="123"/>
  <c r="H26" i="123"/>
  <c r="BB40" i="125"/>
  <c r="BD13" i="123"/>
  <c r="AB10" i="123"/>
  <c r="AM57" i="130"/>
  <c r="AF39" i="124"/>
  <c r="M56" i="125"/>
  <c r="AM22" i="127"/>
  <c r="V14" i="127"/>
  <c r="AJ26" i="127"/>
  <c r="N36" i="125"/>
  <c r="Z8" i="127"/>
  <c r="K17" i="127"/>
  <c r="AQ14" i="127"/>
  <c r="V48" i="125"/>
  <c r="AN11" i="127"/>
  <c r="BE26" i="127"/>
  <c r="AW35" i="125"/>
  <c r="BB46" i="119"/>
  <c r="BA53" i="126"/>
  <c r="AR30" i="130"/>
  <c r="AK24" i="125"/>
  <c r="AR30" i="127"/>
  <c r="X43" i="126"/>
  <c r="G10" i="125"/>
  <c r="AU21" i="125"/>
  <c r="O24" i="125"/>
  <c r="AN54" i="126"/>
  <c r="AN17" i="125"/>
  <c r="O10" i="125"/>
  <c r="Z21" i="128"/>
  <c r="G57" i="130"/>
  <c r="BD13" i="122"/>
  <c r="G15" i="122"/>
  <c r="BC23" i="131"/>
  <c r="AO23" i="126"/>
  <c r="Z55" i="126"/>
  <c r="AF26" i="126"/>
  <c r="AW30" i="131"/>
  <c r="Q36" i="126"/>
  <c r="AM41" i="125"/>
  <c r="BE40" i="125"/>
  <c r="AX30" i="131"/>
  <c r="AM58" i="125"/>
  <c r="U40" i="125"/>
  <c r="AG13" i="125"/>
  <c r="U51" i="131"/>
  <c r="AN40" i="125"/>
  <c r="AC25" i="125"/>
  <c r="I47" i="128"/>
  <c r="O38" i="130"/>
  <c r="BB27" i="131"/>
  <c r="Q57" i="127"/>
  <c r="O55" i="125"/>
  <c r="AC21" i="130"/>
  <c r="AN53" i="125"/>
  <c r="AH39" i="125"/>
  <c r="AE44" i="125"/>
  <c r="BD22" i="130"/>
  <c r="AS14" i="125"/>
  <c r="AD29" i="125"/>
  <c r="S33" i="125"/>
  <c r="P27" i="127"/>
  <c r="AJ45" i="129"/>
  <c r="AW35" i="122"/>
  <c r="O31" i="122"/>
  <c r="O46" i="130"/>
  <c r="BE26" i="124"/>
  <c r="AR9" i="124"/>
  <c r="AE21" i="124"/>
  <c r="BE49" i="130"/>
  <c r="BE50" i="124"/>
  <c r="AX27" i="124"/>
  <c r="AV39" i="124"/>
  <c r="BD52" i="130"/>
  <c r="AI22" i="124"/>
  <c r="AP51" i="124"/>
  <c r="AM15" i="123"/>
  <c r="AS58" i="130"/>
  <c r="O46" i="124"/>
  <c r="AM30" i="123"/>
  <c r="L16" i="131"/>
  <c r="AE25" i="125"/>
  <c r="AK43" i="129"/>
  <c r="AF10" i="128"/>
  <c r="AQ32" i="124"/>
  <c r="W55" i="130"/>
  <c r="V41" i="125"/>
  <c r="AH51" i="124"/>
  <c r="AH41" i="124"/>
  <c r="Z56" i="130"/>
  <c r="BC36" i="125"/>
  <c r="AL57" i="124"/>
  <c r="V50" i="124"/>
  <c r="G34" i="127"/>
  <c r="N50" i="129"/>
  <c r="AS33" i="121"/>
  <c r="J43" i="121"/>
  <c r="L53" i="129"/>
  <c r="AS18" i="122"/>
  <c r="I58" i="122"/>
  <c r="T17" i="122"/>
  <c r="I33" i="129"/>
  <c r="V45" i="122"/>
  <c r="AO31" i="122"/>
  <c r="Z45" i="122"/>
  <c r="AX44" i="129"/>
  <c r="N23" i="122"/>
  <c r="AH56" i="122"/>
  <c r="AY23" i="122"/>
  <c r="AR55" i="129"/>
  <c r="BC50" i="122"/>
  <c r="T39" i="122"/>
  <c r="AH34" i="126"/>
  <c r="AM46" i="125"/>
  <c r="P42" i="120"/>
  <c r="AS35" i="120"/>
  <c r="AR30" i="120"/>
  <c r="K45" i="117"/>
  <c r="AY25" i="123"/>
  <c r="BD45" i="118"/>
  <c r="AO32" i="118"/>
  <c r="AE27" i="123"/>
  <c r="Q35" i="123"/>
  <c r="O55" i="127"/>
  <c r="N17" i="124"/>
  <c r="AH27" i="124"/>
  <c r="N32" i="124"/>
  <c r="Z32" i="127"/>
  <c r="BD25" i="124"/>
  <c r="AT33" i="124"/>
  <c r="AE36" i="124"/>
  <c r="P22" i="121"/>
  <c r="AL31" i="119"/>
  <c r="BE36" i="119"/>
  <c r="P25" i="119"/>
  <c r="BC24" i="121"/>
  <c r="AT58" i="119"/>
  <c r="BA12" i="119"/>
  <c r="AT52" i="119"/>
  <c r="Z15" i="121"/>
  <c r="AR40" i="119"/>
  <c r="Y40" i="119"/>
  <c r="U37" i="119"/>
  <c r="BC21" i="121"/>
  <c r="BC16" i="128"/>
  <c r="AX53" i="128"/>
  <c r="AV52" i="118"/>
  <c r="Q52" i="118"/>
  <c r="T10" i="123"/>
  <c r="BB46" i="122"/>
  <c r="M27" i="119"/>
  <c r="W25" i="129"/>
  <c r="AO35" i="121"/>
  <c r="P22" i="119"/>
  <c r="V30" i="119"/>
  <c r="AT37" i="125"/>
  <c r="U40" i="128"/>
  <c r="AC13" i="128"/>
  <c r="K10" i="128"/>
  <c r="AE50" i="125"/>
  <c r="AP14" i="128"/>
  <c r="AV34" i="128"/>
  <c r="AP46" i="128"/>
  <c r="AJ26" i="121"/>
  <c r="AB22" i="119"/>
  <c r="L29" i="119"/>
  <c r="M23" i="119"/>
  <c r="AU30" i="121"/>
  <c r="J54" i="119"/>
  <c r="U8" i="119"/>
  <c r="AS48" i="119"/>
  <c r="T33" i="121"/>
  <c r="AK26" i="119"/>
  <c r="Q37" i="119"/>
  <c r="AN16" i="119"/>
  <c r="AL41" i="121"/>
  <c r="P21" i="124"/>
  <c r="AZ56" i="124"/>
  <c r="AM39" i="123"/>
  <c r="AN20" i="123"/>
  <c r="AG45" i="128"/>
  <c r="U24" i="121"/>
  <c r="AZ9" i="118"/>
  <c r="T16" i="125"/>
  <c r="N39" i="121"/>
  <c r="BD8" i="118"/>
  <c r="AR15" i="118"/>
  <c r="BC18" i="131"/>
  <c r="S35" i="127"/>
  <c r="AN40" i="126"/>
  <c r="J8" i="126"/>
  <c r="W37" i="131"/>
  <c r="AL20" i="126"/>
  <c r="AG16" i="126"/>
  <c r="AO12" i="126"/>
  <c r="I24" i="121"/>
  <c r="G9" i="117"/>
  <c r="AE14" i="117"/>
  <c r="L54" i="117"/>
  <c r="AD35" i="121"/>
  <c r="AW35" i="117"/>
  <c r="Z42" i="117"/>
  <c r="AY30" i="117"/>
  <c r="Y32" i="121"/>
  <c r="M21" i="117"/>
  <c r="AN31" i="117"/>
  <c r="M38" i="117"/>
  <c r="AV37" i="121"/>
  <c r="AW53" i="120"/>
  <c r="AB30" i="127"/>
  <c r="S55" i="129"/>
  <c r="AN33" i="128"/>
  <c r="M58" i="123"/>
  <c r="AY56" i="122"/>
  <c r="AK52" i="123"/>
  <c r="AD29" i="124"/>
  <c r="AE55" i="121"/>
  <c r="M16" i="119"/>
  <c r="P27" i="124"/>
  <c r="BA34" i="124"/>
  <c r="AL48" i="128"/>
  <c r="AY48" i="118"/>
  <c r="S44" i="118"/>
  <c r="T54" i="118"/>
  <c r="AO40" i="127"/>
  <c r="K29" i="117"/>
  <c r="AC57" i="117"/>
  <c r="AZ29" i="117"/>
  <c r="AG53" i="119"/>
  <c r="AZ22" i="120"/>
  <c r="AH8" i="120"/>
  <c r="AD17" i="120"/>
  <c r="BE52" i="119"/>
  <c r="AM56" i="120"/>
  <c r="AM39" i="120"/>
  <c r="AO40" i="120"/>
  <c r="AU10" i="119"/>
  <c r="O44" i="121"/>
  <c r="BB45" i="121"/>
  <c r="O54" i="121"/>
  <c r="AU16" i="119"/>
  <c r="S43" i="130"/>
  <c r="AZ54" i="129"/>
  <c r="AT54" i="118"/>
  <c r="AW51" i="118"/>
  <c r="BE43" i="118"/>
  <c r="BA32" i="123"/>
  <c r="AT54" i="123"/>
  <c r="M56" i="117"/>
  <c r="K54" i="117"/>
  <c r="L47" i="123"/>
  <c r="BD53" i="123"/>
  <c r="V51" i="126"/>
  <c r="AR52" i="124"/>
  <c r="AP20" i="124"/>
  <c r="BB58" i="124"/>
  <c r="AH56" i="126"/>
  <c r="AG21" i="124"/>
  <c r="O29" i="124"/>
  <c r="BD31" i="124"/>
  <c r="O55" i="119"/>
  <c r="AI21" i="121"/>
  <c r="BB22" i="121"/>
  <c r="K32" i="121"/>
  <c r="BA9" i="119"/>
  <c r="G27" i="121"/>
  <c r="Y29" i="121"/>
  <c r="AG37" i="121"/>
  <c r="P14" i="119"/>
  <c r="Y33" i="121"/>
  <c r="AR34" i="121"/>
  <c r="AZ43" i="121"/>
  <c r="AI8" i="119"/>
  <c r="AG56" i="130"/>
  <c r="O44" i="127"/>
  <c r="AE16" i="123"/>
  <c r="AH31" i="123"/>
  <c r="BC38" i="123"/>
  <c r="BD17" i="128"/>
  <c r="AI56" i="117"/>
  <c r="AG23" i="125"/>
  <c r="AB13" i="119"/>
  <c r="Z49" i="117"/>
  <c r="H56" i="117"/>
  <c r="BC35" i="128"/>
  <c r="U47" i="120"/>
  <c r="AD41" i="120"/>
  <c r="AH53" i="120"/>
  <c r="M37" i="128"/>
  <c r="U46" i="120"/>
  <c r="AM30" i="119"/>
  <c r="AU40" i="119"/>
  <c r="BC49" i="119"/>
  <c r="AB15" i="121"/>
  <c r="AO16" i="121"/>
  <c r="AJ25" i="121"/>
  <c r="BE9" i="119"/>
  <c r="K27" i="121"/>
  <c r="AC29" i="121"/>
  <c r="AK37" i="121"/>
  <c r="BA14" i="119"/>
  <c r="AC33" i="121"/>
  <c r="AV34" i="121"/>
  <c r="BD43" i="121"/>
  <c r="S9" i="119"/>
  <c r="AE51" i="130"/>
  <c r="BE32" i="125"/>
  <c r="AH26" i="131"/>
  <c r="T42" i="131"/>
  <c r="AC34" i="122"/>
  <c r="AK35" i="123"/>
  <c r="V29" i="124"/>
  <c r="AM14" i="121"/>
  <c r="BC8" i="119"/>
  <c r="L27" i="124"/>
  <c r="AW34" i="124"/>
  <c r="J41" i="128"/>
  <c r="T36" i="118"/>
  <c r="Y21" i="118"/>
  <c r="K33" i="118"/>
  <c r="T31" i="128"/>
  <c r="AV37" i="118"/>
  <c r="S57" i="118"/>
  <c r="AD51" i="118"/>
  <c r="AD47" i="119"/>
  <c r="AM24" i="120"/>
  <c r="AM57" i="120"/>
  <c r="AM55" i="120"/>
  <c r="Q56" i="119"/>
  <c r="AV54" i="121"/>
  <c r="Q56" i="121"/>
  <c r="AP48" i="121"/>
  <c r="I15" i="119"/>
  <c r="AK30" i="121"/>
  <c r="BD31" i="121"/>
  <c r="M41" i="121"/>
  <c r="AG21" i="119"/>
  <c r="AO57" i="131"/>
  <c r="I38" i="131"/>
  <c r="BA34" i="131"/>
  <c r="AM55" i="130"/>
  <c r="W46" i="121"/>
  <c r="AY35" i="118"/>
  <c r="AC41" i="124"/>
  <c r="AB27" i="119"/>
  <c r="N42" i="118"/>
  <c r="BC40" i="123"/>
  <c r="T40" i="123"/>
  <c r="AC35" i="127"/>
  <c r="BE47" i="117"/>
  <c r="AQ54" i="117"/>
  <c r="P57" i="117"/>
  <c r="AR22" i="127"/>
  <c r="BC31" i="117"/>
  <c r="AO38" i="117"/>
  <c r="X42" i="117"/>
  <c r="BE21" i="118"/>
  <c r="AS43" i="120"/>
  <c r="P45" i="120"/>
  <c r="P53" i="120"/>
  <c r="Y37" i="118"/>
  <c r="AO48" i="120"/>
  <c r="H50" i="120"/>
  <c r="BA57" i="120"/>
  <c r="V24" i="118"/>
  <c r="AO53" i="120"/>
  <c r="H55" i="120"/>
  <c r="AK27" i="120"/>
  <c r="AL42" i="118"/>
  <c r="AI49" i="128"/>
  <c r="N16" i="126"/>
  <c r="K18" i="131"/>
  <c r="AG36" i="131"/>
  <c r="P43" i="117"/>
  <c r="Z23" i="121"/>
  <c r="AI42" i="126"/>
  <c r="BE29" i="128"/>
  <c r="AM25" i="125"/>
  <c r="AP16" i="125"/>
  <c r="I12" i="125"/>
  <c r="AW22" i="126"/>
  <c r="AV50" i="123"/>
  <c r="AI29" i="123"/>
  <c r="AC41" i="123"/>
  <c r="AS9" i="126"/>
  <c r="AV10" i="123"/>
  <c r="AN17" i="123"/>
  <c r="S21" i="123"/>
  <c r="BA44" i="119"/>
  <c r="AP17" i="121"/>
  <c r="K20" i="121"/>
  <c r="O29" i="121"/>
  <c r="AP53" i="119"/>
  <c r="P30" i="121"/>
  <c r="AL31" i="121"/>
  <c r="AU39" i="121"/>
  <c r="AH53" i="119"/>
  <c r="AT25" i="121"/>
  <c r="M27" i="121"/>
  <c r="U36" i="121"/>
  <c r="BB17" i="119"/>
  <c r="AV48" i="125"/>
  <c r="L18" i="125"/>
  <c r="AD10" i="126"/>
  <c r="BA31" i="126"/>
  <c r="AE33" i="122"/>
  <c r="AR50" i="124"/>
  <c r="AG46" i="124"/>
  <c r="AS31" i="122"/>
  <c r="T54" i="119"/>
  <c r="BC26" i="124"/>
  <c r="AO34" i="124"/>
  <c r="AJ55" i="128"/>
  <c r="AR24" i="118"/>
  <c r="N20" i="118"/>
  <c r="BC31" i="118"/>
  <c r="AW22" i="128"/>
  <c r="AX14" i="118"/>
  <c r="I45" i="118"/>
  <c r="J55" i="118"/>
  <c r="AP50" i="119"/>
  <c r="S49" i="121"/>
  <c r="AP50" i="121"/>
  <c r="AZ58" i="121"/>
  <c r="AH50" i="119"/>
  <c r="Q24" i="121"/>
  <c r="AG25" i="121"/>
  <c r="AP34" i="121"/>
  <c r="N8" i="119"/>
  <c r="AQ35" i="121"/>
  <c r="BE36" i="121"/>
  <c r="J46" i="121"/>
  <c r="J14" i="119"/>
  <c r="AD41" i="131"/>
  <c r="Q35" i="126"/>
  <c r="BB23" i="125"/>
  <c r="AY14" i="125"/>
  <c r="AI49" i="121"/>
  <c r="AG12" i="119"/>
  <c r="Z46" i="124"/>
  <c r="W17" i="119"/>
  <c r="V16" i="118"/>
  <c r="K39" i="124"/>
  <c r="AZ46" i="124"/>
  <c r="BD34" i="127"/>
  <c r="AR53" i="117"/>
  <c r="X9" i="117"/>
  <c r="AW11" i="117"/>
  <c r="BD41" i="127"/>
  <c r="X53" i="117"/>
  <c r="W45" i="117"/>
  <c r="K48" i="117"/>
  <c r="AX31" i="118"/>
  <c r="X43" i="120"/>
  <c r="AU44" i="120"/>
  <c r="AQ52" i="120"/>
  <c r="AZ36" i="118"/>
  <c r="T48" i="120"/>
  <c r="AL49" i="120"/>
  <c r="AF57" i="120"/>
  <c r="L22" i="118"/>
  <c r="AJ8" i="120"/>
  <c r="BA9" i="120"/>
  <c r="AB17" i="120"/>
  <c r="J42" i="118"/>
  <c r="AQ8" i="128"/>
  <c r="AE47" i="131"/>
  <c r="L49" i="131"/>
  <c r="H23" i="130"/>
  <c r="W13" i="119"/>
  <c r="AB38" i="124"/>
  <c r="AZ30" i="123"/>
  <c r="X41" i="118"/>
  <c r="AC34" i="118"/>
  <c r="AD50" i="123"/>
  <c r="K21" i="123"/>
  <c r="V52" i="127"/>
  <c r="BB20" i="124"/>
  <c r="AZ27" i="124"/>
  <c r="AG31" i="124"/>
  <c r="AJ56" i="127"/>
  <c r="L10" i="124"/>
  <c r="X16" i="124"/>
  <c r="BA18" i="124"/>
  <c r="P53" i="118"/>
  <c r="AZ45" i="120"/>
  <c r="O47" i="120"/>
  <c r="S55" i="120"/>
  <c r="AT30" i="118"/>
  <c r="AV51" i="120"/>
  <c r="K53" i="120"/>
  <c r="V50" i="120"/>
  <c r="AY33" i="118"/>
  <c r="AV57" i="120"/>
  <c r="Z47" i="120"/>
  <c r="AD56" i="120"/>
  <c r="V39" i="118"/>
  <c r="O44" i="125"/>
  <c r="BE36" i="127"/>
  <c r="BD53" i="128"/>
  <c r="AR13" i="128"/>
  <c r="H41" i="124"/>
  <c r="T23" i="120"/>
  <c r="AG29" i="129"/>
  <c r="N18" i="125"/>
  <c r="W31" i="129"/>
  <c r="Y43" i="129"/>
  <c r="AY36" i="129"/>
  <c r="AV10" i="125"/>
  <c r="Z8" i="123"/>
  <c r="W34" i="123"/>
  <c r="AS8" i="123"/>
  <c r="W18" i="125"/>
  <c r="L50" i="123"/>
  <c r="AS56" i="123"/>
  <c r="AR52" i="123"/>
  <c r="BB54" i="117"/>
  <c r="AO35" i="118"/>
  <c r="H37" i="118"/>
  <c r="N14" i="118"/>
  <c r="AW30" i="117"/>
  <c r="W40" i="118"/>
  <c r="BD40" i="118"/>
  <c r="BB40" i="118"/>
  <c r="AF57" i="117"/>
  <c r="L52" i="119"/>
  <c r="AD53" i="119"/>
  <c r="AU55" i="119"/>
  <c r="AE48" i="117"/>
  <c r="AE29" i="127"/>
  <c r="AE30" i="128"/>
  <c r="S12" i="129"/>
  <c r="T25" i="129"/>
  <c r="H23" i="124"/>
  <c r="Q58" i="121"/>
  <c r="V54" i="131"/>
  <c r="AD13" i="126"/>
  <c r="AS10" i="130"/>
  <c r="W31" i="130"/>
  <c r="H20" i="130"/>
  <c r="V40" i="125"/>
  <c r="AR46" i="123"/>
  <c r="AZ25" i="123"/>
  <c r="AK49" i="123"/>
  <c r="AZ20" i="125"/>
  <c r="AN14" i="123"/>
  <c r="AF10" i="123"/>
  <c r="BE12" i="123"/>
  <c r="AD49" i="117"/>
  <c r="BE20" i="118"/>
  <c r="X22" i="118"/>
  <c r="AS31" i="118"/>
  <c r="AF9" i="117"/>
  <c r="AQ9" i="118"/>
  <c r="V11" i="118"/>
  <c r="BA20" i="118"/>
  <c r="X36" i="117"/>
  <c r="BC40" i="118"/>
  <c r="AL40" i="118"/>
  <c r="AL9" i="118"/>
  <c r="AS42" i="117"/>
  <c r="AL12" i="127"/>
  <c r="Z42" i="124"/>
  <c r="BA49" i="127"/>
  <c r="AD55" i="127"/>
  <c r="AJ16" i="123"/>
  <c r="S8" i="119"/>
  <c r="AJ52" i="128"/>
  <c r="AJ30" i="125"/>
  <c r="AD21" i="127"/>
  <c r="AL15" i="127"/>
  <c r="X22" i="125"/>
  <c r="I44" i="125"/>
  <c r="AN15" i="122"/>
  <c r="AE23" i="122"/>
  <c r="K35" i="125"/>
  <c r="I32" i="125"/>
  <c r="AT33" i="122"/>
  <c r="AI41" i="122"/>
  <c r="W36" i="126"/>
  <c r="J35" i="124"/>
  <c r="I15" i="118"/>
  <c r="Y16" i="118"/>
  <c r="AE51" i="131"/>
  <c r="AB9" i="124"/>
  <c r="AT21" i="118"/>
  <c r="M23" i="118"/>
  <c r="AE37" i="129"/>
  <c r="X14" i="124"/>
  <c r="AW24" i="118"/>
  <c r="N26" i="118"/>
  <c r="AT18" i="127"/>
  <c r="AD20" i="124"/>
  <c r="AP8" i="123"/>
  <c r="S54" i="121"/>
  <c r="W49" i="125"/>
  <c r="AP24" i="125"/>
  <c r="S54" i="128"/>
  <c r="AT39" i="118"/>
  <c r="AC53" i="126"/>
  <c r="AY46" i="131"/>
  <c r="G20" i="125"/>
  <c r="AC18" i="125"/>
  <c r="BE46" i="128"/>
  <c r="AM23" i="124"/>
  <c r="AF37" i="122"/>
  <c r="H41" i="122"/>
  <c r="AP50" i="131"/>
  <c r="AH34" i="124"/>
  <c r="AI54" i="122"/>
  <c r="P32" i="122"/>
  <c r="AF58" i="124"/>
  <c r="Q32" i="123"/>
  <c r="AX25" i="117"/>
  <c r="AT9" i="117"/>
  <c r="M22" i="127"/>
  <c r="AR26" i="123"/>
  <c r="BD22" i="117"/>
  <c r="U24" i="117"/>
  <c r="AG50" i="126"/>
  <c r="AM55" i="123"/>
  <c r="AM56" i="117"/>
  <c r="AM39" i="117"/>
  <c r="AQ51" i="125"/>
  <c r="AV21" i="125"/>
  <c r="T40" i="126"/>
  <c r="Y50" i="124"/>
  <c r="K43" i="119"/>
  <c r="AL44" i="122"/>
  <c r="AZ35" i="124"/>
  <c r="K15" i="122"/>
  <c r="BA13" i="120"/>
  <c r="X30" i="128"/>
  <c r="AD44" i="120"/>
  <c r="BB36" i="120"/>
  <c r="AQ56" i="130"/>
  <c r="AH34" i="123"/>
  <c r="AP42" i="121"/>
  <c r="Y50" i="121"/>
  <c r="BC49" i="129"/>
  <c r="AE43" i="123"/>
  <c r="AM29" i="120"/>
  <c r="AM44" i="120"/>
  <c r="AW53" i="122"/>
  <c r="BB40" i="122"/>
  <c r="AQ55" i="124"/>
  <c r="V57" i="124"/>
  <c r="P30" i="126"/>
  <c r="S57" i="123"/>
  <c r="AW45" i="117"/>
  <c r="P47" i="117"/>
  <c r="G22" i="126"/>
  <c r="AF54" i="123"/>
  <c r="AN56" i="117"/>
  <c r="I58" i="117"/>
  <c r="M23" i="126"/>
  <c r="AN13" i="128"/>
  <c r="AD42" i="126"/>
  <c r="AP39" i="123"/>
  <c r="K45" i="119"/>
  <c r="AL41" i="122"/>
  <c r="AT45" i="124"/>
  <c r="M31" i="122"/>
  <c r="M25" i="120"/>
  <c r="AB30" i="128"/>
  <c r="BA35" i="120"/>
  <c r="AZ52" i="120"/>
  <c r="AH49" i="129"/>
  <c r="I37" i="123"/>
  <c r="I56" i="121"/>
  <c r="AM11" i="120"/>
  <c r="AO54" i="129"/>
  <c r="AE34" i="123"/>
  <c r="AI22" i="120"/>
  <c r="J14" i="120"/>
  <c r="P52" i="122"/>
  <c r="AV39" i="122"/>
  <c r="U24" i="124"/>
  <c r="AK25" i="124"/>
  <c r="AL54" i="122"/>
  <c r="AS24" i="122"/>
  <c r="AO24" i="124"/>
  <c r="BE30" i="124"/>
  <c r="AN12" i="122"/>
  <c r="AJ14" i="122"/>
  <c r="M58" i="124"/>
  <c r="AB8" i="124"/>
  <c r="O24" i="122"/>
  <c r="AU51" i="125"/>
  <c r="H34" i="122"/>
  <c r="N22" i="119"/>
  <c r="Z23" i="117"/>
  <c r="AG20" i="120"/>
  <c r="V37" i="131"/>
  <c r="BB39" i="126"/>
  <c r="AU41" i="118"/>
  <c r="AY57" i="128"/>
  <c r="AT14" i="118"/>
  <c r="AJ42" i="118"/>
  <c r="P25" i="125"/>
  <c r="AL44" i="123"/>
  <c r="J37" i="120"/>
  <c r="AY44" i="120"/>
  <c r="K52" i="125"/>
  <c r="U55" i="123"/>
  <c r="AW43" i="120"/>
  <c r="AF50" i="120"/>
  <c r="AQ48" i="118"/>
  <c r="AO46" i="127"/>
  <c r="O52" i="123"/>
  <c r="N9" i="123"/>
  <c r="O48" i="118"/>
  <c r="AJ29" i="122"/>
  <c r="AV29" i="123"/>
  <c r="O31" i="123"/>
  <c r="AM49" i="118"/>
  <c r="BC27" i="122"/>
  <c r="Y24" i="123"/>
  <c r="AP25" i="123"/>
  <c r="AU25" i="118"/>
  <c r="AQ34" i="130"/>
  <c r="W38" i="118"/>
  <c r="N26" i="125"/>
  <c r="AJ26" i="124"/>
  <c r="G44" i="119"/>
  <c r="AO31" i="126"/>
  <c r="AW30" i="121"/>
  <c r="Y52" i="117"/>
  <c r="T23" i="127"/>
  <c r="AJ42" i="117"/>
  <c r="V49" i="117"/>
  <c r="AU21" i="128"/>
  <c r="L43" i="122"/>
  <c r="AV38" i="120"/>
  <c r="AK46" i="120"/>
  <c r="W35" i="131"/>
  <c r="N49" i="122"/>
  <c r="AP40" i="119"/>
  <c r="G12" i="119"/>
  <c r="AO29" i="118"/>
  <c r="I46" i="123"/>
  <c r="H34" i="123"/>
  <c r="Z35" i="123"/>
  <c r="AX50" i="120"/>
  <c r="BC52" i="124"/>
  <c r="G48" i="123"/>
  <c r="AR50" i="123"/>
  <c r="AY17" i="121"/>
  <c r="AL38" i="124"/>
  <c r="BD33" i="123"/>
  <c r="Q45" i="123"/>
  <c r="AW49" i="121"/>
  <c r="AU43" i="122"/>
  <c r="AP41" i="123"/>
  <c r="I43" i="123"/>
  <c r="AH10" i="118"/>
  <c r="Z43" i="122"/>
  <c r="Q36" i="123"/>
  <c r="AI37" i="123"/>
  <c r="AU49" i="118"/>
  <c r="AS54" i="122"/>
  <c r="BB24" i="123"/>
  <c r="AK27" i="123"/>
  <c r="AE12" i="127"/>
  <c r="P10" i="117"/>
  <c r="AT49" i="121"/>
  <c r="AR51" i="124"/>
  <c r="N30" i="120"/>
  <c r="AK48" i="118"/>
  <c r="U48" i="124"/>
  <c r="AF56" i="122"/>
  <c r="BD45" i="124"/>
  <c r="T8" i="124"/>
  <c r="AD40" i="122"/>
  <c r="S45" i="122"/>
  <c r="K41" i="124"/>
  <c r="AK46" i="124"/>
  <c r="AY39" i="123"/>
  <c r="AS11" i="122"/>
  <c r="I58" i="124"/>
  <c r="X8" i="124"/>
  <c r="BC39" i="123"/>
  <c r="Y9" i="127"/>
  <c r="Z44" i="123"/>
  <c r="AX26" i="120"/>
  <c r="AE58" i="118"/>
  <c r="AM31" i="120"/>
  <c r="BD24" i="126"/>
  <c r="AB31" i="126"/>
  <c r="V10" i="118"/>
  <c r="BC50" i="128"/>
  <c r="H14" i="118"/>
  <c r="BD41" i="118"/>
  <c r="AR31" i="126"/>
  <c r="I54" i="123"/>
  <c r="AO36" i="120"/>
  <c r="Z44" i="120"/>
  <c r="T25" i="125"/>
  <c r="BC49" i="123"/>
  <c r="AB43" i="120"/>
  <c r="L50" i="120"/>
  <c r="AE47" i="118"/>
  <c r="J21" i="122"/>
  <c r="AC23" i="123"/>
  <c r="AT24" i="123"/>
  <c r="L31" i="119"/>
  <c r="AF20" i="122"/>
  <c r="AX17" i="123"/>
  <c r="W20" i="123"/>
  <c r="AP25" i="119"/>
  <c r="AB20" i="122"/>
  <c r="AM53" i="123"/>
  <c r="AM36" i="123"/>
  <c r="L22" i="119"/>
  <c r="AY40" i="126"/>
  <c r="H54" i="119"/>
  <c r="W40" i="128"/>
  <c r="AW36" i="125"/>
  <c r="AX52" i="119"/>
  <c r="AS41" i="128"/>
  <c r="BE25" i="121"/>
  <c r="J22" i="117"/>
  <c r="P21" i="127"/>
  <c r="W48" i="117"/>
  <c r="K55" i="117"/>
  <c r="I58" i="129"/>
  <c r="X42" i="122"/>
  <c r="I39" i="120"/>
  <c r="AX46" i="120"/>
  <c r="BD44" i="127"/>
  <c r="AB48" i="122"/>
  <c r="O45" i="120"/>
  <c r="BD51" i="120"/>
  <c r="Z20" i="120"/>
  <c r="J44" i="124"/>
  <c r="K36" i="123"/>
  <c r="AZ38" i="123"/>
  <c r="AQ38" i="122"/>
  <c r="AH30" i="125"/>
  <c r="S47" i="123"/>
  <c r="BB49" i="123"/>
  <c r="AI34" i="123"/>
  <c r="S21" i="125"/>
  <c r="AI26" i="123"/>
  <c r="Y38" i="123"/>
  <c r="W21" i="123"/>
  <c r="AK29" i="125"/>
  <c r="X35" i="131"/>
  <c r="X57" i="125"/>
  <c r="N40" i="117"/>
  <c r="AG23" i="118"/>
  <c r="AM39" i="130"/>
  <c r="AP49" i="117"/>
  <c r="O18" i="124"/>
  <c r="M18" i="127"/>
  <c r="AI14" i="124"/>
  <c r="Y22" i="124"/>
  <c r="BD27" i="130"/>
  <c r="BE39" i="122"/>
  <c r="T34" i="119"/>
  <c r="H42" i="119"/>
  <c r="Z30" i="126"/>
  <c r="T52" i="122"/>
  <c r="AY39" i="119"/>
  <c r="AF47" i="119"/>
  <c r="BC12" i="122"/>
  <c r="L27" i="117"/>
  <c r="AV42" i="122"/>
  <c r="O8" i="122"/>
  <c r="X18" i="122"/>
  <c r="AI32" i="117"/>
  <c r="AH40" i="122"/>
  <c r="P40" i="122"/>
  <c r="AZ15" i="122"/>
  <c r="AC40" i="117"/>
  <c r="T54" i="123"/>
  <c r="O53" i="123"/>
  <c r="AN27" i="122"/>
  <c r="O9" i="124"/>
  <c r="J17" i="123"/>
  <c r="AL23" i="123"/>
  <c r="AB27" i="123"/>
  <c r="AK52" i="125"/>
  <c r="BC32" i="123"/>
  <c r="AO35" i="123"/>
  <c r="Q38" i="121"/>
  <c r="AI15" i="124"/>
  <c r="AY45" i="123"/>
  <c r="AQ48" i="123"/>
  <c r="I23" i="124"/>
  <c r="AR30" i="123"/>
  <c r="H24" i="120"/>
  <c r="S36" i="122"/>
  <c r="Y30" i="119"/>
  <c r="AD24" i="117"/>
  <c r="BA52" i="122"/>
  <c r="Q8" i="121"/>
  <c r="AU11" i="122"/>
  <c r="AC12" i="123"/>
  <c r="AT13" i="123"/>
  <c r="AU31" i="119"/>
  <c r="AL11" i="122"/>
  <c r="O58" i="124"/>
  <c r="AM54" i="123"/>
  <c r="K23" i="119"/>
  <c r="AH11" i="122"/>
  <c r="I17" i="124"/>
  <c r="AC18" i="124"/>
  <c r="AI24" i="119"/>
  <c r="O30" i="128"/>
  <c r="X56" i="119"/>
  <c r="AW24" i="125"/>
  <c r="AW49" i="126"/>
  <c r="U52" i="119"/>
  <c r="AJ10" i="127"/>
  <c r="X22" i="121"/>
  <c r="O27" i="117"/>
  <c r="AV24" i="127"/>
  <c r="H17" i="117"/>
  <c r="AO24" i="117"/>
  <c r="BA50" i="129"/>
  <c r="AR57" i="122"/>
  <c r="AK39" i="120"/>
  <c r="AE47" i="120"/>
  <c r="N56" i="129"/>
  <c r="AS47" i="122"/>
  <c r="AE45" i="120"/>
  <c r="Q52" i="120"/>
  <c r="AT24" i="122"/>
  <c r="T49" i="125"/>
  <c r="Y35" i="123"/>
  <c r="K38" i="123"/>
  <c r="BB15" i="123"/>
  <c r="AX24" i="125"/>
  <c r="AN45" i="123"/>
  <c r="W48" i="123"/>
  <c r="H56" i="125"/>
  <c r="AQ13" i="126"/>
  <c r="I17" i="123"/>
  <c r="AZ29" i="123"/>
  <c r="Z47" i="125"/>
  <c r="Q14" i="127"/>
  <c r="AL53" i="128"/>
  <c r="I35" i="128"/>
  <c r="AS36" i="118"/>
  <c r="AT23" i="118"/>
  <c r="W54" i="126"/>
  <c r="AL27" i="117"/>
  <c r="K18" i="124"/>
  <c r="K21" i="120"/>
  <c r="K56" i="123"/>
  <c r="X45" i="123"/>
  <c r="AI57" i="123"/>
  <c r="BE9" i="120"/>
  <c r="BC43" i="123"/>
  <c r="S48" i="123"/>
  <c r="T42" i="123"/>
  <c r="Z8" i="120"/>
  <c r="AN13" i="123"/>
  <c r="AI25" i="123"/>
  <c r="BC47" i="123"/>
  <c r="V14" i="120"/>
  <c r="AG33" i="127"/>
  <c r="AY42" i="130"/>
  <c r="AS31" i="120"/>
  <c r="L12" i="119"/>
  <c r="G33" i="117"/>
  <c r="AU26" i="118"/>
  <c r="AK14" i="117"/>
  <c r="AL22" i="126"/>
  <c r="O44" i="120"/>
  <c r="M50" i="117"/>
  <c r="V15" i="117"/>
  <c r="Z17" i="129"/>
  <c r="BD10" i="122"/>
  <c r="O41" i="122"/>
  <c r="AR42" i="122"/>
  <c r="AC47" i="129"/>
  <c r="I49" i="122"/>
  <c r="P47" i="122"/>
  <c r="AO57" i="122"/>
  <c r="AH45" i="120"/>
  <c r="AD13" i="122"/>
  <c r="AH15" i="122"/>
  <c r="Z32" i="122"/>
  <c r="S33" i="120"/>
  <c r="BD52" i="122"/>
  <c r="AK56" i="122"/>
  <c r="AG10" i="122"/>
  <c r="M47" i="120"/>
  <c r="Q43" i="122"/>
  <c r="I45" i="122"/>
  <c r="AU8" i="122"/>
  <c r="AR52" i="120"/>
  <c r="AR11" i="129"/>
  <c r="I36" i="128"/>
  <c r="H40" i="123"/>
  <c r="V8" i="123"/>
  <c r="AJ56" i="124"/>
  <c r="BE29" i="125"/>
  <c r="I54" i="117"/>
  <c r="AQ57" i="127"/>
  <c r="BA11" i="119"/>
  <c r="T47" i="117"/>
  <c r="BA53" i="117"/>
  <c r="AZ25" i="128"/>
  <c r="I13" i="120"/>
  <c r="AP8" i="120"/>
  <c r="AR20" i="120"/>
  <c r="K36" i="128"/>
  <c r="AZ12" i="120"/>
  <c r="AO25" i="120"/>
  <c r="V37" i="120"/>
  <c r="AI53" i="119"/>
  <c r="W21" i="121"/>
  <c r="AT22" i="121"/>
  <c r="BB31" i="121"/>
  <c r="AB8" i="119"/>
  <c r="AX26" i="121"/>
  <c r="Q29" i="121"/>
  <c r="Y37" i="121"/>
  <c r="W51" i="119"/>
  <c r="AL34" i="121"/>
  <c r="Z36" i="121"/>
  <c r="AQ47" i="121"/>
  <c r="AV56" i="119"/>
  <c r="AH54" i="127"/>
  <c r="Z39" i="126"/>
  <c r="AL47" i="128"/>
  <c r="AK57" i="128"/>
  <c r="Y58" i="122"/>
  <c r="U51" i="125"/>
  <c r="I46" i="124"/>
  <c r="N37" i="123"/>
  <c r="AY51" i="119"/>
  <c r="AP44" i="124"/>
  <c r="AE51" i="124"/>
  <c r="N43" i="128"/>
  <c r="AY11" i="118"/>
  <c r="AD10" i="118"/>
  <c r="BA22" i="118"/>
  <c r="T33" i="128"/>
  <c r="Y22" i="118"/>
  <c r="AK39" i="118"/>
  <c r="AE51" i="118"/>
  <c r="Q48" i="119"/>
  <c r="BA23" i="121"/>
  <c r="L25" i="121"/>
  <c r="T34" i="121"/>
  <c r="BC47" i="119"/>
  <c r="AE20" i="121"/>
  <c r="AT21" i="121"/>
  <c r="AX30" i="121"/>
  <c r="AP56" i="119"/>
  <c r="AY31" i="121"/>
  <c r="N33" i="121"/>
  <c r="T42" i="121"/>
  <c r="AD11" i="119"/>
  <c r="AR38" i="121"/>
  <c r="G41" i="121"/>
  <c r="Q49" i="121"/>
  <c r="AI15" i="119"/>
  <c r="P49" i="121"/>
  <c r="AH50" i="121"/>
  <c r="BA58" i="121"/>
  <c r="AN27" i="119"/>
  <c r="AI50" i="121"/>
  <c r="AZ51" i="121"/>
  <c r="AM27" i="125"/>
  <c r="X39" i="120"/>
  <c r="AK56" i="120"/>
  <c r="BD50" i="117"/>
  <c r="AU22" i="117"/>
  <c r="BC51" i="117"/>
  <c r="AH36" i="123"/>
  <c r="P12" i="121"/>
  <c r="AG45" i="124"/>
  <c r="AT10" i="123"/>
  <c r="BE24" i="119"/>
  <c r="BA30" i="119"/>
  <c r="X36" i="119"/>
  <c r="AX49" i="125"/>
  <c r="AV47" i="126"/>
  <c r="AJ30" i="120"/>
  <c r="AE17" i="123"/>
  <c r="BB31" i="123"/>
  <c r="P58" i="119"/>
  <c r="AU30" i="119"/>
  <c r="AI39" i="119"/>
  <c r="AW42" i="119"/>
  <c r="H48" i="119"/>
  <c r="AF53" i="119"/>
  <c r="AR51" i="118"/>
  <c r="L18" i="124"/>
  <c r="AJ55" i="117"/>
  <c r="AL20" i="121"/>
  <c r="AV51" i="124"/>
  <c r="AR37" i="120"/>
  <c r="AW58" i="118"/>
  <c r="U51" i="123"/>
  <c r="AT39" i="117"/>
  <c r="Q23" i="120"/>
  <c r="AE51" i="122"/>
  <c r="BE39" i="118"/>
  <c r="AR47" i="119"/>
  <c r="I49" i="119"/>
  <c r="K57" i="119"/>
  <c r="BC48" i="118"/>
  <c r="AC29" i="119"/>
  <c r="AV30" i="119"/>
  <c r="AI9" i="119"/>
  <c r="AJ57" i="118"/>
  <c r="AZ8" i="119"/>
  <c r="O11" i="119"/>
  <c r="AF41" i="127"/>
  <c r="M22" i="117"/>
  <c r="AQ45" i="117"/>
  <c r="AN26" i="124"/>
  <c r="Z11" i="123"/>
  <c r="BC54" i="119"/>
  <c r="Q49" i="123"/>
  <c r="AS36" i="117"/>
  <c r="X24" i="121"/>
  <c r="V35" i="124"/>
  <c r="AJ52" i="120"/>
  <c r="AS49" i="118"/>
  <c r="Y37" i="122"/>
  <c r="AX39" i="117"/>
  <c r="J44" i="120"/>
  <c r="J44" i="122"/>
  <c r="AG33" i="118"/>
  <c r="H10" i="119"/>
  <c r="T11" i="119"/>
  <c r="AW18" i="119"/>
  <c r="Z52" i="118"/>
  <c r="G53" i="119"/>
  <c r="AC54" i="119"/>
  <c r="G16" i="119"/>
  <c r="U9" i="117"/>
  <c r="O10" i="119"/>
  <c r="AN12" i="119"/>
  <c r="Y23" i="123"/>
  <c r="AK22" i="117"/>
  <c r="AU45" i="117"/>
  <c r="K46" i="124"/>
  <c r="AM23" i="128"/>
  <c r="AF49" i="119"/>
  <c r="L11" i="121"/>
  <c r="AC54" i="124"/>
  <c r="AB24" i="121"/>
  <c r="P43" i="124"/>
  <c r="AU51" i="120"/>
  <c r="AM17" i="117"/>
  <c r="AX23" i="122"/>
  <c r="S41" i="117"/>
  <c r="Q46" i="120"/>
  <c r="BB27" i="122"/>
  <c r="AY37" i="118"/>
  <c r="AS49" i="119"/>
  <c r="N51" i="119"/>
  <c r="Y18" i="119"/>
  <c r="V55" i="117"/>
  <c r="W58" i="119"/>
  <c r="AU8" i="119"/>
  <c r="AQ17" i="119"/>
  <c r="BD9" i="117"/>
  <c r="AV20" i="119"/>
  <c r="K22" i="119"/>
  <c r="N11" i="122"/>
  <c r="V10" i="124"/>
  <c r="X38" i="117"/>
  <c r="AQ48" i="122"/>
  <c r="BA35" i="123"/>
  <c r="AQ26" i="117"/>
  <c r="BB21" i="122"/>
  <c r="J56" i="123"/>
  <c r="AO39" i="120"/>
  <c r="S29" i="122"/>
  <c r="N10" i="119"/>
  <c r="I33" i="117"/>
  <c r="U11" i="120"/>
  <c r="N27" i="120"/>
  <c r="H22" i="121"/>
  <c r="AR25" i="117"/>
  <c r="U53" i="120"/>
  <c r="AT12" i="124"/>
  <c r="AL38" i="118"/>
  <c r="N9" i="118"/>
  <c r="BC41" i="118"/>
  <c r="BA25" i="117"/>
  <c r="BC27" i="118"/>
  <c r="Z30" i="118"/>
  <c r="AH38" i="118"/>
  <c r="BE46" i="124"/>
  <c r="AD43" i="118"/>
  <c r="AS44" i="118"/>
  <c r="S45" i="120"/>
  <c r="AS43" i="124"/>
  <c r="AC20" i="117"/>
  <c r="AW41" i="125"/>
  <c r="AS14" i="120"/>
  <c r="Y45" i="123"/>
  <c r="AK57" i="120"/>
  <c r="BC38" i="122"/>
  <c r="Y43" i="119"/>
  <c r="Y48" i="120"/>
  <c r="U32" i="118"/>
  <c r="N54" i="117"/>
  <c r="AQ49" i="118"/>
  <c r="BA36" i="122"/>
  <c r="AC24" i="118"/>
  <c r="AF52" i="117"/>
  <c r="AD55" i="122"/>
  <c r="AN51" i="122"/>
  <c r="AP31" i="131"/>
  <c r="AD34" i="126"/>
  <c r="W43" i="126"/>
  <c r="AR38" i="126"/>
  <c r="AF8" i="126"/>
  <c r="N48" i="123"/>
  <c r="G11" i="123"/>
  <c r="AV13" i="123"/>
  <c r="AZ31" i="126"/>
  <c r="Q23" i="123"/>
  <c r="AC48" i="123"/>
  <c r="N10" i="123"/>
  <c r="AI27" i="117"/>
  <c r="AC41" i="119"/>
  <c r="AT42" i="119"/>
  <c r="I51" i="119"/>
  <c r="O34" i="117"/>
  <c r="J41" i="119"/>
  <c r="AH42" i="119"/>
  <c r="AY50" i="119"/>
  <c r="Q39" i="117"/>
  <c r="BD49" i="119"/>
  <c r="U51" i="119"/>
  <c r="AH8" i="119"/>
  <c r="BA49" i="117"/>
  <c r="S25" i="123"/>
  <c r="BA34" i="120"/>
  <c r="AS52" i="125"/>
  <c r="AQ9" i="125"/>
  <c r="L31" i="127"/>
  <c r="AS42" i="118"/>
  <c r="Z18" i="125"/>
  <c r="N26" i="130"/>
  <c r="W20" i="125"/>
  <c r="K21" i="125"/>
  <c r="AZ52" i="131"/>
  <c r="H29" i="124"/>
  <c r="M47" i="122"/>
  <c r="Y56" i="122"/>
  <c r="AV20" i="127"/>
  <c r="AL55" i="124"/>
  <c r="AG55" i="122"/>
  <c r="AL35" i="122"/>
  <c r="T8" i="121"/>
  <c r="I8" i="117"/>
  <c r="W41" i="119"/>
  <c r="O43" i="119"/>
  <c r="I54" i="119"/>
  <c r="AM9" i="117"/>
  <c r="AN47" i="119"/>
  <c r="AC49" i="119"/>
  <c r="AS8" i="119"/>
  <c r="AL57" i="118"/>
  <c r="S42" i="119"/>
  <c r="AN43" i="119"/>
  <c r="AR51" i="119"/>
  <c r="BB54" i="118"/>
  <c r="AF31" i="125"/>
  <c r="L58" i="129"/>
  <c r="Q48" i="120"/>
  <c r="AU23" i="120"/>
  <c r="AB35" i="118"/>
  <c r="AF37" i="123"/>
  <c r="AY22" i="123"/>
  <c r="M40" i="117"/>
  <c r="Q17" i="117"/>
  <c r="AJ21" i="123"/>
  <c r="N29" i="123"/>
  <c r="AT29" i="126"/>
  <c r="AB48" i="124"/>
  <c r="P55" i="124"/>
  <c r="AO57" i="124"/>
  <c r="AC16" i="126"/>
  <c r="K49" i="124"/>
  <c r="I56" i="124"/>
  <c r="AR58" i="124"/>
  <c r="AE31" i="117"/>
  <c r="AE42" i="119"/>
  <c r="Q44" i="119"/>
  <c r="G55" i="119"/>
  <c r="AC13" i="117"/>
  <c r="AN48" i="119"/>
  <c r="AE50" i="119"/>
  <c r="AF9" i="119"/>
  <c r="AS40" i="117"/>
  <c r="AX54" i="119"/>
  <c r="AN56" i="119"/>
  <c r="AW13" i="119"/>
  <c r="Z40" i="117"/>
  <c r="AG46" i="130"/>
  <c r="K11" i="128"/>
  <c r="O38" i="125"/>
  <c r="G50" i="125"/>
  <c r="AC36" i="117"/>
  <c r="AP32" i="122"/>
  <c r="AZ47" i="122"/>
  <c r="AY50" i="117"/>
  <c r="AG37" i="117"/>
  <c r="S50" i="122"/>
  <c r="AD12" i="129"/>
  <c r="AK58" i="126"/>
  <c r="T22" i="123"/>
  <c r="AZ22" i="123"/>
  <c r="AP34" i="123"/>
  <c r="N22" i="126"/>
  <c r="AR9" i="123"/>
  <c r="AI16" i="123"/>
  <c r="Q20" i="123"/>
  <c r="AV27" i="117"/>
  <c r="AQ34" i="119"/>
  <c r="BE35" i="119"/>
  <c r="V45" i="119"/>
  <c r="AT33" i="117"/>
  <c r="AE44" i="119"/>
  <c r="AT45" i="119"/>
  <c r="G54" i="119"/>
  <c r="M39" i="117"/>
  <c r="P44" i="119"/>
  <c r="AH45" i="119"/>
  <c r="AY53" i="119"/>
  <c r="AW49" i="117"/>
  <c r="U11" i="125"/>
  <c r="BC40" i="127"/>
  <c r="S8" i="128"/>
  <c r="AF14" i="128"/>
  <c r="M25" i="124"/>
  <c r="AV44" i="121"/>
  <c r="BA39" i="130"/>
  <c r="AR26" i="125"/>
  <c r="BE8" i="129"/>
  <c r="BA12" i="129"/>
  <c r="I21" i="129"/>
  <c r="AR8" i="125"/>
  <c r="AE49" i="123"/>
  <c r="AP33" i="123"/>
  <c r="AO8" i="123"/>
  <c r="S16" i="125"/>
  <c r="AC22" i="123"/>
  <c r="T11" i="123"/>
  <c r="AW13" i="123"/>
  <c r="AQ15" i="124"/>
  <c r="K21" i="118"/>
  <c r="AG22" i="118"/>
  <c r="AP31" i="118"/>
  <c r="BC18" i="124"/>
  <c r="Q26" i="118"/>
  <c r="AN27" i="118"/>
  <c r="AV36" i="118"/>
  <c r="AY18" i="124"/>
  <c r="L33" i="118"/>
  <c r="AH34" i="118"/>
  <c r="AU21" i="118"/>
  <c r="S12" i="125"/>
  <c r="O25" i="120"/>
  <c r="AG38" i="126"/>
  <c r="AP35" i="123"/>
  <c r="X17" i="124"/>
  <c r="AR16" i="122"/>
  <c r="BA41" i="117"/>
  <c r="T25" i="124"/>
  <c r="O21" i="130"/>
  <c r="AM48" i="123"/>
  <c r="AC11" i="123"/>
  <c r="P52" i="128"/>
  <c r="Z35" i="124"/>
  <c r="AB35" i="121"/>
  <c r="Z43" i="121"/>
  <c r="AE53" i="127"/>
  <c r="AR17" i="124"/>
  <c r="G10" i="121"/>
  <c r="AL17" i="121"/>
  <c r="K20" i="130"/>
  <c r="S27" i="117"/>
  <c r="N32" i="119"/>
  <c r="AJ33" i="119"/>
  <c r="AU42" i="119"/>
  <c r="AO37" i="117"/>
  <c r="BB41" i="119"/>
  <c r="U43" i="119"/>
  <c r="AG51" i="119"/>
  <c r="AU43" i="117"/>
  <c r="N52" i="119"/>
  <c r="AJ53" i="119"/>
  <c r="AG10" i="119"/>
  <c r="AK17" i="117"/>
  <c r="M38" i="125"/>
  <c r="AG35" i="126"/>
  <c r="AY49" i="126"/>
  <c r="N13" i="126"/>
  <c r="Y34" i="117"/>
  <c r="AR31" i="122"/>
  <c r="Y44" i="122"/>
  <c r="AU50" i="117"/>
  <c r="AC37" i="117"/>
  <c r="AG46" i="122"/>
  <c r="O53" i="122"/>
  <c r="AG58" i="126"/>
  <c r="Z17" i="123"/>
  <c r="Z25" i="123"/>
  <c r="Y13" i="123"/>
  <c r="AQ20" i="126"/>
  <c r="Y16" i="123"/>
  <c r="AG45" i="123"/>
  <c r="I51" i="123"/>
  <c r="W27" i="117"/>
  <c r="BD37" i="119"/>
  <c r="W39" i="119"/>
  <c r="AG48" i="119"/>
  <c r="AP33" i="117"/>
  <c r="AO37" i="119"/>
  <c r="H39" i="119"/>
  <c r="Z48" i="119"/>
  <c r="P44" i="117"/>
  <c r="Y47" i="119"/>
  <c r="AT48" i="119"/>
  <c r="I57" i="119"/>
  <c r="AS49" i="117"/>
  <c r="K50" i="126"/>
  <c r="AO48" i="128"/>
  <c r="AE48" i="129"/>
  <c r="AM58" i="128"/>
  <c r="Q15" i="124"/>
  <c r="Q48" i="121"/>
  <c r="Q10" i="130"/>
  <c r="J9" i="125"/>
  <c r="AQ36" i="130"/>
  <c r="AV27" i="130"/>
  <c r="J54" i="130"/>
  <c r="Y14" i="125"/>
  <c r="AV39" i="123"/>
  <c r="AK26" i="123"/>
  <c r="S50" i="123"/>
  <c r="K14" i="125"/>
  <c r="AR21" i="123"/>
  <c r="P11" i="123"/>
  <c r="AS13" i="123"/>
  <c r="N11" i="124"/>
  <c r="AP20" i="118"/>
  <c r="I22" i="118"/>
  <c r="U31" i="118"/>
  <c r="AY54" i="117"/>
  <c r="AJ26" i="118"/>
  <c r="H29" i="118"/>
  <c r="P37" i="118"/>
  <c r="AF14" i="117"/>
  <c r="AQ15" i="118"/>
  <c r="N17" i="118"/>
  <c r="AF26" i="118"/>
  <c r="AL20" i="117"/>
  <c r="AR55" i="127"/>
  <c r="AN47" i="124"/>
  <c r="U42" i="127"/>
  <c r="AP38" i="127"/>
  <c r="G24" i="122"/>
  <c r="BD10" i="119"/>
  <c r="AZ17" i="127"/>
  <c r="AY10" i="124"/>
  <c r="AP14" i="127"/>
  <c r="I39" i="127"/>
  <c r="O17" i="125"/>
  <c r="T57" i="125"/>
  <c r="W27" i="122"/>
  <c r="M35" i="122"/>
  <c r="AU29" i="129"/>
  <c r="AH44" i="125"/>
  <c r="AW17" i="122"/>
  <c r="W11" i="122"/>
  <c r="I30" i="125"/>
  <c r="G33" i="124"/>
  <c r="I14" i="118"/>
  <c r="AC15" i="118"/>
  <c r="K54" i="131"/>
  <c r="Z44" i="124"/>
  <c r="AG21" i="118"/>
  <c r="AZ22" i="118"/>
  <c r="AU55" i="131"/>
  <c r="AB14" i="124"/>
  <c r="M27" i="118"/>
  <c r="AE29" i="118"/>
  <c r="AO43" i="130"/>
  <c r="AQ47" i="132"/>
  <c r="AP40" i="124"/>
  <c r="U21" i="127"/>
  <c r="AI23" i="121"/>
  <c r="AB11" i="123"/>
  <c r="Q21" i="117"/>
  <c r="AH37" i="124"/>
  <c r="V14" i="122"/>
  <c r="BE44" i="129"/>
  <c r="AC57" i="122"/>
  <c r="O35" i="122"/>
  <c r="AF31" i="126"/>
  <c r="V52" i="124"/>
  <c r="L10" i="121"/>
  <c r="X16" i="121"/>
  <c r="BA57" i="126"/>
  <c r="M53" i="124"/>
  <c r="BB9" i="121"/>
  <c r="AT16" i="121"/>
  <c r="AO43" i="126"/>
  <c r="AS43" i="123"/>
  <c r="BA36" i="117"/>
  <c r="T38" i="117"/>
  <c r="J56" i="128"/>
  <c r="S13" i="123"/>
  <c r="I49" i="117"/>
  <c r="W50" i="117"/>
  <c r="K43" i="128"/>
  <c r="BE8" i="123"/>
  <c r="H24" i="117"/>
  <c r="T25" i="117"/>
  <c r="AI43" i="128"/>
  <c r="AL13" i="130"/>
  <c r="AC48" i="117"/>
  <c r="AE24" i="128"/>
  <c r="AP57" i="122"/>
  <c r="AG47" i="123"/>
  <c r="N35" i="119"/>
  <c r="AO21" i="124"/>
  <c r="M54" i="123"/>
  <c r="AL52" i="129"/>
  <c r="K23" i="122"/>
  <c r="AE16" i="122"/>
  <c r="BD15" i="129"/>
  <c r="AP27" i="124"/>
  <c r="AN14" i="121"/>
  <c r="AC22" i="121"/>
  <c r="AO13" i="127"/>
  <c r="AW48" i="124"/>
  <c r="K21" i="121"/>
  <c r="I29" i="121"/>
  <c r="AQ36" i="127"/>
  <c r="AF50" i="123"/>
  <c r="AS14" i="117"/>
  <c r="BE15" i="117"/>
  <c r="BE18" i="127"/>
  <c r="J49" i="123"/>
  <c r="T43" i="117"/>
  <c r="AL44" i="117"/>
  <c r="Q50" i="128"/>
  <c r="L9" i="123"/>
  <c r="AC54" i="117"/>
  <c r="AV55" i="117"/>
  <c r="AB46" i="128"/>
  <c r="Y47" i="126"/>
  <c r="AN12" i="127"/>
  <c r="AW52" i="124"/>
  <c r="T37" i="120"/>
  <c r="M55" i="122"/>
  <c r="AI24" i="124"/>
  <c r="X15" i="123"/>
  <c r="AS42" i="121"/>
  <c r="K18" i="128"/>
  <c r="AG23" i="120"/>
  <c r="AG18" i="120"/>
  <c r="AF42" i="130"/>
  <c r="H33" i="123"/>
  <c r="T17" i="121"/>
  <c r="AW24" i="121"/>
  <c r="AE42" i="130"/>
  <c r="W42" i="123"/>
  <c r="Y17" i="121"/>
  <c r="Q25" i="121"/>
  <c r="BD47" i="123"/>
  <c r="L55" i="122"/>
  <c r="BD15" i="124"/>
  <c r="AC22" i="124"/>
  <c r="BC13" i="123"/>
  <c r="K16" i="122"/>
  <c r="M39" i="124"/>
  <c r="AI45" i="124"/>
  <c r="AN39" i="124"/>
  <c r="O17" i="122"/>
  <c r="G23" i="124"/>
  <c r="AE24" i="124"/>
  <c r="V54" i="124"/>
  <c r="AZ47" i="130"/>
  <c r="M9" i="123"/>
  <c r="AT40" i="120"/>
  <c r="U17" i="118"/>
  <c r="T32" i="121"/>
  <c r="BA36" i="123"/>
  <c r="AF46" i="128"/>
  <c r="AI58" i="119"/>
  <c r="AN14" i="128"/>
  <c r="AM30" i="118"/>
  <c r="AU17" i="118"/>
  <c r="Z40" i="126"/>
  <c r="AU29" i="123"/>
  <c r="J8" i="120"/>
  <c r="O13" i="120"/>
  <c r="K41" i="126"/>
  <c r="V35" i="123"/>
  <c r="AJ42" i="120"/>
  <c r="V49" i="120"/>
  <c r="V31" i="119"/>
  <c r="P54" i="122"/>
  <c r="AV52" i="124"/>
  <c r="K54" i="124"/>
  <c r="G14" i="119"/>
  <c r="U55" i="122"/>
  <c r="AK11" i="124"/>
  <c r="BB12" i="124"/>
  <c r="Z25" i="120"/>
  <c r="W48" i="122"/>
  <c r="AR54" i="124"/>
  <c r="M56" i="124"/>
  <c r="Z24" i="120"/>
  <c r="BD10" i="128"/>
  <c r="AO34" i="129"/>
  <c r="O35" i="129"/>
  <c r="BB18" i="124"/>
  <c r="AH30" i="117"/>
  <c r="I45" i="125"/>
  <c r="AZ15" i="124"/>
  <c r="AU33" i="124"/>
  <c r="AC20" i="126"/>
  <c r="AK27" i="124"/>
  <c r="AE35" i="124"/>
  <c r="W27" i="130"/>
  <c r="Z38" i="121"/>
  <c r="Q32" i="119"/>
  <c r="G39" i="119"/>
  <c r="AG27" i="129"/>
  <c r="BE49" i="121"/>
  <c r="Z34" i="119"/>
  <c r="N42" i="119"/>
  <c r="AN50" i="120"/>
  <c r="AS29" i="119"/>
  <c r="AL49" i="123"/>
  <c r="BE50" i="123"/>
  <c r="BB8" i="123"/>
  <c r="I22" i="119"/>
  <c r="P48" i="123"/>
  <c r="AH49" i="123"/>
  <c r="I8" i="124"/>
  <c r="T32" i="120"/>
  <c r="AY46" i="123"/>
  <c r="L48" i="123"/>
  <c r="AN54" i="124"/>
  <c r="AT50" i="125"/>
  <c r="I48" i="127"/>
  <c r="U21" i="125"/>
  <c r="AV29" i="124"/>
  <c r="AI25" i="117"/>
  <c r="BA27" i="125"/>
  <c r="W36" i="124"/>
  <c r="AP32" i="124"/>
  <c r="AE21" i="126"/>
  <c r="L43" i="124"/>
  <c r="AU49" i="124"/>
  <c r="W26" i="129"/>
  <c r="L44" i="121"/>
  <c r="AY27" i="119"/>
  <c r="AO35" i="119"/>
  <c r="BB17" i="128"/>
  <c r="N53" i="121"/>
  <c r="M41" i="119"/>
  <c r="BB47" i="119"/>
  <c r="J46" i="119"/>
  <c r="AW26" i="123"/>
  <c r="L48" i="122"/>
  <c r="AD49" i="122"/>
  <c r="AR10" i="119"/>
  <c r="I25" i="123"/>
  <c r="AQ52" i="122"/>
  <c r="J54" i="122"/>
  <c r="AQ42" i="120"/>
  <c r="AG32" i="124"/>
  <c r="H23" i="122"/>
  <c r="T24" i="122"/>
  <c r="Z41" i="120"/>
  <c r="AX27" i="127"/>
  <c r="T29" i="127"/>
  <c r="AM55" i="126"/>
  <c r="X44" i="122"/>
  <c r="AU39" i="126"/>
  <c r="AH34" i="120"/>
  <c r="AY12" i="123"/>
  <c r="AY15" i="123"/>
  <c r="K53" i="126"/>
  <c r="AQ15" i="123"/>
  <c r="AQ23" i="123"/>
  <c r="AW30" i="125"/>
  <c r="AJ45" i="121"/>
  <c r="W14" i="118"/>
  <c r="M22" i="118"/>
  <c r="BC40" i="124"/>
  <c r="AR56" i="121"/>
  <c r="S21" i="118"/>
  <c r="Q29" i="118"/>
  <c r="S42" i="123"/>
  <c r="BA36" i="125"/>
  <c r="BC51" i="122"/>
  <c r="V53" i="122"/>
  <c r="M27" i="123"/>
  <c r="AM8" i="121"/>
  <c r="AY51" i="122"/>
  <c r="N53" i="122"/>
  <c r="AB43" i="124"/>
  <c r="AS33" i="122"/>
  <c r="O52" i="122"/>
  <c r="BB53" i="122"/>
  <c r="AI37" i="124"/>
  <c r="AX24" i="118"/>
  <c r="S24" i="125"/>
  <c r="AX53" i="123"/>
  <c r="AF52" i="120"/>
  <c r="AK14" i="121"/>
  <c r="Z15" i="123"/>
  <c r="AS38" i="123"/>
  <c r="AB42" i="123"/>
  <c r="H22" i="125"/>
  <c r="AH37" i="123"/>
  <c r="P29" i="123"/>
  <c r="AI18" i="121"/>
  <c r="AD12" i="120"/>
  <c r="Y8" i="118"/>
  <c r="Q15" i="118"/>
  <c r="Q47" i="121"/>
  <c r="AS24" i="120"/>
  <c r="AL51" i="118"/>
  <c r="AC58" i="118"/>
  <c r="V27" i="118"/>
  <c r="AY42" i="123"/>
  <c r="U52" i="121"/>
  <c r="AN53" i="121"/>
  <c r="BE44" i="120"/>
  <c r="AG14" i="124"/>
  <c r="O11" i="121"/>
  <c r="AN12" i="121"/>
  <c r="J12" i="121"/>
  <c r="AH53" i="125"/>
  <c r="AN16" i="121"/>
  <c r="BD17" i="121"/>
  <c r="AI27" i="121"/>
  <c r="N38" i="121"/>
  <c r="J16" i="122"/>
  <c r="J18" i="122"/>
  <c r="N52" i="124"/>
  <c r="AD41" i="122"/>
  <c r="BC15" i="122"/>
  <c r="AY17" i="122"/>
  <c r="AV45" i="123"/>
  <c r="H58" i="121"/>
  <c r="BC32" i="122"/>
  <c r="AU34" i="122"/>
  <c r="Q53" i="117"/>
  <c r="BA23" i="120"/>
  <c r="AP11" i="118"/>
  <c r="P12" i="119"/>
  <c r="AD25" i="117"/>
  <c r="AE34" i="122"/>
  <c r="AL27" i="123"/>
  <c r="Y40" i="123"/>
  <c r="AB47" i="122"/>
  <c r="AO48" i="122"/>
  <c r="H44" i="120"/>
  <c r="AT8" i="124"/>
  <c r="AO16" i="122"/>
  <c r="BE17" i="122"/>
  <c r="G16" i="120"/>
  <c r="I13" i="124"/>
  <c r="P18" i="122"/>
  <c r="AH20" i="122"/>
  <c r="O17" i="120"/>
  <c r="AK34" i="130"/>
  <c r="S46" i="128"/>
  <c r="AW42" i="127"/>
  <c r="Q15" i="122"/>
  <c r="AP33" i="126"/>
  <c r="AO13" i="122"/>
  <c r="K29" i="123"/>
  <c r="AZ31" i="123"/>
  <c r="G53" i="126"/>
  <c r="AD11" i="123"/>
  <c r="AU18" i="123"/>
  <c r="Z14" i="125"/>
  <c r="M36" i="121"/>
  <c r="BD13" i="118"/>
  <c r="AR21" i="118"/>
  <c r="U45" i="125"/>
  <c r="BA50" i="121"/>
  <c r="AT20" i="118"/>
  <c r="AR27" i="118"/>
  <c r="Q16" i="123"/>
  <c r="J53" i="122"/>
  <c r="P46" i="122"/>
  <c r="AL47" i="122"/>
  <c r="BB27" i="124"/>
  <c r="I53" i="122"/>
  <c r="AV44" i="122"/>
  <c r="AN46" i="122"/>
  <c r="W14" i="124"/>
  <c r="AX18" i="122"/>
  <c r="AG51" i="122"/>
  <c r="Y53" i="122"/>
  <c r="AE14" i="124"/>
  <c r="AU21" i="121"/>
  <c r="N35" i="126"/>
  <c r="Q30" i="123"/>
  <c r="AT38" i="120"/>
  <c r="I11" i="121"/>
  <c r="T40" i="125"/>
  <c r="AP46" i="123"/>
  <c r="I52" i="123"/>
  <c r="AX8" i="125"/>
  <c r="AD37" i="123"/>
  <c r="AU23" i="123"/>
  <c r="AW40" i="121"/>
  <c r="AC14" i="120"/>
  <c r="U8" i="118"/>
  <c r="M15" i="118"/>
  <c r="AJ13" i="121"/>
  <c r="Z18" i="120"/>
  <c r="AT13" i="118"/>
  <c r="AP21" i="118"/>
  <c r="BA48" i="120"/>
  <c r="BE56" i="124"/>
  <c r="Q52" i="121"/>
  <c r="AI53" i="121"/>
  <c r="J23" i="122"/>
  <c r="U43" i="125"/>
  <c r="K11" i="121"/>
  <c r="AI12" i="121"/>
  <c r="AP47" i="123"/>
  <c r="AL8" i="125"/>
  <c r="AD12" i="121"/>
  <c r="Z14" i="121"/>
  <c r="AW31" i="123"/>
  <c r="AT42" i="130"/>
  <c r="Q56" i="129"/>
  <c r="AO36" i="119"/>
  <c r="AW30" i="118"/>
  <c r="L9" i="117"/>
  <c r="AK14" i="118"/>
  <c r="AI11" i="122"/>
  <c r="BB27" i="126"/>
  <c r="BE51" i="125"/>
  <c r="AV21" i="122"/>
  <c r="AP29" i="122"/>
  <c r="K35" i="118"/>
  <c r="S52" i="120"/>
  <c r="Z10" i="117"/>
  <c r="AE29" i="117"/>
  <c r="AU18" i="117"/>
  <c r="AC56" i="120"/>
  <c r="U34" i="117"/>
  <c r="M42" i="117"/>
  <c r="AH23" i="122"/>
  <c r="AJ10" i="117"/>
  <c r="L9" i="121"/>
  <c r="X10" i="121"/>
  <c r="BE30" i="122"/>
  <c r="K14" i="117"/>
  <c r="BE55" i="121"/>
  <c r="P57" i="121"/>
  <c r="AR23" i="122"/>
  <c r="AR49" i="118"/>
  <c r="AJ15" i="121"/>
  <c r="AW16" i="121"/>
  <c r="Y35" i="122"/>
  <c r="AL34" i="124"/>
  <c r="G23" i="121"/>
  <c r="AE24" i="121"/>
  <c r="BE10" i="123"/>
  <c r="AX29" i="125"/>
  <c r="AJ29" i="121"/>
  <c r="AB31" i="121"/>
  <c r="J26" i="121"/>
  <c r="AZ38" i="124"/>
  <c r="BD34" i="121"/>
  <c r="S36" i="121"/>
  <c r="AV44" i="123"/>
  <c r="AE9" i="119"/>
  <c r="AG23" i="117"/>
  <c r="Z57" i="122"/>
  <c r="AS16" i="117"/>
  <c r="AH32" i="119"/>
  <c r="AU53" i="122"/>
  <c r="G22" i="122"/>
  <c r="AG36" i="122"/>
  <c r="U38" i="122"/>
  <c r="AQ9" i="124"/>
  <c r="L16" i="122"/>
  <c r="S44" i="122"/>
  <c r="G46" i="122"/>
  <c r="AB17" i="117"/>
  <c r="J37" i="122"/>
  <c r="BB50" i="122"/>
  <c r="AZ52" i="122"/>
  <c r="AR48" i="117"/>
  <c r="AK36" i="125"/>
  <c r="AW11" i="126"/>
  <c r="AP24" i="123"/>
  <c r="X13" i="120"/>
  <c r="N9" i="121"/>
  <c r="AH26" i="126"/>
  <c r="BD45" i="123"/>
  <c r="S51" i="123"/>
  <c r="AO40" i="125"/>
  <c r="BD43" i="123"/>
  <c r="X22" i="123"/>
  <c r="AU26" i="122"/>
  <c r="AD40" i="120"/>
  <c r="Q9" i="118"/>
  <c r="I16" i="118"/>
  <c r="P39" i="121"/>
  <c r="BD20" i="120"/>
  <c r="AP13" i="118"/>
  <c r="AK21" i="118"/>
  <c r="AD29" i="122"/>
  <c r="X35" i="125"/>
  <c r="AD56" i="121"/>
  <c r="BC57" i="121"/>
  <c r="I11" i="123"/>
  <c r="AM22" i="125"/>
  <c r="AF58" i="121"/>
  <c r="AZ8" i="121"/>
  <c r="AE55" i="125"/>
  <c r="W14" i="126"/>
  <c r="AV9" i="121"/>
  <c r="V9" i="121"/>
  <c r="I50" i="125"/>
  <c r="AJ20" i="130"/>
  <c r="AX10" i="129"/>
  <c r="O42" i="120"/>
  <c r="Z25" i="118"/>
  <c r="N52" i="117"/>
  <c r="AZ17" i="118"/>
  <c r="AQ40" i="122"/>
  <c r="BD53" i="126"/>
  <c r="Z50" i="119"/>
  <c r="V21" i="120"/>
  <c r="AJ22" i="120"/>
  <c r="M12" i="120"/>
  <c r="BD58" i="119"/>
  <c r="BC12" i="120"/>
  <c r="AD14" i="120"/>
  <c r="W8" i="120"/>
  <c r="AT17" i="119"/>
  <c r="AM38" i="120"/>
  <c r="AM21" i="120"/>
  <c r="V40" i="120"/>
  <c r="U24" i="119"/>
  <c r="AX37" i="130"/>
  <c r="AS14" i="127"/>
  <c r="AE30" i="126"/>
  <c r="AZ30" i="126"/>
  <c r="BE25" i="120"/>
  <c r="AL45" i="117"/>
  <c r="Q11" i="123"/>
  <c r="AX27" i="119"/>
  <c r="BE46" i="118"/>
  <c r="W33" i="123"/>
  <c r="S46" i="123"/>
  <c r="AX9" i="127"/>
  <c r="BD55" i="117"/>
  <c r="AO11" i="117"/>
  <c r="P14" i="117"/>
  <c r="AH29" i="127"/>
  <c r="AW55" i="117"/>
  <c r="N27" i="124"/>
  <c r="BA31" i="124"/>
  <c r="P23" i="118"/>
  <c r="AW37" i="120"/>
  <c r="P39" i="120"/>
  <c r="AH52" i="120"/>
  <c r="BE27" i="118"/>
  <c r="AH49" i="120"/>
  <c r="BA50" i="120"/>
  <c r="U43" i="120"/>
  <c r="G12" i="118"/>
  <c r="AH54" i="120"/>
  <c r="AW55" i="120"/>
  <c r="AE29" i="120"/>
  <c r="AX35" i="118"/>
  <c r="X30" i="126"/>
  <c r="AG35" i="130"/>
  <c r="AE26" i="123"/>
  <c r="BC10" i="123"/>
  <c r="AT21" i="119"/>
  <c r="X55" i="124"/>
  <c r="AN11" i="123"/>
  <c r="O54" i="118"/>
  <c r="O55" i="118"/>
  <c r="AL20" i="123"/>
  <c r="T27" i="123"/>
  <c r="AN54" i="127"/>
  <c r="AP54" i="124"/>
  <c r="AJ11" i="124"/>
  <c r="L14" i="124"/>
  <c r="S16" i="126"/>
  <c r="AB45" i="124"/>
  <c r="BE51" i="124"/>
  <c r="AU54" i="124"/>
  <c r="U47" i="118"/>
  <c r="BB26" i="119"/>
  <c r="AP29" i="119"/>
  <c r="AX39" i="119"/>
  <c r="AY50" i="118"/>
  <c r="G11" i="119"/>
  <c r="AE12" i="119"/>
  <c r="AI21" i="119"/>
  <c r="P56" i="118"/>
  <c r="W56" i="120"/>
  <c r="AR57" i="120"/>
  <c r="AM23" i="119"/>
  <c r="Q53" i="118"/>
  <c r="AK51" i="129"/>
  <c r="AJ35" i="126"/>
  <c r="AU32" i="117"/>
  <c r="V38" i="117"/>
  <c r="AN57" i="118"/>
  <c r="BD56" i="122"/>
  <c r="AI30" i="122"/>
  <c r="S29" i="117"/>
  <c r="BC41" i="117"/>
  <c r="AT39" i="122"/>
  <c r="AN11" i="122"/>
  <c r="AU50" i="126"/>
  <c r="W22" i="123"/>
  <c r="I30" i="123"/>
  <c r="AT32" i="123"/>
  <c r="AJ18" i="126"/>
  <c r="AP38" i="123"/>
  <c r="AP11" i="123"/>
  <c r="M17" i="123"/>
  <c r="N32" i="117"/>
  <c r="AI35" i="119"/>
  <c r="AX36" i="119"/>
  <c r="G46" i="119"/>
  <c r="P37" i="117"/>
  <c r="BC46" i="119"/>
  <c r="P48" i="119"/>
  <c r="P56" i="119"/>
  <c r="AQ43" i="117"/>
  <c r="AS51" i="119"/>
  <c r="P53" i="119"/>
  <c r="M10" i="119"/>
  <c r="U16" i="117"/>
  <c r="BB22" i="119"/>
  <c r="S24" i="119"/>
  <c r="AG33" i="119"/>
  <c r="AN58" i="118"/>
  <c r="AM56" i="119"/>
  <c r="AM39" i="119"/>
  <c r="AO40" i="119"/>
  <c r="Y56" i="118"/>
  <c r="AZ34" i="119"/>
  <c r="O36" i="119"/>
  <c r="AH46" i="123"/>
  <c r="I22" i="117"/>
  <c r="V45" i="117"/>
  <c r="AZ25" i="124"/>
  <c r="AU9" i="123"/>
  <c r="BE8" i="119"/>
  <c r="AL22" i="124"/>
  <c r="BD30" i="128"/>
  <c r="J58" i="123"/>
  <c r="N57" i="123"/>
  <c r="T14" i="118"/>
  <c r="AJ18" i="118"/>
  <c r="BD34" i="118"/>
  <c r="AS14" i="122"/>
  <c r="AL15" i="119"/>
  <c r="AP14" i="126"/>
  <c r="W50" i="122"/>
  <c r="AO24" i="122"/>
  <c r="AZ46" i="118"/>
  <c r="AH50" i="118"/>
  <c r="L56" i="118"/>
  <c r="J41" i="118"/>
  <c r="Q22" i="118"/>
  <c r="K42" i="118"/>
  <c r="AZ17" i="120"/>
  <c r="AK23" i="118"/>
  <c r="Q8" i="119"/>
  <c r="X37" i="117"/>
  <c r="T23" i="122"/>
  <c r="AC31" i="123"/>
  <c r="AK46" i="119"/>
  <c r="BE51" i="119"/>
  <c r="AW39" i="121"/>
  <c r="AH20" i="124"/>
  <c r="AH52" i="118"/>
  <c r="BA53" i="118"/>
  <c r="AK53" i="131"/>
  <c r="AB16" i="124"/>
  <c r="Q57" i="118"/>
  <c r="AI58" i="118"/>
  <c r="M45" i="126"/>
  <c r="Q34" i="124"/>
  <c r="AZ54" i="118"/>
  <c r="U56" i="118"/>
  <c r="AI15" i="117"/>
  <c r="O47" i="123"/>
  <c r="V27" i="120"/>
  <c r="AC34" i="124"/>
  <c r="AX17" i="117"/>
  <c r="L58" i="121"/>
  <c r="Z57" i="117"/>
  <c r="AJ48" i="120"/>
  <c r="AP23" i="118"/>
  <c r="AQ17" i="118"/>
  <c r="AW37" i="117"/>
  <c r="AC56" i="122"/>
  <c r="S14" i="123"/>
  <c r="N44" i="119"/>
  <c r="AJ49" i="119"/>
  <c r="AZ9" i="121"/>
  <c r="L32" i="124"/>
  <c r="K53" i="118"/>
  <c r="AG54" i="118"/>
  <c r="BD30" i="126"/>
  <c r="AT27" i="124"/>
  <c r="AS57" i="118"/>
  <c r="AL48" i="118"/>
  <c r="AY20" i="122"/>
  <c r="BA48" i="124"/>
  <c r="AO55" i="118"/>
  <c r="BA56" i="118"/>
  <c r="P13" i="117"/>
  <c r="BD42" i="123"/>
  <c r="U37" i="120"/>
  <c r="AO34" i="123"/>
  <c r="N42" i="117"/>
  <c r="AZ13" i="121"/>
  <c r="H25" i="117"/>
  <c r="AD49" i="120"/>
  <c r="AD52" i="118"/>
  <c r="BB41" i="117"/>
  <c r="BA37" i="117"/>
  <c r="AQ8" i="121"/>
  <c r="AB24" i="123"/>
  <c r="X37" i="119"/>
  <c r="BB33" i="118"/>
  <c r="AI25" i="121"/>
  <c r="AN21" i="123"/>
  <c r="BC38" i="117"/>
  <c r="V41" i="117"/>
  <c r="AO20" i="117"/>
  <c r="AD23" i="123"/>
  <c r="Z45" i="117"/>
  <c r="AO46" i="117"/>
  <c r="V13" i="126"/>
  <c r="AK33" i="123"/>
  <c r="Y32" i="117"/>
  <c r="AV37" i="117"/>
  <c r="AO48" i="123"/>
  <c r="Z15" i="119"/>
  <c r="M45" i="118"/>
  <c r="S40" i="119"/>
  <c r="AV56" i="117"/>
  <c r="AI15" i="123"/>
  <c r="U17" i="120"/>
  <c r="K55" i="123"/>
  <c r="AY46" i="119"/>
  <c r="AL30" i="117"/>
  <c r="AP9" i="121"/>
  <c r="AL31" i="117"/>
  <c r="AJ43" i="118"/>
  <c r="O35" i="121"/>
  <c r="P15" i="117"/>
  <c r="AO39" i="118"/>
  <c r="AL41" i="120"/>
  <c r="J53" i="123"/>
  <c r="AJ32" i="117"/>
  <c r="BC33" i="117"/>
  <c r="W47" i="127"/>
  <c r="AE58" i="123"/>
  <c r="AK44" i="117"/>
  <c r="M46" i="117"/>
  <c r="AY34" i="127"/>
  <c r="AE57" i="123"/>
  <c r="Z44" i="117"/>
  <c r="AS45" i="117"/>
  <c r="AH49" i="117"/>
  <c r="AR17" i="121"/>
  <c r="V49" i="124"/>
  <c r="AJ17" i="121"/>
  <c r="AC42" i="122"/>
  <c r="Q31" i="119"/>
  <c r="AO43" i="121"/>
  <c r="AB23" i="118"/>
  <c r="I52" i="117"/>
  <c r="BE26" i="119"/>
  <c r="Y20" i="117"/>
  <c r="P33" i="122"/>
  <c r="AW52" i="119"/>
  <c r="AL37" i="123"/>
  <c r="AH52" i="123"/>
  <c r="N51" i="117"/>
  <c r="AW27" i="124"/>
  <c r="T49" i="130"/>
  <c r="Q50" i="124"/>
  <c r="AJ47" i="124"/>
  <c r="AU37" i="128"/>
  <c r="AG52" i="124"/>
  <c r="AM43" i="121"/>
  <c r="J40" i="121"/>
  <c r="AM43" i="127"/>
  <c r="W17" i="124"/>
  <c r="AY41" i="121"/>
  <c r="AH12" i="121"/>
  <c r="AM58" i="130"/>
  <c r="BD51" i="123"/>
  <c r="K17" i="117"/>
  <c r="AE18" i="117"/>
  <c r="AZ41" i="131"/>
  <c r="G46" i="123"/>
  <c r="AE23" i="117"/>
  <c r="AZ24" i="117"/>
  <c r="AJ15" i="125"/>
  <c r="AH21" i="123"/>
  <c r="BA33" i="117"/>
  <c r="T35" i="117"/>
  <c r="AF30" i="125"/>
  <c r="AZ18" i="131"/>
  <c r="V51" i="123"/>
  <c r="O35" i="120"/>
  <c r="AG47" i="118"/>
  <c r="AX56" i="121"/>
  <c r="BE36" i="123"/>
  <c r="BB43" i="127"/>
  <c r="AC40" i="118"/>
  <c r="M51" i="128"/>
  <c r="AV21" i="118"/>
  <c r="BE44" i="118"/>
  <c r="AY32" i="126"/>
  <c r="AY29" i="123"/>
  <c r="T36" i="120"/>
  <c r="BA43" i="120"/>
  <c r="L9" i="126"/>
  <c r="P43" i="123"/>
  <c r="H43" i="120"/>
  <c r="AQ49" i="120"/>
  <c r="Y34" i="119"/>
  <c r="BB13" i="124"/>
  <c r="K37" i="118"/>
  <c r="AC38" i="118"/>
  <c r="AO8" i="124"/>
  <c r="M57" i="124"/>
  <c r="I51" i="118"/>
  <c r="AU50" i="118"/>
  <c r="X43" i="127"/>
  <c r="BB15" i="124"/>
  <c r="AE55" i="118"/>
  <c r="AV56" i="118"/>
  <c r="P58" i="127"/>
  <c r="AE22" i="124"/>
  <c r="BC51" i="124"/>
  <c r="Z53" i="121"/>
  <c r="AT12" i="125"/>
  <c r="AR54" i="126"/>
  <c r="AF8" i="128"/>
  <c r="J34" i="118"/>
  <c r="AD43" i="126"/>
  <c r="J53" i="131"/>
  <c r="AF41" i="126"/>
  <c r="BA16" i="126"/>
  <c r="T56" i="126"/>
  <c r="AS29" i="125"/>
  <c r="AB57" i="122"/>
  <c r="N35" i="122"/>
  <c r="AU37" i="131"/>
  <c r="Q57" i="125"/>
  <c r="Q47" i="122"/>
  <c r="K54" i="122"/>
  <c r="AC14" i="117"/>
  <c r="AM42" i="123"/>
  <c r="AC56" i="118"/>
  <c r="AT57" i="118"/>
  <c r="AM50" i="120"/>
  <c r="AI20" i="124"/>
  <c r="AG43" i="118"/>
  <c r="BD44" i="118"/>
  <c r="AT18" i="124"/>
  <c r="T9" i="124"/>
  <c r="AL55" i="118"/>
  <c r="N57" i="118"/>
  <c r="K9" i="123"/>
  <c r="AZ52" i="126"/>
  <c r="AT15" i="120"/>
  <c r="BB8" i="117"/>
  <c r="AZ26" i="123"/>
  <c r="L29" i="124"/>
  <c r="AX8" i="123"/>
  <c r="G31" i="117"/>
  <c r="W45" i="124"/>
  <c r="K46" i="130"/>
  <c r="T11" i="124"/>
  <c r="AN27" i="124"/>
  <c r="AB13" i="128"/>
  <c r="M52" i="124"/>
  <c r="AB22" i="122"/>
  <c r="AQ32" i="122"/>
  <c r="Y43" i="128"/>
  <c r="AR16" i="124"/>
  <c r="AB40" i="121"/>
  <c r="AQ40" i="121"/>
  <c r="Z13" i="124"/>
  <c r="W50" i="123"/>
  <c r="G17" i="117"/>
  <c r="W18" i="117"/>
  <c r="L15" i="125"/>
  <c r="I38" i="123"/>
  <c r="AD27" i="117"/>
  <c r="AW29" i="117"/>
  <c r="AZ25" i="126"/>
  <c r="O15" i="123"/>
  <c r="AB33" i="117"/>
  <c r="AY34" i="117"/>
  <c r="N37" i="126"/>
  <c r="BD39" i="130"/>
  <c r="AX14" i="125"/>
  <c r="AR15" i="127"/>
  <c r="X44" i="121"/>
  <c r="AN18" i="123"/>
  <c r="U9" i="118"/>
  <c r="AT23" i="124"/>
  <c r="AJ34" i="122"/>
  <c r="AD42" i="129"/>
  <c r="U48" i="122"/>
  <c r="AJ26" i="122"/>
  <c r="AR40" i="126"/>
  <c r="AN37" i="124"/>
  <c r="AV14" i="121"/>
  <c r="AK22" i="121"/>
  <c r="AV38" i="126"/>
  <c r="AF57" i="124"/>
  <c r="L15" i="121"/>
  <c r="AQ22" i="121"/>
  <c r="AQ16" i="126"/>
  <c r="AS55" i="123"/>
  <c r="AD39" i="117"/>
  <c r="AW41" i="117"/>
  <c r="U21" i="126"/>
  <c r="AX55" i="123"/>
  <c r="O51" i="117"/>
  <c r="AG52" i="117"/>
  <c r="AW37" i="127"/>
  <c r="AE54" i="123"/>
  <c r="N26" i="117"/>
  <c r="AF27" i="117"/>
  <c r="O39" i="127"/>
  <c r="I20" i="129"/>
  <c r="AM33" i="119"/>
  <c r="Y50" i="127"/>
  <c r="AP9" i="127"/>
  <c r="S50" i="119"/>
  <c r="AI14" i="128"/>
  <c r="AK29" i="122"/>
  <c r="AE27" i="117"/>
  <c r="AN23" i="127"/>
  <c r="G23" i="117"/>
  <c r="AZ30" i="117"/>
  <c r="P58" i="130"/>
  <c r="BD53" i="122"/>
  <c r="O41" i="120"/>
  <c r="G48" i="120"/>
  <c r="T51" i="129"/>
  <c r="BE11" i="122"/>
  <c r="M46" i="120"/>
  <c r="AT52" i="120"/>
  <c r="U36" i="124"/>
  <c r="AL48" i="123"/>
  <c r="Z21" i="117"/>
  <c r="AO22" i="117"/>
  <c r="BD33" i="117"/>
  <c r="I18" i="123"/>
  <c r="AW26" i="117"/>
  <c r="T29" i="117"/>
  <c r="AU51" i="118"/>
  <c r="K14" i="123"/>
  <c r="BC32" i="117"/>
  <c r="Z34" i="117"/>
  <c r="AZ44" i="118"/>
  <c r="N16" i="129"/>
  <c r="BC46" i="121"/>
  <c r="L51" i="118"/>
  <c r="K38" i="124"/>
  <c r="AU9" i="124"/>
  <c r="AI21" i="124"/>
  <c r="BB27" i="117"/>
  <c r="AH43" i="124"/>
  <c r="BB45" i="130"/>
  <c r="K27" i="124"/>
  <c r="O56" i="124"/>
  <c r="BB32" i="129"/>
  <c r="I52" i="124"/>
  <c r="V13" i="122"/>
  <c r="AQ23" i="122"/>
  <c r="P20" i="128"/>
  <c r="AE11" i="124"/>
  <c r="BC30" i="122"/>
  <c r="AJ39" i="122"/>
  <c r="U8" i="125"/>
  <c r="AZ50" i="123"/>
  <c r="AU21" i="117"/>
  <c r="J23" i="117"/>
  <c r="W55" i="127"/>
  <c r="AV9" i="123"/>
  <c r="BA26" i="117"/>
  <c r="X29" i="117"/>
  <c r="P20" i="117"/>
  <c r="AT42" i="123"/>
  <c r="X33" i="117"/>
  <c r="AU34" i="117"/>
  <c r="AJ20" i="117"/>
  <c r="Q16" i="126"/>
  <c r="AV40" i="124"/>
  <c r="O44" i="128"/>
  <c r="J34" i="122"/>
  <c r="AG50" i="123"/>
  <c r="AT30" i="119"/>
  <c r="AT13" i="124"/>
  <c r="AE41" i="122"/>
  <c r="AF53" i="129"/>
  <c r="I46" i="122"/>
  <c r="AD46" i="122"/>
  <c r="AS40" i="127"/>
  <c r="AF43" i="124"/>
  <c r="AR14" i="121"/>
  <c r="AG22" i="121"/>
  <c r="U16" i="126"/>
  <c r="K44" i="124"/>
  <c r="O21" i="121"/>
  <c r="M29" i="121"/>
  <c r="AP22" i="126"/>
  <c r="P57" i="123"/>
  <c r="AZ45" i="117"/>
  <c r="O47" i="117"/>
  <c r="AH37" i="127"/>
  <c r="BA55" i="123"/>
  <c r="AY20" i="117"/>
  <c r="V22" i="117"/>
  <c r="AU20" i="127"/>
  <c r="AH54" i="123"/>
  <c r="AJ48" i="117"/>
  <c r="BC49" i="117"/>
  <c r="AX46" i="127"/>
  <c r="AF54" i="129"/>
  <c r="AC17" i="127"/>
  <c r="T38" i="124"/>
  <c r="I49" i="120"/>
  <c r="X41" i="122"/>
  <c r="O25" i="124"/>
  <c r="AP22" i="122"/>
  <c r="W10" i="120"/>
  <c r="O24" i="128"/>
  <c r="AV12" i="120"/>
  <c r="P25" i="120"/>
  <c r="AV42" i="130"/>
  <c r="AX35" i="123"/>
  <c r="BB11" i="121"/>
  <c r="AT18" i="121"/>
  <c r="BD10" i="129"/>
  <c r="BA39" i="123"/>
  <c r="BB48" i="121"/>
  <c r="AT55" i="121"/>
  <c r="AS47" i="123"/>
  <c r="AW55" i="122"/>
  <c r="W16" i="124"/>
  <c r="AT22" i="124"/>
  <c r="AR48" i="123"/>
  <c r="AE30" i="122"/>
  <c r="AT39" i="124"/>
  <c r="U46" i="124"/>
  <c r="V18" i="123"/>
  <c r="BA8" i="122"/>
  <c r="AV57" i="124"/>
  <c r="P8" i="124"/>
  <c r="BE44" i="123"/>
  <c r="AQ31" i="129"/>
  <c r="O9" i="127"/>
  <c r="AU9" i="121"/>
  <c r="AJ58" i="120"/>
  <c r="U29" i="118"/>
  <c r="L47" i="128"/>
  <c r="J48" i="118"/>
  <c r="AL10" i="124"/>
  <c r="Y44" i="127"/>
  <c r="V9" i="124"/>
  <c r="L20" i="124"/>
  <c r="AR27" i="126"/>
  <c r="AK27" i="122"/>
  <c r="S32" i="119"/>
  <c r="AV43" i="119"/>
  <c r="AQ30" i="129"/>
  <c r="AC36" i="122"/>
  <c r="AI42" i="119"/>
  <c r="AI51" i="119"/>
  <c r="AY27" i="123"/>
  <c r="T53" i="122"/>
  <c r="L34" i="123"/>
  <c r="AD35" i="123"/>
  <c r="AI18" i="118"/>
  <c r="AF38" i="123"/>
  <c r="AD39" i="123"/>
  <c r="AW41" i="123"/>
  <c r="AZ23" i="120"/>
  <c r="AK10" i="124"/>
  <c r="AL30" i="123"/>
  <c r="AH42" i="123"/>
  <c r="AM48" i="119"/>
  <c r="AO44" i="130"/>
  <c r="AJ23" i="128"/>
  <c r="AR48" i="126"/>
  <c r="AF27" i="123"/>
  <c r="V43" i="119"/>
  <c r="AM56" i="130"/>
  <c r="H47" i="119"/>
  <c r="P24" i="117"/>
  <c r="AZ26" i="127"/>
  <c r="AI50" i="117"/>
  <c r="S57" i="117"/>
  <c r="Z11" i="129"/>
  <c r="AX25" i="122"/>
  <c r="K18" i="119"/>
  <c r="U29" i="119"/>
  <c r="X9" i="127"/>
  <c r="H29" i="122"/>
  <c r="BD38" i="119"/>
  <c r="BD48" i="119"/>
  <c r="AW29" i="124"/>
  <c r="O10" i="121"/>
  <c r="AW34" i="123"/>
  <c r="T36" i="123"/>
  <c r="W41" i="117"/>
  <c r="L33" i="122"/>
  <c r="AH39" i="123"/>
  <c r="BA41" i="123"/>
  <c r="Z37" i="118"/>
  <c r="Z39" i="123"/>
  <c r="T31" i="123"/>
  <c r="V43" i="123"/>
  <c r="AG38" i="118"/>
  <c r="AC33" i="129"/>
  <c r="AQ37" i="127"/>
  <c r="AX18" i="118"/>
  <c r="U44" i="124"/>
  <c r="BB24" i="117"/>
  <c r="M41" i="128"/>
  <c r="AZ51" i="117"/>
  <c r="BD48" i="124"/>
  <c r="AP45" i="127"/>
  <c r="BB31" i="124"/>
  <c r="W57" i="124"/>
  <c r="AO43" i="125"/>
  <c r="AB58" i="122"/>
  <c r="AR29" i="119"/>
  <c r="AG36" i="119"/>
  <c r="U27" i="131"/>
  <c r="AY25" i="121"/>
  <c r="AW31" i="119"/>
  <c r="AQ38" i="119"/>
  <c r="AE10" i="120"/>
  <c r="AF30" i="124"/>
  <c r="L8" i="122"/>
  <c r="AB9" i="122"/>
  <c r="H25" i="121"/>
  <c r="AR23" i="124"/>
  <c r="AO9" i="122"/>
  <c r="BA10" i="122"/>
  <c r="AK26" i="121"/>
  <c r="AU47" i="124"/>
  <c r="W30" i="122"/>
  <c r="AP31" i="122"/>
  <c r="AP26" i="121"/>
  <c r="X54" i="129"/>
  <c r="G46" i="128"/>
  <c r="AK37" i="122"/>
  <c r="AQ55" i="128"/>
  <c r="L22" i="123"/>
  <c r="AG57" i="124"/>
  <c r="AM46" i="123"/>
  <c r="N45" i="126"/>
  <c r="AX15" i="123"/>
  <c r="AP23" i="123"/>
  <c r="AW14" i="126"/>
  <c r="AE47" i="121"/>
  <c r="BA29" i="118"/>
  <c r="AQ36" i="118"/>
  <c r="T38" i="126"/>
  <c r="P47" i="121"/>
  <c r="AO20" i="118"/>
  <c r="AQ27" i="118"/>
  <c r="AI8" i="124"/>
  <c r="N16" i="122"/>
  <c r="BD35" i="122"/>
  <c r="AV37" i="122"/>
  <c r="W23" i="117"/>
  <c r="AL58" i="122"/>
  <c r="AK43" i="122"/>
  <c r="AC45" i="122"/>
  <c r="L26" i="117"/>
  <c r="W45" i="122"/>
  <c r="BD49" i="122"/>
  <c r="AT51" i="122"/>
  <c r="AF26" i="117"/>
  <c r="AI9" i="130"/>
  <c r="AP36" i="127"/>
  <c r="Z26" i="129"/>
  <c r="H30" i="117"/>
  <c r="Y25" i="124"/>
  <c r="AS44" i="117"/>
  <c r="BE51" i="122"/>
  <c r="AQ48" i="130"/>
  <c r="H33" i="125"/>
  <c r="AB51" i="122"/>
  <c r="BE57" i="122"/>
  <c r="BD45" i="130"/>
  <c r="AR24" i="120"/>
  <c r="AQ14" i="117"/>
  <c r="AS22" i="117"/>
  <c r="J35" i="129"/>
  <c r="AI30" i="120"/>
  <c r="AR16" i="117"/>
  <c r="AI24" i="117"/>
  <c r="AL43" i="123"/>
  <c r="BA49" i="119"/>
  <c r="AF50" i="121"/>
  <c r="AW51" i="121"/>
  <c r="AK23" i="123"/>
  <c r="BD42" i="119"/>
  <c r="AF10" i="121"/>
  <c r="AS11" i="121"/>
  <c r="AX14" i="124"/>
  <c r="T9" i="120"/>
  <c r="X57" i="121"/>
  <c r="AQ58" i="121"/>
  <c r="I54" i="124"/>
  <c r="K51" i="129"/>
  <c r="X14" i="126"/>
  <c r="AU45" i="130"/>
  <c r="AO53" i="117"/>
  <c r="S35" i="124"/>
  <c r="N45" i="117"/>
  <c r="AU52" i="122"/>
  <c r="N21" i="126"/>
  <c r="I55" i="125"/>
  <c r="N52" i="122"/>
  <c r="AU58" i="122"/>
  <c r="AX8" i="129"/>
  <c r="G24" i="120"/>
  <c r="O11" i="117"/>
  <c r="G18" i="117"/>
  <c r="W25" i="128"/>
  <c r="S30" i="120"/>
  <c r="AV16" i="117"/>
  <c r="AN24" i="117"/>
  <c r="AQ52" i="119"/>
  <c r="O29" i="123"/>
  <c r="BC17" i="120"/>
  <c r="X20" i="120"/>
  <c r="AI17" i="119"/>
  <c r="G40" i="123"/>
  <c r="AD10" i="120"/>
  <c r="BC11" i="120"/>
  <c r="AW56" i="120"/>
  <c r="U14" i="124"/>
  <c r="I18" i="120"/>
  <c r="AI20" i="120"/>
  <c r="T53" i="120"/>
  <c r="G49" i="127"/>
  <c r="Q12" i="129"/>
  <c r="AJ21" i="124"/>
  <c r="AV10" i="122"/>
  <c r="K48" i="122"/>
  <c r="AF32" i="131"/>
  <c r="AU56" i="122"/>
  <c r="AP40" i="128"/>
  <c r="AT46" i="124"/>
  <c r="AU13" i="122"/>
  <c r="Z24" i="122"/>
  <c r="AT34" i="125"/>
  <c r="U13" i="119"/>
  <c r="AQ33" i="117"/>
  <c r="AF41" i="117"/>
  <c r="P37" i="124"/>
  <c r="BA24" i="119"/>
  <c r="BC53" i="124"/>
  <c r="AZ9" i="124"/>
  <c r="AX23" i="123"/>
  <c r="AX39" i="130"/>
  <c r="M56" i="120"/>
  <c r="AC57" i="120"/>
  <c r="BB34" i="123"/>
  <c r="AS58" i="122"/>
  <c r="AL27" i="120"/>
  <c r="BE29" i="120"/>
  <c r="L50" i="124"/>
  <c r="BC8" i="122"/>
  <c r="AH39" i="120"/>
  <c r="BA41" i="120"/>
  <c r="Y45" i="124"/>
  <c r="BE47" i="125"/>
  <c r="AX56" i="127"/>
  <c r="N54" i="120"/>
  <c r="P26" i="124"/>
  <c r="G45" i="121"/>
  <c r="V11" i="128"/>
  <c r="AN10" i="121"/>
  <c r="AS29" i="127"/>
  <c r="Q32" i="124"/>
  <c r="AV55" i="121"/>
  <c r="K16" i="121"/>
  <c r="AI55" i="121"/>
  <c r="AN22" i="119"/>
  <c r="AL33" i="124"/>
  <c r="AC39" i="124"/>
  <c r="T57" i="121"/>
  <c r="AH24" i="119"/>
  <c r="AN22" i="124"/>
  <c r="U30" i="124"/>
  <c r="T49" i="123"/>
  <c r="O45" i="123"/>
  <c r="AZ11" i="119"/>
  <c r="S14" i="119"/>
  <c r="AJ27" i="124"/>
  <c r="Q38" i="124"/>
  <c r="AN13" i="119"/>
  <c r="W15" i="119"/>
  <c r="W46" i="125"/>
  <c r="BE40" i="124"/>
  <c r="AH40" i="119"/>
  <c r="P40" i="119"/>
  <c r="AO31" i="125"/>
  <c r="AJ20" i="121"/>
  <c r="AF39" i="120"/>
  <c r="AY41" i="120"/>
  <c r="AU58" i="124"/>
  <c r="J17" i="122"/>
  <c r="P51" i="120"/>
  <c r="AJ53" i="120"/>
  <c r="P8" i="123"/>
  <c r="AU38" i="121"/>
  <c r="Q30" i="120"/>
  <c r="AR35" i="120"/>
  <c r="AH17" i="127"/>
  <c r="AC15" i="117"/>
  <c r="AK57" i="118"/>
  <c r="G53" i="124"/>
  <c r="AD22" i="120"/>
  <c r="T27" i="121"/>
  <c r="W57" i="120"/>
  <c r="AM26" i="123"/>
  <c r="AN20" i="120"/>
  <c r="BB21" i="120"/>
  <c r="AI26" i="120"/>
  <c r="AW43" i="124"/>
  <c r="AK12" i="120"/>
  <c r="BB13" i="120"/>
  <c r="L8" i="120"/>
  <c r="H48" i="124"/>
  <c r="G58" i="121"/>
  <c r="AM54" i="120"/>
  <c r="P9" i="120"/>
  <c r="AQ12" i="128"/>
  <c r="T33" i="130"/>
  <c r="AS33" i="124"/>
  <c r="AI24" i="123"/>
  <c r="S34" i="122"/>
  <c r="BD18" i="131"/>
  <c r="N51" i="122"/>
  <c r="AG32" i="129"/>
  <c r="AP46" i="124"/>
  <c r="Z55" i="122"/>
  <c r="V15" i="122"/>
  <c r="AZ16" i="125"/>
  <c r="AB18" i="119"/>
  <c r="AU54" i="117"/>
  <c r="AX46" i="117"/>
  <c r="T47" i="125"/>
  <c r="AW24" i="119"/>
  <c r="J39" i="117"/>
  <c r="AY46" i="117"/>
  <c r="I24" i="123"/>
  <c r="AL34" i="122"/>
  <c r="Y57" i="120"/>
  <c r="AR58" i="120"/>
  <c r="AV35" i="124"/>
  <c r="M30" i="122"/>
  <c r="L34" i="120"/>
  <c r="AD35" i="120"/>
  <c r="M22" i="124"/>
  <c r="Z46" i="122"/>
  <c r="J39" i="120"/>
  <c r="AF41" i="120"/>
  <c r="Q22" i="124"/>
  <c r="AI37" i="127"/>
  <c r="AJ36" i="128"/>
  <c r="AH18" i="120"/>
  <c r="AZ33" i="125"/>
  <c r="AX44" i="121"/>
  <c r="Y13" i="128"/>
  <c r="AI10" i="121"/>
  <c r="AF31" i="128"/>
  <c r="AU31" i="124"/>
  <c r="AR55" i="121"/>
  <c r="G16" i="121"/>
  <c r="AO29" i="121"/>
  <c r="AY14" i="119"/>
  <c r="AH33" i="124"/>
  <c r="BD14" i="124"/>
  <c r="AU49" i="121"/>
  <c r="BB27" i="119"/>
  <c r="AN15" i="124"/>
  <c r="AB23" i="124"/>
  <c r="BD21" i="124"/>
  <c r="AN29" i="124"/>
  <c r="AN36" i="119"/>
  <c r="O8" i="119"/>
  <c r="Z31" i="125"/>
  <c r="T39" i="125"/>
  <c r="AZ40" i="119"/>
  <c r="AI40" i="119"/>
  <c r="N58" i="126"/>
  <c r="O18" i="125"/>
  <c r="AZ41" i="120"/>
  <c r="O43" i="120"/>
  <c r="AT30" i="126"/>
  <c r="AV25" i="130"/>
  <c r="AR49" i="129"/>
  <c r="AS50" i="117"/>
  <c r="AK23" i="117"/>
  <c r="Q47" i="120"/>
  <c r="T17" i="127"/>
  <c r="AF13" i="121"/>
  <c r="AL23" i="130"/>
  <c r="AE30" i="123"/>
  <c r="AJ57" i="121"/>
  <c r="U13" i="121"/>
  <c r="AK10" i="119"/>
  <c r="G25" i="118"/>
  <c r="AK40" i="123"/>
  <c r="M12" i="123"/>
  <c r="AD18" i="119"/>
  <c r="AV42" i="118"/>
  <c r="AT21" i="123"/>
  <c r="AE29" i="123"/>
  <c r="X27" i="117"/>
  <c r="AJ15" i="117"/>
  <c r="BB18" i="119"/>
  <c r="Y21" i="119"/>
  <c r="BE39" i="117"/>
  <c r="AG20" i="117"/>
  <c r="Z31" i="119"/>
  <c r="AS32" i="119"/>
  <c r="Y9" i="118"/>
  <c r="AU54" i="118"/>
  <c r="AB36" i="119"/>
  <c r="AU37" i="119"/>
  <c r="AE52" i="118"/>
  <c r="AV8" i="124"/>
  <c r="O40" i="119"/>
  <c r="AR8" i="119"/>
  <c r="AD11" i="125"/>
  <c r="AG52" i="125"/>
  <c r="AK52" i="120"/>
  <c r="I54" i="120"/>
  <c r="BE20" i="124"/>
  <c r="K15" i="124"/>
  <c r="O18" i="119"/>
  <c r="AG20" i="119"/>
  <c r="W29" i="124"/>
  <c r="BD15" i="117"/>
  <c r="P24" i="121"/>
  <c r="AP37" i="122"/>
  <c r="AO31" i="118"/>
  <c r="AK27" i="118"/>
  <c r="AS41" i="124"/>
  <c r="AY8" i="122"/>
  <c r="BD37" i="120"/>
  <c r="W39" i="120"/>
  <c r="AF20" i="124"/>
  <c r="AO22" i="122"/>
  <c r="AQ33" i="120"/>
  <c r="BE34" i="120"/>
  <c r="BE24" i="117"/>
  <c r="AV55" i="122"/>
  <c r="AO38" i="120"/>
  <c r="L41" i="120"/>
  <c r="AE55" i="117"/>
  <c r="M15" i="128"/>
  <c r="M45" i="127"/>
  <c r="Z31" i="121"/>
  <c r="BE31" i="126"/>
  <c r="P35" i="121"/>
  <c r="AM22" i="128"/>
  <c r="AE10" i="121"/>
  <c r="AP26" i="129"/>
  <c r="W22" i="124"/>
  <c r="AN55" i="121"/>
  <c r="BD15" i="121"/>
  <c r="AC38" i="122"/>
  <c r="AT18" i="119"/>
  <c r="Z33" i="124"/>
  <c r="AN14" i="124"/>
  <c r="T49" i="121"/>
  <c r="AL21" i="119"/>
  <c r="BA38" i="124"/>
  <c r="AV38" i="124"/>
  <c r="AT58" i="125"/>
  <c r="AJ58" i="125"/>
  <c r="AM16" i="119"/>
  <c r="BA40" i="119"/>
  <c r="BE57" i="126"/>
  <c r="M8" i="125"/>
  <c r="Y35" i="120"/>
  <c r="AV36" i="120"/>
  <c r="AM22" i="126"/>
  <c r="Q23" i="126"/>
  <c r="K42" i="120"/>
  <c r="AE43" i="120"/>
  <c r="AR17" i="126"/>
  <c r="J40" i="129"/>
  <c r="T53" i="130"/>
  <c r="AP29" i="117"/>
  <c r="O22" i="118"/>
  <c r="AN29" i="120"/>
  <c r="AZ10" i="127"/>
  <c r="X55" i="121"/>
  <c r="AJ23" i="130"/>
  <c r="AD22" i="117"/>
  <c r="L37" i="119"/>
  <c r="AH38" i="119"/>
  <c r="AU47" i="119"/>
  <c r="BB33" i="117"/>
  <c r="AZ46" i="119"/>
  <c r="U48" i="119"/>
  <c r="AG56" i="119"/>
  <c r="AK39" i="117"/>
  <c r="AJ46" i="119"/>
  <c r="J48" i="119"/>
  <c r="Y15" i="119"/>
  <c r="BE49" i="117"/>
  <c r="AU34" i="131"/>
  <c r="V41" i="127"/>
  <c r="AY58" i="128"/>
  <c r="M24" i="128"/>
  <c r="Y32" i="123"/>
  <c r="AO24" i="120"/>
  <c r="AD49" i="129"/>
  <c r="AQ26" i="125"/>
  <c r="Y44" i="129"/>
  <c r="W8" i="128"/>
  <c r="AJ14" i="128"/>
  <c r="BD12" i="125"/>
  <c r="AY44" i="123"/>
  <c r="AB51" i="123"/>
  <c r="N54" i="123"/>
  <c r="AG22" i="125"/>
  <c r="AW56" i="123"/>
  <c r="AX56" i="123"/>
  <c r="AU58" i="130"/>
  <c r="AI18" i="124"/>
  <c r="T12" i="118"/>
  <c r="AJ13" i="118"/>
  <c r="Z22" i="118"/>
  <c r="BD24" i="124"/>
  <c r="O27" i="118"/>
  <c r="AG29" i="118"/>
  <c r="AP37" i="118"/>
  <c r="AL32" i="124"/>
  <c r="M33" i="118"/>
  <c r="AE34" i="118"/>
  <c r="AQ25" i="118"/>
  <c r="AW39" i="124"/>
  <c r="H45" i="126"/>
  <c r="L43" i="123"/>
  <c r="AW42" i="126"/>
  <c r="X33" i="126"/>
  <c r="L50" i="125"/>
  <c r="AE20" i="119"/>
  <c r="X45" i="127"/>
  <c r="AK22" i="131"/>
  <c r="L54" i="127"/>
  <c r="AM58" i="126"/>
  <c r="P15" i="129"/>
  <c r="I36" i="125"/>
  <c r="BC20" i="122"/>
  <c r="W47" i="122"/>
  <c r="S54" i="126"/>
  <c r="T54" i="125"/>
  <c r="BB44" i="122"/>
  <c r="AS21" i="122"/>
  <c r="J54" i="128"/>
  <c r="P56" i="124"/>
  <c r="AB52" i="118"/>
  <c r="AU53" i="118"/>
  <c r="N30" i="126"/>
  <c r="M48" i="124"/>
  <c r="W57" i="118"/>
  <c r="AT58" i="118"/>
  <c r="M34" i="129"/>
  <c r="BE57" i="124"/>
  <c r="G26" i="118"/>
  <c r="Y27" i="118"/>
  <c r="AC8" i="127"/>
  <c r="AC12" i="124"/>
  <c r="AI31" i="122"/>
  <c r="L26" i="119"/>
  <c r="T12" i="124"/>
  <c r="S35" i="125"/>
  <c r="AL37" i="125"/>
  <c r="S56" i="118"/>
  <c r="O29" i="125"/>
  <c r="M26" i="130"/>
  <c r="AD51" i="125"/>
  <c r="AT55" i="125"/>
  <c r="G54" i="130"/>
  <c r="BE52" i="124"/>
  <c r="W49" i="122"/>
  <c r="AE58" i="122"/>
  <c r="BC11" i="129"/>
  <c r="BD10" i="124"/>
  <c r="J13" i="122"/>
  <c r="AL23" i="122"/>
  <c r="AV26" i="117"/>
  <c r="AT49" i="123"/>
  <c r="V21" i="117"/>
  <c r="AJ22" i="117"/>
  <c r="AW49" i="118"/>
  <c r="AR8" i="123"/>
  <c r="AB26" i="117"/>
  <c r="AY27" i="117"/>
  <c r="AX18" i="119"/>
  <c r="I36" i="123"/>
  <c r="AI46" i="117"/>
  <c r="BB47" i="117"/>
  <c r="N27" i="118"/>
  <c r="Z32" i="124"/>
  <c r="AP51" i="118"/>
  <c r="M53" i="118"/>
  <c r="H30" i="128"/>
  <c r="AX17" i="124"/>
  <c r="AZ37" i="118"/>
  <c r="S39" i="118"/>
  <c r="AG47" i="130"/>
  <c r="N39" i="124"/>
  <c r="BD35" i="118"/>
  <c r="S37" i="118"/>
  <c r="L20" i="117"/>
  <c r="AS44" i="123"/>
  <c r="T34" i="120"/>
  <c r="AN45" i="117"/>
  <c r="T55" i="118"/>
  <c r="AU34" i="121"/>
  <c r="AZ54" i="117"/>
  <c r="AF18" i="121"/>
  <c r="AE52" i="124"/>
  <c r="AG17" i="123"/>
  <c r="Z26" i="119"/>
  <c r="X32" i="119"/>
  <c r="AQ37" i="119"/>
  <c r="AK42" i="126"/>
  <c r="AW30" i="120"/>
  <c r="BC13" i="120"/>
  <c r="M33" i="123"/>
  <c r="AK46" i="123"/>
  <c r="AM54" i="118"/>
  <c r="J32" i="119"/>
  <c r="AX41" i="119"/>
  <c r="J44" i="119"/>
  <c r="Z49" i="119"/>
  <c r="AY54" i="119"/>
  <c r="AP8" i="117"/>
  <c r="U11" i="117"/>
  <c r="K53" i="124"/>
  <c r="AP32" i="120"/>
  <c r="L32" i="121"/>
  <c r="AQ16" i="123"/>
  <c r="T29" i="121"/>
  <c r="X32" i="118"/>
  <c r="BE24" i="121"/>
  <c r="BD58" i="118"/>
  <c r="AJ48" i="122"/>
  <c r="AW55" i="124"/>
  <c r="H57" i="124"/>
  <c r="Z32" i="121"/>
  <c r="J12" i="122"/>
  <c r="I48" i="124"/>
  <c r="W49" i="124"/>
  <c r="AD52" i="121"/>
  <c r="K22" i="122"/>
  <c r="AG15" i="124"/>
  <c r="AX16" i="124"/>
  <c r="AY47" i="127"/>
  <c r="G17" i="118"/>
  <c r="Y32" i="122"/>
  <c r="AK8" i="118"/>
  <c r="AG43" i="121"/>
  <c r="T16" i="118"/>
  <c r="P44" i="123"/>
  <c r="M32" i="117"/>
  <c r="BA24" i="117"/>
  <c r="AO36" i="124"/>
  <c r="AK51" i="120"/>
  <c r="P20" i="120"/>
  <c r="M37" i="122"/>
  <c r="AB52" i="121"/>
  <c r="AC53" i="118"/>
  <c r="BE45" i="119"/>
  <c r="BE49" i="118"/>
  <c r="P57" i="122"/>
  <c r="Q51" i="124"/>
  <c r="AN52" i="124"/>
  <c r="U58" i="121"/>
  <c r="AT13" i="122"/>
  <c r="M10" i="124"/>
  <c r="AC11" i="124"/>
  <c r="BD52" i="121"/>
  <c r="M23" i="122"/>
  <c r="AK58" i="124"/>
  <c r="AO12" i="124"/>
  <c r="AC46" i="123"/>
  <c r="AF10" i="118"/>
  <c r="AH43" i="122"/>
  <c r="K39" i="118"/>
  <c r="AP16" i="120"/>
  <c r="Y18" i="118"/>
  <c r="L16" i="121"/>
  <c r="U38" i="117"/>
  <c r="I38" i="124"/>
  <c r="AH44" i="124"/>
  <c r="W25" i="120"/>
  <c r="AY54" i="120"/>
  <c r="AN53" i="120"/>
  <c r="AR35" i="122"/>
  <c r="S8" i="121"/>
  <c r="AM16" i="117"/>
  <c r="AT25" i="117"/>
  <c r="AQ52" i="118"/>
  <c r="W54" i="129"/>
  <c r="AR11" i="123"/>
  <c r="K13" i="123"/>
  <c r="AD11" i="117"/>
  <c r="AO24" i="130"/>
  <c r="AZ46" i="123"/>
  <c r="AN49" i="123"/>
  <c r="AJ58" i="131"/>
  <c r="AJ9" i="128"/>
  <c r="AN23" i="123"/>
  <c r="G25" i="123"/>
  <c r="M9" i="120"/>
  <c r="AU37" i="124"/>
  <c r="AE57" i="121"/>
  <c r="Q47" i="124"/>
  <c r="AY40" i="119"/>
  <c r="AN20" i="117"/>
  <c r="AC25" i="122"/>
  <c r="Q29" i="117"/>
  <c r="AZ42" i="119"/>
  <c r="K31" i="122"/>
  <c r="O33" i="118"/>
  <c r="P35" i="117"/>
  <c r="AH11" i="120"/>
  <c r="AW27" i="120"/>
  <c r="BB57" i="120"/>
  <c r="AM57" i="123"/>
  <c r="AL55" i="117"/>
  <c r="BC54" i="121"/>
  <c r="AT39" i="123"/>
  <c r="AN51" i="123"/>
  <c r="AH58" i="117"/>
  <c r="AD56" i="122"/>
  <c r="AW11" i="123"/>
  <c r="H13" i="123"/>
  <c r="L15" i="124"/>
  <c r="AL58" i="121"/>
  <c r="BA16" i="123"/>
  <c r="P18" i="123"/>
  <c r="AD47" i="122"/>
  <c r="W41" i="122"/>
  <c r="AR27" i="120"/>
  <c r="H52" i="122"/>
  <c r="AM52" i="118"/>
  <c r="K21" i="117"/>
  <c r="AD29" i="119"/>
  <c r="BD58" i="120"/>
  <c r="Q21" i="121"/>
  <c r="AR50" i="117"/>
  <c r="AR49" i="120"/>
  <c r="AD33" i="124"/>
  <c r="AY18" i="119"/>
  <c r="H45" i="119"/>
  <c r="Y20" i="119"/>
  <c r="W45" i="129"/>
  <c r="AG56" i="123"/>
  <c r="AE21" i="117"/>
  <c r="O23" i="127"/>
  <c r="S23" i="117"/>
  <c r="M31" i="117"/>
  <c r="AW44" i="130"/>
  <c r="AE50" i="122"/>
  <c r="AH27" i="120"/>
  <c r="X35" i="120"/>
  <c r="W12" i="129"/>
  <c r="AB8" i="122"/>
  <c r="AP46" i="120"/>
  <c r="W53" i="120"/>
  <c r="T26" i="125"/>
  <c r="AX18" i="126"/>
  <c r="K43" i="123"/>
  <c r="AC44" i="123"/>
  <c r="AT8" i="127"/>
  <c r="AE45" i="127"/>
  <c r="L46" i="123"/>
  <c r="AH47" i="123"/>
  <c r="P11" i="128"/>
  <c r="J46" i="128"/>
  <c r="AG8" i="123"/>
  <c r="BB13" i="123"/>
  <c r="Y29" i="128"/>
  <c r="P15" i="128"/>
  <c r="BE24" i="128"/>
  <c r="AV8" i="127"/>
  <c r="I17" i="122"/>
  <c r="Q42" i="127"/>
  <c r="AV8" i="122"/>
  <c r="Q17" i="123"/>
  <c r="I21" i="123"/>
  <c r="U52" i="126"/>
  <c r="AV26" i="123"/>
  <c r="AK34" i="123"/>
  <c r="AH37" i="126"/>
  <c r="AW41" i="121"/>
  <c r="AY13" i="118"/>
  <c r="H22" i="118"/>
  <c r="AF8" i="125"/>
  <c r="AG42" i="121"/>
  <c r="Y20" i="118"/>
  <c r="S27" i="118"/>
  <c r="H17" i="124"/>
  <c r="AV46" i="122"/>
  <c r="AF48" i="124"/>
  <c r="AY49" i="124"/>
  <c r="T56" i="121"/>
  <c r="Q53" i="122"/>
  <c r="S39" i="124"/>
  <c r="AK41" i="124"/>
  <c r="AN11" i="121"/>
  <c r="H53" i="122"/>
  <c r="AB50" i="124"/>
  <c r="AS51" i="124"/>
  <c r="AR11" i="121"/>
  <c r="BE21" i="130"/>
  <c r="AO44" i="124"/>
  <c r="N47" i="121"/>
  <c r="BE22" i="118"/>
  <c r="AO23" i="121"/>
  <c r="AQ42" i="123"/>
  <c r="AT17" i="128"/>
  <c r="AF57" i="119"/>
  <c r="G35" i="128"/>
  <c r="Q36" i="119"/>
  <c r="BC13" i="119"/>
  <c r="H16" i="129"/>
  <c r="BA27" i="123"/>
  <c r="BB16" i="120"/>
  <c r="BD11" i="120"/>
  <c r="AO18" i="127"/>
  <c r="AB34" i="123"/>
  <c r="AR11" i="120"/>
  <c r="AI18" i="120"/>
  <c r="BC27" i="120"/>
  <c r="Y47" i="122"/>
  <c r="AT43" i="124"/>
  <c r="M45" i="124"/>
  <c r="J31" i="120"/>
  <c r="O54" i="122"/>
  <c r="BA53" i="124"/>
  <c r="T55" i="124"/>
  <c r="AB14" i="121"/>
  <c r="AL9" i="122"/>
  <c r="AP45" i="124"/>
  <c r="I47" i="124"/>
  <c r="AX8" i="121"/>
  <c r="AX12" i="125"/>
  <c r="U18" i="120"/>
  <c r="AE47" i="128"/>
  <c r="AQ16" i="128"/>
  <c r="AC54" i="120"/>
  <c r="X11" i="128"/>
  <c r="AU27" i="123"/>
  <c r="AF39" i="117"/>
  <c r="Q20" i="127"/>
  <c r="G15" i="117"/>
  <c r="O24" i="117"/>
  <c r="AW43" i="130"/>
  <c r="W12" i="122"/>
  <c r="AF29" i="120"/>
  <c r="V36" i="120"/>
  <c r="AF44" i="130"/>
  <c r="AZ55" i="122"/>
  <c r="BE33" i="120"/>
  <c r="AU41" i="120"/>
  <c r="K34" i="127"/>
  <c r="AS17" i="127"/>
  <c r="AJ39" i="123"/>
  <c r="BC41" i="123"/>
  <c r="AB49" i="129"/>
  <c r="O42" i="128"/>
  <c r="AE47" i="123"/>
  <c r="AV48" i="123"/>
  <c r="AQ29" i="125"/>
  <c r="AF36" i="129"/>
  <c r="V50" i="123"/>
  <c r="AQ51" i="123"/>
  <c r="Z18" i="124"/>
  <c r="BD13" i="130"/>
  <c r="AC15" i="127"/>
  <c r="X41" i="125"/>
  <c r="AD39" i="121"/>
  <c r="AS29" i="118"/>
  <c r="AG23" i="129"/>
  <c r="U21" i="118"/>
  <c r="J49" i="117"/>
  <c r="AV29" i="127"/>
  <c r="O8" i="124"/>
  <c r="AH14" i="124"/>
  <c r="BD46" i="130"/>
  <c r="AN26" i="122"/>
  <c r="BD30" i="119"/>
  <c r="AV42" i="119"/>
  <c r="AU47" i="126"/>
  <c r="AZ35" i="122"/>
  <c r="G42" i="119"/>
  <c r="BD50" i="119"/>
  <c r="M34" i="123"/>
  <c r="S12" i="119"/>
  <c r="BA42" i="123"/>
  <c r="N44" i="123"/>
  <c r="BB45" i="124"/>
  <c r="AQ31" i="120"/>
  <c r="AB41" i="123"/>
  <c r="AS42" i="123"/>
  <c r="W32" i="124"/>
  <c r="L51" i="121"/>
  <c r="X35" i="123"/>
  <c r="Z47" i="123"/>
  <c r="AI32" i="124"/>
  <c r="Y14" i="128"/>
  <c r="M56" i="127"/>
  <c r="X42" i="124"/>
  <c r="BA11" i="120"/>
  <c r="AE11" i="122"/>
  <c r="L35" i="127"/>
  <c r="U44" i="123"/>
  <c r="AP49" i="123"/>
  <c r="M32" i="126"/>
  <c r="O43" i="123"/>
  <c r="AG27" i="123"/>
  <c r="G32" i="122"/>
  <c r="AK57" i="121"/>
  <c r="AC9" i="118"/>
  <c r="U16" i="118"/>
  <c r="S52" i="122"/>
  <c r="K40" i="120"/>
  <c r="AP14" i="118"/>
  <c r="AI22" i="118"/>
  <c r="AS16" i="124"/>
  <c r="H56" i="130"/>
  <c r="N38" i="123"/>
  <c r="AF39" i="123"/>
  <c r="AU8" i="117"/>
  <c r="Q47" i="131"/>
  <c r="AY17" i="123"/>
  <c r="T20" i="123"/>
  <c r="AR35" i="118"/>
  <c r="AJ56" i="126"/>
  <c r="AB20" i="123"/>
  <c r="AU21" i="123"/>
  <c r="AN54" i="118"/>
  <c r="V30" i="129"/>
  <c r="AE31" i="121"/>
  <c r="AF35" i="132"/>
  <c r="AP55" i="131"/>
  <c r="AY43" i="120"/>
  <c r="AN44" i="125"/>
  <c r="AG33" i="124"/>
  <c r="S39" i="117"/>
  <c r="H29" i="127"/>
  <c r="BC21" i="117"/>
  <c r="AT34" i="117"/>
  <c r="AK48" i="131"/>
  <c r="AR36" i="122"/>
  <c r="AU30" i="120"/>
  <c r="AF37" i="120"/>
  <c r="AL44" i="130"/>
  <c r="AV17" i="122"/>
  <c r="BC34" i="120"/>
  <c r="AU42" i="120"/>
  <c r="AU10" i="129"/>
  <c r="S41" i="128"/>
  <c r="G42" i="123"/>
  <c r="W43" i="123"/>
  <c r="AD21" i="125"/>
  <c r="I9" i="129"/>
  <c r="AO44" i="123"/>
  <c r="H46" i="123"/>
  <c r="AL10" i="117"/>
  <c r="N47" i="131"/>
  <c r="AD24" i="123"/>
  <c r="Q8" i="123"/>
  <c r="AY10" i="117"/>
  <c r="N36" i="124"/>
  <c r="K9" i="127"/>
  <c r="AJ13" i="128"/>
  <c r="AH36" i="121"/>
  <c r="AV40" i="118"/>
  <c r="Z32" i="130"/>
  <c r="AK42" i="119"/>
  <c r="AK54" i="117"/>
  <c r="O42" i="127"/>
  <c r="P45" i="117"/>
  <c r="AS51" i="117"/>
  <c r="AR12" i="127"/>
  <c r="X22" i="122"/>
  <c r="AK29" i="119"/>
  <c r="AV41" i="119"/>
  <c r="AO53" i="129"/>
  <c r="AX34" i="122"/>
  <c r="BB39" i="119"/>
  <c r="BB49" i="119"/>
  <c r="AO50" i="124"/>
  <c r="AU29" i="120"/>
  <c r="BA34" i="123"/>
  <c r="X36" i="123"/>
  <c r="BE33" i="124"/>
  <c r="W10" i="121"/>
  <c r="X41" i="123"/>
  <c r="AJ42" i="123"/>
  <c r="J35" i="117"/>
  <c r="U42" i="122"/>
  <c r="AQ34" i="123"/>
  <c r="AJ46" i="123"/>
  <c r="H13" i="117"/>
  <c r="H52" i="126"/>
  <c r="AE22" i="127"/>
  <c r="AC24" i="117"/>
  <c r="AT44" i="124"/>
  <c r="BE29" i="117"/>
  <c r="N12" i="126"/>
  <c r="AE15" i="124"/>
  <c r="U49" i="124"/>
  <c r="AH9" i="126"/>
  <c r="AW15" i="124"/>
  <c r="AB41" i="124"/>
  <c r="BA26" i="131"/>
  <c r="T20" i="121"/>
  <c r="Z25" i="119"/>
  <c r="P33" i="119"/>
  <c r="Y29" i="130"/>
  <c r="X46" i="121"/>
  <c r="AN37" i="119"/>
  <c r="AC45" i="119"/>
  <c r="N49" i="120"/>
  <c r="J33" i="124"/>
  <c r="AO11" i="122"/>
  <c r="BA12" i="122"/>
  <c r="S15" i="120"/>
  <c r="AS42" i="124"/>
  <c r="P13" i="122"/>
  <c r="AB14" i="122"/>
  <c r="G20" i="121"/>
  <c r="AI47" i="124"/>
  <c r="AO14" i="122"/>
  <c r="BA15" i="122"/>
  <c r="AY29" i="121"/>
  <c r="BB54" i="131"/>
  <c r="O48" i="130"/>
  <c r="AU16" i="120"/>
  <c r="AO54" i="119"/>
  <c r="M17" i="117"/>
  <c r="AH56" i="120"/>
  <c r="Z54" i="123"/>
  <c r="AJ20" i="129"/>
  <c r="AV36" i="125"/>
  <c r="U54" i="123"/>
  <c r="W58" i="123"/>
  <c r="N30" i="119"/>
  <c r="I32" i="120"/>
  <c r="BC58" i="118"/>
  <c r="AC57" i="118"/>
  <c r="BC17" i="118"/>
  <c r="AZ37" i="120"/>
  <c r="M16" i="117"/>
  <c r="BB23" i="117"/>
  <c r="T18" i="127"/>
  <c r="BC29" i="122"/>
  <c r="Y52" i="121"/>
  <c r="AR53" i="121"/>
  <c r="BE17" i="118"/>
  <c r="L15" i="123"/>
  <c r="S11" i="121"/>
  <c r="AR12" i="121"/>
  <c r="G53" i="120"/>
  <c r="AC24" i="124"/>
  <c r="AR16" i="121"/>
  <c r="G18" i="121"/>
  <c r="AR11" i="119"/>
  <c r="AJ42" i="125"/>
  <c r="AR40" i="124"/>
  <c r="AN52" i="122"/>
  <c r="AB10" i="119"/>
  <c r="AZ43" i="119"/>
  <c r="G35" i="122"/>
  <c r="AQ39" i="123"/>
  <c r="AI22" i="123"/>
  <c r="AS26" i="125"/>
  <c r="X38" i="123"/>
  <c r="N46" i="123"/>
  <c r="S8" i="120"/>
  <c r="N20" i="120"/>
  <c r="AC47" i="118"/>
  <c r="AD53" i="118"/>
  <c r="BB44" i="120"/>
  <c r="AL26" i="120"/>
  <c r="Q45" i="118"/>
  <c r="AB49" i="118"/>
  <c r="AY38" i="124"/>
  <c r="AF35" i="121"/>
  <c r="AC52" i="121"/>
  <c r="AV53" i="121"/>
  <c r="S48" i="117"/>
  <c r="AK12" i="122"/>
  <c r="W11" i="121"/>
  <c r="AV12" i="121"/>
  <c r="AE22" i="118"/>
  <c r="BA15" i="123"/>
  <c r="AV16" i="121"/>
  <c r="K18" i="121"/>
  <c r="M58" i="118"/>
  <c r="AW52" i="127"/>
  <c r="AQ49" i="130"/>
  <c r="AT10" i="118"/>
  <c r="J38" i="117"/>
  <c r="O50" i="124"/>
  <c r="AF40" i="117"/>
  <c r="AF12" i="122"/>
  <c r="AU14" i="130"/>
  <c r="AK30" i="125"/>
  <c r="AW14" i="122"/>
  <c r="Z22" i="122"/>
  <c r="BA50" i="125"/>
  <c r="AP48" i="120"/>
  <c r="N14" i="117"/>
  <c r="T22" i="117"/>
  <c r="AU44" i="131"/>
  <c r="AP31" i="120"/>
  <c r="BE20" i="117"/>
  <c r="H29" i="117"/>
  <c r="AG14" i="120"/>
  <c r="AW12" i="124"/>
  <c r="I47" i="121"/>
  <c r="AC48" i="121"/>
  <c r="AW32" i="121"/>
  <c r="AC52" i="124"/>
  <c r="AP55" i="121"/>
  <c r="M57" i="121"/>
  <c r="W34" i="121"/>
  <c r="J25" i="124"/>
  <c r="BB13" i="121"/>
  <c r="Y15" i="121"/>
  <c r="AE34" i="121"/>
  <c r="AX35" i="126"/>
  <c r="G49" i="131"/>
  <c r="BD44" i="119"/>
  <c r="G10" i="123"/>
  <c r="AD26" i="123"/>
  <c r="AO57" i="125"/>
  <c r="U43" i="122"/>
  <c r="AN52" i="130"/>
  <c r="AD47" i="124"/>
  <c r="I42" i="122"/>
  <c r="Q51" i="122"/>
  <c r="AX21" i="126"/>
  <c r="AO17" i="119"/>
  <c r="J31" i="117"/>
  <c r="BC37" i="117"/>
  <c r="AK34" i="126"/>
  <c r="BD15" i="119"/>
  <c r="AB14" i="117"/>
  <c r="BA21" i="117"/>
  <c r="J15" i="124"/>
  <c r="I50" i="122"/>
  <c r="AI37" i="120"/>
  <c r="BB38" i="120"/>
  <c r="Q31" i="117"/>
  <c r="AS42" i="122"/>
  <c r="V33" i="120"/>
  <c r="AJ34" i="120"/>
  <c r="BE33" i="117"/>
  <c r="AE36" i="122"/>
  <c r="T38" i="120"/>
  <c r="AQ39" i="120"/>
  <c r="AD34" i="117"/>
  <c r="T16" i="126"/>
  <c r="AN17" i="126"/>
  <c r="AQ41" i="127"/>
  <c r="AR26" i="124"/>
  <c r="L16" i="119"/>
  <c r="AR14" i="126"/>
  <c r="AQ9" i="120"/>
  <c r="N22" i="131"/>
  <c r="G13" i="123"/>
  <c r="X22" i="120"/>
  <c r="AE20" i="120"/>
  <c r="AS12" i="118"/>
  <c r="L38" i="118"/>
  <c r="AX33" i="123"/>
  <c r="AR41" i="123"/>
  <c r="AX8" i="118"/>
  <c r="AF43" i="118"/>
  <c r="BA37" i="123"/>
  <c r="AU45" i="123"/>
  <c r="X26" i="119"/>
  <c r="G33" i="119"/>
  <c r="AF24" i="119"/>
  <c r="AW25" i="119"/>
  <c r="BA52" i="120"/>
  <c r="AP20" i="119"/>
  <c r="AS30" i="119"/>
  <c r="P32" i="119"/>
  <c r="Z15" i="120"/>
  <c r="L32" i="120"/>
  <c r="AV36" i="119"/>
  <c r="AV38" i="119"/>
  <c r="L12" i="120"/>
  <c r="J39" i="125"/>
  <c r="AY57" i="126"/>
  <c r="AF46" i="130"/>
  <c r="AK36" i="124"/>
  <c r="AG11" i="119"/>
  <c r="L39" i="126"/>
  <c r="O8" i="120"/>
  <c r="AF10" i="129"/>
  <c r="AQ22" i="123"/>
  <c r="AS27" i="120"/>
  <c r="AC23" i="120"/>
  <c r="P47" i="118"/>
  <c r="N37" i="118"/>
  <c r="AD32" i="123"/>
  <c r="T39" i="123"/>
  <c r="AF51" i="118"/>
  <c r="BA43" i="118"/>
  <c r="W41" i="123"/>
  <c r="O48" i="123"/>
  <c r="AB22" i="123"/>
  <c r="U48" i="123"/>
  <c r="AK27" i="119"/>
  <c r="BD29" i="119"/>
  <c r="W37" i="124"/>
  <c r="M13" i="123"/>
  <c r="AW26" i="119"/>
  <c r="T29" i="119"/>
  <c r="AP47" i="124"/>
  <c r="AV20" i="124"/>
  <c r="AP36" i="119"/>
  <c r="I38" i="119"/>
  <c r="P15" i="124"/>
  <c r="AZ14" i="128"/>
  <c r="AU49" i="122"/>
  <c r="N29" i="124"/>
  <c r="Z51" i="122"/>
  <c r="AB57" i="118"/>
  <c r="AZ57" i="125"/>
  <c r="AL25" i="120"/>
  <c r="AW24" i="130"/>
  <c r="AZ42" i="122"/>
  <c r="O58" i="120"/>
  <c r="AY30" i="120"/>
  <c r="U13" i="117"/>
  <c r="I47" i="117"/>
  <c r="AO58" i="123"/>
  <c r="AT58" i="123"/>
  <c r="BC9" i="117"/>
  <c r="AV58" i="117"/>
  <c r="BE47" i="123"/>
  <c r="AQ54" i="123"/>
  <c r="W8" i="122"/>
  <c r="L44" i="125"/>
  <c r="BC10" i="124"/>
  <c r="AR47" i="130"/>
  <c r="K38" i="122"/>
  <c r="AM45" i="121"/>
  <c r="K47" i="118"/>
  <c r="AE48" i="118"/>
  <c r="BD32" i="122"/>
  <c r="BC16" i="122"/>
  <c r="BD16" i="118"/>
  <c r="S18" i="118"/>
  <c r="W38" i="122"/>
  <c r="M42" i="125"/>
  <c r="W43" i="118"/>
  <c r="AC25" i="120"/>
  <c r="O24" i="120"/>
  <c r="AV32" i="124"/>
  <c r="AO41" i="124"/>
  <c r="S21" i="119"/>
  <c r="AR54" i="131"/>
  <c r="Y18" i="122"/>
  <c r="U20" i="119"/>
  <c r="AC33" i="119"/>
  <c r="AO33" i="131"/>
  <c r="S43" i="126"/>
  <c r="L15" i="126"/>
  <c r="AW45" i="126"/>
  <c r="BC30" i="127"/>
  <c r="AU16" i="125"/>
  <c r="O13" i="125"/>
  <c r="BD22" i="125"/>
  <c r="AQ54" i="122"/>
  <c r="G12" i="121"/>
  <c r="AI17" i="121"/>
  <c r="K53" i="121"/>
  <c r="Y13" i="122"/>
  <c r="AS37" i="121"/>
  <c r="BC45" i="121"/>
  <c r="O30" i="121"/>
  <c r="AL17" i="122"/>
  <c r="M45" i="122"/>
  <c r="AP13" i="122"/>
  <c r="AH41" i="122"/>
  <c r="N24" i="122"/>
  <c r="P26" i="121"/>
  <c r="BA13" i="118"/>
  <c r="L15" i="118"/>
  <c r="AZ8" i="122"/>
  <c r="AH25" i="122"/>
  <c r="AX29" i="118"/>
  <c r="Q31" i="118"/>
  <c r="BD25" i="122"/>
  <c r="AO46" i="121"/>
  <c r="P25" i="118"/>
  <c r="AG27" i="126"/>
  <c r="AN58" i="117"/>
  <c r="S24" i="121"/>
  <c r="AJ15" i="123"/>
  <c r="AV51" i="119"/>
  <c r="AY31" i="122"/>
  <c r="AQ57" i="120"/>
  <c r="S8" i="117"/>
  <c r="K20" i="124"/>
  <c r="AM8" i="123"/>
  <c r="V21" i="119"/>
  <c r="AJ22" i="119"/>
  <c r="AG17" i="124"/>
  <c r="N49" i="124"/>
  <c r="S31" i="119"/>
  <c r="AK32" i="119"/>
  <c r="L9" i="124"/>
  <c r="AB53" i="124"/>
  <c r="BC30" i="119"/>
  <c r="V32" i="119"/>
  <c r="AF25" i="124"/>
  <c r="AY22" i="129"/>
  <c r="BC53" i="123"/>
  <c r="BC43" i="124"/>
  <c r="U25" i="122"/>
  <c r="AU35" i="118"/>
  <c r="K32" i="125"/>
  <c r="AW26" i="120"/>
  <c r="AF41" i="131"/>
  <c r="Q31" i="122"/>
  <c r="N24" i="120"/>
  <c r="J32" i="120"/>
  <c r="AT40" i="117"/>
  <c r="AP23" i="117"/>
  <c r="AY26" i="123"/>
  <c r="AJ34" i="123"/>
  <c r="AT18" i="117"/>
  <c r="AN52" i="117"/>
  <c r="W57" i="123"/>
  <c r="BA47" i="123"/>
  <c r="AR32" i="122"/>
  <c r="BC41" i="122"/>
  <c r="AR41" i="118"/>
  <c r="G43" i="118"/>
  <c r="AG26" i="122"/>
  <c r="AE37" i="122"/>
  <c r="AE11" i="118"/>
  <c r="AZ12" i="118"/>
  <c r="AM9" i="122"/>
  <c r="P34" i="122"/>
  <c r="AE16" i="118"/>
  <c r="AV17" i="118"/>
  <c r="AS40" i="122"/>
  <c r="Q56" i="126"/>
  <c r="U30" i="119"/>
  <c r="AR10" i="120"/>
  <c r="AK48" i="120"/>
  <c r="AQ37" i="117"/>
  <c r="BA8" i="124"/>
  <c r="AR12" i="119"/>
  <c r="V54" i="128"/>
  <c r="AU15" i="122"/>
  <c r="BD17" i="119"/>
  <c r="G32" i="119"/>
  <c r="AD56" i="117"/>
  <c r="BD43" i="117"/>
  <c r="BC54" i="126"/>
  <c r="AH12" i="124"/>
  <c r="L17" i="130"/>
  <c r="AI50" i="126"/>
  <c r="AB27" i="126"/>
  <c r="AK51" i="126"/>
  <c r="BE45" i="122"/>
  <c r="O8" i="121"/>
  <c r="Z13" i="121"/>
  <c r="V57" i="121"/>
  <c r="AQ11" i="122"/>
  <c r="AG43" i="122"/>
  <c r="AG12" i="122"/>
  <c r="AD25" i="122"/>
  <c r="O22" i="122"/>
  <c r="AW48" i="123"/>
  <c r="J57" i="123"/>
  <c r="K25" i="122"/>
  <c r="AG27" i="122"/>
  <c r="AB40" i="124"/>
  <c r="AL50" i="129"/>
  <c r="BA35" i="118"/>
  <c r="AQ37" i="118"/>
  <c r="W46" i="123"/>
  <c r="W36" i="122"/>
  <c r="AP24" i="119"/>
  <c r="AI55" i="131"/>
  <c r="AD13" i="121"/>
  <c r="AU18" i="119"/>
  <c r="AO26" i="119"/>
  <c r="AQ25" i="125"/>
  <c r="BA16" i="129"/>
  <c r="AF14" i="129"/>
  <c r="AC21" i="129"/>
  <c r="AI23" i="125"/>
  <c r="H49" i="129"/>
  <c r="S44" i="129"/>
  <c r="AS37" i="129"/>
  <c r="AH16" i="121"/>
  <c r="O25" i="119"/>
  <c r="AT35" i="119"/>
  <c r="AR15" i="119"/>
  <c r="Z9" i="121"/>
  <c r="AT58" i="120"/>
  <c r="AM45" i="119"/>
  <c r="AE13" i="119"/>
  <c r="AB54" i="122"/>
  <c r="AG37" i="120"/>
  <c r="BD43" i="120"/>
  <c r="AC31" i="120"/>
  <c r="AM46" i="121"/>
  <c r="AF52" i="122"/>
  <c r="BA33" i="122"/>
  <c r="G40" i="121"/>
  <c r="BD33" i="122"/>
  <c r="BD12" i="122"/>
  <c r="AV36" i="122"/>
  <c r="S47" i="122"/>
  <c r="N36" i="122"/>
  <c r="AQ32" i="121"/>
  <c r="BE22" i="121"/>
  <c r="AQ24" i="121"/>
  <c r="K46" i="123"/>
  <c r="G45" i="119"/>
  <c r="S56" i="119"/>
  <c r="AR46" i="117"/>
  <c r="AU24" i="122"/>
  <c r="AG20" i="121"/>
  <c r="AH16" i="117"/>
  <c r="AJ11" i="122"/>
  <c r="BB20" i="122"/>
  <c r="AJ50" i="122"/>
  <c r="H46" i="118"/>
  <c r="AD47" i="118"/>
  <c r="AM27" i="122"/>
  <c r="X29" i="122"/>
  <c r="BD10" i="118"/>
  <c r="W12" i="118"/>
  <c r="BD54" i="123"/>
  <c r="P25" i="122"/>
  <c r="BD15" i="118"/>
  <c r="W17" i="118"/>
  <c r="AB47" i="123"/>
  <c r="O31" i="127"/>
  <c r="V26" i="119"/>
  <c r="P38" i="121"/>
  <c r="AQ20" i="120"/>
  <c r="AY58" i="117"/>
  <c r="AW23" i="124"/>
  <c r="J40" i="119"/>
  <c r="AO8" i="129"/>
  <c r="AI20" i="122"/>
  <c r="AZ10" i="119"/>
  <c r="BB20" i="119"/>
  <c r="Z56" i="117"/>
  <c r="AZ43" i="117"/>
  <c r="AZ51" i="122"/>
  <c r="AP58" i="122"/>
  <c r="BD10" i="117"/>
  <c r="AR13" i="127"/>
  <c r="V9" i="130"/>
  <c r="Q54" i="130"/>
  <c r="AX56" i="122"/>
  <c r="I38" i="122"/>
  <c r="N10" i="122"/>
  <c r="M13" i="122"/>
  <c r="AP15" i="122"/>
  <c r="BE41" i="123"/>
  <c r="AJ17" i="123"/>
  <c r="O57" i="123"/>
  <c r="N39" i="122"/>
  <c r="AZ58" i="124"/>
  <c r="AR40" i="123"/>
  <c r="Y34" i="123"/>
  <c r="AJ45" i="122"/>
  <c r="W31" i="125"/>
  <c r="AN29" i="130"/>
  <c r="AU11" i="118"/>
  <c r="AR25" i="118"/>
  <c r="AE15" i="123"/>
  <c r="AC56" i="123"/>
  <c r="AO30" i="119"/>
  <c r="AK27" i="125"/>
  <c r="U13" i="123"/>
  <c r="AI17" i="117"/>
  <c r="AZ18" i="117"/>
  <c r="BE30" i="130"/>
  <c r="S49" i="123"/>
  <c r="AI23" i="117"/>
  <c r="BD24" i="117"/>
  <c r="W43" i="131"/>
  <c r="AU25" i="123"/>
  <c r="BB29" i="117"/>
  <c r="U31" i="117"/>
  <c r="AU52" i="131"/>
  <c r="AS27" i="127"/>
  <c r="U36" i="131"/>
  <c r="AP54" i="127"/>
  <c r="X17" i="121"/>
  <c r="P12" i="123"/>
  <c r="Z15" i="117"/>
  <c r="AN29" i="123"/>
  <c r="AP18" i="122"/>
  <c r="AQ57" i="129"/>
  <c r="V32" i="122"/>
  <c r="AM15" i="121"/>
  <c r="U30" i="126"/>
  <c r="AG47" i="124"/>
  <c r="AF55" i="121"/>
  <c r="Y11" i="121"/>
  <c r="H24" i="125"/>
  <c r="AT12" i="123"/>
  <c r="AO18" i="121"/>
  <c r="Z26" i="121"/>
  <c r="BD53" i="125"/>
  <c r="AN14" i="122"/>
  <c r="X58" i="124"/>
  <c r="BD8" i="124"/>
  <c r="AE49" i="126"/>
  <c r="AE9" i="122"/>
  <c r="O10" i="124"/>
  <c r="AL9" i="124"/>
  <c r="BA30" i="126"/>
  <c r="I56" i="123"/>
  <c r="L51" i="117"/>
  <c r="AD52" i="117"/>
  <c r="AO30" i="126"/>
  <c r="S38" i="132"/>
  <c r="Q41" i="126"/>
  <c r="AR56" i="123"/>
  <c r="AI37" i="119"/>
  <c r="BC13" i="121"/>
  <c r="Q8" i="124"/>
  <c r="J32" i="125"/>
  <c r="K39" i="120"/>
  <c r="AW30" i="128"/>
  <c r="AG46" i="120"/>
  <c r="BD27" i="120"/>
  <c r="AN56" i="129"/>
  <c r="AG22" i="123"/>
  <c r="I16" i="120"/>
  <c r="N8" i="120"/>
  <c r="AY49" i="127"/>
  <c r="G36" i="123"/>
  <c r="BA20" i="120"/>
  <c r="I9" i="120"/>
  <c r="AE11" i="121"/>
  <c r="AH36" i="122"/>
  <c r="P38" i="124"/>
  <c r="P41" i="124"/>
  <c r="BC57" i="122"/>
  <c r="O46" i="122"/>
  <c r="AP30" i="124"/>
  <c r="I32" i="124"/>
  <c r="AR37" i="122"/>
  <c r="T48" i="122"/>
  <c r="H42" i="124"/>
  <c r="X43" i="124"/>
  <c r="AH34" i="122"/>
  <c r="AB50" i="125"/>
  <c r="AO29" i="122"/>
  <c r="AI22" i="119"/>
  <c r="AY23" i="117"/>
  <c r="T50" i="120"/>
  <c r="AN55" i="127"/>
  <c r="V49" i="125"/>
  <c r="AS30" i="118"/>
  <c r="BC23" i="128"/>
  <c r="O46" i="118"/>
  <c r="T56" i="118"/>
  <c r="BC30" i="125"/>
  <c r="AN56" i="123"/>
  <c r="AH37" i="120"/>
  <c r="T45" i="120"/>
  <c r="I52" i="131"/>
  <c r="AV40" i="122"/>
  <c r="AB37" i="120"/>
  <c r="Z45" i="120"/>
  <c r="AP18" i="117"/>
  <c r="AV36" i="131"/>
  <c r="BC11" i="123"/>
  <c r="AD13" i="123"/>
  <c r="AE44" i="118"/>
  <c r="J33" i="126"/>
  <c r="AL13" i="123"/>
  <c r="J15" i="123"/>
  <c r="AN48" i="118"/>
  <c r="AU36" i="122"/>
  <c r="S35" i="123"/>
  <c r="AK36" i="123"/>
  <c r="AR48" i="118"/>
  <c r="Q57" i="122"/>
  <c r="AG42" i="124"/>
  <c r="BB43" i="124"/>
  <c r="I43" i="122"/>
  <c r="I16" i="122"/>
  <c r="AQ52" i="124"/>
  <c r="J54" i="124"/>
  <c r="H52" i="121"/>
  <c r="BC17" i="122"/>
  <c r="AG53" i="124"/>
  <c r="AZ54" i="124"/>
  <c r="N52" i="125"/>
  <c r="P37" i="119"/>
  <c r="AT30" i="122"/>
  <c r="X8" i="118"/>
  <c r="BA17" i="121"/>
  <c r="P16" i="118"/>
  <c r="AI52" i="124"/>
  <c r="AO15" i="128"/>
  <c r="O9" i="130"/>
  <c r="AE36" i="128"/>
  <c r="BA30" i="127"/>
  <c r="AJ27" i="118"/>
  <c r="W10" i="118"/>
  <c r="AB43" i="126"/>
  <c r="W39" i="127"/>
  <c r="BA34" i="126"/>
  <c r="AN34" i="129"/>
  <c r="AU13" i="124"/>
  <c r="AK40" i="127"/>
  <c r="Y34" i="126"/>
  <c r="AO33" i="125"/>
  <c r="U37" i="118"/>
  <c r="W52" i="129"/>
  <c r="U36" i="119"/>
  <c r="BC54" i="117"/>
  <c r="L20" i="119"/>
  <c r="BE17" i="121"/>
  <c r="AR54" i="123"/>
  <c r="AO48" i="119"/>
  <c r="AN22" i="122"/>
  <c r="AM52" i="119"/>
  <c r="J36" i="130"/>
  <c r="N39" i="118"/>
  <c r="AS13" i="118"/>
  <c r="AG49" i="120"/>
  <c r="AR20" i="124"/>
  <c r="AE39" i="123"/>
  <c r="BC37" i="122"/>
  <c r="V44" i="122"/>
  <c r="T37" i="119"/>
  <c r="X29" i="123"/>
  <c r="T25" i="122"/>
  <c r="AQ26" i="122"/>
  <c r="T26" i="118"/>
  <c r="BE35" i="123"/>
  <c r="AK13" i="122"/>
  <c r="I15" i="122"/>
  <c r="AI29" i="119"/>
  <c r="K51" i="121"/>
  <c r="AU42" i="118"/>
  <c r="AW58" i="123"/>
  <c r="AC18" i="119"/>
  <c r="I50" i="118"/>
  <c r="AO27" i="120"/>
  <c r="AO58" i="117"/>
  <c r="AY22" i="121"/>
  <c r="O45" i="122"/>
  <c r="AI30" i="118"/>
  <c r="M24" i="122"/>
  <c r="AP11" i="119"/>
  <c r="M49" i="122"/>
  <c r="AQ39" i="118"/>
  <c r="AW13" i="118"/>
  <c r="W45" i="119"/>
  <c r="H24" i="124"/>
  <c r="AU41" i="123"/>
  <c r="S49" i="122"/>
  <c r="AP50" i="122"/>
  <c r="Z9" i="118"/>
  <c r="AR13" i="123"/>
  <c r="Q8" i="122"/>
  <c r="AG9" i="122"/>
  <c r="AC21" i="118"/>
  <c r="AF47" i="123"/>
  <c r="AD9" i="122"/>
  <c r="AY10" i="122"/>
  <c r="AM24" i="118"/>
  <c r="AZ39" i="121"/>
  <c r="AG35" i="118"/>
  <c r="J56" i="122"/>
  <c r="AD55" i="119"/>
  <c r="AG42" i="118"/>
  <c r="AE16" i="119"/>
  <c r="AD26" i="117"/>
  <c r="K52" i="121"/>
  <c r="AC10" i="122"/>
  <c r="U36" i="117"/>
  <c r="AD36" i="122"/>
  <c r="BD20" i="119"/>
  <c r="AB15" i="117"/>
  <c r="BB42" i="118"/>
  <c r="AK15" i="118"/>
  <c r="AL44" i="119"/>
  <c r="AG30" i="124"/>
  <c r="BA36" i="129"/>
  <c r="AZ40" i="121"/>
  <c r="AI40" i="121"/>
  <c r="M22" i="122"/>
  <c r="AB44" i="131"/>
  <c r="V41" i="122"/>
  <c r="AQ42" i="122"/>
  <c r="BB40" i="130"/>
  <c r="AN51" i="129"/>
  <c r="O40" i="121"/>
  <c r="AL8" i="121"/>
  <c r="AJ27" i="117"/>
  <c r="I56" i="120"/>
  <c r="BB50" i="118"/>
  <c r="BA10" i="117"/>
  <c r="X26" i="117"/>
  <c r="AZ21" i="121"/>
  <c r="AE56" i="123"/>
  <c r="BD46" i="119"/>
  <c r="W48" i="118"/>
  <c r="AR25" i="121"/>
  <c r="AK36" i="121"/>
  <c r="AP13" i="119"/>
  <c r="Y55" i="123"/>
  <c r="M8" i="117"/>
  <c r="AT16" i="117"/>
  <c r="N25" i="117"/>
  <c r="T26" i="123"/>
  <c r="BD22" i="121"/>
  <c r="BE16" i="121"/>
  <c r="T18" i="121"/>
  <c r="AV50" i="117"/>
  <c r="BA22" i="122"/>
  <c r="AT29" i="121"/>
  <c r="M31" i="121"/>
  <c r="AQ22" i="124"/>
  <c r="AE26" i="121"/>
  <c r="AL29" i="121"/>
  <c r="BA30" i="121"/>
  <c r="AZ30" i="122"/>
  <c r="AG17" i="119"/>
  <c r="AY17" i="117"/>
  <c r="AR48" i="122"/>
  <c r="AW18" i="121"/>
  <c r="O50" i="117"/>
  <c r="AK56" i="118"/>
  <c r="L45" i="121"/>
  <c r="T17" i="117"/>
  <c r="BB30" i="124"/>
  <c r="AD38" i="120"/>
  <c r="AH57" i="120"/>
  <c r="AQ23" i="124"/>
  <c r="BC39" i="117"/>
  <c r="AE17" i="117"/>
  <c r="AQ20" i="129"/>
  <c r="AZ47" i="123"/>
  <c r="AI50" i="123"/>
  <c r="BB43" i="126"/>
  <c r="AI41" i="123"/>
  <c r="Q21" i="123"/>
  <c r="AF49" i="123"/>
  <c r="AZ44" i="121"/>
  <c r="L8" i="118"/>
  <c r="AB14" i="118"/>
  <c r="P16" i="122"/>
  <c r="Y47" i="121"/>
  <c r="BB14" i="118"/>
  <c r="AV22" i="118"/>
  <c r="G22" i="125"/>
  <c r="U40" i="126"/>
  <c r="AO49" i="121"/>
  <c r="J51" i="121"/>
  <c r="BA52" i="127"/>
  <c r="AL21" i="127"/>
  <c r="AQ51" i="121"/>
  <c r="BE52" i="121"/>
  <c r="BE11" i="128"/>
  <c r="AO23" i="128"/>
  <c r="AB37" i="121"/>
  <c r="AY38" i="121"/>
  <c r="AE57" i="128"/>
  <c r="AC32" i="125"/>
  <c r="AG49" i="130"/>
  <c r="BC50" i="117"/>
  <c r="AR16" i="123"/>
  <c r="AH26" i="123"/>
  <c r="S52" i="131"/>
  <c r="BB43" i="122"/>
  <c r="BA17" i="129"/>
  <c r="AQ50" i="124"/>
  <c r="AS49" i="122"/>
  <c r="AQ56" i="122"/>
  <c r="AF27" i="126"/>
  <c r="X18" i="119"/>
  <c r="AB9" i="117"/>
  <c r="AO15" i="117"/>
  <c r="BD18" i="125"/>
  <c r="AS24" i="119"/>
  <c r="AE45" i="117"/>
  <c r="Q52" i="117"/>
  <c r="N39" i="117"/>
  <c r="AV55" i="123"/>
  <c r="AQ27" i="122"/>
  <c r="J30" i="122"/>
  <c r="BE16" i="118"/>
  <c r="J41" i="123"/>
  <c r="W37" i="122"/>
  <c r="AT38" i="122"/>
  <c r="L46" i="119"/>
  <c r="BD12" i="123"/>
  <c r="Q33" i="122"/>
  <c r="AJ8" i="122"/>
  <c r="AB40" i="118"/>
  <c r="AH52" i="125"/>
  <c r="AN10" i="129"/>
  <c r="BC41" i="129"/>
  <c r="L21" i="123"/>
  <c r="X10" i="128"/>
  <c r="BE36" i="126"/>
  <c r="AG48" i="124"/>
  <c r="U51" i="124"/>
  <c r="Z45" i="126"/>
  <c r="AG9" i="124"/>
  <c r="Y16" i="124"/>
  <c r="AI53" i="127"/>
  <c r="S47" i="121"/>
  <c r="N34" i="119"/>
  <c r="BC41" i="119"/>
  <c r="AX48" i="127"/>
  <c r="AP52" i="121"/>
  <c r="AM43" i="118"/>
  <c r="J40" i="118"/>
  <c r="AI33" i="117"/>
  <c r="O43" i="122"/>
  <c r="Y34" i="122"/>
  <c r="Q36" i="122"/>
  <c r="G57" i="118"/>
  <c r="O54" i="123"/>
  <c r="N34" i="122"/>
  <c r="AF35" i="122"/>
  <c r="AS17" i="118"/>
  <c r="AW23" i="123"/>
  <c r="AX43" i="122"/>
  <c r="Q45" i="122"/>
  <c r="L18" i="118"/>
  <c r="K47" i="129"/>
  <c r="T44" i="130"/>
  <c r="K49" i="125"/>
  <c r="AZ31" i="121"/>
  <c r="AV11" i="123"/>
  <c r="AB24" i="130"/>
  <c r="AD45" i="123"/>
  <c r="V48" i="123"/>
  <c r="AV54" i="126"/>
  <c r="AG46" i="123"/>
  <c r="AK11" i="123"/>
  <c r="H52" i="123"/>
  <c r="Z49" i="121"/>
  <c r="H8" i="118"/>
  <c r="X14" i="118"/>
  <c r="N50" i="123"/>
  <c r="AK50" i="121"/>
  <c r="P13" i="118"/>
  <c r="AH20" i="118"/>
  <c r="K22" i="127"/>
  <c r="AQ15" i="127"/>
  <c r="H46" i="121"/>
  <c r="AD47" i="121"/>
  <c r="W46" i="129"/>
  <c r="AY22" i="128"/>
  <c r="BE31" i="121"/>
  <c r="X33" i="121"/>
  <c r="AN55" i="125"/>
  <c r="AC9" i="129"/>
  <c r="AM16" i="121"/>
  <c r="BA40" i="121"/>
  <c r="AF52" i="124"/>
  <c r="BB21" i="132"/>
  <c r="AO46" i="131"/>
  <c r="AC10" i="121"/>
  <c r="AB49" i="119"/>
  <c r="AP15" i="118"/>
  <c r="AZ46" i="120"/>
  <c r="AJ47" i="123"/>
  <c r="AH15" i="131"/>
  <c r="AR36" i="125"/>
  <c r="H53" i="123"/>
  <c r="AZ52" i="123"/>
  <c r="AP37" i="119"/>
  <c r="AS21" i="120"/>
  <c r="AP57" i="118"/>
  <c r="M38" i="118"/>
  <c r="BD35" i="119"/>
  <c r="AE37" i="120"/>
  <c r="M56" i="118"/>
  <c r="AM11" i="117"/>
  <c r="BB41" i="123"/>
  <c r="G57" i="120"/>
  <c r="Q42" i="121"/>
  <c r="S57" i="121"/>
  <c r="AZ52" i="124"/>
  <c r="AI23" i="120"/>
  <c r="J52" i="121"/>
  <c r="AF53" i="121"/>
  <c r="Q39" i="124"/>
  <c r="O34" i="121"/>
  <c r="BE11" i="121"/>
  <c r="T13" i="121"/>
  <c r="U39" i="124"/>
  <c r="AU30" i="125"/>
  <c r="T46" i="128"/>
  <c r="AF29" i="121"/>
  <c r="Q41" i="127"/>
  <c r="AU16" i="121"/>
  <c r="BE41" i="129"/>
  <c r="AY57" i="121"/>
  <c r="AP13" i="131"/>
  <c r="AI11" i="124"/>
  <c r="BD8" i="121"/>
  <c r="AZ15" i="121"/>
  <c r="AK58" i="122"/>
  <c r="V12" i="119"/>
  <c r="AI50" i="124"/>
  <c r="BD13" i="124"/>
  <c r="AI39" i="122"/>
  <c r="Q25" i="119"/>
  <c r="AS38" i="124"/>
  <c r="AE38" i="124"/>
  <c r="BA12" i="123"/>
  <c r="W29" i="130"/>
  <c r="AM53" i="121"/>
  <c r="AM36" i="121"/>
  <c r="AN55" i="123"/>
  <c r="AG37" i="131"/>
  <c r="AU16" i="122"/>
  <c r="AU18" i="122"/>
  <c r="AK44" i="123"/>
  <c r="AY33" i="126"/>
  <c r="V16" i="122"/>
  <c r="N18" i="122"/>
  <c r="AU37" i="123"/>
  <c r="AZ36" i="125"/>
  <c r="T52" i="125"/>
  <c r="P14" i="125"/>
  <c r="AN38" i="121"/>
  <c r="G27" i="124"/>
  <c r="AJ10" i="125"/>
  <c r="AT46" i="123"/>
  <c r="AC49" i="123"/>
  <c r="AW48" i="126"/>
  <c r="L44" i="123"/>
  <c r="J51" i="123"/>
  <c r="AT9" i="124"/>
  <c r="AR39" i="121"/>
  <c r="O51" i="118"/>
  <c r="BE13" i="118"/>
  <c r="Y15" i="123"/>
  <c r="AU54" i="121"/>
  <c r="H13" i="118"/>
  <c r="AD20" i="118"/>
  <c r="AO17" i="129"/>
  <c r="AD18" i="128"/>
  <c r="AH25" i="121"/>
  <c r="AW26" i="121"/>
  <c r="S15" i="125"/>
  <c r="V40" i="129"/>
  <c r="AM35" i="121"/>
  <c r="AM17" i="121"/>
  <c r="BC40" i="122"/>
  <c r="AS47" i="131"/>
  <c r="Z25" i="122"/>
  <c r="J27" i="122"/>
  <c r="AI10" i="122"/>
  <c r="AU11" i="121"/>
  <c r="AJ49" i="131"/>
  <c r="AY12" i="121"/>
  <c r="L57" i="119"/>
  <c r="P42" i="119"/>
  <c r="AJ16" i="120"/>
  <c r="AU39" i="123"/>
  <c r="AB43" i="123"/>
  <c r="AN10" i="125"/>
  <c r="V46" i="123"/>
  <c r="BC52" i="123"/>
  <c r="V32" i="120"/>
  <c r="X21" i="120"/>
  <c r="AT38" i="118"/>
  <c r="AI46" i="118"/>
  <c r="AR38" i="119"/>
  <c r="H27" i="120"/>
  <c r="AT36" i="118"/>
  <c r="AN44" i="118"/>
  <c r="T57" i="124"/>
  <c r="Q14" i="120"/>
  <c r="AY46" i="121"/>
  <c r="L48" i="121"/>
  <c r="L44" i="124"/>
  <c r="G34" i="121"/>
  <c r="AZ57" i="121"/>
  <c r="P8" i="121"/>
  <c r="BA42" i="117"/>
  <c r="U9" i="122"/>
  <c r="AZ16" i="121"/>
  <c r="O18" i="121"/>
  <c r="AD20" i="117"/>
  <c r="BD41" i="125"/>
  <c r="S42" i="128"/>
  <c r="AK15" i="117"/>
  <c r="AL38" i="117"/>
  <c r="BE32" i="124"/>
  <c r="T44" i="117"/>
  <c r="H16" i="122"/>
  <c r="BB25" i="126"/>
  <c r="V43" i="125"/>
  <c r="AO50" i="122"/>
  <c r="T57" i="122"/>
  <c r="AF45" i="131"/>
  <c r="S25" i="120"/>
  <c r="V14" i="117"/>
  <c r="X22" i="117"/>
  <c r="AT22" i="130"/>
  <c r="M31" i="120"/>
  <c r="AD21" i="117"/>
  <c r="AF29" i="117"/>
  <c r="AK32" i="120"/>
  <c r="BB51" i="124"/>
  <c r="O40" i="120"/>
  <c r="AG8" i="120"/>
  <c r="K23" i="120"/>
  <c r="H36" i="124"/>
  <c r="AN52" i="121"/>
  <c r="BB53" i="121"/>
  <c r="AV26" i="121"/>
  <c r="O30" i="124"/>
  <c r="AC45" i="121"/>
  <c r="AZ46" i="121"/>
  <c r="AO36" i="121"/>
  <c r="W14" i="130"/>
  <c r="AY36" i="124"/>
  <c r="AK25" i="118"/>
  <c r="AC52" i="120"/>
  <c r="BA16" i="120"/>
  <c r="AM42" i="127"/>
  <c r="T55" i="121"/>
  <c r="AZ48" i="131"/>
  <c r="AE37" i="123"/>
  <c r="AO8" i="121"/>
  <c r="BE14" i="121"/>
  <c r="BB45" i="120"/>
  <c r="AL36" i="118"/>
  <c r="AN35" i="124"/>
  <c r="Y43" i="124"/>
  <c r="I33" i="120"/>
  <c r="AY45" i="118"/>
  <c r="AO55" i="124"/>
  <c r="U11" i="124"/>
  <c r="Y29" i="122"/>
  <c r="AD52" i="122"/>
  <c r="S13" i="119"/>
  <c r="AN15" i="119"/>
  <c r="AJ26" i="123"/>
  <c r="AB38" i="123"/>
  <c r="AG22" i="119"/>
  <c r="BD24" i="119"/>
  <c r="L41" i="124"/>
  <c r="Q48" i="124"/>
  <c r="AV21" i="119"/>
  <c r="AR23" i="119"/>
  <c r="BB57" i="124"/>
  <c r="AF20" i="121"/>
  <c r="L58" i="127"/>
  <c r="T51" i="119"/>
  <c r="AB56" i="123"/>
  <c r="S37" i="121"/>
  <c r="AG30" i="128"/>
  <c r="O57" i="121"/>
  <c r="M42" i="126"/>
  <c r="M42" i="124"/>
  <c r="L50" i="121"/>
  <c r="AS56" i="121"/>
  <c r="AP11" i="120"/>
  <c r="BC55" i="119"/>
  <c r="AJ8" i="124"/>
  <c r="AW36" i="124"/>
  <c r="T30" i="120"/>
  <c r="P20" i="118"/>
  <c r="M32" i="124"/>
  <c r="BB38" i="124"/>
  <c r="AM30" i="121"/>
  <c r="BD9" i="121"/>
  <c r="AN14" i="119"/>
  <c r="G17" i="119"/>
  <c r="O47" i="122"/>
  <c r="Y36" i="122"/>
  <c r="AZ23" i="119"/>
  <c r="U26" i="119"/>
  <c r="Y17" i="123"/>
  <c r="V39" i="123"/>
  <c r="U33" i="119"/>
  <c r="AP35" i="119"/>
  <c r="S10" i="123"/>
  <c r="AF36" i="128"/>
  <c r="AF14" i="127"/>
  <c r="Q52" i="123"/>
  <c r="G51" i="124"/>
  <c r="AP52" i="119"/>
  <c r="AK34" i="127"/>
  <c r="BB51" i="121"/>
  <c r="V42" i="129"/>
  <c r="AN10" i="123"/>
  <c r="AK10" i="120"/>
  <c r="Y17" i="120"/>
  <c r="Z10" i="118"/>
  <c r="M31" i="118"/>
  <c r="AG48" i="123"/>
  <c r="AL11" i="123"/>
  <c r="K9" i="118"/>
  <c r="L45" i="118"/>
  <c r="AD36" i="123"/>
  <c r="X44" i="123"/>
  <c r="BE8" i="124"/>
  <c r="BA17" i="124"/>
  <c r="AU17" i="119"/>
  <c r="P20" i="119"/>
  <c r="BD42" i="124"/>
  <c r="AV11" i="124"/>
  <c r="AT27" i="119"/>
  <c r="M30" i="119"/>
  <c r="AH54" i="117"/>
  <c r="X33" i="124"/>
  <c r="AD27" i="119"/>
  <c r="AW29" i="119"/>
  <c r="P39" i="124"/>
  <c r="AF45" i="125"/>
  <c r="M25" i="123"/>
  <c r="BE22" i="119"/>
  <c r="AC49" i="122"/>
  <c r="Q20" i="118"/>
  <c r="J17" i="125"/>
  <c r="BE32" i="120"/>
  <c r="T50" i="125"/>
  <c r="L55" i="123"/>
  <c r="Y42" i="120"/>
  <c r="AW38" i="120"/>
  <c r="BB51" i="118"/>
  <c r="O53" i="118"/>
  <c r="BE25" i="123"/>
  <c r="AU33" i="123"/>
  <c r="AL58" i="118"/>
  <c r="AD40" i="117"/>
  <c r="N33" i="123"/>
  <c r="H41" i="123"/>
  <c r="AM46" i="122"/>
  <c r="AC55" i="122"/>
  <c r="AH45" i="118"/>
  <c r="BA46" i="118"/>
  <c r="AK58" i="123"/>
  <c r="H48" i="122"/>
  <c r="AI10" i="118"/>
  <c r="AZ11" i="118"/>
  <c r="K57" i="123"/>
  <c r="BD42" i="122"/>
  <c r="N16" i="118"/>
  <c r="AL17" i="118"/>
  <c r="Z46" i="123"/>
  <c r="Y36" i="127"/>
  <c r="K24" i="126"/>
  <c r="AE36" i="117"/>
  <c r="AW36" i="117"/>
  <c r="AG39" i="122"/>
  <c r="AP12" i="122"/>
  <c r="P26" i="119"/>
  <c r="I57" i="128"/>
  <c r="AV41" i="121"/>
  <c r="I32" i="119"/>
  <c r="AX38" i="119"/>
  <c r="AN31" i="125"/>
  <c r="M38" i="128"/>
  <c r="Q56" i="128"/>
  <c r="T54" i="128"/>
  <c r="H46" i="125"/>
  <c r="AP27" i="128"/>
  <c r="N24" i="128"/>
  <c r="H31" i="128"/>
  <c r="AS35" i="122"/>
  <c r="AS34" i="120"/>
  <c r="T41" i="120"/>
  <c r="G58" i="120"/>
  <c r="AO35" i="122"/>
  <c r="AW10" i="120"/>
  <c r="AW15" i="120"/>
  <c r="AJ50" i="120"/>
  <c r="AJ35" i="122"/>
  <c r="AI9" i="120"/>
  <c r="AY9" i="120"/>
  <c r="H25" i="120"/>
  <c r="AU42" i="122"/>
  <c r="AF35" i="126"/>
  <c r="G55" i="126"/>
  <c r="AR36" i="117"/>
  <c r="AV45" i="117"/>
  <c r="AB24" i="122"/>
  <c r="N47" i="122"/>
  <c r="W33" i="119"/>
  <c r="AB27" i="127"/>
  <c r="AZ41" i="121"/>
  <c r="AQ27" i="119"/>
  <c r="AF35" i="119"/>
  <c r="J34" i="125"/>
  <c r="AD34" i="128"/>
  <c r="AX47" i="128"/>
  <c r="AV58" i="128"/>
  <c r="O58" i="125"/>
  <c r="AZ12" i="127"/>
  <c r="BE11" i="127"/>
  <c r="X23" i="127"/>
  <c r="AP31" i="121"/>
  <c r="I49" i="118"/>
  <c r="AO10" i="118"/>
  <c r="AB45" i="118"/>
  <c r="M37" i="121"/>
  <c r="BB35" i="118"/>
  <c r="AL43" i="118"/>
  <c r="AL20" i="118"/>
  <c r="AE43" i="121"/>
  <c r="AY10" i="118"/>
  <c r="AY16" i="118"/>
  <c r="AU45" i="118"/>
  <c r="AZ48" i="121"/>
  <c r="AY26" i="122"/>
  <c r="T41" i="122"/>
  <c r="AD58" i="123"/>
  <c r="AN17" i="122"/>
  <c r="AB17" i="126"/>
  <c r="L10" i="120"/>
  <c r="O47" i="118"/>
  <c r="AG9" i="123"/>
  <c r="BE43" i="121"/>
  <c r="U46" i="118"/>
  <c r="X9" i="118"/>
  <c r="AS56" i="131"/>
  <c r="AZ58" i="126"/>
  <c r="AP30" i="126"/>
  <c r="AG42" i="126"/>
  <c r="T38" i="131"/>
  <c r="Z17" i="125"/>
  <c r="AV12" i="125"/>
  <c r="AR24" i="125"/>
  <c r="AX27" i="121"/>
  <c r="AW30" i="124"/>
  <c r="X36" i="124"/>
  <c r="BC58" i="124"/>
  <c r="Z39" i="121"/>
  <c r="G24" i="124"/>
  <c r="AI30" i="124"/>
  <c r="Q44" i="124"/>
  <c r="BD35" i="121"/>
  <c r="N48" i="124"/>
  <c r="AQ53" i="124"/>
  <c r="AU45" i="124"/>
  <c r="AV56" i="121"/>
  <c r="W32" i="118"/>
  <c r="AU35" i="129"/>
  <c r="AB13" i="125"/>
  <c r="AY42" i="124"/>
  <c r="L8" i="121"/>
  <c r="AE49" i="119"/>
  <c r="AP34" i="118"/>
  <c r="S36" i="119"/>
  <c r="AF15" i="120"/>
  <c r="S52" i="118"/>
  <c r="AG32" i="118"/>
  <c r="AD58" i="130"/>
  <c r="P42" i="124"/>
  <c r="BB17" i="124"/>
  <c r="AX30" i="124"/>
  <c r="AU50" i="130"/>
  <c r="AR29" i="123"/>
  <c r="AE22" i="123"/>
  <c r="Q34" i="123"/>
  <c r="BA51" i="120"/>
  <c r="AS16" i="122"/>
  <c r="L23" i="122"/>
  <c r="L36" i="122"/>
  <c r="H12" i="120"/>
  <c r="BE23" i="122"/>
  <c r="BB39" i="122"/>
  <c r="AF27" i="122"/>
  <c r="AO16" i="120"/>
  <c r="AV45" i="122"/>
  <c r="K51" i="122"/>
  <c r="G43" i="122"/>
  <c r="H23" i="120"/>
  <c r="AX58" i="124"/>
  <c r="BA12" i="124"/>
  <c r="AX44" i="124"/>
  <c r="BE10" i="121"/>
  <c r="AD51" i="124"/>
  <c r="J57" i="124"/>
  <c r="BD41" i="124"/>
  <c r="AK10" i="121"/>
  <c r="H8" i="124"/>
  <c r="H13" i="124"/>
  <c r="O45" i="124"/>
  <c r="AZ54" i="127"/>
  <c r="K21" i="122"/>
  <c r="BE35" i="121"/>
  <c r="N8" i="124"/>
  <c r="L23" i="118"/>
  <c r="AQ34" i="118"/>
  <c r="AM46" i="120"/>
  <c r="AK31" i="121"/>
  <c r="O12" i="118"/>
  <c r="AN17" i="118"/>
  <c r="W42" i="118"/>
  <c r="I37" i="121"/>
  <c r="V18" i="118"/>
  <c r="AU24" i="118"/>
  <c r="J30" i="118"/>
  <c r="Z47" i="121"/>
  <c r="AT34" i="119"/>
  <c r="Q41" i="119"/>
  <c r="AY24" i="119"/>
  <c r="BA52" i="121"/>
  <c r="AU53" i="123"/>
  <c r="AM47" i="122"/>
  <c r="AL15" i="123"/>
  <c r="AF11" i="123"/>
  <c r="J55" i="126"/>
  <c r="AM12" i="120"/>
  <c r="AC46" i="118"/>
  <c r="Y47" i="124"/>
  <c r="Q34" i="121"/>
  <c r="AZ45" i="118"/>
  <c r="BA8" i="118"/>
  <c r="Z48" i="131"/>
  <c r="O57" i="126"/>
  <c r="W41" i="126"/>
  <c r="Q52" i="126"/>
  <c r="AS52" i="131"/>
  <c r="AB20" i="126"/>
  <c r="AG53" i="126"/>
  <c r="AS47" i="126"/>
  <c r="BC33" i="121"/>
  <c r="AE47" i="124"/>
  <c r="AT52" i="124"/>
  <c r="AE42" i="124"/>
  <c r="AG30" i="121"/>
  <c r="J17" i="124"/>
  <c r="AH25" i="124"/>
  <c r="AQ13" i="124"/>
  <c r="BE41" i="121"/>
  <c r="AZ57" i="117"/>
  <c r="BA11" i="117"/>
  <c r="AU46" i="117"/>
  <c r="X47" i="121"/>
  <c r="AP51" i="119"/>
  <c r="AF29" i="125"/>
  <c r="AK53" i="126"/>
  <c r="AT45" i="125"/>
  <c r="Q41" i="121"/>
  <c r="X8" i="119"/>
  <c r="Y43" i="118"/>
  <c r="P33" i="120"/>
  <c r="L15" i="120"/>
  <c r="S33" i="118"/>
  <c r="M41" i="118"/>
  <c r="AD17" i="130"/>
  <c r="T34" i="124"/>
  <c r="AO51" i="124"/>
  <c r="Y11" i="124"/>
  <c r="H58" i="130"/>
  <c r="AG12" i="124"/>
  <c r="AP42" i="124"/>
  <c r="AP53" i="124"/>
  <c r="Y22" i="120"/>
  <c r="X16" i="122"/>
  <c r="AO17" i="122"/>
  <c r="M54" i="122"/>
  <c r="AO11" i="120"/>
  <c r="Y31" i="122"/>
  <c r="AZ36" i="122"/>
  <c r="AJ10" i="122"/>
  <c r="AO15" i="120"/>
  <c r="AJ57" i="123"/>
  <c r="X43" i="123"/>
  <c r="AM41" i="122"/>
  <c r="BA21" i="120"/>
  <c r="AY40" i="125"/>
  <c r="K50" i="130"/>
  <c r="AJ8" i="118"/>
  <c r="AX15" i="117"/>
  <c r="X15" i="117"/>
  <c r="AZ29" i="118"/>
  <c r="U57" i="117"/>
  <c r="U45" i="131"/>
  <c r="AW54" i="120"/>
  <c r="AG53" i="117"/>
  <c r="AU15" i="117"/>
  <c r="AC36" i="129"/>
  <c r="BE20" i="122"/>
  <c r="G51" i="122"/>
  <c r="AG16" i="122"/>
  <c r="AR36" i="129"/>
  <c r="G58" i="122"/>
  <c r="N45" i="122"/>
  <c r="Z56" i="122"/>
  <c r="K56" i="120"/>
  <c r="Z16" i="122"/>
  <c r="V18" i="122"/>
  <c r="H35" i="122"/>
  <c r="N51" i="120"/>
  <c r="N50" i="122"/>
  <c r="AL51" i="122"/>
  <c r="AQ15" i="122"/>
  <c r="BD44" i="120"/>
  <c r="V34" i="122"/>
  <c r="AW37" i="122"/>
  <c r="J50" i="122"/>
  <c r="AC50" i="120"/>
  <c r="AJ15" i="122"/>
  <c r="AW21" i="122"/>
  <c r="L14" i="122"/>
  <c r="P27" i="120"/>
  <c r="AM22" i="122"/>
  <c r="BE40" i="122"/>
  <c r="AE25" i="122"/>
  <c r="AK17" i="120"/>
  <c r="N20" i="122"/>
  <c r="AR11" i="122"/>
  <c r="AC58" i="122"/>
  <c r="AB11" i="124"/>
  <c r="AM18" i="121"/>
  <c r="BC45" i="118"/>
  <c r="L27" i="122"/>
  <c r="M54" i="118"/>
  <c r="BA41" i="118"/>
  <c r="BC32" i="119"/>
  <c r="M24" i="121"/>
  <c r="AL45" i="124"/>
  <c r="V51" i="124"/>
  <c r="N42" i="124"/>
  <c r="AL35" i="121"/>
  <c r="BE50" i="117"/>
  <c r="T56" i="117"/>
  <c r="T23" i="117"/>
  <c r="AZ35" i="121"/>
  <c r="AV8" i="117"/>
  <c r="O14" i="117"/>
  <c r="BB49" i="117"/>
  <c r="U42" i="121"/>
  <c r="BE50" i="119"/>
  <c r="K39" i="125"/>
  <c r="AF42" i="127"/>
  <c r="H44" i="126"/>
  <c r="AL48" i="121"/>
  <c r="T8" i="119"/>
  <c r="AX50" i="118"/>
  <c r="J23" i="120"/>
  <c r="L14" i="120"/>
  <c r="I42" i="118"/>
  <c r="AX48" i="118"/>
  <c r="AI42" i="130"/>
  <c r="AV50" i="124"/>
  <c r="BB33" i="124"/>
  <c r="AZ45" i="124"/>
  <c r="AD34" i="130"/>
  <c r="AD46" i="124"/>
  <c r="U23" i="124"/>
  <c r="K35" i="124"/>
  <c r="Q22" i="120"/>
  <c r="AI43" i="122"/>
  <c r="G13" i="122"/>
  <c r="K27" i="122"/>
  <c r="AO10" i="120"/>
  <c r="AI54" i="123"/>
  <c r="N53" i="123"/>
  <c r="X50" i="123"/>
  <c r="BE14" i="120"/>
  <c r="L24" i="123"/>
  <c r="AB30" i="123"/>
  <c r="BA17" i="123"/>
  <c r="L21" i="120"/>
  <c r="W51" i="128"/>
  <c r="AZ20" i="126"/>
  <c r="P35" i="119"/>
  <c r="X30" i="118"/>
  <c r="AU58" i="117"/>
  <c r="M30" i="118"/>
  <c r="AG55" i="117"/>
  <c r="AR55" i="125"/>
  <c r="M48" i="126"/>
  <c r="AT33" i="123"/>
  <c r="AE36" i="123"/>
  <c r="AV41" i="125"/>
  <c r="AT21" i="126"/>
  <c r="AI48" i="123"/>
  <c r="AX49" i="123"/>
  <c r="H47" i="127"/>
  <c r="T34" i="127"/>
  <c r="AU51" i="123"/>
  <c r="AV8" i="123"/>
  <c r="AE9" i="126"/>
  <c r="P42" i="130"/>
  <c r="AO41" i="125"/>
  <c r="I12" i="118"/>
  <c r="H17" i="119"/>
  <c r="AF21" i="118"/>
  <c r="H33" i="126"/>
  <c r="Y27" i="117"/>
  <c r="V15" i="124"/>
  <c r="BB30" i="127"/>
  <c r="G14" i="124"/>
  <c r="AV21" i="124"/>
  <c r="BB15" i="130"/>
  <c r="K29" i="122"/>
  <c r="M33" i="119"/>
  <c r="Y44" i="119"/>
  <c r="AW39" i="126"/>
  <c r="BB36" i="122"/>
  <c r="AQ39" i="119"/>
  <c r="X47" i="119"/>
  <c r="AL55" i="123"/>
  <c r="I43" i="118"/>
  <c r="BB53" i="123"/>
  <c r="AJ52" i="123"/>
  <c r="AW29" i="123"/>
  <c r="Z24" i="118"/>
  <c r="H55" i="123"/>
  <c r="T56" i="123"/>
  <c r="M16" i="123"/>
  <c r="O24" i="119"/>
  <c r="AJ53" i="123"/>
  <c r="BC54" i="123"/>
  <c r="M41" i="123"/>
  <c r="J8" i="121"/>
  <c r="AB42" i="129"/>
  <c r="AD50" i="125"/>
  <c r="AZ39" i="123"/>
  <c r="L39" i="125"/>
  <c r="BA10" i="130"/>
  <c r="M37" i="124"/>
  <c r="P47" i="124"/>
  <c r="BB22" i="126"/>
  <c r="O37" i="124"/>
  <c r="I45" i="124"/>
  <c r="H17" i="128"/>
  <c r="AL47" i="121"/>
  <c r="AP34" i="119"/>
  <c r="AC42" i="119"/>
  <c r="H55" i="128"/>
  <c r="AU56" i="121"/>
  <c r="AU36" i="119"/>
  <c r="AO44" i="119"/>
  <c r="Z43" i="119"/>
  <c r="S11" i="123"/>
  <c r="AW48" i="122"/>
  <c r="P50" i="122"/>
  <c r="N46" i="119"/>
  <c r="BC50" i="123"/>
  <c r="AF53" i="122"/>
  <c r="AY54" i="122"/>
  <c r="AR34" i="119"/>
  <c r="Q12" i="123"/>
  <c r="BA57" i="122"/>
  <c r="G12" i="122"/>
  <c r="O47" i="119"/>
  <c r="AC35" i="125"/>
  <c r="AI34" i="127"/>
  <c r="AP27" i="126"/>
  <c r="AU10" i="121"/>
  <c r="W27" i="125"/>
  <c r="AF38" i="119"/>
  <c r="N17" i="123"/>
  <c r="BA20" i="123"/>
  <c r="AI53" i="126"/>
  <c r="AL42" i="123"/>
  <c r="AJ49" i="123"/>
  <c r="AQ38" i="125"/>
  <c r="AN39" i="121"/>
  <c r="AZ14" i="118"/>
  <c r="AP22" i="118"/>
  <c r="AF8" i="124"/>
  <c r="BE50" i="121"/>
  <c r="BE11" i="118"/>
  <c r="T18" i="118"/>
  <c r="X53" i="123"/>
  <c r="J40" i="124"/>
  <c r="AQ57" i="122"/>
  <c r="AU10" i="122"/>
  <c r="AZ43" i="123"/>
  <c r="I40" i="126"/>
  <c r="AL57" i="122"/>
  <c r="BA58" i="122"/>
  <c r="AU11" i="123"/>
  <c r="AU13" i="121"/>
  <c r="AH57" i="122"/>
  <c r="AW58" i="122"/>
  <c r="J16" i="123"/>
  <c r="U11" i="123"/>
  <c r="AE57" i="122"/>
  <c r="AW10" i="122"/>
  <c r="O48" i="119"/>
  <c r="M38" i="123"/>
  <c r="X24" i="122"/>
  <c r="BA25" i="122"/>
  <c r="K44" i="119"/>
  <c r="K8" i="123"/>
  <c r="AU31" i="122"/>
  <c r="J33" i="122"/>
  <c r="AP23" i="119"/>
  <c r="BD50" i="121"/>
  <c r="X33" i="118"/>
  <c r="AG13" i="119"/>
  <c r="J57" i="118"/>
  <c r="AE53" i="121"/>
  <c r="J8" i="117"/>
  <c r="AB14" i="119"/>
  <c r="AF27" i="119"/>
  <c r="AD15" i="117"/>
  <c r="V31" i="118"/>
  <c r="Z32" i="119"/>
  <c r="AH10" i="119"/>
  <c r="AZ34" i="123"/>
  <c r="P35" i="127"/>
  <c r="AQ46" i="118"/>
  <c r="AQ53" i="118"/>
  <c r="J48" i="123"/>
  <c r="AX26" i="123"/>
  <c r="BB10" i="123"/>
  <c r="AY18" i="123"/>
  <c r="BC30" i="118"/>
  <c r="AM30" i="117"/>
  <c r="AW13" i="121"/>
  <c r="AP41" i="121"/>
  <c r="AD15" i="123"/>
  <c r="G11" i="122"/>
  <c r="AY45" i="121"/>
  <c r="BE25" i="124"/>
  <c r="K15" i="118"/>
  <c r="AW26" i="118"/>
  <c r="Q21" i="120"/>
  <c r="N22" i="124"/>
  <c r="N46" i="120"/>
  <c r="S23" i="124"/>
  <c r="AR42" i="121"/>
  <c r="AZ24" i="123"/>
  <c r="AR12" i="120"/>
  <c r="G14" i="120"/>
  <c r="N45" i="119"/>
  <c r="G35" i="123"/>
  <c r="W17" i="120"/>
  <c r="AR18" i="120"/>
  <c r="N34" i="118"/>
  <c r="AN25" i="123"/>
  <c r="AS8" i="120"/>
  <c r="H10" i="120"/>
  <c r="Z53" i="120"/>
  <c r="I13" i="118"/>
  <c r="AN47" i="121"/>
  <c r="BB9" i="118"/>
  <c r="AT27" i="122"/>
  <c r="Y30" i="117"/>
  <c r="AO16" i="123"/>
  <c r="W43" i="122"/>
  <c r="AW43" i="121"/>
  <c r="L53" i="122"/>
  <c r="AE15" i="118"/>
  <c r="BC24" i="118"/>
  <c r="S9" i="120"/>
  <c r="V22" i="124"/>
  <c r="T43" i="119"/>
  <c r="AC26" i="118"/>
  <c r="N25" i="123"/>
  <c r="AX34" i="121"/>
  <c r="L30" i="123"/>
  <c r="AV13" i="120"/>
  <c r="K15" i="120"/>
  <c r="AU16" i="118"/>
  <c r="AW20" i="123"/>
  <c r="K18" i="120"/>
  <c r="AC20" i="120"/>
  <c r="K29" i="118"/>
  <c r="P30" i="123"/>
  <c r="AW9" i="120"/>
  <c r="H11" i="120"/>
  <c r="Y49" i="119"/>
  <c r="M13" i="118"/>
  <c r="AT51" i="118"/>
  <c r="AC41" i="118"/>
  <c r="BA20" i="121"/>
  <c r="AB48" i="117"/>
  <c r="P51" i="121"/>
  <c r="T27" i="122"/>
  <c r="AP12" i="120"/>
  <c r="AU10" i="120"/>
  <c r="V35" i="118"/>
  <c r="AR11" i="118"/>
  <c r="L42" i="120"/>
  <c r="AO56" i="124"/>
  <c r="AI23" i="118"/>
  <c r="AQ54" i="121"/>
  <c r="W18" i="122"/>
  <c r="AT38" i="121"/>
  <c r="Z37" i="129"/>
  <c r="BE35" i="120"/>
  <c r="X37" i="120"/>
  <c r="G30" i="122"/>
  <c r="AP51" i="131"/>
  <c r="AH43" i="120"/>
  <c r="AW44" i="120"/>
  <c r="V22" i="130"/>
  <c r="AX58" i="129"/>
  <c r="L49" i="120"/>
  <c r="AD50" i="120"/>
  <c r="J18" i="120"/>
  <c r="AN33" i="117"/>
  <c r="AJ18" i="123"/>
  <c r="AK48" i="124"/>
  <c r="AM22" i="119"/>
  <c r="Q58" i="120"/>
  <c r="S56" i="121"/>
  <c r="BB41" i="122"/>
  <c r="S32" i="121"/>
  <c r="AC47" i="117"/>
  <c r="Y33" i="124"/>
  <c r="AO40" i="117"/>
  <c r="Q48" i="118"/>
  <c r="AW11" i="118"/>
  <c r="S22" i="123"/>
  <c r="AE12" i="121"/>
  <c r="AO52" i="122"/>
  <c r="AT16" i="119"/>
  <c r="AJ9" i="121"/>
  <c r="AP44" i="119"/>
  <c r="AG46" i="119"/>
  <c r="O21" i="122"/>
  <c r="AU50" i="122"/>
  <c r="AZ50" i="119"/>
  <c r="AK52" i="119"/>
  <c r="H34" i="121"/>
  <c r="P13" i="121"/>
  <c r="AX58" i="119"/>
  <c r="T9" i="119"/>
  <c r="V50" i="122"/>
  <c r="AS11" i="117"/>
  <c r="AZ35" i="119"/>
  <c r="Z53" i="122"/>
  <c r="BD53" i="118"/>
  <c r="AP31" i="117"/>
  <c r="S14" i="120"/>
  <c r="G23" i="120"/>
  <c r="BC23" i="118"/>
  <c r="AB51" i="128"/>
  <c r="AC39" i="117"/>
  <c r="AY14" i="117"/>
  <c r="AL37" i="124"/>
  <c r="AW14" i="123"/>
  <c r="BC31" i="119"/>
  <c r="AC14" i="129"/>
  <c r="AB54" i="121"/>
  <c r="AZ36" i="129"/>
  <c r="AP12" i="124"/>
  <c r="Z56" i="121"/>
  <c r="AD11" i="121"/>
  <c r="BC37" i="123"/>
  <c r="U16" i="119"/>
  <c r="K50" i="124"/>
  <c r="AV10" i="124"/>
  <c r="BE10" i="122"/>
  <c r="N18" i="119"/>
  <c r="BD55" i="124"/>
  <c r="AT37" i="124"/>
  <c r="AG57" i="127"/>
  <c r="S21" i="126"/>
  <c r="O30" i="120"/>
  <c r="AG31" i="120"/>
  <c r="AM41" i="127"/>
  <c r="AB18" i="127"/>
  <c r="O36" i="120"/>
  <c r="AK37" i="120"/>
  <c r="AL10" i="128"/>
  <c r="H47" i="128"/>
  <c r="S43" i="120"/>
  <c r="AK44" i="120"/>
  <c r="BE27" i="128"/>
  <c r="AG27" i="131"/>
  <c r="AV38" i="123"/>
  <c r="H58" i="117"/>
  <c r="AX24" i="122"/>
  <c r="X36" i="118"/>
  <c r="N21" i="125"/>
  <c r="AD33" i="120"/>
  <c r="O50" i="131"/>
  <c r="AM31" i="122"/>
  <c r="AH25" i="120"/>
  <c r="X33" i="120"/>
  <c r="AB53" i="118"/>
  <c r="AV40" i="117"/>
  <c r="AU26" i="123"/>
  <c r="AF34" i="123"/>
  <c r="Y10" i="117"/>
  <c r="AK10" i="117"/>
  <c r="V33" i="123"/>
  <c r="L41" i="123"/>
  <c r="AB52" i="117"/>
  <c r="AV52" i="123"/>
  <c r="V26" i="120"/>
  <c r="AJ27" i="120"/>
  <c r="AJ24" i="118"/>
  <c r="Z29" i="123"/>
  <c r="AL31" i="120"/>
  <c r="AX11" i="120"/>
  <c r="J53" i="119"/>
  <c r="BC17" i="123"/>
  <c r="V10" i="120"/>
  <c r="V16" i="120"/>
  <c r="AQ40" i="118"/>
  <c r="AC52" i="129"/>
  <c r="Z40" i="124"/>
  <c r="W53" i="122"/>
  <c r="AX11" i="124"/>
  <c r="J32" i="123"/>
  <c r="BE15" i="125"/>
  <c r="AP41" i="122"/>
  <c r="AE22" i="128"/>
  <c r="AF44" i="124"/>
  <c r="BD39" i="122"/>
  <c r="M50" i="122"/>
  <c r="AK44" i="127"/>
  <c r="K55" i="119"/>
  <c r="M58" i="117"/>
  <c r="AO13" i="117"/>
  <c r="G33" i="127"/>
  <c r="AZ13" i="119"/>
  <c r="AS57" i="117"/>
  <c r="G50" i="117"/>
  <c r="Y41" i="117"/>
  <c r="AZ24" i="122"/>
  <c r="AQ26" i="120"/>
  <c r="BE27" i="120"/>
  <c r="AW55" i="118"/>
  <c r="H45" i="123"/>
  <c r="AC9" i="120"/>
  <c r="BB14" i="120"/>
  <c r="T25" i="118"/>
  <c r="AI45" i="123"/>
  <c r="J15" i="120"/>
  <c r="AU21" i="120"/>
  <c r="AS25" i="118"/>
  <c r="AJ49" i="120"/>
  <c r="AI52" i="130"/>
  <c r="P27" i="122"/>
  <c r="AX8" i="128"/>
  <c r="AC24" i="122"/>
  <c r="AN21" i="129"/>
  <c r="BC50" i="121"/>
  <c r="AB31" i="127"/>
  <c r="P30" i="124"/>
  <c r="J53" i="121"/>
  <c r="K9" i="121"/>
  <c r="G45" i="123"/>
  <c r="AH9" i="119"/>
  <c r="G50" i="124"/>
  <c r="S10" i="124"/>
  <c r="H38" i="123"/>
  <c r="AV22" i="119"/>
  <c r="AI55" i="124"/>
  <c r="S16" i="124"/>
  <c r="AL46" i="128"/>
  <c r="BE16" i="127"/>
  <c r="AV30" i="120"/>
  <c r="K32" i="120"/>
  <c r="AW39" i="129"/>
  <c r="AV41" i="128"/>
  <c r="AZ36" i="120"/>
  <c r="O38" i="120"/>
  <c r="AO47" i="125"/>
  <c r="U10" i="129"/>
  <c r="AL30" i="120"/>
  <c r="BA31" i="120"/>
  <c r="AI47" i="131"/>
  <c r="AV57" i="132"/>
  <c r="AN18" i="125"/>
  <c r="AV32" i="118"/>
  <c r="AC16" i="121"/>
  <c r="Q55" i="121"/>
  <c r="Z34" i="128"/>
  <c r="BA9" i="121"/>
  <c r="BA48" i="125"/>
  <c r="AX11" i="123"/>
  <c r="BA53" i="121"/>
  <c r="Y9" i="121"/>
  <c r="M30" i="120"/>
  <c r="H31" i="118"/>
  <c r="AJ41" i="124"/>
  <c r="P48" i="124"/>
  <c r="BB56" i="120"/>
  <c r="AD45" i="118"/>
  <c r="I42" i="124"/>
  <c r="AX48" i="124"/>
  <c r="AJ29" i="120"/>
  <c r="N40" i="119"/>
  <c r="AB24" i="119"/>
  <c r="AS25" i="119"/>
  <c r="AT50" i="121"/>
  <c r="AF30" i="120"/>
  <c r="M26" i="119"/>
  <c r="AG29" i="119"/>
  <c r="AY10" i="121"/>
  <c r="AZ56" i="121"/>
  <c r="BB35" i="119"/>
  <c r="S38" i="119"/>
  <c r="Y39" i="121"/>
  <c r="T32" i="128"/>
  <c r="AW40" i="119"/>
  <c r="AL38" i="121"/>
  <c r="P18" i="120"/>
  <c r="AD35" i="117"/>
  <c r="AO23" i="124"/>
  <c r="AR34" i="120"/>
  <c r="K10" i="131"/>
  <c r="AH37" i="122"/>
  <c r="AB40" i="119"/>
  <c r="AQ40" i="119"/>
  <c r="AI52" i="117"/>
  <c r="BC47" i="117"/>
  <c r="AE48" i="122"/>
  <c r="O55" i="122"/>
  <c r="AZ10" i="117"/>
  <c r="AL53" i="117"/>
  <c r="S57" i="122"/>
  <c r="AW12" i="122"/>
  <c r="AV39" i="126"/>
  <c r="AV12" i="130"/>
  <c r="AX53" i="120"/>
  <c r="Q55" i="120"/>
  <c r="BA52" i="123"/>
  <c r="S38" i="131"/>
  <c r="BC24" i="120"/>
  <c r="X26" i="120"/>
  <c r="AS26" i="123"/>
  <c r="AR39" i="126"/>
  <c r="AU32" i="120"/>
  <c r="N34" i="120"/>
  <c r="AH27" i="123"/>
  <c r="V30" i="121"/>
  <c r="AD36" i="125"/>
  <c r="L54" i="123"/>
  <c r="AY22" i="131"/>
  <c r="AC23" i="122"/>
  <c r="AQ30" i="130"/>
  <c r="X31" i="121"/>
  <c r="BB35" i="127"/>
  <c r="L30" i="124"/>
  <c r="AJ49" i="121"/>
  <c r="AH56" i="121"/>
  <c r="AV46" i="124"/>
  <c r="AT13" i="119"/>
  <c r="L54" i="124"/>
  <c r="W10" i="124"/>
  <c r="AU43" i="123"/>
  <c r="AH15" i="119"/>
  <c r="AE55" i="124"/>
  <c r="AV15" i="124"/>
  <c r="S22" i="129"/>
  <c r="O41" i="128"/>
  <c r="Y31" i="120"/>
  <c r="AV32" i="120"/>
  <c r="V9" i="125"/>
  <c r="J22" i="129"/>
  <c r="BC23" i="120"/>
  <c r="AD25" i="120"/>
  <c r="T40" i="122"/>
  <c r="AB47" i="131"/>
  <c r="AF31" i="120"/>
  <c r="AY32" i="120"/>
  <c r="W17" i="122"/>
  <c r="AI50" i="120"/>
  <c r="AS23" i="130"/>
  <c r="K52" i="119"/>
  <c r="J17" i="121"/>
  <c r="M42" i="121"/>
  <c r="AI29" i="128"/>
  <c r="AB51" i="121"/>
  <c r="V12" i="125"/>
  <c r="AD40" i="123"/>
  <c r="AJ8" i="121"/>
  <c r="BA14" i="121"/>
  <c r="AO17" i="120"/>
  <c r="Z13" i="118"/>
  <c r="AP25" i="124"/>
  <c r="AE33" i="124"/>
  <c r="I42" i="120"/>
  <c r="AD36" i="118"/>
  <c r="BC46" i="124"/>
  <c r="AJ53" i="124"/>
  <c r="BB12" i="121"/>
  <c r="AD23" i="120"/>
  <c r="S15" i="119"/>
  <c r="AV17" i="119"/>
  <c r="P29" i="121"/>
  <c r="S10" i="121"/>
  <c r="S25" i="119"/>
  <c r="AR27" i="119"/>
  <c r="BE56" i="122"/>
  <c r="U41" i="122"/>
  <c r="AN34" i="119"/>
  <c r="M37" i="119"/>
  <c r="P36" i="122"/>
  <c r="BB31" i="128"/>
  <c r="AL32" i="127"/>
  <c r="AW51" i="123"/>
  <c r="AI51" i="124"/>
  <c r="AB15" i="119"/>
  <c r="AT43" i="127"/>
  <c r="BB11" i="120"/>
  <c r="AW49" i="129"/>
  <c r="S12" i="123"/>
  <c r="V8" i="120"/>
  <c r="AQ15" i="120"/>
  <c r="AF29" i="118"/>
  <c r="AO38" i="118"/>
  <c r="H31" i="123"/>
  <c r="AW37" i="123"/>
  <c r="O18" i="118"/>
  <c r="AD44" i="118"/>
  <c r="U39" i="123"/>
  <c r="K47" i="123"/>
  <c r="AD52" i="124"/>
  <c r="Y57" i="124"/>
  <c r="AX24" i="119"/>
  <c r="O26" i="119"/>
  <c r="AB25" i="124"/>
  <c r="AI56" i="124"/>
  <c r="Z24" i="119"/>
  <c r="AU25" i="119"/>
  <c r="AR24" i="124"/>
  <c r="AK35" i="124"/>
  <c r="Q34" i="119"/>
  <c r="AN35" i="119"/>
  <c r="G43" i="124"/>
  <c r="AD10" i="119"/>
  <c r="BD56" i="131"/>
  <c r="AZ58" i="119"/>
  <c r="AO58" i="119"/>
  <c r="T14" i="124"/>
  <c r="AB16" i="123"/>
  <c r="P30" i="119"/>
  <c r="X24" i="126"/>
  <c r="J41" i="122"/>
  <c r="BA27" i="119"/>
  <c r="AU35" i="119"/>
  <c r="AT55" i="126"/>
  <c r="AL49" i="131"/>
  <c r="AB20" i="131"/>
  <c r="AS38" i="131"/>
  <c r="I45" i="126"/>
  <c r="AF35" i="130"/>
  <c r="AG32" i="130"/>
  <c r="M21" i="130"/>
  <c r="AW57" i="122"/>
  <c r="AF56" i="121"/>
  <c r="AT10" i="121"/>
  <c r="G57" i="121"/>
  <c r="AC14" i="122"/>
  <c r="AX35" i="121"/>
  <c r="W42" i="121"/>
  <c r="BE23" i="121"/>
  <c r="AP21" i="122"/>
  <c r="AV11" i="121"/>
  <c r="S17" i="121"/>
  <c r="AX52" i="121"/>
  <c r="AV29" i="122"/>
  <c r="Z37" i="122"/>
  <c r="Z9" i="117"/>
  <c r="BD23" i="119"/>
  <c r="AO16" i="119"/>
  <c r="AB15" i="124"/>
  <c r="V15" i="123"/>
  <c r="G24" i="119"/>
  <c r="BA35" i="131"/>
  <c r="I21" i="122"/>
  <c r="AC22" i="119"/>
  <c r="AC35" i="119"/>
  <c r="AX22" i="126"/>
  <c r="AI34" i="125"/>
  <c r="BD27" i="125"/>
  <c r="AT51" i="125"/>
  <c r="Q54" i="126"/>
  <c r="AH57" i="125"/>
  <c r="AB31" i="124"/>
  <c r="AY23" i="124"/>
  <c r="U8" i="122"/>
  <c r="Q9" i="121"/>
  <c r="AP14" i="121"/>
  <c r="BB50" i="121"/>
  <c r="BB14" i="122"/>
  <c r="G29" i="121"/>
  <c r="AC34" i="121"/>
  <c r="AS27" i="121"/>
  <c r="AR22" i="122"/>
  <c r="AK58" i="121"/>
  <c r="AJ12" i="121"/>
  <c r="AF47" i="121"/>
  <c r="AX30" i="122"/>
  <c r="G11" i="127"/>
  <c r="AC26" i="127"/>
  <c r="AN39" i="117"/>
  <c r="BC45" i="117"/>
  <c r="X10" i="123"/>
  <c r="AU9" i="122"/>
  <c r="AL23" i="119"/>
  <c r="BB37" i="129"/>
  <c r="BA39" i="121"/>
  <c r="O29" i="119"/>
  <c r="I36" i="119"/>
  <c r="AN38" i="125"/>
  <c r="AI24" i="128"/>
  <c r="AH12" i="128"/>
  <c r="AX22" i="128"/>
  <c r="AJ45" i="125"/>
  <c r="BB52" i="128"/>
  <c r="AO41" i="128"/>
  <c r="V52" i="128"/>
  <c r="V32" i="121"/>
  <c r="AL27" i="119"/>
  <c r="J34" i="119"/>
  <c r="S29" i="119"/>
  <c r="BC34" i="121"/>
  <c r="AF46" i="119"/>
  <c r="P52" i="119"/>
  <c r="AV46" i="119"/>
  <c r="BE37" i="121"/>
  <c r="AQ31" i="119"/>
  <c r="J37" i="119"/>
  <c r="AO25" i="119"/>
  <c r="L46" i="121"/>
  <c r="AF40" i="123"/>
  <c r="BB43" i="123"/>
  <c r="Y41" i="123"/>
  <c r="AZ16" i="123"/>
  <c r="AC32" i="128"/>
  <c r="AQ37" i="121"/>
  <c r="S10" i="118"/>
  <c r="AL48" i="125"/>
  <c r="M34" i="121"/>
  <c r="AE9" i="118"/>
  <c r="S16" i="118"/>
  <c r="P20" i="131"/>
  <c r="AC29" i="126"/>
  <c r="AY10" i="126"/>
  <c r="AK22" i="126"/>
  <c r="O58" i="131"/>
  <c r="Q33" i="126"/>
  <c r="AW54" i="126"/>
  <c r="X26" i="126"/>
  <c r="L30" i="121"/>
  <c r="AB27" i="117"/>
  <c r="AY33" i="117"/>
  <c r="AC52" i="117"/>
  <c r="Y30" i="121"/>
  <c r="AZ32" i="117"/>
  <c r="S38" i="117"/>
  <c r="M26" i="117"/>
  <c r="BA41" i="121"/>
  <c r="AU11" i="117"/>
  <c r="AQ17" i="117"/>
  <c r="AY53" i="117"/>
  <c r="T47" i="121"/>
  <c r="H18" i="129"/>
  <c r="V45" i="129"/>
  <c r="BC31" i="124"/>
  <c r="Y30" i="124"/>
  <c r="K33" i="124"/>
  <c r="BA35" i="117"/>
  <c r="X58" i="117"/>
  <c r="T35" i="128"/>
  <c r="G25" i="119"/>
  <c r="J57" i="117"/>
  <c r="AZ12" i="117"/>
  <c r="N18" i="128"/>
  <c r="N44" i="121"/>
  <c r="I21" i="121"/>
  <c r="AT32" i="121"/>
  <c r="O27" i="128"/>
  <c r="AC18" i="121"/>
  <c r="O49" i="121"/>
  <c r="K44" i="121"/>
  <c r="AW46" i="120"/>
  <c r="AT43" i="122"/>
  <c r="AK45" i="122"/>
  <c r="Z9" i="122"/>
  <c r="Y38" i="120"/>
  <c r="K33" i="122"/>
  <c r="BB34" i="122"/>
  <c r="AG50" i="122"/>
  <c r="AC48" i="120"/>
  <c r="W20" i="122"/>
  <c r="BB23" i="122"/>
  <c r="W39" i="122"/>
  <c r="BB53" i="120"/>
  <c r="M40" i="128"/>
  <c r="V18" i="128"/>
  <c r="AZ41" i="124"/>
  <c r="W39" i="124"/>
  <c r="I43" i="124"/>
  <c r="BB31" i="117"/>
  <c r="AB58" i="117"/>
  <c r="M44" i="127"/>
  <c r="AP49" i="119"/>
  <c r="AK52" i="117"/>
  <c r="AJ8" i="117"/>
  <c r="AN21" i="128"/>
  <c r="H48" i="121"/>
  <c r="AX24" i="121"/>
  <c r="AP36" i="121"/>
  <c r="S32" i="128"/>
  <c r="BC21" i="120"/>
  <c r="AY16" i="120"/>
  <c r="BB17" i="120"/>
  <c r="AG52" i="119"/>
  <c r="S21" i="121"/>
  <c r="AP22" i="121"/>
  <c r="AX31" i="121"/>
  <c r="I46" i="119"/>
  <c r="T26" i="121"/>
  <c r="L29" i="121"/>
  <c r="BE39" i="121"/>
  <c r="AT26" i="119"/>
  <c r="BA29" i="121"/>
  <c r="AS31" i="121"/>
  <c r="AU43" i="121"/>
  <c r="Q33" i="119"/>
  <c r="AN21" i="127"/>
  <c r="AO15" i="126"/>
  <c r="T58" i="129"/>
  <c r="Q37" i="129"/>
  <c r="AX54" i="122"/>
  <c r="K57" i="126"/>
  <c r="BE49" i="124"/>
  <c r="V42" i="123"/>
  <c r="BD54" i="119"/>
  <c r="AK44" i="124"/>
  <c r="W51" i="124"/>
  <c r="AI39" i="128"/>
  <c r="AD13" i="119"/>
  <c r="X44" i="119"/>
  <c r="AT14" i="119"/>
  <c r="V25" i="128"/>
  <c r="Z36" i="118"/>
  <c r="L35" i="118"/>
  <c r="BC14" i="118"/>
  <c r="AD42" i="119"/>
  <c r="AX13" i="121"/>
  <c r="U15" i="121"/>
  <c r="AC24" i="121"/>
  <c r="Q51" i="119"/>
  <c r="AB25" i="121"/>
  <c r="AU26" i="121"/>
  <c r="BC35" i="121"/>
  <c r="Q10" i="119"/>
  <c r="AP25" i="121"/>
  <c r="I27" i="121"/>
  <c r="Q36" i="121"/>
  <c r="AG15" i="119"/>
  <c r="AG24" i="125"/>
  <c r="AV14" i="129"/>
  <c r="AS56" i="130"/>
  <c r="AU47" i="130"/>
  <c r="AV51" i="121"/>
  <c r="U38" i="121"/>
  <c r="AP21" i="124"/>
  <c r="AK41" i="120"/>
  <c r="AD24" i="118"/>
  <c r="AU22" i="124"/>
  <c r="BA42" i="124"/>
  <c r="P8" i="127"/>
  <c r="AT29" i="117"/>
  <c r="AN36" i="117"/>
  <c r="U39" i="117"/>
  <c r="BE13" i="127"/>
  <c r="BD34" i="117"/>
  <c r="AV42" i="117"/>
  <c r="AI45" i="117"/>
  <c r="AB31" i="118"/>
  <c r="G12" i="120"/>
  <c r="AE13" i="120"/>
  <c r="AK22" i="120"/>
  <c r="AJ20" i="118"/>
  <c r="AE16" i="120"/>
  <c r="AV17" i="120"/>
  <c r="BE10" i="120"/>
  <c r="V9" i="118"/>
  <c r="I22" i="120"/>
  <c r="AE23" i="120"/>
  <c r="T15" i="120"/>
  <c r="V15" i="118"/>
  <c r="V37" i="121"/>
  <c r="AJ38" i="121"/>
  <c r="AO47" i="121"/>
  <c r="G22" i="119"/>
  <c r="AI37" i="121"/>
  <c r="BB38" i="121"/>
  <c r="AT58" i="121"/>
  <c r="AY23" i="119"/>
  <c r="BA48" i="121"/>
  <c r="T50" i="121"/>
  <c r="AT15" i="117"/>
  <c r="AC36" i="119"/>
  <c r="J18" i="119"/>
  <c r="AH8" i="121"/>
  <c r="K21" i="124"/>
  <c r="AQ22" i="117"/>
  <c r="AD24" i="130"/>
  <c r="AG39" i="119"/>
  <c r="AU17" i="121"/>
  <c r="AO20" i="121"/>
  <c r="AU32" i="121"/>
  <c r="O21" i="119"/>
  <c r="AD21" i="121"/>
  <c r="N23" i="121"/>
  <c r="X35" i="121"/>
  <c r="AM27" i="119"/>
  <c r="AL24" i="121"/>
  <c r="AB26" i="121"/>
  <c r="AD38" i="121"/>
  <c r="AM9" i="119"/>
  <c r="AI58" i="128"/>
  <c r="AE26" i="127"/>
  <c r="AT34" i="128"/>
  <c r="AD45" i="126"/>
  <c r="K42" i="122"/>
  <c r="AJ49" i="126"/>
  <c r="AO46" i="124"/>
  <c r="AF51" i="124"/>
  <c r="AC8" i="119"/>
  <c r="AL48" i="124"/>
  <c r="AH55" i="124"/>
  <c r="AC41" i="128"/>
  <c r="J8" i="119"/>
  <c r="Z38" i="119"/>
  <c r="AD50" i="119"/>
  <c r="AJ41" i="128"/>
  <c r="AW37" i="119"/>
  <c r="AN26" i="119"/>
  <c r="AC38" i="119"/>
  <c r="AP45" i="119"/>
  <c r="J20" i="121"/>
  <c r="AF21" i="121"/>
  <c r="AB30" i="121"/>
  <c r="BA55" i="119"/>
  <c r="W20" i="121"/>
  <c r="AP21" i="121"/>
  <c r="AT30" i="121"/>
  <c r="AP9" i="119"/>
  <c r="AU31" i="121"/>
  <c r="J33" i="121"/>
  <c r="P42" i="121"/>
  <c r="AS21" i="119"/>
  <c r="AW27" i="126"/>
  <c r="AZ33" i="130"/>
  <c r="J30" i="131"/>
  <c r="AL44" i="131"/>
  <c r="AN51" i="121"/>
  <c r="AT34" i="121"/>
  <c r="AN58" i="124"/>
  <c r="N29" i="120"/>
  <c r="K40" i="118"/>
  <c r="W20" i="124"/>
  <c r="I27" i="124"/>
  <c r="N11" i="127"/>
  <c r="AX22" i="117"/>
  <c r="AC33" i="117"/>
  <c r="K36" i="117"/>
  <c r="T13" i="127"/>
  <c r="Q35" i="117"/>
  <c r="G43" i="117"/>
  <c r="AO49" i="117"/>
  <c r="AU13" i="118"/>
  <c r="BD10" i="120"/>
  <c r="W12" i="120"/>
  <c r="AE21" i="120"/>
  <c r="H40" i="118"/>
  <c r="AN15" i="120"/>
  <c r="G17" i="120"/>
  <c r="T10" i="120"/>
  <c r="Z55" i="119"/>
  <c r="AC13" i="120"/>
  <c r="AX14" i="120"/>
  <c r="AQ8" i="120"/>
  <c r="L58" i="119"/>
  <c r="U50" i="129"/>
  <c r="AS41" i="126"/>
  <c r="Q55" i="123"/>
  <c r="AK54" i="123"/>
  <c r="K54" i="120"/>
  <c r="L14" i="117"/>
  <c r="S44" i="123"/>
  <c r="AN8" i="118"/>
  <c r="V33" i="118"/>
  <c r="N23" i="123"/>
  <c r="Z32" i="123"/>
  <c r="U14" i="127"/>
  <c r="AL12" i="124"/>
  <c r="J23" i="124"/>
  <c r="AW26" i="124"/>
  <c r="AU31" i="127"/>
  <c r="AQ25" i="124"/>
  <c r="AS35" i="124"/>
  <c r="AB39" i="124"/>
  <c r="AC25" i="118"/>
  <c r="T35" i="120"/>
  <c r="AL36" i="120"/>
  <c r="AY45" i="120"/>
  <c r="AH29" i="118"/>
  <c r="J43" i="120"/>
  <c r="AB44" i="120"/>
  <c r="AP34" i="120"/>
  <c r="K14" i="118"/>
  <c r="AS57" i="120"/>
  <c r="AX27" i="120"/>
  <c r="AC47" i="120"/>
  <c r="BB37" i="118"/>
  <c r="AF11" i="120"/>
  <c r="AS12" i="120"/>
  <c r="AF21" i="120"/>
  <c r="AM46" i="118"/>
  <c r="N10" i="120"/>
  <c r="AQ11" i="120"/>
  <c r="Z21" i="120"/>
  <c r="AH27" i="118"/>
  <c r="AY22" i="120"/>
  <c r="L24" i="120"/>
  <c r="I16" i="117"/>
  <c r="K20" i="118"/>
  <c r="BB22" i="118"/>
  <c r="AR50" i="120"/>
  <c r="J49" i="124"/>
  <c r="AK20" i="117"/>
  <c r="AX46" i="130"/>
  <c r="AF50" i="119"/>
  <c r="AT13" i="121"/>
  <c r="Q15" i="121"/>
  <c r="Y24" i="121"/>
  <c r="AF55" i="119"/>
  <c r="T25" i="121"/>
  <c r="AQ26" i="121"/>
  <c r="AY35" i="121"/>
  <c r="AK9" i="119"/>
  <c r="S22" i="121"/>
  <c r="AK23" i="121"/>
  <c r="AP32" i="121"/>
  <c r="X21" i="119"/>
  <c r="AC21" i="126"/>
  <c r="T36" i="130"/>
  <c r="AI8" i="126"/>
  <c r="T33" i="126"/>
  <c r="V45" i="121"/>
  <c r="N42" i="121"/>
  <c r="I12" i="124"/>
  <c r="U10" i="120"/>
  <c r="BC57" i="119"/>
  <c r="U57" i="124"/>
  <c r="AO13" i="124"/>
  <c r="G13" i="127"/>
  <c r="H46" i="117"/>
  <c r="AQ27" i="117"/>
  <c r="AJ39" i="117"/>
  <c r="J17" i="127"/>
  <c r="AR30" i="117"/>
  <c r="O41" i="117"/>
  <c r="AJ49" i="117"/>
  <c r="Z40" i="118"/>
  <c r="AN8" i="120"/>
  <c r="AI11" i="120"/>
  <c r="AP20" i="120"/>
  <c r="AY55" i="119"/>
  <c r="I8" i="120"/>
  <c r="Y9" i="120"/>
  <c r="AG17" i="120"/>
  <c r="AY13" i="119"/>
  <c r="AY18" i="120"/>
  <c r="N21" i="120"/>
  <c r="I11" i="120"/>
  <c r="AO20" i="119"/>
  <c r="AU26" i="129"/>
  <c r="H18" i="126"/>
  <c r="G26" i="123"/>
  <c r="BB36" i="123"/>
  <c r="AC36" i="120"/>
  <c r="AB57" i="117"/>
  <c r="M36" i="123"/>
  <c r="AM33" i="118"/>
  <c r="M36" i="126"/>
  <c r="AW52" i="121"/>
  <c r="P54" i="121"/>
  <c r="X24" i="125"/>
  <c r="W11" i="126"/>
  <c r="N55" i="121"/>
  <c r="AL56" i="121"/>
  <c r="S58" i="127"/>
  <c r="V18" i="127"/>
  <c r="Z57" i="121"/>
  <c r="AO58" i="121"/>
  <c r="AK16" i="126"/>
  <c r="BB15" i="128"/>
  <c r="U31" i="130"/>
  <c r="BC39" i="120"/>
  <c r="BC21" i="118"/>
  <c r="AH21" i="117"/>
  <c r="AU56" i="119"/>
  <c r="AO43" i="123"/>
  <c r="AV41" i="126"/>
  <c r="Q37" i="125"/>
  <c r="I40" i="122"/>
  <c r="X40" i="122"/>
  <c r="AO33" i="118"/>
  <c r="AC32" i="120"/>
  <c r="AP10" i="117"/>
  <c r="AC17" i="117"/>
  <c r="Q13" i="118"/>
  <c r="U38" i="120"/>
  <c r="AG25" i="117"/>
  <c r="AP27" i="117"/>
  <c r="AZ55" i="123"/>
  <c r="AR26" i="118"/>
  <c r="AP45" i="121"/>
  <c r="AR57" i="121"/>
  <c r="AF44" i="123"/>
  <c r="AS52" i="119"/>
  <c r="BA55" i="121"/>
  <c r="L57" i="121"/>
  <c r="AR31" i="123"/>
  <c r="AR56" i="119"/>
  <c r="AF15" i="121"/>
  <c r="AS16" i="121"/>
  <c r="BC12" i="123"/>
  <c r="AJ21" i="127"/>
  <c r="AJ36" i="126"/>
  <c r="AG8" i="127"/>
  <c r="U26" i="124"/>
  <c r="BC49" i="124"/>
  <c r="P46" i="126"/>
  <c r="AJ53" i="122"/>
  <c r="M40" i="124"/>
  <c r="Y38" i="125"/>
  <c r="W35" i="122"/>
  <c r="M43" i="122"/>
  <c r="AC8" i="128"/>
  <c r="AV23" i="120"/>
  <c r="S11" i="117"/>
  <c r="K18" i="117"/>
  <c r="AU44" i="128"/>
  <c r="AM12" i="119"/>
  <c r="O17" i="117"/>
  <c r="G25" i="117"/>
  <c r="V50" i="119"/>
  <c r="Z13" i="123"/>
  <c r="AB24" i="120"/>
  <c r="AS25" i="120"/>
  <c r="AU52" i="119"/>
  <c r="X33" i="123"/>
  <c r="AZ8" i="120"/>
  <c r="O10" i="120"/>
  <c r="S43" i="119"/>
  <c r="AE31" i="123"/>
  <c r="AD16" i="120"/>
  <c r="AY17" i="120"/>
  <c r="O56" i="119"/>
  <c r="I43" i="125"/>
  <c r="AG57" i="129"/>
  <c r="AB40" i="123"/>
  <c r="K34" i="122"/>
  <c r="AI51" i="122"/>
  <c r="AU37" i="130"/>
  <c r="AY15" i="122"/>
  <c r="Z37" i="128"/>
  <c r="O47" i="124"/>
  <c r="AM10" i="121"/>
  <c r="AM25" i="121"/>
  <c r="AM21" i="124"/>
  <c r="Y13" i="119"/>
  <c r="AD48" i="124"/>
  <c r="Z55" i="124"/>
  <c r="S30" i="124"/>
  <c r="T25" i="119"/>
  <c r="AH56" i="124"/>
  <c r="AU11" i="124"/>
  <c r="Q53" i="123"/>
  <c r="AD43" i="124"/>
  <c r="AV54" i="120"/>
  <c r="Q56" i="120"/>
  <c r="S31" i="123"/>
  <c r="S10" i="126"/>
  <c r="T26" i="120"/>
  <c r="AQ27" i="120"/>
  <c r="L20" i="123"/>
  <c r="AR40" i="121"/>
  <c r="J34" i="120"/>
  <c r="AB35" i="120"/>
  <c r="J24" i="123"/>
  <c r="O36" i="123"/>
  <c r="AZ11" i="120"/>
  <c r="S13" i="120"/>
  <c r="O57" i="119"/>
  <c r="Y42" i="123"/>
  <c r="AP9" i="120"/>
  <c r="M11" i="120"/>
  <c r="BB50" i="119"/>
  <c r="AY34" i="123"/>
  <c r="H8" i="120"/>
  <c r="X9" i="120"/>
  <c r="AX43" i="120"/>
  <c r="BB13" i="118"/>
  <c r="J37" i="117"/>
  <c r="AO9" i="118"/>
  <c r="Q9" i="122"/>
  <c r="W30" i="118"/>
  <c r="AF27" i="125"/>
  <c r="G16" i="125"/>
  <c r="AI48" i="125"/>
  <c r="BD18" i="124"/>
  <c r="G25" i="124"/>
  <c r="Y31" i="124"/>
  <c r="AZ36" i="124"/>
  <c r="W42" i="126"/>
  <c r="AR23" i="131"/>
  <c r="AY48" i="125"/>
  <c r="BE44" i="125"/>
  <c r="AK51" i="124"/>
  <c r="AG10" i="124"/>
  <c r="AK53" i="124"/>
  <c r="BD12" i="124"/>
  <c r="S43" i="124"/>
  <c r="AV48" i="124"/>
  <c r="U10" i="124"/>
  <c r="W50" i="119"/>
  <c r="Y48" i="119"/>
  <c r="N43" i="119"/>
  <c r="AL13" i="121"/>
  <c r="M33" i="124"/>
  <c r="X34" i="117"/>
  <c r="AT26" i="128"/>
  <c r="AD35" i="122"/>
  <c r="Z47" i="124"/>
  <c r="AS35" i="121"/>
  <c r="I29" i="122"/>
  <c r="AV36" i="123"/>
  <c r="AQ42" i="119"/>
  <c r="L44" i="119"/>
  <c r="W8" i="123"/>
  <c r="Q51" i="123"/>
  <c r="AC51" i="119"/>
  <c r="AZ52" i="119"/>
  <c r="P49" i="123"/>
  <c r="AG37" i="123"/>
  <c r="AU53" i="119"/>
  <c r="N55" i="119"/>
  <c r="BB30" i="119"/>
  <c r="AU56" i="124"/>
  <c r="T24" i="121"/>
  <c r="AZ20" i="119"/>
  <c r="AD49" i="123"/>
  <c r="U52" i="123"/>
  <c r="Z30" i="130"/>
  <c r="Z34" i="118"/>
  <c r="AL45" i="119"/>
  <c r="O25" i="121"/>
  <c r="Q33" i="124"/>
  <c r="AD12" i="125"/>
  <c r="AF48" i="125"/>
  <c r="S37" i="122"/>
  <c r="M49" i="124"/>
  <c r="AZ14" i="121"/>
  <c r="BA16" i="122"/>
  <c r="AL35" i="123"/>
  <c r="AM16" i="118"/>
  <c r="BA40" i="118"/>
  <c r="AR44" i="123"/>
  <c r="T35" i="123"/>
  <c r="V48" i="119"/>
  <c r="AO49" i="119"/>
  <c r="AS18" i="123"/>
  <c r="AQ35" i="123"/>
  <c r="AH40" i="118"/>
  <c r="P40" i="118"/>
  <c r="AM57" i="118"/>
  <c r="AC13" i="123"/>
  <c r="BE50" i="120"/>
  <c r="AD57" i="119"/>
  <c r="U56" i="123"/>
  <c r="G56" i="122"/>
  <c r="V10" i="127"/>
  <c r="W13" i="118"/>
  <c r="N48" i="119"/>
  <c r="I14" i="121"/>
  <c r="AK33" i="124"/>
  <c r="AK18" i="123"/>
  <c r="AL50" i="121"/>
  <c r="BE40" i="121"/>
  <c r="AJ32" i="124"/>
  <c r="AB10" i="121"/>
  <c r="AO56" i="122"/>
  <c r="AC11" i="122"/>
  <c r="AJ31" i="122"/>
  <c r="AJ27" i="121"/>
  <c r="H10" i="122"/>
  <c r="AQ54" i="125"/>
  <c r="I57" i="125"/>
  <c r="Z22" i="124"/>
  <c r="AJ18" i="122"/>
  <c r="AB32" i="121"/>
  <c r="AF32" i="121"/>
  <c r="Z54" i="120"/>
  <c r="BC29" i="117"/>
  <c r="K8" i="120"/>
  <c r="AG40" i="121"/>
  <c r="AO45" i="117"/>
  <c r="BA20" i="122"/>
  <c r="AF31" i="118"/>
  <c r="S16" i="123"/>
  <c r="AQ58" i="118"/>
  <c r="L48" i="118"/>
  <c r="T45" i="119"/>
  <c r="AF15" i="124"/>
  <c r="AB42" i="122"/>
  <c r="AF25" i="118"/>
  <c r="AZ42" i="120"/>
  <c r="AR14" i="122"/>
  <c r="AO34" i="119"/>
  <c r="S15" i="121"/>
  <c r="BD46" i="121"/>
  <c r="AI52" i="121"/>
  <c r="AM26" i="120"/>
  <c r="AP38" i="122"/>
  <c r="AJ56" i="121"/>
  <c r="AX10" i="121"/>
  <c r="AS9" i="121"/>
  <c r="AC47" i="122"/>
  <c r="AM8" i="120"/>
  <c r="AR40" i="120"/>
  <c r="AL15" i="120"/>
  <c r="O32" i="122"/>
  <c r="AD38" i="118"/>
  <c r="AF48" i="118"/>
  <c r="AC14" i="121"/>
  <c r="AP16" i="121"/>
  <c r="AZ26" i="121"/>
  <c r="H26" i="121"/>
  <c r="H37" i="117"/>
  <c r="Y14" i="117"/>
  <c r="AR21" i="117"/>
  <c r="BD16" i="123"/>
  <c r="H57" i="120"/>
  <c r="M35" i="124"/>
  <c r="Y34" i="118"/>
  <c r="AH42" i="121"/>
  <c r="S41" i="124"/>
  <c r="BD34" i="120"/>
  <c r="AN9" i="128"/>
  <c r="AS36" i="122"/>
  <c r="Y33" i="120"/>
  <c r="K41" i="120"/>
  <c r="O52" i="117"/>
  <c r="AH47" i="117"/>
  <c r="S10" i="122"/>
  <c r="K17" i="122"/>
  <c r="Z14" i="117"/>
  <c r="AH53" i="117"/>
  <c r="AV53" i="122"/>
  <c r="X9" i="122"/>
  <c r="X27" i="122"/>
  <c r="BD39" i="124"/>
  <c r="P10" i="124"/>
  <c r="I36" i="124"/>
  <c r="BE32" i="122"/>
  <c r="BC22" i="117"/>
  <c r="AD46" i="117"/>
  <c r="AQ41" i="124"/>
  <c r="AQ37" i="122"/>
  <c r="M53" i="119"/>
  <c r="AX55" i="119"/>
  <c r="AT27" i="118"/>
  <c r="BE43" i="122"/>
  <c r="BC36" i="123"/>
  <c r="AE18" i="123"/>
  <c r="AY8" i="123"/>
  <c r="AS10" i="123"/>
  <c r="N31" i="127"/>
  <c r="AN46" i="121"/>
  <c r="AV10" i="118"/>
  <c r="S24" i="124"/>
  <c r="V39" i="121"/>
  <c r="G45" i="118"/>
  <c r="P8" i="118"/>
  <c r="P38" i="131"/>
  <c r="H49" i="126"/>
  <c r="AW31" i="126"/>
  <c r="AY43" i="126"/>
  <c r="X44" i="131"/>
  <c r="T41" i="126"/>
  <c r="AB18" i="126"/>
  <c r="AL35" i="126"/>
  <c r="AW18" i="123"/>
  <c r="O58" i="123"/>
  <c r="AY18" i="118"/>
  <c r="N21" i="118"/>
  <c r="BE17" i="123"/>
  <c r="AS34" i="123"/>
  <c r="AM53" i="118"/>
  <c r="AM36" i="118"/>
  <c r="W35" i="123"/>
  <c r="Z34" i="123"/>
  <c r="N36" i="119"/>
  <c r="AF37" i="119"/>
  <c r="BA46" i="123"/>
  <c r="AI11" i="128"/>
  <c r="S9" i="124"/>
  <c r="BA47" i="122"/>
  <c r="AS27" i="123"/>
  <c r="AL27" i="118"/>
  <c r="AF43" i="126"/>
  <c r="P32" i="120"/>
  <c r="AC43" i="126"/>
  <c r="J55" i="123"/>
  <c r="AG41" i="120"/>
  <c r="H38" i="120"/>
  <c r="AP41" i="118"/>
  <c r="AQ50" i="118"/>
  <c r="AT20" i="123"/>
  <c r="AC35" i="123"/>
  <c r="Y38" i="118"/>
  <c r="AF57" i="118"/>
  <c r="X32" i="123"/>
  <c r="J39" i="123"/>
  <c r="AS52" i="123"/>
  <c r="U31" i="122"/>
  <c r="J36" i="118"/>
  <c r="AB37" i="118"/>
  <c r="L25" i="123"/>
  <c r="T50" i="123"/>
  <c r="AD25" i="118"/>
  <c r="AS26" i="118"/>
  <c r="AY48" i="123"/>
  <c r="AB12" i="123"/>
  <c r="AM35" i="118"/>
  <c r="AM17" i="118"/>
  <c r="H18" i="123"/>
  <c r="Z10" i="125"/>
  <c r="AO20" i="120"/>
  <c r="BA34" i="122"/>
  <c r="AP38" i="121"/>
  <c r="J45" i="117"/>
  <c r="Z36" i="124"/>
  <c r="AG35" i="120"/>
  <c r="AQ43" i="129"/>
  <c r="H36" i="122"/>
  <c r="AK33" i="120"/>
  <c r="W41" i="120"/>
  <c r="AC50" i="117"/>
  <c r="AD47" i="117"/>
  <c r="AN34" i="122"/>
  <c r="AE42" i="122"/>
  <c r="AY13" i="117"/>
  <c r="AG41" i="117"/>
  <c r="AR15" i="122"/>
  <c r="AI23" i="122"/>
  <c r="AL26" i="122"/>
  <c r="G51" i="117"/>
  <c r="AW21" i="117"/>
  <c r="T24" i="117"/>
  <c r="T32" i="122"/>
  <c r="V52" i="119"/>
  <c r="AD52" i="119"/>
  <c r="AW33" i="118"/>
  <c r="I54" i="122"/>
  <c r="N29" i="122"/>
  <c r="AO30" i="122"/>
  <c r="AS20" i="121"/>
  <c r="AF8" i="122"/>
  <c r="M48" i="120"/>
  <c r="N25" i="125"/>
  <c r="BE57" i="119"/>
  <c r="U15" i="119"/>
  <c r="U17" i="124"/>
  <c r="K25" i="123"/>
  <c r="L30" i="119"/>
  <c r="AG26" i="131"/>
  <c r="T33" i="122"/>
  <c r="AW27" i="119"/>
  <c r="AQ35" i="119"/>
  <c r="BC12" i="126"/>
  <c r="V10" i="131"/>
  <c r="N32" i="131"/>
  <c r="AE13" i="131"/>
  <c r="BC49" i="126"/>
  <c r="AS21" i="131"/>
  <c r="AU54" i="131"/>
  <c r="AM23" i="130"/>
  <c r="AD27" i="122"/>
  <c r="Q12" i="120"/>
  <c r="AS20" i="120"/>
  <c r="X27" i="120"/>
  <c r="N27" i="122"/>
  <c r="AX15" i="120"/>
  <c r="W22" i="120"/>
  <c r="G18" i="120"/>
  <c r="AT23" i="122"/>
  <c r="AC56" i="121"/>
  <c r="O46" i="121"/>
  <c r="AP47" i="121"/>
  <c r="I32" i="122"/>
  <c r="BD55" i="120"/>
  <c r="AD57" i="125"/>
  <c r="H24" i="127"/>
  <c r="BD58" i="127"/>
  <c r="AV41" i="122"/>
  <c r="AI57" i="119"/>
  <c r="T48" i="118"/>
  <c r="BA21" i="121"/>
  <c r="AB13" i="120"/>
  <c r="AE49" i="118"/>
  <c r="AD55" i="118"/>
  <c r="U43" i="130"/>
  <c r="P49" i="124"/>
  <c r="P31" i="124"/>
  <c r="H46" i="124"/>
  <c r="AR13" i="130"/>
  <c r="AI27" i="124"/>
  <c r="O11" i="124"/>
  <c r="AV56" i="124"/>
  <c r="AK39" i="122"/>
  <c r="AO39" i="123"/>
  <c r="AY43" i="123"/>
  <c r="AX33" i="122"/>
  <c r="AT44" i="122"/>
  <c r="AY36" i="126"/>
  <c r="AI45" i="126"/>
  <c r="J14" i="125"/>
  <c r="AT46" i="122"/>
  <c r="Y24" i="130"/>
  <c r="W54" i="130"/>
  <c r="AP10" i="128"/>
  <c r="M52" i="122"/>
  <c r="AM9" i="130"/>
  <c r="M58" i="121"/>
  <c r="AC54" i="123"/>
  <c r="AC46" i="121"/>
  <c r="AJ44" i="117"/>
  <c r="AU15" i="124"/>
  <c r="K36" i="120"/>
  <c r="BB24" i="129"/>
  <c r="U52" i="122"/>
  <c r="O34" i="120"/>
  <c r="G42" i="120"/>
  <c r="AP48" i="117"/>
  <c r="BE46" i="117"/>
  <c r="AM38" i="122"/>
  <c r="BD40" i="122"/>
  <c r="AU13" i="117"/>
  <c r="Q41" i="117"/>
  <c r="G41" i="122"/>
  <c r="AZ11" i="122"/>
  <c r="AW25" i="122"/>
  <c r="S57" i="120"/>
  <c r="O17" i="119"/>
  <c r="AK50" i="119"/>
  <c r="AN48" i="122"/>
  <c r="N55" i="123"/>
  <c r="AM15" i="122"/>
  <c r="Y10" i="122"/>
  <c r="O50" i="122"/>
  <c r="BB47" i="126"/>
  <c r="AJ20" i="126"/>
  <c r="AI56" i="125"/>
  <c r="AN55" i="122"/>
  <c r="S43" i="121"/>
  <c r="AU34" i="128"/>
  <c r="AW57" i="119"/>
  <c r="AX12" i="119"/>
  <c r="Y8" i="124"/>
  <c r="Z18" i="123"/>
  <c r="AZ24" i="119"/>
  <c r="AN14" i="126"/>
  <c r="AK21" i="122"/>
  <c r="AS27" i="119"/>
  <c r="AL35" i="119"/>
  <c r="M54" i="126"/>
  <c r="Z58" i="125"/>
  <c r="AM44" i="124"/>
  <c r="X40" i="124"/>
  <c r="AX32" i="126"/>
  <c r="AD11" i="131"/>
  <c r="AZ31" i="131"/>
  <c r="AQ13" i="131"/>
  <c r="AY18" i="122"/>
  <c r="V11" i="120"/>
  <c r="N17" i="120"/>
  <c r="AQ18" i="120"/>
  <c r="AG15" i="122"/>
  <c r="BB32" i="121"/>
  <c r="Y38" i="121"/>
  <c r="Q57" i="121"/>
  <c r="U23" i="122"/>
  <c r="P11" i="121"/>
  <c r="P16" i="121"/>
  <c r="T51" i="121"/>
  <c r="AE31" i="122"/>
  <c r="BC55" i="127"/>
  <c r="AT49" i="127"/>
  <c r="M53" i="117"/>
  <c r="AB46" i="117"/>
  <c r="S16" i="122"/>
  <c r="M12" i="122"/>
  <c r="AK30" i="119"/>
  <c r="AX49" i="128"/>
  <c r="AL45" i="121"/>
  <c r="AU24" i="119"/>
  <c r="AQ32" i="119"/>
  <c r="AU33" i="125"/>
  <c r="BA34" i="128"/>
  <c r="AC58" i="128"/>
  <c r="BC29" i="128"/>
  <c r="AS50" i="125"/>
  <c r="AP50" i="128"/>
  <c r="AE16" i="128"/>
  <c r="J25" i="128"/>
  <c r="AG31" i="121"/>
  <c r="L26" i="118"/>
  <c r="AL32" i="118"/>
  <c r="AU36" i="118"/>
  <c r="AJ39" i="121"/>
  <c r="AQ51" i="119"/>
  <c r="AC16" i="119"/>
  <c r="O52" i="119"/>
  <c r="V43" i="121"/>
  <c r="AE29" i="119"/>
  <c r="BB34" i="119"/>
  <c r="AH18" i="119"/>
  <c r="AB49" i="121"/>
  <c r="AI22" i="129"/>
  <c r="S8" i="126"/>
  <c r="K22" i="120"/>
  <c r="X52" i="120"/>
  <c r="Q9" i="117"/>
  <c r="AR34" i="118"/>
  <c r="I57" i="117"/>
  <c r="V18" i="117"/>
  <c r="AC45" i="120"/>
  <c r="M9" i="117"/>
  <c r="Q30" i="117"/>
  <c r="AD16" i="129"/>
  <c r="T43" i="123"/>
  <c r="AQ56" i="123"/>
  <c r="AQ49" i="123"/>
  <c r="AH30" i="129"/>
  <c r="AV34" i="122"/>
  <c r="AG54" i="122"/>
  <c r="AS13" i="122"/>
  <c r="Z52" i="120"/>
  <c r="P38" i="122"/>
  <c r="BA41" i="122"/>
  <c r="AH52" i="122"/>
  <c r="P57" i="120"/>
  <c r="AJ30" i="122"/>
  <c r="H32" i="122"/>
  <c r="AS43" i="122"/>
  <c r="H17" i="120"/>
  <c r="BE13" i="122"/>
  <c r="BE18" i="122"/>
  <c r="V35" i="122"/>
  <c r="AB23" i="120"/>
  <c r="BB22" i="132"/>
  <c r="AI45" i="129"/>
  <c r="AD18" i="123"/>
  <c r="AQ53" i="123"/>
  <c r="AF23" i="119"/>
  <c r="AY48" i="119"/>
  <c r="L55" i="118"/>
  <c r="AM13" i="118"/>
  <c r="G26" i="120"/>
  <c r="AP40" i="117"/>
  <c r="I12" i="117"/>
  <c r="AN25" i="129"/>
  <c r="AO31" i="123"/>
  <c r="K16" i="123"/>
  <c r="M29" i="123"/>
  <c r="L24" i="129"/>
  <c r="AH10" i="123"/>
  <c r="Y33" i="123"/>
  <c r="AX24" i="123"/>
  <c r="AU52" i="120"/>
  <c r="G37" i="122"/>
  <c r="Y38" i="122"/>
  <c r="Y50" i="122"/>
  <c r="AJ57" i="120"/>
  <c r="T47" i="122"/>
  <c r="AF48" i="122"/>
  <c r="W9" i="122"/>
  <c r="U27" i="120"/>
  <c r="AD37" i="122"/>
  <c r="P41" i="122"/>
  <c r="AS51" i="122"/>
  <c r="AR33" i="120"/>
  <c r="AQ21" i="128"/>
  <c r="K39" i="130"/>
  <c r="AJ46" i="124"/>
  <c r="AR53" i="124"/>
  <c r="AN12" i="124"/>
  <c r="AT11" i="117"/>
  <c r="P58" i="117"/>
  <c r="T8" i="128"/>
  <c r="AD53" i="120"/>
  <c r="AU56" i="117"/>
  <c r="AR12" i="117"/>
  <c r="BB40" i="128"/>
  <c r="P46" i="121"/>
  <c r="J27" i="121"/>
  <c r="AY43" i="121"/>
  <c r="AF17" i="128"/>
  <c r="Q22" i="121"/>
  <c r="AE51" i="121"/>
  <c r="H11" i="121"/>
  <c r="AP54" i="120"/>
  <c r="N8" i="121"/>
  <c r="N10" i="121"/>
  <c r="AO22" i="121"/>
  <c r="AO49" i="120"/>
  <c r="BC10" i="121"/>
  <c r="BC12" i="121"/>
  <c r="AD25" i="121"/>
  <c r="AD55" i="120"/>
  <c r="AK40" i="121"/>
  <c r="T40" i="121"/>
  <c r="AQ15" i="121"/>
  <c r="AV25" i="120"/>
  <c r="AZ50" i="129"/>
  <c r="X53" i="131"/>
  <c r="Y31" i="126"/>
  <c r="AY17" i="124"/>
  <c r="P34" i="123"/>
  <c r="P50" i="128"/>
  <c r="AL29" i="117"/>
  <c r="L29" i="125"/>
  <c r="BC58" i="119"/>
  <c r="AH42" i="124"/>
  <c r="AW49" i="124"/>
  <c r="AS36" i="128"/>
  <c r="AO15" i="119"/>
  <c r="AG49" i="119"/>
  <c r="X11" i="119"/>
  <c r="H42" i="128"/>
  <c r="AS41" i="119"/>
  <c r="AO23" i="119"/>
  <c r="Z35" i="119"/>
  <c r="L50" i="119"/>
  <c r="BE18" i="121"/>
  <c r="AB21" i="121"/>
  <c r="X30" i="121"/>
  <c r="AB55" i="119"/>
  <c r="AT15" i="121"/>
  <c r="M17" i="121"/>
  <c r="S26" i="121"/>
  <c r="AG9" i="119"/>
  <c r="BC26" i="121"/>
  <c r="V29" i="121"/>
  <c r="AD37" i="121"/>
  <c r="P21" i="119"/>
  <c r="AG27" i="127"/>
  <c r="P48" i="131"/>
  <c r="BE33" i="127"/>
  <c r="AS34" i="127"/>
  <c r="O14" i="119"/>
  <c r="AV31" i="124"/>
  <c r="S9" i="123"/>
  <c r="AK43" i="118"/>
  <c r="AT53" i="118"/>
  <c r="O8" i="123"/>
  <c r="AT22" i="123"/>
  <c r="P34" i="127"/>
  <c r="AN53" i="124"/>
  <c r="X11" i="124"/>
  <c r="BA13" i="124"/>
  <c r="V37" i="127"/>
  <c r="T10" i="124"/>
  <c r="AF16" i="124"/>
  <c r="J20" i="124"/>
  <c r="AU22" i="118"/>
  <c r="N44" i="120"/>
  <c r="AJ45" i="120"/>
  <c r="AB57" i="120"/>
  <c r="T27" i="118"/>
  <c r="J49" i="120"/>
  <c r="AB50" i="120"/>
  <c r="Z58" i="120"/>
  <c r="G9" i="118"/>
  <c r="J54" i="120"/>
  <c r="AB55" i="120"/>
  <c r="G29" i="120"/>
  <c r="AZ32" i="118"/>
  <c r="AV22" i="126"/>
  <c r="L38" i="130"/>
  <c r="T9" i="126"/>
  <c r="BA24" i="126"/>
  <c r="U18" i="119"/>
  <c r="AP41" i="124"/>
  <c r="AZ10" i="123"/>
  <c r="S35" i="118"/>
  <c r="AL54" i="118"/>
  <c r="BD8" i="123"/>
  <c r="AI23" i="123"/>
  <c r="BB17" i="127"/>
  <c r="Y54" i="124"/>
  <c r="AF11" i="124"/>
  <c r="H14" i="124"/>
  <c r="AM42" i="126"/>
  <c r="X10" i="124"/>
  <c r="AJ16" i="124"/>
  <c r="N20" i="124"/>
  <c r="AY53" i="118"/>
  <c r="AK40" i="119"/>
  <c r="T40" i="119"/>
  <c r="K15" i="119"/>
  <c r="AH48" i="118"/>
  <c r="BD50" i="120"/>
  <c r="U52" i="120"/>
  <c r="AM42" i="119"/>
  <c r="AC55" i="118"/>
  <c r="AN56" i="120"/>
  <c r="I58" i="120"/>
  <c r="AH55" i="120"/>
  <c r="Q34" i="118"/>
  <c r="J29" i="129"/>
  <c r="G17" i="128"/>
  <c r="V32" i="117"/>
  <c r="AS37" i="117"/>
  <c r="AX55" i="118"/>
  <c r="AE53" i="122"/>
  <c r="AM39" i="122"/>
  <c r="AN26" i="117"/>
  <c r="AY41" i="117"/>
  <c r="Q29" i="122"/>
  <c r="BB35" i="122"/>
  <c r="Z50" i="126"/>
  <c r="AM29" i="123"/>
  <c r="AM44" i="123"/>
  <c r="AM9" i="123"/>
  <c r="Z56" i="126"/>
  <c r="AP27" i="123"/>
  <c r="AI35" i="123"/>
  <c r="Q38" i="123"/>
  <c r="AS31" i="117"/>
  <c r="AJ41" i="119"/>
  <c r="BA42" i="119"/>
  <c r="BA50" i="119"/>
  <c r="L37" i="117"/>
  <c r="AH46" i="119"/>
  <c r="AW47" i="119"/>
  <c r="AW55" i="119"/>
  <c r="V43" i="117"/>
  <c r="AO51" i="119"/>
  <c r="L53" i="119"/>
  <c r="BB9" i="119"/>
  <c r="AC9" i="117"/>
  <c r="BC53" i="127"/>
  <c r="AU32" i="130"/>
  <c r="J23" i="130"/>
  <c r="AN38" i="130"/>
  <c r="AG39" i="124"/>
  <c r="AE50" i="121"/>
  <c r="N55" i="125"/>
  <c r="AU49" i="126"/>
  <c r="AU10" i="131"/>
  <c r="AO31" i="131"/>
  <c r="V13" i="131"/>
  <c r="W49" i="126"/>
  <c r="Q9" i="123"/>
  <c r="J12" i="123"/>
  <c r="AH24" i="123"/>
  <c r="G44" i="126"/>
  <c r="N8" i="123"/>
  <c r="AH32" i="123"/>
  <c r="BE37" i="123"/>
  <c r="AF24" i="117"/>
  <c r="AM38" i="118"/>
  <c r="AM21" i="118"/>
  <c r="V40" i="118"/>
  <c r="V52" i="117"/>
  <c r="AB46" i="119"/>
  <c r="AY47" i="119"/>
  <c r="V56" i="119"/>
  <c r="L12" i="117"/>
  <c r="Q55" i="119"/>
  <c r="AK56" i="119"/>
  <c r="V14" i="119"/>
  <c r="L17" i="117"/>
  <c r="H57" i="119"/>
  <c r="Z58" i="119"/>
  <c r="J22" i="119"/>
  <c r="S46" i="117"/>
  <c r="Y11" i="119"/>
  <c r="AP12" i="119"/>
  <c r="BC26" i="119"/>
  <c r="AU12" i="117"/>
  <c r="AB23" i="119"/>
  <c r="AO24" i="119"/>
  <c r="AF16" i="122"/>
  <c r="AX49" i="117"/>
  <c r="P36" i="117"/>
  <c r="AZ57" i="122"/>
  <c r="AT32" i="118"/>
  <c r="AC12" i="117"/>
  <c r="AT15" i="118"/>
  <c r="AT42" i="124"/>
  <c r="AR53" i="118"/>
  <c r="AI45" i="120"/>
  <c r="BB46" i="120"/>
  <c r="G55" i="120"/>
  <c r="Z58" i="118"/>
  <c r="O51" i="120"/>
  <c r="AG52" i="120"/>
  <c r="BE49" i="120"/>
  <c r="Q36" i="118"/>
  <c r="O57" i="120"/>
  <c r="AK58" i="120"/>
  <c r="AU55" i="120"/>
  <c r="AK42" i="118"/>
  <c r="AW39" i="130"/>
  <c r="L47" i="127"/>
  <c r="Y48" i="118"/>
  <c r="BA52" i="118"/>
  <c r="AB43" i="118"/>
  <c r="AP39" i="122"/>
  <c r="Z52" i="123"/>
  <c r="G20" i="117"/>
  <c r="AD41" i="117"/>
  <c r="AM56" i="122"/>
  <c r="AM21" i="122"/>
  <c r="BC50" i="126"/>
  <c r="I15" i="124"/>
  <c r="AZ22" i="124"/>
  <c r="AG25" i="124"/>
  <c r="AY55" i="126"/>
  <c r="AM10" i="123"/>
  <c r="AM25" i="123"/>
  <c r="AS40" i="123"/>
  <c r="AO31" i="117"/>
  <c r="P41" i="119"/>
  <c r="AB42" i="119"/>
  <c r="AB50" i="119"/>
  <c r="AQ36" i="117"/>
  <c r="AD46" i="119"/>
  <c r="AS47" i="119"/>
  <c r="AS55" i="119"/>
  <c r="AT55" i="117"/>
  <c r="AJ51" i="119"/>
  <c r="H53" i="119"/>
  <c r="AX9" i="119"/>
  <c r="AH10" i="117"/>
  <c r="T25" i="126"/>
  <c r="AL56" i="131"/>
  <c r="AU11" i="130"/>
  <c r="AD22" i="130"/>
  <c r="AB45" i="117"/>
  <c r="S50" i="121"/>
  <c r="AJ23" i="125"/>
  <c r="S53" i="126"/>
  <c r="AX50" i="125"/>
  <c r="K54" i="125"/>
  <c r="P46" i="125"/>
  <c r="AJ43" i="126"/>
  <c r="AZ51" i="123"/>
  <c r="Y51" i="123"/>
  <c r="P20" i="123"/>
  <c r="AZ54" i="126"/>
  <c r="Q50" i="123"/>
  <c r="AJ31" i="123"/>
  <c r="H37" i="123"/>
  <c r="H47" i="117"/>
  <c r="BA39" i="119"/>
  <c r="Z42" i="119"/>
  <c r="AQ50" i="119"/>
  <c r="Q58" i="117"/>
  <c r="AR49" i="119"/>
  <c r="M51" i="119"/>
  <c r="Z8" i="119"/>
  <c r="L34" i="117"/>
  <c r="T49" i="119"/>
  <c r="AL50" i="119"/>
  <c r="M18" i="119"/>
  <c r="AH39" i="117"/>
  <c r="BB36" i="129"/>
  <c r="AP38" i="126"/>
  <c r="S13" i="128"/>
  <c r="V43" i="128"/>
  <c r="AY16" i="123"/>
  <c r="AV52" i="120"/>
  <c r="G13" i="128"/>
  <c r="AV57" i="125"/>
  <c r="AG52" i="128"/>
  <c r="AP35" i="128"/>
  <c r="G23" i="132"/>
  <c r="K43" i="125"/>
  <c r="N58" i="123"/>
  <c r="S58" i="123"/>
  <c r="V50" i="128"/>
  <c r="AN48" i="125"/>
  <c r="AB45" i="123"/>
  <c r="BA58" i="123"/>
  <c r="AW46" i="130"/>
  <c r="AK49" i="124"/>
  <c r="AB13" i="118"/>
  <c r="AO14" i="118"/>
  <c r="BA11" i="128"/>
  <c r="AE25" i="124"/>
  <c r="H18" i="118"/>
  <c r="Z20" i="118"/>
  <c r="Z48" i="125"/>
  <c r="AC31" i="124"/>
  <c r="AO23" i="118"/>
  <c r="BA24" i="118"/>
  <c r="AM37" i="124"/>
  <c r="BD36" i="124"/>
  <c r="AU9" i="119"/>
  <c r="Z11" i="119"/>
  <c r="BE20" i="119"/>
  <c r="BA45" i="117"/>
  <c r="AN20" i="119"/>
  <c r="BB21" i="119"/>
  <c r="G31" i="119"/>
  <c r="AU29" i="117"/>
  <c r="X22" i="119"/>
  <c r="AU23" i="119"/>
  <c r="AG47" i="121"/>
  <c r="W34" i="124"/>
  <c r="AL9" i="120"/>
  <c r="AE56" i="117"/>
  <c r="AI42" i="121"/>
  <c r="AZ20" i="124"/>
  <c r="BA57" i="121"/>
  <c r="T31" i="117"/>
  <c r="L41" i="119"/>
  <c r="X42" i="119"/>
  <c r="X50" i="119"/>
  <c r="Y50" i="117"/>
  <c r="Z46" i="119"/>
  <c r="AO47" i="119"/>
  <c r="AO55" i="119"/>
  <c r="AI49" i="117"/>
  <c r="W57" i="119"/>
  <c r="BB58" i="119"/>
  <c r="T15" i="119"/>
  <c r="I55" i="117"/>
  <c r="AF43" i="127"/>
  <c r="AC53" i="125"/>
  <c r="L21" i="131"/>
  <c r="Z20" i="131"/>
  <c r="K51" i="117"/>
  <c r="AH43" i="121"/>
  <c r="AT23" i="125"/>
  <c r="AV21" i="126"/>
  <c r="K34" i="125"/>
  <c r="AC46" i="125"/>
  <c r="Z37" i="125"/>
  <c r="V54" i="126"/>
  <c r="AO49" i="123"/>
  <c r="O12" i="123"/>
  <c r="AZ14" i="123"/>
  <c r="BA48" i="126"/>
  <c r="AX45" i="123"/>
  <c r="AF29" i="123"/>
  <c r="BC34" i="123"/>
  <c r="AP52" i="117"/>
  <c r="S44" i="119"/>
  <c r="AK45" i="119"/>
  <c r="AX53" i="119"/>
  <c r="AO27" i="117"/>
  <c r="AQ43" i="119"/>
  <c r="BE44" i="119"/>
  <c r="Z53" i="119"/>
  <c r="Y39" i="117"/>
  <c r="AE52" i="119"/>
  <c r="AT53" i="119"/>
  <c r="V11" i="119"/>
  <c r="BD45" i="117"/>
  <c r="U20" i="130"/>
  <c r="AW20" i="126"/>
  <c r="AY27" i="128"/>
  <c r="AU51" i="128"/>
  <c r="S23" i="123"/>
  <c r="K35" i="120"/>
  <c r="AO40" i="128"/>
  <c r="AS34" i="126"/>
  <c r="BD58" i="126"/>
  <c r="BB29" i="120"/>
  <c r="U31" i="120"/>
  <c r="AR52" i="127"/>
  <c r="AR20" i="126"/>
  <c r="AK35" i="120"/>
  <c r="I37" i="120"/>
  <c r="AY27" i="127"/>
  <c r="I46" i="127"/>
  <c r="AR42" i="120"/>
  <c r="I44" i="120"/>
  <c r="AP20" i="127"/>
  <c r="BE51" i="128"/>
  <c r="AK41" i="131"/>
  <c r="AT32" i="117"/>
  <c r="K51" i="119"/>
  <c r="X18" i="120"/>
  <c r="X22" i="127"/>
  <c r="BE9" i="121"/>
  <c r="BA37" i="131"/>
  <c r="M45" i="123"/>
  <c r="BE53" i="121"/>
  <c r="AC9" i="121"/>
  <c r="V56" i="120"/>
  <c r="Z38" i="118"/>
  <c r="T50" i="124"/>
  <c r="BA56" i="124"/>
  <c r="AR18" i="119"/>
  <c r="X46" i="118"/>
  <c r="I51" i="124"/>
  <c r="AX57" i="124"/>
  <c r="L9" i="118"/>
  <c r="AG50" i="118"/>
  <c r="AJ24" i="119"/>
  <c r="BA25" i="119"/>
  <c r="M56" i="119"/>
  <c r="AM15" i="118"/>
  <c r="AW30" i="119"/>
  <c r="T32" i="119"/>
  <c r="AT39" i="120"/>
  <c r="AE23" i="119"/>
  <c r="T36" i="119"/>
  <c r="AL37" i="119"/>
  <c r="AN23" i="119"/>
  <c r="N24" i="131"/>
  <c r="U56" i="126"/>
  <c r="AO12" i="127"/>
  <c r="AI49" i="123"/>
  <c r="AX13" i="119"/>
  <c r="AY38" i="126"/>
  <c r="L30" i="120"/>
  <c r="AJ54" i="128"/>
  <c r="AU22" i="123"/>
  <c r="AH29" i="120"/>
  <c r="N12" i="120"/>
  <c r="V46" i="118"/>
  <c r="AL37" i="118"/>
  <c r="BD34" i="123"/>
  <c r="AV42" i="123"/>
  <c r="I8" i="118"/>
  <c r="W46" i="118"/>
  <c r="W30" i="123"/>
  <c r="BB44" i="123"/>
  <c r="AE9" i="123"/>
  <c r="N32" i="123"/>
  <c r="N24" i="119"/>
  <c r="AL25" i="119"/>
  <c r="K37" i="123"/>
  <c r="AY38" i="123"/>
  <c r="I34" i="119"/>
  <c r="AE35" i="119"/>
  <c r="AM27" i="123"/>
  <c r="AX36" i="123"/>
  <c r="X33" i="119"/>
  <c r="AU34" i="119"/>
  <c r="Z40" i="123"/>
  <c r="W30" i="128"/>
  <c r="BC47" i="122"/>
  <c r="AQ40" i="123"/>
  <c r="V18" i="121"/>
  <c r="BA58" i="118"/>
  <c r="AP41" i="125"/>
  <c r="V24" i="120"/>
  <c r="AD25" i="130"/>
  <c r="G45" i="122"/>
  <c r="U57" i="120"/>
  <c r="BA29" i="120"/>
  <c r="U55" i="117"/>
  <c r="Y53" i="117"/>
  <c r="AX58" i="123"/>
  <c r="V49" i="123"/>
  <c r="AG27" i="117"/>
  <c r="AT36" i="117"/>
  <c r="J54" i="123"/>
  <c r="L45" i="123"/>
  <c r="S23" i="122"/>
  <c r="BB42" i="127"/>
  <c r="W10" i="126"/>
  <c r="AU52" i="126"/>
  <c r="K32" i="122"/>
  <c r="AR33" i="131"/>
  <c r="X9" i="130"/>
  <c r="Y10" i="129"/>
  <c r="AN8" i="122"/>
  <c r="Y40" i="121"/>
  <c r="AW8" i="118"/>
  <c r="L10" i="118"/>
  <c r="G14" i="122"/>
  <c r="AR42" i="123"/>
  <c r="BB45" i="119"/>
  <c r="U47" i="119"/>
  <c r="W26" i="123"/>
  <c r="AC14" i="123"/>
  <c r="Z45" i="119"/>
  <c r="AO46" i="119"/>
  <c r="AR25" i="123"/>
  <c r="V41" i="123"/>
  <c r="BB56" i="119"/>
  <c r="S58" i="119"/>
  <c r="I25" i="119"/>
  <c r="AX30" i="117"/>
  <c r="BB48" i="122"/>
  <c r="AX14" i="119"/>
  <c r="S15" i="123"/>
  <c r="W31" i="123"/>
  <c r="W16" i="117"/>
  <c r="AF26" i="123"/>
  <c r="AW39" i="118"/>
  <c r="G42" i="118"/>
  <c r="AN42" i="117"/>
  <c r="U34" i="118"/>
  <c r="J9" i="118"/>
  <c r="BE17" i="129"/>
  <c r="AL9" i="119"/>
  <c r="AF23" i="123"/>
  <c r="BD39" i="118"/>
  <c r="BD37" i="118"/>
  <c r="AS11" i="123"/>
  <c r="M35" i="123"/>
  <c r="AZ17" i="123"/>
  <c r="AP14" i="117"/>
  <c r="M46" i="118"/>
  <c r="AX55" i="117"/>
  <c r="AT44" i="117"/>
  <c r="AE47" i="117"/>
  <c r="AW9" i="117"/>
  <c r="BA47" i="117"/>
  <c r="X10" i="122"/>
  <c r="AR40" i="117"/>
  <c r="AZ35" i="117"/>
  <c r="Q47" i="118"/>
  <c r="AT45" i="123"/>
  <c r="Z31" i="123"/>
  <c r="Y34" i="120"/>
  <c r="K50" i="122"/>
  <c r="H26" i="119"/>
  <c r="H57" i="118"/>
  <c r="K54" i="118"/>
  <c r="Y52" i="118"/>
  <c r="AC54" i="121"/>
  <c r="L50" i="118"/>
  <c r="BB11" i="118"/>
  <c r="AW43" i="118"/>
  <c r="AW8" i="121"/>
  <c r="AV57" i="118"/>
  <c r="BC54" i="118"/>
  <c r="AF52" i="118"/>
  <c r="AO54" i="120"/>
  <c r="Q15" i="123"/>
  <c r="J47" i="118"/>
  <c r="AP30" i="130"/>
  <c r="AS38" i="119"/>
  <c r="AR41" i="119"/>
  <c r="AO18" i="122"/>
  <c r="P55" i="117"/>
  <c r="AB25" i="117"/>
  <c r="P51" i="122"/>
  <c r="AB41" i="117"/>
  <c r="J36" i="117"/>
  <c r="S45" i="117"/>
  <c r="AX31" i="122"/>
  <c r="AL33" i="123"/>
  <c r="S35" i="120"/>
  <c r="AW42" i="122"/>
  <c r="AJ29" i="119"/>
  <c r="AM26" i="117"/>
  <c r="AM8" i="117"/>
  <c r="U25" i="117"/>
  <c r="AG54" i="121"/>
  <c r="AV44" i="118"/>
  <c r="U50" i="118"/>
  <c r="U57" i="118"/>
  <c r="N54" i="121"/>
  <c r="M12" i="117"/>
  <c r="AG17" i="117"/>
  <c r="I30" i="117"/>
  <c r="AR50" i="119"/>
  <c r="AY41" i="123"/>
  <c r="U53" i="117"/>
  <c r="AF56" i="125"/>
  <c r="V24" i="119"/>
  <c r="BE38" i="119"/>
  <c r="AP53" i="122"/>
  <c r="P22" i="124"/>
  <c r="AZ55" i="117"/>
  <c r="AG38" i="122"/>
  <c r="AO25" i="124"/>
  <c r="AV32" i="117"/>
  <c r="Q21" i="122"/>
  <c r="T48" i="123"/>
  <c r="Y53" i="120"/>
  <c r="K26" i="122"/>
  <c r="BE31" i="119"/>
  <c r="U36" i="123"/>
  <c r="AP42" i="123"/>
  <c r="AQ14" i="123"/>
  <c r="K49" i="121"/>
  <c r="AO47" i="124"/>
  <c r="H53" i="124"/>
  <c r="Y36" i="124"/>
  <c r="AP14" i="120"/>
  <c r="AD21" i="123"/>
  <c r="Y11" i="123"/>
  <c r="BC18" i="123"/>
  <c r="BC26" i="120"/>
  <c r="AF51" i="122"/>
  <c r="U30" i="120"/>
  <c r="N31" i="119"/>
  <c r="AT25" i="118"/>
  <c r="G41" i="118"/>
  <c r="AY34" i="120"/>
  <c r="Q41" i="124"/>
  <c r="BB47" i="118"/>
  <c r="AZ40" i="117"/>
  <c r="AI52" i="122"/>
  <c r="AK9" i="120"/>
  <c r="O9" i="123"/>
  <c r="AY25" i="120"/>
  <c r="AH50" i="122"/>
  <c r="N12" i="119"/>
  <c r="BB51" i="120"/>
  <c r="AF41" i="118"/>
  <c r="J9" i="122"/>
  <c r="AH10" i="122"/>
  <c r="BE22" i="122"/>
  <c r="AN39" i="120"/>
  <c r="AO53" i="122"/>
  <c r="AY58" i="122"/>
  <c r="AT18" i="122"/>
  <c r="P36" i="120"/>
  <c r="BC25" i="122"/>
  <c r="V27" i="122"/>
  <c r="AP49" i="122"/>
  <c r="Z14" i="122"/>
  <c r="K55" i="121"/>
  <c r="AH41" i="117"/>
  <c r="AL46" i="123"/>
  <c r="Y8" i="117"/>
  <c r="Q55" i="118"/>
  <c r="U13" i="118"/>
  <c r="AL24" i="123"/>
  <c r="AB11" i="121"/>
  <c r="AY23" i="130"/>
  <c r="N8" i="118"/>
  <c r="U15" i="122"/>
  <c r="X48" i="118"/>
  <c r="L53" i="121"/>
  <c r="W11" i="118"/>
  <c r="AQ47" i="120"/>
  <c r="BA47" i="118"/>
  <c r="AE18" i="121"/>
  <c r="G22" i="120"/>
  <c r="H47" i="118"/>
  <c r="AP9" i="118"/>
  <c r="AF22" i="130"/>
  <c r="AG47" i="125"/>
  <c r="BC47" i="125"/>
  <c r="AM58" i="124"/>
  <c r="AI14" i="130"/>
  <c r="AJ22" i="124"/>
  <c r="Z57" i="124"/>
  <c r="AL18" i="124"/>
  <c r="Y20" i="120"/>
  <c r="AB23" i="123"/>
  <c r="AQ29" i="123"/>
  <c r="AW17" i="123"/>
  <c r="Q17" i="120"/>
  <c r="AR35" i="123"/>
  <c r="X20" i="123"/>
  <c r="U49" i="123"/>
  <c r="AP10" i="120"/>
  <c r="M31" i="123"/>
  <c r="AN36" i="123"/>
  <c r="AO20" i="123"/>
  <c r="M16" i="120"/>
  <c r="J15" i="128"/>
  <c r="AF31" i="129"/>
  <c r="P47" i="128"/>
  <c r="AQ18" i="126"/>
  <c r="T34" i="123"/>
  <c r="M57" i="127"/>
  <c r="T44" i="124"/>
  <c r="O14" i="124"/>
  <c r="I8" i="119"/>
  <c r="Z45" i="124"/>
  <c r="X52" i="124"/>
  <c r="Y42" i="128"/>
  <c r="BB11" i="119"/>
  <c r="L47" i="119"/>
  <c r="AJ57" i="119"/>
  <c r="AZ46" i="128"/>
  <c r="AY32" i="119"/>
  <c r="AC21" i="119"/>
  <c r="O33" i="119"/>
  <c r="AN20" i="121"/>
  <c r="W58" i="117"/>
  <c r="BB16" i="117"/>
  <c r="V8" i="117"/>
  <c r="AQ31" i="121"/>
  <c r="AC51" i="118"/>
  <c r="J56" i="118"/>
  <c r="AM45" i="117"/>
  <c r="AR43" i="121"/>
  <c r="N50" i="118"/>
  <c r="AY56" i="118"/>
  <c r="U38" i="118"/>
  <c r="M49" i="121"/>
  <c r="T33" i="124"/>
  <c r="AD53" i="124"/>
  <c r="Q42" i="124"/>
  <c r="AP18" i="124"/>
  <c r="AV25" i="128"/>
  <c r="BC29" i="121"/>
  <c r="AD9" i="118"/>
  <c r="U16" i="125"/>
  <c r="AP30" i="121"/>
  <c r="AI8" i="118"/>
  <c r="S15" i="118"/>
  <c r="AK9" i="131"/>
  <c r="Y32" i="127"/>
  <c r="G52" i="127"/>
  <c r="AN50" i="127"/>
  <c r="G37" i="131"/>
  <c r="BE40" i="126"/>
  <c r="AZ14" i="126"/>
  <c r="AX26" i="126"/>
  <c r="H30" i="121"/>
  <c r="Z11" i="117"/>
  <c r="V17" i="117"/>
  <c r="AX42" i="117"/>
  <c r="BB25" i="121"/>
  <c r="AP42" i="117"/>
  <c r="Q48" i="117"/>
  <c r="AC43" i="117"/>
  <c r="J37" i="121"/>
  <c r="X56" i="118"/>
  <c r="Y53" i="118"/>
  <c r="Y40" i="117"/>
  <c r="AB43" i="121"/>
  <c r="N18" i="120"/>
  <c r="AB43" i="131"/>
  <c r="V55" i="130"/>
  <c r="AQ15" i="128"/>
  <c r="K42" i="123"/>
  <c r="AY48" i="120"/>
  <c r="AS48" i="118"/>
  <c r="AL27" i="122"/>
  <c r="BB8" i="120"/>
  <c r="AL46" i="118"/>
  <c r="AK9" i="118"/>
  <c r="K21" i="130"/>
  <c r="AP34" i="125"/>
  <c r="BA29" i="125"/>
  <c r="AU41" i="125"/>
  <c r="G38" i="130"/>
  <c r="AD42" i="125"/>
  <c r="AM22" i="124"/>
  <c r="AN40" i="124"/>
  <c r="AT11" i="120"/>
  <c r="BD11" i="123"/>
  <c r="AZ23" i="123"/>
  <c r="BE46" i="123"/>
  <c r="AL23" i="120"/>
  <c r="Z51" i="123"/>
  <c r="AV12" i="123"/>
  <c r="AE48" i="123"/>
  <c r="Z40" i="120"/>
  <c r="AG12" i="123"/>
  <c r="BB17" i="123"/>
  <c r="BD26" i="123"/>
  <c r="H40" i="120"/>
  <c r="AW24" i="129"/>
  <c r="AN8" i="128"/>
  <c r="AQ14" i="122"/>
  <c r="S29" i="121"/>
  <c r="P42" i="118"/>
  <c r="P35" i="118"/>
  <c r="I15" i="117"/>
  <c r="AC43" i="118"/>
  <c r="AR46" i="120"/>
  <c r="AK55" i="117"/>
  <c r="AG11" i="117"/>
  <c r="AZ11" i="129"/>
  <c r="AQ26" i="123"/>
  <c r="BA10" i="123"/>
  <c r="N22" i="123"/>
  <c r="AO29" i="129"/>
  <c r="BB57" i="123"/>
  <c r="AO56" i="123"/>
  <c r="I57" i="123"/>
  <c r="N48" i="120"/>
  <c r="Y21" i="122"/>
  <c r="BB24" i="122"/>
  <c r="Y41" i="122"/>
  <c r="BB42" i="120"/>
  <c r="Q10" i="122"/>
  <c r="I12" i="122"/>
  <c r="AC27" i="122"/>
  <c r="K29" i="120"/>
  <c r="M53" i="122"/>
  <c r="AE54" i="122"/>
  <c r="BC14" i="122"/>
  <c r="AK34" i="120"/>
  <c r="AT9" i="127"/>
  <c r="AO45" i="131"/>
  <c r="AV27" i="128"/>
  <c r="W42" i="128"/>
  <c r="AU24" i="121"/>
  <c r="U35" i="122"/>
  <c r="AH29" i="124"/>
  <c r="BA11" i="121"/>
  <c r="J12" i="119"/>
  <c r="AP10" i="124"/>
  <c r="AC17" i="124"/>
  <c r="AM55" i="127"/>
  <c r="AP45" i="117"/>
  <c r="AK34" i="117"/>
  <c r="AE46" i="117"/>
  <c r="AE18" i="127"/>
  <c r="H22" i="117"/>
  <c r="K35" i="117"/>
  <c r="AY15" i="117"/>
  <c r="AM9" i="120"/>
  <c r="U40" i="123"/>
  <c r="I8" i="123"/>
  <c r="AK43" i="123"/>
  <c r="Y48" i="121"/>
  <c r="M9" i="124"/>
  <c r="AK14" i="124"/>
  <c r="U50" i="124"/>
  <c r="AV39" i="121"/>
  <c r="Y13" i="124"/>
  <c r="AX18" i="124"/>
  <c r="AI54" i="124"/>
  <c r="AV46" i="121"/>
  <c r="BE30" i="121"/>
  <c r="BE42" i="121"/>
  <c r="AQ22" i="125"/>
  <c r="AX45" i="131"/>
  <c r="K56" i="124"/>
  <c r="L57" i="120"/>
  <c r="Z49" i="118"/>
  <c r="AG45" i="122"/>
  <c r="AV40" i="120"/>
  <c r="AF47" i="118"/>
  <c r="AK10" i="118"/>
  <c r="AH15" i="130"/>
  <c r="AR42" i="125"/>
  <c r="BE38" i="125"/>
  <c r="AO50" i="125"/>
  <c r="H37" i="130"/>
  <c r="Q55" i="125"/>
  <c r="BA52" i="125"/>
  <c r="AB48" i="125"/>
  <c r="J17" i="120"/>
  <c r="N27" i="123"/>
  <c r="AS33" i="123"/>
  <c r="AR24" i="123"/>
  <c r="AS40" i="120"/>
  <c r="Y25" i="123"/>
  <c r="AV31" i="123"/>
  <c r="AX30" i="123"/>
  <c r="AX53" i="121"/>
  <c r="AX32" i="124"/>
  <c r="U38" i="124"/>
  <c r="T42" i="124"/>
  <c r="AX42" i="121"/>
  <c r="BA53" i="130"/>
  <c r="AQ18" i="129"/>
  <c r="AD58" i="122"/>
  <c r="BA33" i="121"/>
  <c r="AX17" i="119"/>
  <c r="AD40" i="118"/>
  <c r="X40" i="117"/>
  <c r="AF11" i="118"/>
  <c r="AE26" i="120"/>
  <c r="AK13" i="117"/>
  <c r="AG21" i="117"/>
  <c r="BA21" i="129"/>
  <c r="AV18" i="123"/>
  <c r="BC30" i="123"/>
  <c r="AI9" i="123"/>
  <c r="P25" i="129"/>
  <c r="BD30" i="123"/>
  <c r="AY33" i="123"/>
  <c r="L26" i="123"/>
  <c r="P56" i="120"/>
  <c r="N58" i="122"/>
  <c r="H25" i="122"/>
  <c r="AC17" i="122"/>
  <c r="BE57" i="120"/>
  <c r="AZ44" i="122"/>
  <c r="AG47" i="122"/>
  <c r="AI58" i="122"/>
  <c r="AP27" i="120"/>
  <c r="BA53" i="122"/>
  <c r="T55" i="122"/>
  <c r="BE42" i="122"/>
  <c r="M34" i="120"/>
  <c r="AZ55" i="129"/>
  <c r="AI29" i="129"/>
  <c r="AB52" i="124"/>
  <c r="U54" i="124"/>
  <c r="S13" i="124"/>
  <c r="AB35" i="117"/>
  <c r="T58" i="117"/>
  <c r="AT39" i="128"/>
  <c r="AM49" i="119"/>
  <c r="AY56" i="117"/>
  <c r="K13" i="117"/>
  <c r="AB12" i="128"/>
  <c r="I46" i="121"/>
  <c r="AV27" i="121"/>
  <c r="AK39" i="121"/>
  <c r="AK22" i="128"/>
  <c r="AG14" i="121"/>
  <c r="AR44" i="121"/>
  <c r="AO14" i="121"/>
  <c r="AV14" i="119"/>
  <c r="AU12" i="121"/>
  <c r="AQ14" i="121"/>
  <c r="BE26" i="121"/>
  <c r="AM46" i="119"/>
  <c r="N16" i="121"/>
  <c r="J18" i="121"/>
  <c r="P31" i="121"/>
  <c r="N55" i="120"/>
  <c r="AY18" i="121"/>
  <c r="AQ21" i="121"/>
  <c r="AW33" i="121"/>
  <c r="AI25" i="120"/>
  <c r="AG41" i="130"/>
  <c r="BC36" i="129"/>
  <c r="J44" i="127"/>
  <c r="AJ44" i="127"/>
  <c r="AF24" i="120"/>
  <c r="W22" i="117"/>
  <c r="AL40" i="123"/>
  <c r="I23" i="119"/>
  <c r="BC43" i="118"/>
  <c r="AT9" i="123"/>
  <c r="AK16" i="123"/>
  <c r="AE51" i="127"/>
  <c r="AF25" i="117"/>
  <c r="V33" i="117"/>
  <c r="H36" i="117"/>
  <c r="N30" i="127"/>
  <c r="AB10" i="117"/>
  <c r="AO16" i="117"/>
  <c r="V20" i="117"/>
  <c r="BD30" i="118"/>
  <c r="O12" i="120"/>
  <c r="AI13" i="120"/>
  <c r="AP22" i="120"/>
  <c r="AY36" i="118"/>
  <c r="AI17" i="120"/>
  <c r="AZ18" i="120"/>
  <c r="BE11" i="120"/>
  <c r="P26" i="118"/>
  <c r="AX22" i="120"/>
  <c r="AB8" i="120"/>
  <c r="BE15" i="120"/>
  <c r="AQ32" i="118"/>
  <c r="N30" i="125"/>
  <c r="AL56" i="129"/>
  <c r="AL37" i="127"/>
  <c r="AV39" i="127"/>
  <c r="AB8" i="121"/>
  <c r="L17" i="119"/>
  <c r="AI31" i="124"/>
  <c r="U33" i="120"/>
  <c r="BC13" i="118"/>
  <c r="H45" i="124"/>
  <c r="AJ51" i="124"/>
  <c r="AO9" i="127"/>
  <c r="AB23" i="117"/>
  <c r="BE30" i="117"/>
  <c r="AU33" i="117"/>
  <c r="W41" i="127"/>
  <c r="H8" i="117"/>
  <c r="X14" i="117"/>
  <c r="AW16" i="117"/>
  <c r="Y31" i="118"/>
  <c r="BE42" i="120"/>
  <c r="V44" i="120"/>
  <c r="V52" i="120"/>
  <c r="W36" i="118"/>
  <c r="AN17" i="120"/>
  <c r="BD18" i="120"/>
  <c r="X12" i="120"/>
  <c r="AB20" i="118"/>
  <c r="P8" i="120"/>
  <c r="AF9" i="120"/>
  <c r="BE16" i="120"/>
  <c r="AL41" i="118"/>
  <c r="AN18" i="130"/>
  <c r="AB38" i="125"/>
  <c r="AR23" i="125"/>
  <c r="L10" i="125"/>
  <c r="AN10" i="119"/>
  <c r="AN55" i="124"/>
  <c r="V27" i="123"/>
  <c r="BC39" i="118"/>
  <c r="P32" i="118"/>
  <c r="AG29" i="123"/>
  <c r="S36" i="123"/>
  <c r="BD20" i="127"/>
  <c r="AG20" i="124"/>
  <c r="AE27" i="124"/>
  <c r="M31" i="124"/>
  <c r="AD30" i="127"/>
  <c r="AG26" i="124"/>
  <c r="S34" i="124"/>
  <c r="I37" i="124"/>
  <c r="Y24" i="118"/>
  <c r="AC46" i="120"/>
  <c r="AV47" i="120"/>
  <c r="AZ55" i="120"/>
  <c r="AP30" i="118"/>
  <c r="Y52" i="120"/>
  <c r="AR53" i="120"/>
  <c r="AY50" i="120"/>
  <c r="AD33" i="118"/>
  <c r="T46" i="120"/>
  <c r="AQ48" i="120"/>
  <c r="N57" i="120"/>
  <c r="AW38" i="118"/>
  <c r="J36" i="131"/>
  <c r="L51" i="131"/>
  <c r="K16" i="118"/>
  <c r="AE45" i="118"/>
  <c r="O42" i="118"/>
  <c r="AW32" i="123"/>
  <c r="X54" i="123"/>
  <c r="AZ49" i="117"/>
  <c r="AX47" i="117"/>
  <c r="W53" i="123"/>
  <c r="BA43" i="123"/>
  <c r="M11" i="126"/>
  <c r="L57" i="124"/>
  <c r="AX12" i="124"/>
  <c r="AK15" i="124"/>
  <c r="AU56" i="126"/>
  <c r="K58" i="124"/>
  <c r="H18" i="124"/>
  <c r="AO30" i="124"/>
  <c r="AZ44" i="117"/>
  <c r="H41" i="119"/>
  <c r="T42" i="119"/>
  <c r="T50" i="119"/>
  <c r="K44" i="117"/>
  <c r="O50" i="119"/>
  <c r="BD51" i="119"/>
  <c r="T10" i="119"/>
  <c r="U43" i="117"/>
  <c r="AZ56" i="119"/>
  <c r="AG58" i="119"/>
  <c r="P15" i="119"/>
  <c r="AT48" i="117"/>
  <c r="I56" i="127"/>
  <c r="U13" i="124"/>
  <c r="BA21" i="126"/>
  <c r="Z11" i="126"/>
  <c r="AI21" i="122"/>
  <c r="AN11" i="119"/>
  <c r="H15" i="127"/>
  <c r="AI51" i="131"/>
  <c r="P46" i="127"/>
  <c r="BB16" i="127"/>
  <c r="AQ41" i="130"/>
  <c r="P38" i="125"/>
  <c r="AS12" i="122"/>
  <c r="J20" i="122"/>
  <c r="AH39" i="126"/>
  <c r="AP58" i="125"/>
  <c r="AL22" i="122"/>
  <c r="AV27" i="122"/>
  <c r="J44" i="126"/>
  <c r="AE18" i="124"/>
  <c r="AN21" i="118"/>
  <c r="G23" i="118"/>
  <c r="O32" i="118"/>
  <c r="V24" i="124"/>
  <c r="AP26" i="118"/>
  <c r="I29" i="118"/>
  <c r="Q37" i="118"/>
  <c r="AD27" i="124"/>
  <c r="AR32" i="118"/>
  <c r="G34" i="118"/>
  <c r="AH23" i="118"/>
  <c r="AO35" i="124"/>
  <c r="AU51" i="126"/>
  <c r="AY47" i="123"/>
  <c r="N26" i="126"/>
  <c r="AO33" i="126"/>
  <c r="AN36" i="122"/>
  <c r="AX16" i="119"/>
  <c r="AE38" i="127"/>
  <c r="W53" i="131"/>
  <c r="AH48" i="127"/>
  <c r="AS44" i="127"/>
  <c r="X18" i="126"/>
  <c r="AR52" i="125"/>
  <c r="T16" i="122"/>
  <c r="BA23" i="122"/>
  <c r="N31" i="129"/>
  <c r="AY46" i="125"/>
  <c r="AI34" i="122"/>
  <c r="AS17" i="122"/>
  <c r="AU16" i="128"/>
  <c r="AK42" i="124"/>
  <c r="BD51" i="118"/>
  <c r="S53" i="118"/>
  <c r="AS40" i="130"/>
  <c r="AU52" i="124"/>
  <c r="AR20" i="118"/>
  <c r="G22" i="118"/>
  <c r="S58" i="131"/>
  <c r="BD44" i="124"/>
  <c r="BB25" i="118"/>
  <c r="U27" i="118"/>
  <c r="O8" i="130"/>
  <c r="AC50" i="124"/>
  <c r="AO43" i="122"/>
  <c r="G30" i="119"/>
  <c r="AC29" i="124"/>
  <c r="AV56" i="125"/>
  <c r="BE34" i="126"/>
  <c r="AI54" i="118"/>
  <c r="O36" i="125"/>
  <c r="AP10" i="130"/>
  <c r="BA43" i="125"/>
  <c r="AF41" i="125"/>
  <c r="X37" i="131"/>
  <c r="AH50" i="124"/>
  <c r="AT48" i="122"/>
  <c r="BB57" i="122"/>
  <c r="AJ55" i="130"/>
  <c r="AO58" i="124"/>
  <c r="AP56" i="122"/>
  <c r="AY14" i="122"/>
  <c r="AC13" i="118"/>
  <c r="J47" i="123"/>
  <c r="AW20" i="117"/>
  <c r="P22" i="117"/>
  <c r="AF54" i="119"/>
  <c r="U12" i="123"/>
  <c r="M41" i="117"/>
  <c r="AC42" i="117"/>
  <c r="AD9" i="120"/>
  <c r="I14" i="123"/>
  <c r="W39" i="117"/>
  <c r="AP41" i="117"/>
  <c r="H18" i="120"/>
  <c r="AO12" i="130"/>
  <c r="V42" i="118"/>
  <c r="AB48" i="130"/>
  <c r="L21" i="122"/>
  <c r="L23" i="124"/>
  <c r="P18" i="121"/>
  <c r="O38" i="124"/>
  <c r="AY51" i="123"/>
  <c r="AC25" i="129"/>
  <c r="AV23" i="123"/>
  <c r="J33" i="123"/>
  <c r="U57" i="128"/>
  <c r="M18" i="124"/>
  <c r="AD9" i="121"/>
  <c r="P20" i="121"/>
  <c r="H50" i="131"/>
  <c r="J39" i="124"/>
  <c r="BB20" i="121"/>
  <c r="AZ27" i="121"/>
  <c r="AD48" i="128"/>
  <c r="U34" i="123"/>
  <c r="J58" i="117"/>
  <c r="BB44" i="117"/>
  <c r="AR42" i="128"/>
  <c r="AN12" i="123"/>
  <c r="AS17" i="117"/>
  <c r="BE18" i="117"/>
  <c r="AU53" i="129"/>
  <c r="L8" i="123"/>
  <c r="O30" i="117"/>
  <c r="AG31" i="117"/>
  <c r="AW10" i="128"/>
  <c r="AP51" i="123"/>
  <c r="K52" i="117"/>
  <c r="AC53" i="117"/>
  <c r="AE49" i="120"/>
  <c r="AV37" i="123"/>
  <c r="U51" i="117"/>
  <c r="AR52" i="117"/>
  <c r="I46" i="118"/>
  <c r="AO29" i="123"/>
  <c r="AK27" i="117"/>
  <c r="I34" i="117"/>
  <c r="BB37" i="123"/>
  <c r="BC47" i="121"/>
  <c r="AI11" i="118"/>
  <c r="BC43" i="119"/>
  <c r="I58" i="119"/>
  <c r="Z58" i="124"/>
  <c r="AE58" i="121"/>
  <c r="P26" i="123"/>
  <c r="AF47" i="124"/>
  <c r="Q14" i="118"/>
  <c r="AG15" i="118"/>
  <c r="AT52" i="131"/>
  <c r="AC38" i="124"/>
  <c r="AN20" i="118"/>
  <c r="BB21" i="118"/>
  <c r="BB43" i="129"/>
  <c r="AQ49" i="124"/>
  <c r="AZ26" i="118"/>
  <c r="O29" i="118"/>
  <c r="V35" i="127"/>
  <c r="L55" i="124"/>
  <c r="BE45" i="123"/>
  <c r="BB37" i="120"/>
  <c r="BB40" i="124"/>
  <c r="AH26" i="125"/>
  <c r="AO26" i="126"/>
  <c r="L42" i="118"/>
  <c r="S9" i="125"/>
  <c r="AS9" i="130"/>
  <c r="AW18" i="125"/>
  <c r="K48" i="125"/>
  <c r="AJ35" i="128"/>
  <c r="J50" i="124"/>
  <c r="Q48" i="122"/>
  <c r="Y57" i="122"/>
  <c r="T23" i="130"/>
  <c r="J56" i="124"/>
  <c r="M56" i="122"/>
  <c r="BA38" i="122"/>
  <c r="AP10" i="119"/>
  <c r="V21" i="123"/>
  <c r="AP34" i="117"/>
  <c r="I36" i="117"/>
  <c r="AT41" i="121"/>
  <c r="AS22" i="123"/>
  <c r="AZ33" i="117"/>
  <c r="S35" i="117"/>
  <c r="AT55" i="124"/>
  <c r="K44" i="123"/>
  <c r="K33" i="117"/>
  <c r="AC34" i="117"/>
  <c r="Q46" i="123"/>
  <c r="J54" i="125"/>
  <c r="AD16" i="119"/>
  <c r="AT57" i="131"/>
  <c r="AI24" i="122"/>
  <c r="I57" i="124"/>
  <c r="AJ14" i="121"/>
  <c r="BE43" i="117"/>
  <c r="AQ24" i="123"/>
  <c r="AO10" i="129"/>
  <c r="I50" i="123"/>
  <c r="AP31" i="123"/>
  <c r="T56" i="127"/>
  <c r="AQ35" i="124"/>
  <c r="AS58" i="121"/>
  <c r="V14" i="121"/>
  <c r="AI56" i="127"/>
  <c r="AK24" i="124"/>
  <c r="Z17" i="121"/>
  <c r="AQ27" i="121"/>
  <c r="AN42" i="128"/>
  <c r="AT18" i="123"/>
  <c r="AO12" i="117"/>
  <c r="BE13" i="117"/>
  <c r="AI48" i="129"/>
  <c r="AL51" i="123"/>
  <c r="AR23" i="117"/>
  <c r="K25" i="117"/>
  <c r="G12" i="129"/>
  <c r="H8" i="123"/>
  <c r="AE30" i="117"/>
  <c r="AT31" i="117"/>
  <c r="M13" i="129"/>
  <c r="AT32" i="125"/>
  <c r="BA35" i="129"/>
  <c r="AW56" i="126"/>
  <c r="Y51" i="121"/>
  <c r="BD30" i="122"/>
  <c r="BA17" i="117"/>
  <c r="AY13" i="123"/>
  <c r="J38" i="121"/>
  <c r="AE11" i="128"/>
  <c r="M22" i="121"/>
  <c r="W51" i="121"/>
  <c r="AJ29" i="125"/>
  <c r="U17" i="123"/>
  <c r="I8" i="121"/>
  <c r="AX14" i="121"/>
  <c r="AR50" i="131"/>
  <c r="J8" i="123"/>
  <c r="AS18" i="121"/>
  <c r="AD26" i="121"/>
  <c r="AQ12" i="124"/>
  <c r="AW11" i="122"/>
  <c r="AR10" i="124"/>
  <c r="G12" i="124"/>
  <c r="AL50" i="125"/>
  <c r="AV32" i="122"/>
  <c r="G16" i="124"/>
  <c r="AE17" i="124"/>
  <c r="H10" i="125"/>
  <c r="AK26" i="122"/>
  <c r="BA20" i="124"/>
  <c r="AS22" i="124"/>
  <c r="AP54" i="125"/>
  <c r="X13" i="123"/>
  <c r="AK35" i="117"/>
  <c r="I37" i="117"/>
  <c r="Y14" i="129"/>
  <c r="T18" i="123"/>
  <c r="W42" i="117"/>
  <c r="AR43" i="117"/>
  <c r="M29" i="128"/>
  <c r="AO24" i="123"/>
  <c r="AN47" i="117"/>
  <c r="BD48" i="117"/>
  <c r="BB42" i="125"/>
  <c r="AJ12" i="122"/>
  <c r="Z52" i="117"/>
  <c r="AU55" i="122"/>
  <c r="W16" i="122"/>
  <c r="AG39" i="120"/>
  <c r="AB52" i="122"/>
  <c r="V16" i="123"/>
  <c r="AC27" i="117"/>
  <c r="AV29" i="117"/>
  <c r="AN30" i="124"/>
  <c r="AN37" i="123"/>
  <c r="AR26" i="117"/>
  <c r="G29" i="117"/>
  <c r="AY32" i="127"/>
  <c r="K33" i="123"/>
  <c r="AP9" i="117"/>
  <c r="M11" i="117"/>
  <c r="BA48" i="127"/>
  <c r="X9" i="128"/>
  <c r="AY20" i="119"/>
  <c r="AF39" i="125"/>
  <c r="AI43" i="123"/>
  <c r="AF17" i="124"/>
  <c r="AV8" i="121"/>
  <c r="AT49" i="117"/>
  <c r="AU40" i="123"/>
  <c r="AR13" i="129"/>
  <c r="AG21" i="123"/>
  <c r="L37" i="123"/>
  <c r="AE36" i="127"/>
  <c r="AL35" i="124"/>
  <c r="J55" i="121"/>
  <c r="AL9" i="121"/>
  <c r="T38" i="127"/>
  <c r="S51" i="124"/>
  <c r="V12" i="121"/>
  <c r="AS22" i="121"/>
  <c r="BC30" i="129"/>
  <c r="AW42" i="123"/>
  <c r="S17" i="117"/>
  <c r="AN18" i="117"/>
  <c r="AX53" i="130"/>
  <c r="AY50" i="123"/>
  <c r="BD23" i="117"/>
  <c r="W25" i="117"/>
  <c r="AO32" i="130"/>
  <c r="AO26" i="123"/>
  <c r="G30" i="117"/>
  <c r="Y31" i="117"/>
  <c r="AE50" i="130"/>
  <c r="J55" i="125"/>
  <c r="W43" i="130"/>
  <c r="AQ53" i="126"/>
  <c r="AW25" i="121"/>
  <c r="AO57" i="123"/>
  <c r="G47" i="117"/>
  <c r="AZ21" i="123"/>
  <c r="AD51" i="122"/>
  <c r="U10" i="122"/>
  <c r="P41" i="123"/>
  <c r="AS16" i="123"/>
  <c r="AT56" i="123"/>
  <c r="AU33" i="122"/>
  <c r="BD49" i="124"/>
  <c r="BE41" i="124"/>
  <c r="U43" i="123"/>
  <c r="AB38" i="122"/>
  <c r="AW47" i="117"/>
  <c r="X37" i="124"/>
  <c r="AI41" i="124"/>
  <c r="AY44" i="122"/>
  <c r="AH33" i="118"/>
  <c r="AJ32" i="130"/>
  <c r="AY10" i="119"/>
  <c r="BE29" i="118"/>
  <c r="AT16" i="123"/>
  <c r="T17" i="123"/>
  <c r="T30" i="119"/>
  <c r="BC57" i="126"/>
  <c r="AO46" i="122"/>
  <c r="Z29" i="119"/>
  <c r="P36" i="119"/>
  <c r="K33" i="126"/>
  <c r="AT15" i="130"/>
  <c r="AX31" i="130"/>
  <c r="AO20" i="130"/>
  <c r="AX21" i="125"/>
  <c r="BD58" i="130"/>
  <c r="S53" i="130"/>
  <c r="AG30" i="130"/>
  <c r="AD43" i="122"/>
  <c r="AQ24" i="120"/>
  <c r="T31" i="120"/>
  <c r="G32" i="120"/>
  <c r="BC42" i="122"/>
  <c r="I38" i="120"/>
  <c r="I47" i="120"/>
  <c r="AO46" i="120"/>
  <c r="AY42" i="122"/>
  <c r="AH33" i="120"/>
  <c r="BA38" i="120"/>
  <c r="AV37" i="120"/>
  <c r="AD48" i="122"/>
  <c r="AI46" i="126"/>
  <c r="AX34" i="126"/>
  <c r="X57" i="117"/>
  <c r="K34" i="124"/>
  <c r="AY41" i="125"/>
  <c r="AF22" i="121"/>
  <c r="J30" i="119"/>
  <c r="AQ45" i="127"/>
  <c r="BD41" i="121"/>
  <c r="AM29" i="118"/>
  <c r="AM44" i="118"/>
  <c r="AC41" i="125"/>
  <c r="AL9" i="127"/>
  <c r="S18" i="127"/>
  <c r="G18" i="127"/>
  <c r="AF35" i="124"/>
  <c r="S56" i="127"/>
  <c r="AG39" i="127"/>
  <c r="W51" i="127"/>
  <c r="AT31" i="121"/>
  <c r="AL49" i="118"/>
  <c r="M11" i="118"/>
  <c r="AR46" i="118"/>
  <c r="Q37" i="121"/>
  <c r="P27" i="118"/>
  <c r="AL33" i="118"/>
  <c r="M24" i="118"/>
  <c r="AI43" i="121"/>
  <c r="AV47" i="118"/>
  <c r="AF9" i="118"/>
  <c r="K43" i="118"/>
  <c r="BD48" i="121"/>
  <c r="AK9" i="122"/>
  <c r="BC43" i="122"/>
  <c r="BE51" i="123"/>
  <c r="BD41" i="122"/>
  <c r="S57" i="125"/>
  <c r="AO55" i="120"/>
  <c r="AN47" i="118"/>
  <c r="BC45" i="123"/>
  <c r="I38" i="121"/>
  <c r="Y46" i="118"/>
  <c r="AB9" i="118"/>
  <c r="AQ42" i="131"/>
  <c r="BB12" i="125"/>
  <c r="AC15" i="125"/>
  <c r="AO20" i="125"/>
  <c r="BE14" i="130"/>
  <c r="BE17" i="125"/>
  <c r="O47" i="125"/>
  <c r="BE12" i="125"/>
  <c r="AI58" i="121"/>
  <c r="AB34" i="124"/>
  <c r="N44" i="124"/>
  <c r="AE26" i="124"/>
  <c r="U34" i="121"/>
  <c r="H43" i="124"/>
  <c r="X48" i="124"/>
  <c r="AR31" i="124"/>
  <c r="AS45" i="121"/>
  <c r="AZ47" i="124"/>
  <c r="O53" i="124"/>
  <c r="T24" i="124"/>
  <c r="H51" i="121"/>
  <c r="AG30" i="118"/>
  <c r="BE32" i="118"/>
  <c r="AX23" i="118"/>
  <c r="Y54" i="121"/>
  <c r="AI48" i="118"/>
  <c r="P10" i="118"/>
  <c r="AI43" i="118"/>
  <c r="AE13" i="121"/>
  <c r="Q30" i="118"/>
  <c r="L32" i="118"/>
  <c r="BD22" i="118"/>
  <c r="Q45" i="120"/>
  <c r="P51" i="124"/>
  <c r="AF25" i="119"/>
  <c r="AE48" i="119"/>
  <c r="I39" i="119"/>
  <c r="P21" i="122"/>
  <c r="AJ18" i="128"/>
  <c r="AF51" i="123"/>
  <c r="BB56" i="123"/>
  <c r="BE12" i="118"/>
  <c r="X17" i="118"/>
  <c r="AK33" i="118"/>
  <c r="AE17" i="125"/>
  <c r="P53" i="131"/>
  <c r="P18" i="126"/>
  <c r="H56" i="122"/>
  <c r="Y49" i="122"/>
  <c r="AG45" i="118"/>
  <c r="L58" i="118"/>
  <c r="AY54" i="118"/>
  <c r="Z17" i="118"/>
  <c r="AV15" i="118"/>
  <c r="AP39" i="118"/>
  <c r="BA37" i="122"/>
  <c r="L12" i="122"/>
  <c r="AR47" i="121"/>
  <c r="BD11" i="118"/>
  <c r="Q24" i="118"/>
  <c r="BE53" i="119"/>
  <c r="BB53" i="124"/>
  <c r="G49" i="121"/>
  <c r="K30" i="123"/>
  <c r="AV10" i="119"/>
  <c r="AK42" i="117"/>
  <c r="L37" i="121"/>
  <c r="T41" i="117"/>
  <c r="AV38" i="121"/>
  <c r="K41" i="121"/>
  <c r="U49" i="121"/>
  <c r="BD16" i="119"/>
  <c r="K45" i="121"/>
  <c r="AG46" i="121"/>
  <c r="AK54" i="121"/>
  <c r="BB29" i="119"/>
  <c r="AN50" i="121"/>
  <c r="BD51" i="121"/>
  <c r="AO51" i="129"/>
  <c r="G45" i="120"/>
  <c r="AG33" i="120"/>
  <c r="AG55" i="124"/>
  <c r="G53" i="117"/>
  <c r="H52" i="117"/>
  <c r="G30" i="123"/>
  <c r="AO21" i="120"/>
  <c r="U49" i="118"/>
  <c r="BD56" i="123"/>
  <c r="AC35" i="118"/>
  <c r="AM51" i="123"/>
  <c r="AR8" i="120"/>
  <c r="AI11" i="123"/>
  <c r="BD12" i="119"/>
  <c r="AX48" i="117"/>
  <c r="S16" i="121"/>
  <c r="AW17" i="117"/>
  <c r="AZ38" i="121"/>
  <c r="O41" i="121"/>
  <c r="Y49" i="121"/>
  <c r="S18" i="119"/>
  <c r="O45" i="121"/>
  <c r="AK46" i="121"/>
  <c r="AP54" i="121"/>
  <c r="AR30" i="119"/>
  <c r="AR50" i="121"/>
  <c r="I52" i="121"/>
  <c r="AJ17" i="128"/>
  <c r="V40" i="119"/>
  <c r="AR32" i="120"/>
  <c r="J50" i="123"/>
  <c r="X47" i="117"/>
  <c r="L52" i="117"/>
  <c r="BC31" i="123"/>
  <c r="T17" i="119"/>
  <c r="AH49" i="118"/>
  <c r="X9" i="121"/>
  <c r="AI35" i="117"/>
  <c r="W37" i="123"/>
  <c r="AJ10" i="120"/>
  <c r="P23" i="123"/>
  <c r="T23" i="119"/>
  <c r="M55" i="117"/>
  <c r="AO11" i="121"/>
  <c r="M49" i="117"/>
  <c r="I36" i="121"/>
  <c r="W37" i="121"/>
  <c r="M47" i="121"/>
  <c r="AW20" i="119"/>
  <c r="AB47" i="121"/>
  <c r="AO48" i="121"/>
  <c r="AO56" i="121"/>
  <c r="S33" i="119"/>
  <c r="AG48" i="121"/>
  <c r="BD49" i="121"/>
  <c r="J17" i="126"/>
  <c r="I44" i="118"/>
  <c r="BA26" i="119"/>
  <c r="AW23" i="121"/>
  <c r="W56" i="124"/>
  <c r="AR23" i="121"/>
  <c r="N23" i="119"/>
  <c r="AU8" i="121"/>
  <c r="AP24" i="124"/>
  <c r="Y8" i="121"/>
  <c r="AY35" i="122"/>
  <c r="L9" i="119"/>
  <c r="AV33" i="121"/>
  <c r="AV14" i="118"/>
  <c r="AD33" i="117"/>
  <c r="L36" i="119"/>
  <c r="AS54" i="118"/>
  <c r="AY58" i="120"/>
  <c r="BB24" i="120"/>
  <c r="I34" i="120"/>
  <c r="AL47" i="118"/>
  <c r="AO18" i="120"/>
  <c r="H21" i="120"/>
  <c r="H30" i="120"/>
  <c r="AI13" i="118"/>
  <c r="AE35" i="120"/>
  <c r="AT36" i="120"/>
  <c r="H21" i="122"/>
  <c r="AL56" i="118"/>
  <c r="AD35" i="118"/>
  <c r="AP42" i="119"/>
  <c r="AP15" i="124"/>
  <c r="AP25" i="122"/>
  <c r="BA12" i="117"/>
  <c r="I35" i="119"/>
  <c r="AF23" i="122"/>
  <c r="AQ25" i="119"/>
  <c r="Q39" i="121"/>
  <c r="AF37" i="118"/>
  <c r="AH51" i="119"/>
  <c r="AW56" i="118"/>
  <c r="H10" i="121"/>
  <c r="Z48" i="123"/>
  <c r="BC13" i="125"/>
  <c r="J45" i="119"/>
  <c r="BC26" i="122"/>
  <c r="L12" i="124"/>
  <c r="AB13" i="124"/>
  <c r="AV47" i="123"/>
  <c r="AJ32" i="122"/>
  <c r="BE16" i="124"/>
  <c r="T18" i="124"/>
  <c r="AS41" i="123"/>
  <c r="AS38" i="122"/>
  <c r="AF23" i="124"/>
  <c r="AS24" i="124"/>
  <c r="AB56" i="124"/>
  <c r="W38" i="119"/>
  <c r="P9" i="122"/>
  <c r="G35" i="119"/>
  <c r="AS10" i="121"/>
  <c r="AR13" i="118"/>
  <c r="BC30" i="121"/>
  <c r="AL8" i="119"/>
  <c r="AF54" i="118"/>
  <c r="AG38" i="120"/>
  <c r="AE13" i="117"/>
  <c r="Z46" i="121"/>
  <c r="AW27" i="122"/>
  <c r="AN43" i="118"/>
  <c r="AN39" i="122"/>
  <c r="AT11" i="119"/>
  <c r="AW41" i="122"/>
  <c r="BE45" i="118"/>
  <c r="AY27" i="122"/>
  <c r="AM35" i="123"/>
  <c r="AM17" i="123"/>
  <c r="AZ25" i="119"/>
  <c r="AU27" i="122"/>
  <c r="AZ29" i="124"/>
  <c r="S31" i="124"/>
  <c r="AQ24" i="119"/>
  <c r="V43" i="122"/>
  <c r="AZ40" i="123"/>
  <c r="AI40" i="123"/>
  <c r="AO11" i="123"/>
  <c r="J17" i="117"/>
  <c r="AL53" i="121"/>
  <c r="BC52" i="117"/>
  <c r="AU37" i="120"/>
  <c r="G55" i="118"/>
  <c r="AZ22" i="117"/>
  <c r="AD32" i="117"/>
  <c r="AL42" i="121"/>
  <c r="H30" i="123"/>
  <c r="BC12" i="119"/>
  <c r="AC33" i="118"/>
  <c r="I20" i="121"/>
  <c r="H8" i="121"/>
  <c r="T34" i="117"/>
  <c r="AJ35" i="124"/>
  <c r="J10" i="117"/>
  <c r="AP26" i="125"/>
  <c r="BC14" i="123"/>
  <c r="AQ21" i="123"/>
  <c r="AM41" i="124"/>
  <c r="AK27" i="126"/>
  <c r="AY30" i="123"/>
  <c r="AJ33" i="123"/>
  <c r="BC57" i="123"/>
  <c r="AE53" i="125"/>
  <c r="BA44" i="123"/>
  <c r="AQ47" i="123"/>
  <c r="AY49" i="117"/>
  <c r="AY36" i="123"/>
  <c r="AL22" i="120"/>
  <c r="AN53" i="123"/>
  <c r="BE34" i="119"/>
  <c r="BC23" i="117"/>
  <c r="AJ55" i="121"/>
  <c r="L25" i="117"/>
  <c r="S22" i="118"/>
  <c r="AL46" i="121"/>
  <c r="AX44" i="117"/>
  <c r="K20" i="119"/>
  <c r="P35" i="120"/>
  <c r="AG57" i="120"/>
  <c r="AH30" i="118"/>
  <c r="AN51" i="117"/>
  <c r="AC41" i="117"/>
  <c r="K31" i="119"/>
  <c r="BD44" i="130"/>
  <c r="O22" i="129"/>
  <c r="AM8" i="119"/>
  <c r="AT54" i="120"/>
  <c r="AT56" i="120"/>
  <c r="BC27" i="124"/>
  <c r="AM11" i="118"/>
  <c r="T31" i="118"/>
  <c r="BA16" i="127"/>
  <c r="AU41" i="127"/>
  <c r="T49" i="118"/>
  <c r="AS51" i="118"/>
  <c r="AY44" i="118"/>
  <c r="Q54" i="120"/>
  <c r="AC55" i="120"/>
  <c r="AI53" i="120"/>
  <c r="BA17" i="122"/>
  <c r="BD27" i="117"/>
  <c r="AN49" i="121"/>
  <c r="W13" i="122"/>
  <c r="X39" i="118"/>
  <c r="AP27" i="118"/>
  <c r="H24" i="121"/>
  <c r="I53" i="121"/>
  <c r="Q52" i="119"/>
  <c r="AS32" i="121"/>
  <c r="AK47" i="117"/>
  <c r="AH9" i="125"/>
  <c r="U9" i="123"/>
  <c r="I12" i="123"/>
  <c r="X50" i="118"/>
  <c r="X49" i="122"/>
  <c r="I13" i="123"/>
  <c r="AT15" i="123"/>
  <c r="K40" i="117"/>
  <c r="G57" i="125"/>
  <c r="G33" i="123"/>
  <c r="AV35" i="123"/>
  <c r="AZ43" i="124"/>
  <c r="AJ57" i="117"/>
  <c r="AC38" i="121"/>
  <c r="N35" i="124"/>
  <c r="BD41" i="120"/>
  <c r="Q41" i="118"/>
  <c r="AP54" i="123"/>
  <c r="I29" i="117"/>
  <c r="T43" i="120"/>
  <c r="X43" i="122"/>
  <c r="AT31" i="118"/>
  <c r="AT50" i="118"/>
  <c r="AG12" i="121"/>
  <c r="AX9" i="120"/>
  <c r="AF56" i="124"/>
  <c r="AL52" i="119"/>
  <c r="W49" i="117"/>
  <c r="I42" i="131"/>
  <c r="AG25" i="123"/>
  <c r="BD31" i="123"/>
  <c r="H56" i="118"/>
  <c r="X11" i="125"/>
  <c r="U21" i="123"/>
  <c r="BB23" i="123"/>
  <c r="O8" i="117"/>
  <c r="AC46" i="130"/>
  <c r="AD14" i="123"/>
  <c r="AD17" i="123"/>
  <c r="BD11" i="121"/>
  <c r="AS58" i="124"/>
  <c r="BB42" i="121"/>
  <c r="Y27" i="124"/>
  <c r="AP39" i="120"/>
  <c r="AM54" i="117"/>
  <c r="BE24" i="122"/>
  <c r="AC29" i="117"/>
  <c r="W47" i="120"/>
  <c r="AD23" i="122"/>
  <c r="AS38" i="118"/>
  <c r="I42" i="117"/>
  <c r="K58" i="121"/>
  <c r="AQ21" i="120"/>
  <c r="AM52" i="121"/>
  <c r="M34" i="117"/>
  <c r="AR49" i="117"/>
  <c r="Y43" i="122"/>
  <c r="M39" i="123"/>
  <c r="BD50" i="123"/>
  <c r="AZ51" i="118"/>
  <c r="AU40" i="122"/>
  <c r="L11" i="123"/>
  <c r="X12" i="123"/>
  <c r="Z37" i="117"/>
  <c r="AM48" i="121"/>
  <c r="AW16" i="123"/>
  <c r="L18" i="123"/>
  <c r="AB17" i="122"/>
  <c r="AB55" i="123"/>
  <c r="K52" i="120"/>
  <c r="AP27" i="122"/>
  <c r="M38" i="119"/>
  <c r="G21" i="117"/>
  <c r="T9" i="121"/>
  <c r="AU33" i="120"/>
  <c r="AY34" i="122"/>
  <c r="S25" i="117"/>
  <c r="AZ33" i="120"/>
  <c r="AT50" i="124"/>
  <c r="AT31" i="120"/>
  <c r="AI30" i="119"/>
  <c r="AR16" i="119"/>
  <c r="Q26" i="122"/>
  <c r="X48" i="117"/>
  <c r="AG58" i="124"/>
  <c r="AU20" i="122"/>
  <c r="N22" i="122"/>
  <c r="AT26" i="121"/>
  <c r="J51" i="124"/>
  <c r="S42" i="122"/>
  <c r="AN43" i="122"/>
  <c r="AE54" i="121"/>
  <c r="AP58" i="124"/>
  <c r="BB37" i="122"/>
  <c r="M44" i="122"/>
  <c r="AI58" i="120"/>
  <c r="N56" i="122"/>
  <c r="AP18" i="119"/>
  <c r="S49" i="120"/>
  <c r="AI20" i="118"/>
  <c r="AB43" i="117"/>
  <c r="G48" i="118"/>
  <c r="M42" i="122"/>
  <c r="BC20" i="118"/>
  <c r="BE15" i="123"/>
  <c r="AE47" i="122"/>
  <c r="AF49" i="121"/>
  <c r="AI58" i="124"/>
  <c r="AV38" i="118"/>
  <c r="AY38" i="118"/>
  <c r="N11" i="120"/>
  <c r="AB27" i="124"/>
  <c r="AZ18" i="122"/>
  <c r="S58" i="122"/>
  <c r="V9" i="122"/>
  <c r="AJ26" i="117"/>
  <c r="AZ48" i="122"/>
  <c r="AL37" i="122"/>
  <c r="V49" i="122"/>
  <c r="AH20" i="117"/>
  <c r="Y52" i="122"/>
  <c r="Q12" i="122"/>
  <c r="I14" i="122"/>
  <c r="BC46" i="118"/>
  <c r="AX48" i="121"/>
  <c r="T11" i="118"/>
  <c r="O54" i="124"/>
  <c r="M23" i="117"/>
  <c r="AT52" i="117"/>
  <c r="N31" i="124"/>
  <c r="AH41" i="120"/>
  <c r="AM34" i="120"/>
  <c r="BE55" i="123"/>
  <c r="BC38" i="121"/>
  <c r="N56" i="118"/>
  <c r="AT49" i="119"/>
  <c r="Z54" i="118"/>
  <c r="AG14" i="118"/>
  <c r="AS40" i="118"/>
  <c r="AY40" i="123"/>
  <c r="AB37" i="126"/>
  <c r="V15" i="121"/>
  <c r="V17" i="121"/>
  <c r="V32" i="126"/>
  <c r="X57" i="127"/>
  <c r="AH18" i="121"/>
  <c r="Z21" i="121"/>
  <c r="X35" i="124"/>
  <c r="Y46" i="126"/>
  <c r="N32" i="121"/>
  <c r="BE33" i="121"/>
  <c r="G22" i="124"/>
  <c r="AZ27" i="120"/>
  <c r="G54" i="118"/>
  <c r="Y46" i="122"/>
  <c r="BB22" i="117"/>
  <c r="AQ34" i="120"/>
  <c r="AY16" i="122"/>
  <c r="BB17" i="118"/>
  <c r="AP57" i="117"/>
  <c r="AZ22" i="121"/>
  <c r="J9" i="120"/>
  <c r="BB42" i="122"/>
  <c r="AT10" i="117"/>
  <c r="M24" i="117"/>
  <c r="G35" i="117"/>
  <c r="J44" i="117"/>
  <c r="AZ8" i="123"/>
  <c r="Y33" i="118"/>
  <c r="AG15" i="121"/>
  <c r="AX16" i="121"/>
  <c r="BB22" i="123"/>
  <c r="Z52" i="119"/>
  <c r="H27" i="121"/>
  <c r="Z29" i="121"/>
  <c r="T16" i="123"/>
  <c r="BE24" i="118"/>
  <c r="Y27" i="121"/>
  <c r="AR29" i="121"/>
  <c r="AN20" i="122"/>
  <c r="S26" i="119"/>
  <c r="AN14" i="117"/>
  <c r="W56" i="121"/>
  <c r="AS38" i="120"/>
  <c r="AN24" i="122"/>
  <c r="V53" i="117"/>
  <c r="AC27" i="120"/>
  <c r="BD26" i="124"/>
  <c r="AZ54" i="120"/>
  <c r="AX46" i="119"/>
  <c r="I52" i="119"/>
  <c r="AP20" i="122"/>
  <c r="H43" i="117"/>
  <c r="BE12" i="117"/>
  <c r="O9" i="122"/>
  <c r="AE30" i="118"/>
  <c r="H52" i="119"/>
  <c r="AI17" i="126"/>
  <c r="Q27" i="129"/>
  <c r="AF15" i="122"/>
  <c r="V53" i="123"/>
  <c r="P9" i="123"/>
  <c r="T9" i="123"/>
  <c r="K27" i="123"/>
  <c r="U42" i="124"/>
  <c r="S50" i="128"/>
  <c r="AU42" i="128"/>
  <c r="AX26" i="118"/>
  <c r="W49" i="119"/>
  <c r="AL46" i="119"/>
  <c r="AK41" i="119"/>
  <c r="BE9" i="123"/>
  <c r="L24" i="122"/>
  <c r="AF12" i="121"/>
  <c r="W39" i="121"/>
  <c r="AD21" i="119"/>
  <c r="AM58" i="117"/>
  <c r="W8" i="117"/>
  <c r="AX12" i="120"/>
  <c r="AS17" i="120"/>
  <c r="K10" i="118"/>
  <c r="AT21" i="130"/>
  <c r="N50" i="117"/>
  <c r="AL21" i="117"/>
  <c r="BB26" i="124"/>
  <c r="BC20" i="123"/>
  <c r="U34" i="124"/>
  <c r="K23" i="121"/>
  <c r="AI24" i="121"/>
  <c r="Z22" i="121"/>
  <c r="AD38" i="124"/>
  <c r="AG29" i="121"/>
  <c r="AZ30" i="121"/>
  <c r="P47" i="119"/>
  <c r="G31" i="123"/>
  <c r="I35" i="121"/>
  <c r="W36" i="121"/>
  <c r="Q31" i="123"/>
  <c r="O12" i="119"/>
  <c r="AV20" i="117"/>
  <c r="AE9" i="121"/>
  <c r="G48" i="117"/>
  <c r="BE35" i="118"/>
  <c r="Z42" i="121"/>
  <c r="W37" i="117"/>
  <c r="AU26" i="117"/>
  <c r="S16" i="120"/>
  <c r="W29" i="120"/>
  <c r="I53" i="117"/>
  <c r="BA12" i="125"/>
  <c r="V50" i="117"/>
  <c r="AQ21" i="117"/>
  <c r="Q36" i="124"/>
  <c r="H21" i="123"/>
  <c r="I55" i="123"/>
  <c r="O23" i="121"/>
  <c r="AN24" i="121"/>
  <c r="AI50" i="119"/>
  <c r="AK41" i="123"/>
  <c r="AK29" i="121"/>
  <c r="BD30" i="121"/>
  <c r="AT41" i="117"/>
  <c r="W23" i="122"/>
  <c r="M35" i="121"/>
  <c r="AE36" i="121"/>
  <c r="Z22" i="123"/>
  <c r="P23" i="119"/>
  <c r="U32" i="117"/>
  <c r="AE16" i="121"/>
  <c r="T42" i="117"/>
  <c r="AZ42" i="118"/>
  <c r="BD42" i="121"/>
  <c r="AL24" i="117"/>
  <c r="BD38" i="124"/>
  <c r="AB42" i="120"/>
  <c r="K49" i="120"/>
  <c r="AT50" i="122"/>
  <c r="Z50" i="117"/>
  <c r="L22" i="117"/>
  <c r="M55" i="124"/>
  <c r="AU45" i="122"/>
  <c r="Z53" i="124"/>
  <c r="AI20" i="121"/>
  <c r="AX21" i="121"/>
  <c r="X40" i="121"/>
  <c r="AJ34" i="117"/>
  <c r="BC31" i="121"/>
  <c r="V33" i="121"/>
  <c r="BA27" i="121"/>
  <c r="AL56" i="124"/>
  <c r="U32" i="121"/>
  <c r="AN33" i="121"/>
  <c r="U30" i="121"/>
  <c r="U39" i="118"/>
  <c r="AF10" i="117"/>
  <c r="BC35" i="119"/>
  <c r="P15" i="118"/>
  <c r="K47" i="117"/>
  <c r="AX8" i="119"/>
  <c r="AZ41" i="123"/>
  <c r="AR43" i="124"/>
  <c r="AS52" i="121"/>
  <c r="K39" i="119"/>
  <c r="AX10" i="119"/>
  <c r="L29" i="122"/>
  <c r="V43" i="124"/>
  <c r="Q46" i="117"/>
  <c r="Z12" i="122"/>
  <c r="AM58" i="122"/>
  <c r="AV50" i="122"/>
  <c r="AL44" i="120"/>
  <c r="BE45" i="120"/>
  <c r="M50" i="118"/>
  <c r="H56" i="123"/>
  <c r="U20" i="120"/>
  <c r="AN21" i="120"/>
  <c r="BC34" i="117"/>
  <c r="U54" i="122"/>
  <c r="X55" i="120"/>
  <c r="AJ56" i="120"/>
  <c r="M8" i="119"/>
  <c r="AD50" i="118"/>
  <c r="S53" i="121"/>
  <c r="J16" i="117"/>
  <c r="K48" i="121"/>
  <c r="AO15" i="123"/>
  <c r="L25" i="119"/>
  <c r="T51" i="122"/>
  <c r="AD57" i="120"/>
  <c r="AQ22" i="131"/>
  <c r="AU33" i="118"/>
  <c r="AO8" i="118"/>
  <c r="M44" i="120"/>
  <c r="Q14" i="124"/>
  <c r="AW42" i="117"/>
  <c r="AL8" i="128"/>
  <c r="L16" i="120"/>
  <c r="V34" i="127"/>
  <c r="K48" i="120"/>
  <c r="AC49" i="120"/>
  <c r="AN47" i="128"/>
  <c r="AH43" i="128"/>
  <c r="M54" i="120"/>
  <c r="AE55" i="120"/>
  <c r="BD36" i="127"/>
  <c r="AD36" i="127"/>
  <c r="BB58" i="120"/>
  <c r="T49" i="120"/>
  <c r="AM26" i="118"/>
  <c r="T20" i="117"/>
  <c r="BB47" i="122"/>
  <c r="G38" i="123"/>
  <c r="V20" i="119"/>
  <c r="U50" i="119"/>
  <c r="AU57" i="121"/>
  <c r="U21" i="121"/>
  <c r="AK37" i="117"/>
  <c r="BD46" i="124"/>
  <c r="AK43" i="117"/>
  <c r="W58" i="118"/>
  <c r="AX43" i="118"/>
  <c r="AH11" i="123"/>
  <c r="AG9" i="121"/>
  <c r="P32" i="125"/>
  <c r="BA44" i="118"/>
  <c r="AU29" i="119"/>
  <c r="AJ42" i="119"/>
  <c r="BA43" i="119"/>
  <c r="AH12" i="120"/>
  <c r="AF26" i="120"/>
  <c r="AC52" i="119"/>
  <c r="U54" i="119"/>
  <c r="H12" i="119"/>
  <c r="Y24" i="119"/>
  <c r="X53" i="119"/>
  <c r="AQ54" i="119"/>
  <c r="BD10" i="121"/>
  <c r="BC35" i="117"/>
  <c r="AQ20" i="118"/>
  <c r="S48" i="121"/>
  <c r="V48" i="117"/>
  <c r="AU52" i="117"/>
  <c r="L36" i="120"/>
  <c r="AU58" i="120"/>
  <c r="AO17" i="117"/>
  <c r="AM48" i="122"/>
  <c r="BB39" i="117"/>
  <c r="AH15" i="117"/>
  <c r="AN49" i="124"/>
  <c r="V12" i="123"/>
  <c r="BC27" i="119"/>
  <c r="O53" i="117"/>
  <c r="H38" i="121"/>
  <c r="O32" i="124"/>
  <c r="M24" i="123"/>
  <c r="AY38" i="119"/>
  <c r="N41" i="119"/>
  <c r="Q10" i="124"/>
  <c r="X24" i="124"/>
  <c r="AK48" i="119"/>
  <c r="I50" i="119"/>
  <c r="M8" i="123"/>
  <c r="AD8" i="123"/>
  <c r="BC50" i="119"/>
  <c r="X52" i="119"/>
  <c r="AB30" i="119"/>
  <c r="G24" i="118"/>
  <c r="AY47" i="117"/>
  <c r="AD20" i="119"/>
  <c r="AD38" i="123"/>
  <c r="AH47" i="124"/>
  <c r="I41" i="122"/>
  <c r="AN33" i="119"/>
  <c r="P51" i="119"/>
  <c r="AH27" i="122"/>
  <c r="BC34" i="124"/>
  <c r="AB55" i="117"/>
  <c r="O10" i="122"/>
  <c r="K20" i="117"/>
  <c r="M27" i="117"/>
  <c r="AJ50" i="121"/>
  <c r="AJ10" i="121"/>
  <c r="M10" i="121"/>
  <c r="AR25" i="125"/>
  <c r="BB32" i="126"/>
  <c r="J32" i="122"/>
  <c r="AR11" i="117"/>
  <c r="BD16" i="117"/>
  <c r="L25" i="120"/>
  <c r="AS30" i="120"/>
  <c r="M23" i="120"/>
  <c r="AW21" i="121"/>
  <c r="G22" i="121"/>
  <c r="AH33" i="121"/>
  <c r="AR14" i="117"/>
  <c r="AW43" i="117"/>
  <c r="AM22" i="118"/>
  <c r="J10" i="122"/>
  <c r="AB8" i="118"/>
  <c r="X42" i="121"/>
  <c r="AS27" i="118"/>
  <c r="AT22" i="120"/>
  <c r="AR20" i="117"/>
  <c r="Q42" i="117"/>
  <c r="AI53" i="124"/>
  <c r="K33" i="120"/>
  <c r="M41" i="120"/>
  <c r="AC43" i="120"/>
  <c r="AP51" i="120"/>
  <c r="BB44" i="118"/>
  <c r="AX48" i="120"/>
  <c r="U50" i="120"/>
  <c r="AE58" i="120"/>
  <c r="M8" i="118"/>
  <c r="M53" i="120"/>
  <c r="AE54" i="120"/>
  <c r="AF47" i="126"/>
  <c r="AT21" i="117"/>
  <c r="BB58" i="118"/>
  <c r="AR55" i="118"/>
  <c r="BA22" i="123"/>
  <c r="AE29" i="121"/>
  <c r="L30" i="126"/>
  <c r="AE17" i="118"/>
  <c r="X12" i="122"/>
  <c r="AP8" i="118"/>
  <c r="AC50" i="121"/>
  <c r="AW27" i="118"/>
  <c r="AW30" i="122"/>
  <c r="G44" i="117"/>
  <c r="AN43" i="124"/>
  <c r="O20" i="124"/>
  <c r="Y50" i="120"/>
  <c r="Y36" i="120"/>
  <c r="AG42" i="120"/>
  <c r="AT50" i="120"/>
  <c r="AU46" i="118"/>
  <c r="AG47" i="120"/>
  <c r="BB48" i="120"/>
  <c r="Q57" i="120"/>
  <c r="AB51" i="118"/>
  <c r="O52" i="120"/>
  <c r="AG53" i="120"/>
  <c r="M45" i="119"/>
  <c r="AG32" i="117"/>
  <c r="V51" i="118"/>
  <c r="AM46" i="117"/>
  <c r="BC48" i="123"/>
  <c r="BE40" i="120"/>
  <c r="AO8" i="122"/>
  <c r="BA10" i="118"/>
  <c r="AW20" i="122"/>
  <c r="G58" i="118"/>
  <c r="G10" i="120"/>
  <c r="O31" i="118"/>
  <c r="AY20" i="121"/>
  <c r="U50" i="117"/>
  <c r="AC38" i="123"/>
  <c r="AP38" i="124"/>
  <c r="AV24" i="120"/>
  <c r="AS10" i="119"/>
  <c r="BE11" i="119"/>
  <c r="O9" i="119"/>
  <c r="H40" i="117"/>
  <c r="H15" i="119"/>
  <c r="T16" i="119"/>
  <c r="AE17" i="119"/>
  <c r="AP17" i="117"/>
  <c r="AI11" i="119"/>
  <c r="BD13" i="119"/>
  <c r="AF38" i="120"/>
  <c r="Y22" i="117"/>
  <c r="P46" i="117"/>
  <c r="AT25" i="123"/>
  <c r="AV16" i="124"/>
  <c r="AS54" i="119"/>
  <c r="AK15" i="122"/>
  <c r="X34" i="120"/>
  <c r="BC37" i="124"/>
  <c r="N29" i="121"/>
  <c r="O40" i="123"/>
  <c r="S23" i="119"/>
  <c r="AT12" i="117"/>
  <c r="K46" i="122"/>
  <c r="G41" i="117"/>
  <c r="X41" i="119"/>
  <c r="J42" i="122"/>
  <c r="O52" i="118"/>
  <c r="Y55" i="119"/>
  <c r="AT56" i="119"/>
  <c r="AD14" i="119"/>
  <c r="Z55" i="117"/>
  <c r="U14" i="119"/>
  <c r="AK15" i="119"/>
  <c r="AT24" i="119"/>
  <c r="W10" i="117"/>
  <c r="BC15" i="119"/>
  <c r="AD17" i="119"/>
  <c r="AF39" i="121"/>
  <c r="AR14" i="124"/>
  <c r="X16" i="117"/>
  <c r="V34" i="125"/>
  <c r="BC33" i="122"/>
  <c r="AF8" i="117"/>
  <c r="AM56" i="121"/>
  <c r="U29" i="122"/>
  <c r="W51" i="120"/>
  <c r="L58" i="122"/>
  <c r="AG40" i="118"/>
  <c r="M33" i="117"/>
  <c r="AZ29" i="119"/>
  <c r="AE36" i="120"/>
  <c r="AQ23" i="120"/>
  <c r="H45" i="117"/>
  <c r="U26" i="120"/>
  <c r="AK32" i="124"/>
  <c r="K38" i="118"/>
  <c r="BC10" i="118"/>
  <c r="AD42" i="118"/>
  <c r="AO39" i="124"/>
  <c r="AD27" i="118"/>
  <c r="BA33" i="118"/>
  <c r="AH47" i="118"/>
  <c r="AJ49" i="124"/>
  <c r="AY43" i="118"/>
  <c r="N45" i="118"/>
  <c r="H40" i="119"/>
  <c r="AZ37" i="124"/>
  <c r="W21" i="124"/>
  <c r="AR37" i="127"/>
  <c r="AR26" i="120"/>
  <c r="BA50" i="123"/>
  <c r="AP33" i="120"/>
  <c r="AH11" i="121"/>
  <c r="AX45" i="119"/>
  <c r="AS58" i="120"/>
  <c r="W31" i="118"/>
  <c r="I50" i="120"/>
  <c r="Q51" i="118"/>
  <c r="BC45" i="122"/>
  <c r="P31" i="117"/>
  <c r="AG11" i="122"/>
  <c r="AK22" i="122"/>
  <c r="L30" i="118"/>
  <c r="AH31" i="118"/>
  <c r="AQ9" i="126"/>
  <c r="U9" i="124"/>
  <c r="J35" i="118"/>
  <c r="AF36" i="118"/>
  <c r="AK22" i="129"/>
  <c r="S47" i="124"/>
  <c r="BE41" i="118"/>
  <c r="T43" i="118"/>
  <c r="AR54" i="118"/>
  <c r="Z43" i="123"/>
  <c r="AK53" i="121"/>
  <c r="AI47" i="123"/>
  <c r="AR9" i="118"/>
  <c r="AF54" i="122"/>
  <c r="AN52" i="118"/>
  <c r="Z13" i="120"/>
  <c r="AT24" i="118"/>
  <c r="AH39" i="121"/>
  <c r="AV44" i="117"/>
  <c r="AT8" i="123"/>
  <c r="O33" i="124"/>
  <c r="M49" i="120"/>
  <c r="AZ29" i="120"/>
  <c r="AZ30" i="118"/>
  <c r="AC43" i="122"/>
  <c r="BB25" i="123"/>
  <c r="AT45" i="117"/>
  <c r="M47" i="117"/>
  <c r="BA45" i="123"/>
  <c r="AP30" i="123"/>
  <c r="I45" i="117"/>
  <c r="W46" i="117"/>
  <c r="AY57" i="120"/>
  <c r="M47" i="123"/>
  <c r="AT56" i="117"/>
  <c r="K58" i="117"/>
  <c r="AE20" i="123"/>
  <c r="AQ20" i="117"/>
  <c r="AS31" i="119"/>
  <c r="H35" i="123"/>
  <c r="AB10" i="120"/>
  <c r="AO14" i="124"/>
  <c r="AJ16" i="121"/>
  <c r="AH40" i="123"/>
  <c r="W11" i="119"/>
  <c r="BB25" i="117"/>
  <c r="AI35" i="122"/>
  <c r="AN34" i="117"/>
  <c r="AE43" i="119"/>
  <c r="AQ34" i="122"/>
  <c r="N55" i="118"/>
  <c r="BC10" i="117"/>
  <c r="J13" i="120"/>
  <c r="L18" i="121"/>
  <c r="Q35" i="119"/>
  <c r="AK46" i="117"/>
  <c r="AU12" i="120"/>
  <c r="S36" i="120"/>
  <c r="AK21" i="124"/>
  <c r="Q23" i="121"/>
  <c r="AY23" i="118"/>
  <c r="AJ40" i="123"/>
  <c r="Z45" i="123"/>
  <c r="P25" i="124"/>
  <c r="AJ15" i="118"/>
  <c r="X18" i="118"/>
  <c r="AZ43" i="120"/>
  <c r="G26" i="124"/>
  <c r="AR11" i="124"/>
  <c r="AO23" i="122"/>
  <c r="AF10" i="122"/>
  <c r="AL12" i="120"/>
  <c r="AI45" i="121"/>
  <c r="AH55" i="121"/>
  <c r="AR50" i="118"/>
  <c r="G32" i="118"/>
  <c r="Y58" i="117"/>
  <c r="U49" i="117"/>
  <c r="BD18" i="118"/>
  <c r="X30" i="122"/>
  <c r="H54" i="117"/>
  <c r="T29" i="122"/>
  <c r="AH11" i="118"/>
  <c r="U47" i="121"/>
  <c r="T37" i="118"/>
  <c r="AH8" i="123"/>
  <c r="H57" i="122"/>
  <c r="O53" i="121"/>
  <c r="BA37" i="121"/>
  <c r="AI33" i="118"/>
  <c r="T36" i="124"/>
  <c r="BC55" i="117"/>
  <c r="AD20" i="121"/>
  <c r="BA50" i="124"/>
  <c r="AX46" i="123"/>
  <c r="AO32" i="123"/>
  <c r="AP8" i="119"/>
  <c r="Z48" i="118"/>
  <c r="AQ8" i="118"/>
  <c r="O32" i="123"/>
  <c r="AJ10" i="123"/>
  <c r="AS47" i="120"/>
  <c r="AI56" i="122"/>
  <c r="AY8" i="119"/>
  <c r="V36" i="123"/>
  <c r="BE40" i="117"/>
  <c r="AX41" i="117"/>
  <c r="AZ23" i="117"/>
  <c r="BE30" i="123"/>
  <c r="G49" i="120"/>
  <c r="H51" i="118"/>
  <c r="AD50" i="122"/>
  <c r="P48" i="120"/>
  <c r="AF35" i="123"/>
  <c r="U9" i="120"/>
  <c r="V56" i="117"/>
  <c r="AX12" i="123"/>
  <c r="U40" i="119"/>
  <c r="AZ26" i="117"/>
  <c r="AO18" i="123"/>
  <c r="O24" i="123"/>
  <c r="J44" i="123"/>
  <c r="X31" i="123"/>
  <c r="AB30" i="117"/>
  <c r="AC35" i="120"/>
  <c r="BB43" i="118"/>
  <c r="AL13" i="117"/>
  <c r="Q46" i="119"/>
  <c r="AC33" i="123"/>
  <c r="V38" i="121"/>
  <c r="O10" i="117"/>
  <c r="AX37" i="117"/>
  <c r="AM22" i="117"/>
  <c r="AP26" i="122"/>
  <c r="S10" i="117"/>
  <c r="AF8" i="120"/>
  <c r="AE42" i="121"/>
  <c r="BD38" i="120"/>
  <c r="AK26" i="118"/>
  <c r="AW44" i="117"/>
  <c r="AY56" i="119"/>
  <c r="P22" i="122"/>
  <c r="AN16" i="122"/>
  <c r="AU38" i="120"/>
  <c r="BD32" i="117"/>
  <c r="P39" i="117"/>
  <c r="AJ15" i="120"/>
  <c r="AT35" i="117"/>
  <c r="Y18" i="121"/>
  <c r="AB58" i="118"/>
  <c r="AC12" i="118"/>
  <c r="AX48" i="123"/>
  <c r="AF11" i="121"/>
  <c r="M27" i="122"/>
  <c r="AV25" i="117"/>
  <c r="T58" i="124"/>
  <c r="AB36" i="124"/>
  <c r="N41" i="121"/>
  <c r="U11" i="118"/>
  <c r="AS39" i="119"/>
  <c r="AP56" i="118"/>
  <c r="W26" i="118"/>
  <c r="AV53" i="119"/>
  <c r="AH29" i="119"/>
  <c r="U13" i="120"/>
  <c r="AO13" i="123"/>
  <c r="AG55" i="119"/>
  <c r="AR13" i="121"/>
  <c r="AS30" i="121"/>
  <c r="AJ12" i="117"/>
  <c r="AQ53" i="119"/>
  <c r="AY29" i="117"/>
  <c r="T39" i="117"/>
  <c r="L14" i="119"/>
  <c r="AE53" i="118"/>
  <c r="AU9" i="117"/>
  <c r="AO55" i="121"/>
  <c r="AO48" i="117"/>
  <c r="AJ49" i="118"/>
  <c r="AX47" i="118"/>
  <c r="Z8" i="121"/>
  <c r="AJ51" i="122"/>
  <c r="O37" i="125"/>
  <c r="AW47" i="121"/>
  <c r="Q58" i="122"/>
  <c r="V26" i="117"/>
  <c r="AT36" i="124"/>
  <c r="AF24" i="122"/>
  <c r="K13" i="122"/>
  <c r="AX23" i="121"/>
  <c r="T30" i="124"/>
  <c r="K14" i="122"/>
  <c r="AG20" i="122"/>
  <c r="BE47" i="120"/>
  <c r="L51" i="124"/>
  <c r="AK46" i="122"/>
  <c r="BD47" i="122"/>
  <c r="BB33" i="120"/>
  <c r="J24" i="121"/>
  <c r="O22" i="119"/>
  <c r="AR23" i="120"/>
  <c r="AG18" i="118"/>
  <c r="I41" i="121"/>
  <c r="AJ48" i="118"/>
  <c r="AD17" i="122"/>
  <c r="AX43" i="117"/>
  <c r="AF17" i="123"/>
  <c r="AP54" i="122"/>
  <c r="AZ37" i="121"/>
  <c r="AR44" i="122"/>
  <c r="AZ38" i="118"/>
  <c r="S8" i="118"/>
  <c r="AV15" i="120"/>
  <c r="AF27" i="124"/>
  <c r="AX50" i="122"/>
  <c r="AV58" i="122"/>
  <c r="AY9" i="122"/>
  <c r="BE42" i="117"/>
  <c r="AY37" i="122"/>
  <c r="BE41" i="122"/>
  <c r="AL52" i="122"/>
  <c r="S32" i="124"/>
  <c r="BB51" i="122"/>
  <c r="AT12" i="122"/>
  <c r="AK14" i="122"/>
  <c r="AN33" i="118"/>
  <c r="AG40" i="120"/>
  <c r="AX12" i="118"/>
  <c r="S42" i="121"/>
  <c r="AX32" i="117"/>
  <c r="K29" i="124"/>
  <c r="AY35" i="124"/>
  <c r="AP49" i="120"/>
  <c r="AD54" i="120"/>
  <c r="I23" i="121"/>
  <c r="AH44" i="122"/>
  <c r="J48" i="121"/>
  <c r="AR52" i="118"/>
  <c r="AN22" i="117"/>
  <c r="S55" i="118"/>
  <c r="U52" i="118"/>
  <c r="BD24" i="118"/>
  <c r="Q10" i="123"/>
  <c r="AL18" i="125"/>
  <c r="J21" i="121"/>
  <c r="AW22" i="121"/>
  <c r="Z8" i="124"/>
  <c r="T37" i="126"/>
  <c r="AU23" i="121"/>
  <c r="AQ25" i="121"/>
  <c r="AL57" i="123"/>
  <c r="W30" i="125"/>
  <c r="AY36" i="121"/>
  <c r="AQ38" i="121"/>
  <c r="AT41" i="124"/>
  <c r="AM34" i="119"/>
  <c r="I14" i="117"/>
  <c r="I13" i="122"/>
  <c r="AP22" i="117"/>
  <c r="AZ41" i="119"/>
  <c r="BD22" i="122"/>
  <c r="AP54" i="118"/>
  <c r="AH9" i="117"/>
  <c r="AG21" i="120"/>
  <c r="T16" i="120"/>
  <c r="AS32" i="120"/>
  <c r="AP16" i="124"/>
  <c r="J50" i="117"/>
  <c r="N21" i="117"/>
  <c r="K13" i="124"/>
  <c r="AN9" i="123"/>
  <c r="Q16" i="120"/>
  <c r="BE23" i="125"/>
  <c r="S49" i="125"/>
  <c r="V31" i="125"/>
  <c r="I54" i="125"/>
  <c r="AC9" i="125"/>
  <c r="O26" i="125"/>
  <c r="I41" i="119"/>
  <c r="L52" i="120"/>
  <c r="AU23" i="128"/>
  <c r="AE35" i="131"/>
  <c r="BA10" i="121"/>
  <c r="AI11" i="121"/>
  <c r="Z17" i="122"/>
  <c r="AM31" i="121"/>
  <c r="AG20" i="125"/>
  <c r="AY49" i="125"/>
  <c r="AZ39" i="125"/>
  <c r="AW29" i="120"/>
  <c r="AX42" i="120"/>
  <c r="M46" i="119"/>
  <c r="AZ57" i="119"/>
  <c r="T15" i="117"/>
  <c r="V40" i="121"/>
  <c r="Y44" i="121"/>
  <c r="BC16" i="117"/>
  <c r="K33" i="130"/>
  <c r="AP25" i="117"/>
  <c r="AX45" i="118"/>
  <c r="AT17" i="118"/>
  <c r="Q42" i="123"/>
  <c r="J46" i="126"/>
  <c r="AQ24" i="122"/>
  <c r="AF26" i="122"/>
  <c r="BC42" i="123"/>
  <c r="AF31" i="121"/>
  <c r="AL24" i="122"/>
  <c r="AB26" i="122"/>
  <c r="AJ38" i="123"/>
  <c r="AB11" i="125"/>
  <c r="AW39" i="122"/>
  <c r="V42" i="122"/>
  <c r="V57" i="117"/>
  <c r="T25" i="120"/>
  <c r="AT11" i="118"/>
  <c r="G40" i="118"/>
  <c r="AY25" i="117"/>
  <c r="V37" i="122"/>
  <c r="AR12" i="123"/>
  <c r="AS43" i="119"/>
  <c r="BE46" i="119"/>
  <c r="AQ10" i="121"/>
  <c r="G33" i="121"/>
  <c r="AI13" i="117"/>
  <c r="G10" i="122"/>
  <c r="K49" i="117"/>
  <c r="AE37" i="118"/>
  <c r="S49" i="118"/>
  <c r="BC23" i="123"/>
  <c r="AS22" i="131"/>
  <c r="AO33" i="122"/>
  <c r="AB35" i="122"/>
  <c r="AY37" i="123"/>
  <c r="BB22" i="125"/>
  <c r="H33" i="122"/>
  <c r="BC34" i="122"/>
  <c r="H8" i="122"/>
  <c r="AO25" i="130"/>
  <c r="AW46" i="122"/>
  <c r="V48" i="122"/>
  <c r="AJ47" i="117"/>
  <c r="Q36" i="120"/>
  <c r="AQ57" i="118"/>
  <c r="AI55" i="118"/>
  <c r="BC25" i="117"/>
  <c r="S40" i="121"/>
  <c r="AS23" i="123"/>
  <c r="AP41" i="119"/>
  <c r="I33" i="118"/>
  <c r="AN13" i="121"/>
  <c r="AG36" i="121"/>
  <c r="T11" i="117"/>
  <c r="H23" i="117"/>
  <c r="Y55" i="117"/>
  <c r="AT56" i="118"/>
  <c r="AE20" i="117"/>
  <c r="AV27" i="123"/>
  <c r="AX10" i="122"/>
  <c r="S23" i="121"/>
  <c r="AR24" i="121"/>
  <c r="AM15" i="117"/>
  <c r="AI55" i="123"/>
  <c r="AP29" i="121"/>
  <c r="I31" i="121"/>
  <c r="L45" i="117"/>
  <c r="AY38" i="122"/>
  <c r="Q35" i="121"/>
  <c r="AN36" i="121"/>
  <c r="AO54" i="123"/>
  <c r="X23" i="119"/>
  <c r="AD17" i="117"/>
  <c r="P15" i="121"/>
  <c r="AW18" i="117"/>
  <c r="P43" i="118"/>
  <c r="T41" i="121"/>
  <c r="BB20" i="117"/>
  <c r="AS18" i="119"/>
  <c r="AS29" i="120"/>
  <c r="AI46" i="120"/>
  <c r="AZ15" i="118"/>
  <c r="U46" i="117"/>
  <c r="W17" i="117"/>
  <c r="AH14" i="123"/>
  <c r="Y40" i="122"/>
  <c r="AX52" i="124"/>
  <c r="I51" i="121"/>
  <c r="AE52" i="121"/>
  <c r="AI34" i="121"/>
  <c r="Z30" i="124"/>
  <c r="AX25" i="121"/>
  <c r="Q27" i="121"/>
  <c r="AG45" i="121"/>
  <c r="AU35" i="124"/>
  <c r="S46" i="121"/>
  <c r="AK47" i="121"/>
  <c r="AZ33" i="121"/>
  <c r="H12" i="118"/>
  <c r="BA55" i="117"/>
  <c r="AE31" i="119"/>
  <c r="N23" i="117"/>
  <c r="AT36" i="122"/>
  <c r="I56" i="119"/>
  <c r="X14" i="123"/>
  <c r="N21" i="123"/>
  <c r="AF40" i="130"/>
  <c r="L33" i="119"/>
  <c r="P54" i="119"/>
  <c r="V10" i="121"/>
  <c r="AI38" i="124"/>
  <c r="AY39" i="117"/>
  <c r="AI9" i="128"/>
  <c r="AJ36" i="122"/>
  <c r="AB43" i="122"/>
  <c r="L45" i="120"/>
  <c r="AD46" i="120"/>
  <c r="AH34" i="117"/>
  <c r="AF21" i="122"/>
  <c r="BC49" i="120"/>
  <c r="T51" i="120"/>
  <c r="P27" i="117"/>
  <c r="N44" i="122"/>
  <c r="AS55" i="120"/>
  <c r="BE56" i="120"/>
  <c r="BC53" i="119"/>
  <c r="AI44" i="118"/>
  <c r="N26" i="120"/>
  <c r="G13" i="117"/>
  <c r="U41" i="121"/>
  <c r="AI32" i="122"/>
  <c r="AO46" i="118"/>
  <c r="AK8" i="122"/>
  <c r="AK11" i="119"/>
  <c r="AT16" i="124"/>
  <c r="P34" i="118"/>
  <c r="AS8" i="118"/>
  <c r="AZ36" i="119"/>
  <c r="O43" i="124"/>
  <c r="AT53" i="124"/>
  <c r="W39" i="125"/>
  <c r="Y47" i="120"/>
  <c r="AY13" i="126"/>
  <c r="AI47" i="120"/>
  <c r="AZ48" i="120"/>
  <c r="AZ50" i="127"/>
  <c r="X35" i="127"/>
  <c r="AE53" i="120"/>
  <c r="AX54" i="120"/>
  <c r="T44" i="126"/>
  <c r="AI29" i="126"/>
  <c r="Y58" i="120"/>
  <c r="H49" i="120"/>
  <c r="AC42" i="118"/>
  <c r="X20" i="117"/>
  <c r="AW31" i="122"/>
  <c r="BC29" i="123"/>
  <c r="BB16" i="119"/>
  <c r="AB33" i="118"/>
  <c r="AE25" i="121"/>
  <c r="AP24" i="121"/>
  <c r="AO55" i="117"/>
  <c r="X52" i="117"/>
  <c r="BD49" i="117"/>
  <c r="J50" i="118"/>
  <c r="Q24" i="117"/>
  <c r="Q22" i="123"/>
  <c r="AL11" i="120"/>
  <c r="L54" i="121"/>
  <c r="BC33" i="118"/>
  <c r="BD9" i="118"/>
  <c r="AS42" i="119"/>
  <c r="BE43" i="119"/>
  <c r="AV32" i="119"/>
  <c r="BC29" i="119"/>
  <c r="BE47" i="119"/>
  <c r="V49" i="119"/>
  <c r="T39" i="118"/>
  <c r="S47" i="118"/>
  <c r="AB53" i="119"/>
  <c r="AU54" i="119"/>
  <c r="P10" i="121"/>
  <c r="AW13" i="117"/>
  <c r="Q23" i="118"/>
  <c r="K37" i="121"/>
  <c r="H49" i="117"/>
  <c r="AE24" i="120"/>
  <c r="BC42" i="120"/>
  <c r="AH47" i="120"/>
  <c r="AO57" i="119"/>
  <c r="AP39" i="117"/>
  <c r="AZ11" i="117"/>
  <c r="AL8" i="123"/>
  <c r="Y49" i="123"/>
  <c r="AB26" i="118"/>
  <c r="AM22" i="120"/>
  <c r="AD58" i="120"/>
  <c r="H50" i="124"/>
  <c r="BD13" i="121"/>
  <c r="AN35" i="129"/>
  <c r="Y48" i="129"/>
  <c r="AJ44" i="120"/>
  <c r="AI29" i="120"/>
  <c r="AX45" i="120"/>
  <c r="Y51" i="120"/>
  <c r="AK37" i="123"/>
  <c r="AE20" i="126"/>
  <c r="AR30" i="128"/>
  <c r="O36" i="128"/>
  <c r="AK54" i="119"/>
  <c r="P9" i="119"/>
  <c r="AF13" i="119"/>
  <c r="AF18" i="119"/>
  <c r="AX56" i="120"/>
  <c r="L26" i="120"/>
  <c r="BB8" i="121"/>
  <c r="AJ31" i="117"/>
  <c r="AO12" i="121"/>
  <c r="AI29" i="121"/>
  <c r="S21" i="120"/>
  <c r="T31" i="121"/>
  <c r="AL43" i="117"/>
  <c r="AZ20" i="117"/>
  <c r="W15" i="117"/>
  <c r="W23" i="123"/>
  <c r="J35" i="120"/>
  <c r="W11" i="124"/>
  <c r="AD56" i="118"/>
  <c r="Q57" i="124"/>
  <c r="O30" i="119"/>
  <c r="BB31" i="119"/>
  <c r="BA35" i="125"/>
  <c r="AQ10" i="124"/>
  <c r="AV12" i="119"/>
  <c r="K14" i="119"/>
  <c r="AO45" i="124"/>
  <c r="AU16" i="123"/>
  <c r="BD43" i="119"/>
  <c r="S45" i="119"/>
  <c r="AL29" i="123"/>
  <c r="G16" i="117"/>
  <c r="AE12" i="120"/>
  <c r="AT58" i="122"/>
  <c r="AV27" i="118"/>
  <c r="AH57" i="118"/>
  <c r="L24" i="121"/>
  <c r="AM51" i="120"/>
  <c r="BE45" i="117"/>
  <c r="AN57" i="120"/>
  <c r="H44" i="117"/>
  <c r="AT8" i="117"/>
  <c r="AF56" i="117"/>
  <c r="H39" i="123"/>
  <c r="J25" i="120"/>
  <c r="AQ12" i="123"/>
  <c r="AG48" i="117"/>
  <c r="T47" i="123"/>
  <c r="AR42" i="119"/>
  <c r="AC44" i="119"/>
  <c r="J58" i="124"/>
  <c r="AT27" i="123"/>
  <c r="AC37" i="119"/>
  <c r="AZ38" i="119"/>
  <c r="V22" i="123"/>
  <c r="O11" i="122"/>
  <c r="G57" i="119"/>
  <c r="AP58" i="119"/>
  <c r="AS53" i="122"/>
  <c r="AI16" i="117"/>
  <c r="AJ35" i="120"/>
  <c r="AZ26" i="122"/>
  <c r="Z39" i="118"/>
  <c r="AX34" i="117"/>
  <c r="Y16" i="121"/>
  <c r="AC12" i="120"/>
  <c r="AU32" i="122"/>
  <c r="BD26" i="118"/>
  <c r="L44" i="117"/>
  <c r="AI29" i="117"/>
  <c r="AU37" i="117"/>
  <c r="N42" i="123"/>
  <c r="W36" i="120"/>
  <c r="AE43" i="122"/>
  <c r="AQ42" i="117"/>
  <c r="S8" i="124"/>
  <c r="BA33" i="119"/>
  <c r="T35" i="119"/>
  <c r="BA51" i="117"/>
  <c r="L41" i="117"/>
  <c r="AK43" i="119"/>
  <c r="I45" i="119"/>
  <c r="AL43" i="124"/>
  <c r="S11" i="124"/>
  <c r="AY45" i="119"/>
  <c r="V47" i="119"/>
  <c r="Z33" i="120"/>
  <c r="T41" i="123"/>
  <c r="O25" i="117"/>
  <c r="AE33" i="120"/>
  <c r="AB55" i="124"/>
  <c r="M57" i="120"/>
  <c r="AN38" i="119"/>
  <c r="O41" i="119"/>
  <c r="AI14" i="122"/>
  <c r="AO36" i="117"/>
  <c r="AT58" i="117"/>
  <c r="AR38" i="122"/>
  <c r="N41" i="118"/>
  <c r="U55" i="118"/>
  <c r="AP32" i="119"/>
  <c r="AN23" i="124"/>
  <c r="AB26" i="123"/>
  <c r="O56" i="122"/>
  <c r="AO22" i="118"/>
  <c r="N24" i="118"/>
  <c r="AY56" i="123"/>
  <c r="AN57" i="123"/>
  <c r="AL11" i="118"/>
  <c r="J13" i="118"/>
  <c r="BA56" i="123"/>
  <c r="AS8" i="122"/>
  <c r="AY34" i="118"/>
  <c r="N36" i="118"/>
  <c r="BD47" i="118"/>
  <c r="P43" i="122"/>
  <c r="AD30" i="118"/>
  <c r="AS37" i="126"/>
  <c r="M33" i="122"/>
  <c r="AQ41" i="121"/>
  <c r="AI42" i="124"/>
  <c r="Z29" i="118"/>
  <c r="AH14" i="118"/>
  <c r="AM27" i="120"/>
  <c r="BA15" i="124"/>
  <c r="X45" i="120"/>
  <c r="G47" i="124"/>
  <c r="AZ17" i="121"/>
  <c r="AX40" i="123"/>
  <c r="M43" i="121"/>
  <c r="V38" i="122"/>
  <c r="V13" i="124"/>
  <c r="AD45" i="124"/>
  <c r="K42" i="124"/>
  <c r="Z49" i="122"/>
  <c r="AN26" i="118"/>
  <c r="AF55" i="118"/>
  <c r="AL34" i="117"/>
  <c r="AF55" i="122"/>
  <c r="AZ42" i="124"/>
  <c r="BE23" i="124"/>
  <c r="AL58" i="124"/>
  <c r="J31" i="124"/>
  <c r="BC46" i="120"/>
  <c r="BB30" i="121"/>
  <c r="AJ41" i="123"/>
  <c r="W9" i="121"/>
  <c r="AC10" i="118"/>
  <c r="AE51" i="120"/>
  <c r="AV51" i="118"/>
  <c r="AO47" i="118"/>
  <c r="AS44" i="119"/>
  <c r="AM34" i="123"/>
  <c r="Z42" i="122"/>
  <c r="AP10" i="123"/>
  <c r="Z37" i="119"/>
  <c r="AU44" i="122"/>
  <c r="AV37" i="119"/>
  <c r="L56" i="121"/>
  <c r="BE55" i="120"/>
  <c r="BB25" i="120"/>
  <c r="H51" i="120"/>
  <c r="Z48" i="122"/>
  <c r="AH31" i="120"/>
  <c r="V13" i="120"/>
  <c r="AW25" i="120"/>
  <c r="V11" i="122"/>
  <c r="X56" i="120"/>
  <c r="W26" i="120"/>
  <c r="AB51" i="120"/>
  <c r="AG21" i="122"/>
  <c r="BE15" i="118"/>
  <c r="AP15" i="117"/>
  <c r="BB10" i="121"/>
  <c r="T20" i="120"/>
  <c r="X51" i="122"/>
  <c r="AX27" i="118"/>
  <c r="AF37" i="117"/>
  <c r="AX11" i="117"/>
  <c r="AG49" i="117"/>
  <c r="V30" i="123"/>
  <c r="AL48" i="120"/>
  <c r="AN18" i="122"/>
  <c r="AL17" i="117"/>
  <c r="AG49" i="121"/>
  <c r="AS9" i="117"/>
  <c r="P38" i="120"/>
  <c r="BA25" i="118"/>
  <c r="V45" i="118"/>
  <c r="AB21" i="118"/>
  <c r="U54" i="121"/>
  <c r="O11" i="118"/>
  <c r="AR16" i="118"/>
  <c r="P46" i="118"/>
  <c r="W13" i="121"/>
  <c r="AQ26" i="118"/>
  <c r="W8" i="118"/>
  <c r="AW21" i="118"/>
  <c r="I27" i="120"/>
  <c r="X13" i="124"/>
  <c r="G39" i="120"/>
  <c r="Q29" i="119"/>
  <c r="AI25" i="119"/>
  <c r="K9" i="122"/>
  <c r="N31" i="117"/>
  <c r="S53" i="117"/>
  <c r="V40" i="122"/>
  <c r="BE37" i="118"/>
  <c r="AF58" i="118"/>
  <c r="AE26" i="119"/>
  <c r="AG41" i="123"/>
  <c r="H57" i="117"/>
  <c r="AJ31" i="124"/>
  <c r="BA37" i="120"/>
  <c r="AQ45" i="120"/>
  <c r="BD33" i="120"/>
  <c r="K16" i="129"/>
  <c r="AQ9" i="123"/>
  <c r="AQ20" i="123"/>
  <c r="AU46" i="124"/>
  <c r="U47" i="124"/>
  <c r="O42" i="119"/>
  <c r="I37" i="119"/>
  <c r="AZ17" i="119"/>
  <c r="AV44" i="120"/>
  <c r="AG51" i="120"/>
  <c r="AP55" i="120"/>
  <c r="W27" i="121"/>
  <c r="AL25" i="118"/>
  <c r="N9" i="119"/>
  <c r="J51" i="118"/>
  <c r="W57" i="121"/>
  <c r="AY9" i="117"/>
  <c r="I13" i="121"/>
  <c r="O55" i="123"/>
  <c r="BE39" i="119"/>
  <c r="AK53" i="122"/>
  <c r="AW31" i="118"/>
  <c r="T44" i="118"/>
  <c r="AM16" i="124"/>
  <c r="W43" i="124"/>
  <c r="AZ18" i="118"/>
  <c r="W25" i="118"/>
  <c r="AI50" i="130"/>
  <c r="Q49" i="124"/>
  <c r="K41" i="118"/>
  <c r="AI42" i="118"/>
  <c r="AG42" i="119"/>
  <c r="AX56" i="124"/>
  <c r="H26" i="122"/>
  <c r="G29" i="124"/>
  <c r="H14" i="119"/>
  <c r="V20" i="122"/>
  <c r="N25" i="119"/>
  <c r="BE21" i="121"/>
  <c r="AN25" i="118"/>
  <c r="N52" i="120"/>
  <c r="AH14" i="119"/>
  <c r="M52" i="118"/>
  <c r="W58" i="120"/>
  <c r="AS58" i="117"/>
  <c r="AK16" i="121"/>
  <c r="AL29" i="122"/>
  <c r="BA21" i="118"/>
  <c r="Q55" i="122"/>
  <c r="P33" i="118"/>
  <c r="AJ44" i="118"/>
  <c r="AV15" i="125"/>
  <c r="AV43" i="124"/>
  <c r="AI21" i="118"/>
  <c r="K27" i="118"/>
  <c r="G14" i="127"/>
  <c r="H32" i="124"/>
  <c r="O41" i="118"/>
  <c r="AN42" i="118"/>
  <c r="Z18" i="118"/>
  <c r="AG16" i="123"/>
  <c r="AO52" i="121"/>
  <c r="V29" i="123"/>
  <c r="M9" i="119"/>
  <c r="L56" i="122"/>
  <c r="AL23" i="118"/>
  <c r="AO25" i="121"/>
  <c r="X16" i="118"/>
  <c r="AD29" i="120"/>
  <c r="BC12" i="118"/>
  <c r="AJ52" i="118"/>
  <c r="AJ25" i="119"/>
  <c r="AZ56" i="117"/>
  <c r="AM41" i="120"/>
  <c r="AF22" i="122"/>
  <c r="AD30" i="117"/>
  <c r="U32" i="124"/>
  <c r="AL53" i="118"/>
  <c r="BE54" i="118"/>
  <c r="AB48" i="123"/>
  <c r="AJ43" i="124"/>
  <c r="AK58" i="118"/>
  <c r="Z51" i="118"/>
  <c r="AL32" i="119"/>
  <c r="O44" i="124"/>
  <c r="AN56" i="118"/>
  <c r="I58" i="118"/>
  <c r="J55" i="124"/>
  <c r="AG44" i="123"/>
  <c r="BD14" i="119"/>
  <c r="AK32" i="122"/>
  <c r="K38" i="117"/>
  <c r="G14" i="121"/>
  <c r="AJ44" i="124"/>
  <c r="AO44" i="120"/>
  <c r="G53" i="118"/>
  <c r="AQ58" i="117"/>
  <c r="Z38" i="117"/>
  <c r="AP10" i="121"/>
  <c r="BC58" i="123"/>
  <c r="AU43" i="119"/>
  <c r="H50" i="118"/>
  <c r="P14" i="121"/>
  <c r="AJ35" i="123"/>
  <c r="X39" i="117"/>
  <c r="AQ41" i="117"/>
  <c r="AV44" i="126"/>
  <c r="O27" i="123"/>
  <c r="AD45" i="117"/>
  <c r="AW46" i="117"/>
  <c r="Q51" i="125"/>
  <c r="AR14" i="123"/>
  <c r="AH51" i="117"/>
  <c r="AW52" i="117"/>
  <c r="AC52" i="122"/>
  <c r="BC37" i="118"/>
  <c r="U8" i="117"/>
  <c r="BB16" i="118"/>
  <c r="AR46" i="124"/>
  <c r="AF8" i="123"/>
  <c r="AL35" i="120"/>
  <c r="AI42" i="122"/>
  <c r="U42" i="119"/>
  <c r="H31" i="117"/>
  <c r="AN30" i="121"/>
  <c r="AK13" i="121"/>
  <c r="L10" i="117"/>
  <c r="P57" i="118"/>
  <c r="K39" i="121"/>
  <c r="AI48" i="117"/>
  <c r="Z58" i="123"/>
  <c r="AN45" i="120"/>
  <c r="AE53" i="123"/>
  <c r="H11" i="117"/>
  <c r="T12" i="117"/>
  <c r="AD53" i="127"/>
  <c r="AS58" i="123"/>
  <c r="H38" i="117"/>
  <c r="Z39" i="117"/>
  <c r="AY16" i="126"/>
  <c r="Y56" i="123"/>
  <c r="Z22" i="117"/>
  <c r="AO23" i="117"/>
  <c r="AR22" i="124"/>
  <c r="Z58" i="121"/>
  <c r="Q43" i="123"/>
  <c r="Y16" i="120"/>
  <c r="M48" i="122"/>
  <c r="AH33" i="119"/>
  <c r="AK8" i="120"/>
  <c r="AW23" i="118"/>
  <c r="Z46" i="117"/>
  <c r="H33" i="119"/>
  <c r="G21" i="124"/>
  <c r="BA32" i="121"/>
  <c r="M17" i="119"/>
  <c r="AJ45" i="123"/>
  <c r="AM34" i="122"/>
  <c r="AE58" i="129"/>
  <c r="AQ18" i="118"/>
  <c r="AO27" i="122"/>
  <c r="P12" i="124"/>
  <c r="AF13" i="124"/>
  <c r="AO41" i="123"/>
  <c r="Z33" i="122"/>
  <c r="L17" i="124"/>
  <c r="AB18" i="124"/>
  <c r="AF13" i="122"/>
  <c r="AH39" i="122"/>
  <c r="AJ23" i="124"/>
  <c r="AW24" i="124"/>
  <c r="AT37" i="123"/>
  <c r="AY37" i="119"/>
  <c r="AF45" i="122"/>
  <c r="AM56" i="118"/>
  <c r="T14" i="121"/>
  <c r="AT49" i="118"/>
  <c r="AS50" i="121"/>
  <c r="O40" i="118"/>
  <c r="I48" i="118"/>
  <c r="AB25" i="119"/>
  <c r="AW32" i="117"/>
  <c r="S58" i="121"/>
  <c r="I11" i="122"/>
  <c r="AG42" i="117"/>
  <c r="L49" i="122"/>
  <c r="N16" i="119"/>
  <c r="AD25" i="124"/>
  <c r="AC48" i="118"/>
  <c r="V36" i="122"/>
  <c r="AT30" i="123"/>
  <c r="M32" i="123"/>
  <c r="K29" i="119"/>
  <c r="J36" i="122"/>
  <c r="AM16" i="123"/>
  <c r="BA40" i="123"/>
  <c r="AZ10" i="118"/>
  <c r="BC48" i="122"/>
  <c r="AK42" i="123"/>
  <c r="G44" i="123"/>
  <c r="AX8" i="122"/>
  <c r="S14" i="117"/>
  <c r="AK49" i="121"/>
  <c r="H34" i="117"/>
  <c r="AQ32" i="120"/>
  <c r="AH55" i="118"/>
  <c r="AB36" i="117"/>
  <c r="AY32" i="117"/>
  <c r="AS15" i="121"/>
  <c r="AO45" i="123"/>
  <c r="AQ18" i="119"/>
  <c r="AH26" i="118"/>
  <c r="P9" i="121"/>
  <c r="AJ11" i="121"/>
  <c r="AP53" i="117"/>
  <c r="AH55" i="123"/>
  <c r="BB45" i="117"/>
  <c r="AR57" i="118"/>
  <c r="X13" i="118"/>
  <c r="AO55" i="123"/>
  <c r="Z50" i="124"/>
  <c r="AD43" i="120"/>
  <c r="BB57" i="118"/>
  <c r="L46" i="118"/>
  <c r="N53" i="117"/>
  <c r="U49" i="120"/>
  <c r="AH22" i="121"/>
  <c r="AB30" i="124"/>
  <c r="BA12" i="121"/>
  <c r="U14" i="123"/>
  <c r="AZ52" i="121"/>
  <c r="L38" i="117"/>
  <c r="AG37" i="119"/>
  <c r="J12" i="117"/>
  <c r="BB36" i="119"/>
  <c r="AZ18" i="121"/>
  <c r="AE50" i="124"/>
  <c r="AW8" i="120"/>
  <c r="I31" i="117"/>
  <c r="AX26" i="119"/>
  <c r="AU37" i="121"/>
  <c r="BD37" i="121"/>
  <c r="BB35" i="120"/>
  <c r="AC8" i="118"/>
  <c r="AQ22" i="118"/>
  <c r="U40" i="117"/>
  <c r="AN40" i="118"/>
  <c r="AC26" i="123"/>
  <c r="AI39" i="123"/>
  <c r="I44" i="119"/>
  <c r="AN42" i="119"/>
  <c r="AS32" i="123"/>
  <c r="M15" i="117"/>
  <c r="AH30" i="121"/>
  <c r="AD57" i="124"/>
  <c r="U54" i="118"/>
  <c r="U11" i="121"/>
  <c r="AQ27" i="123"/>
  <c r="M49" i="119"/>
  <c r="AK53" i="117"/>
  <c r="L47" i="117"/>
  <c r="S41" i="122"/>
  <c r="AD54" i="119"/>
  <c r="Z50" i="121"/>
  <c r="AD55" i="124"/>
  <c r="U18" i="121"/>
  <c r="AX47" i="120"/>
  <c r="N20" i="119"/>
  <c r="Q27" i="117"/>
  <c r="AN50" i="117"/>
  <c r="AG31" i="119"/>
  <c r="T31" i="122"/>
  <c r="AX30" i="118"/>
  <c r="AQ37" i="124"/>
  <c r="AX31" i="119"/>
  <c r="AN45" i="118"/>
  <c r="AR31" i="120"/>
  <c r="AF57" i="123"/>
  <c r="AO26" i="121"/>
  <c r="Z48" i="117"/>
  <c r="L34" i="119"/>
  <c r="AY46" i="118"/>
  <c r="AR21" i="121"/>
  <c r="N53" i="120"/>
  <c r="AW38" i="117"/>
  <c r="AE27" i="121"/>
  <c r="AS8" i="117"/>
  <c r="AI33" i="120"/>
  <c r="AB56" i="118"/>
  <c r="AU17" i="120"/>
  <c r="BB37" i="121"/>
  <c r="AC22" i="120"/>
  <c r="AD22" i="121"/>
  <c r="Q33" i="117"/>
  <c r="AM35" i="122"/>
  <c r="T47" i="119"/>
  <c r="AG43" i="117"/>
  <c r="U41" i="118"/>
  <c r="AL54" i="121"/>
  <c r="Y20" i="124"/>
  <c r="AS57" i="122"/>
  <c r="AS12" i="124"/>
  <c r="AT37" i="119"/>
  <c r="AI18" i="122"/>
  <c r="AC14" i="119"/>
  <c r="V35" i="117"/>
  <c r="AR32" i="123"/>
  <c r="BC35" i="124"/>
  <c r="AS18" i="118"/>
  <c r="K38" i="119"/>
  <c r="BA41" i="124"/>
  <c r="J13" i="123"/>
  <c r="M58" i="122"/>
  <c r="K9" i="120"/>
  <c r="AM23" i="126"/>
  <c r="AC16" i="124"/>
  <c r="Z11" i="121"/>
  <c r="AI49" i="118"/>
  <c r="K23" i="117"/>
  <c r="BA57" i="118"/>
  <c r="P55" i="118"/>
  <c r="Y8" i="122"/>
  <c r="BD45" i="120"/>
  <c r="N42" i="122"/>
  <c r="U48" i="118"/>
  <c r="AW58" i="117"/>
  <c r="S40" i="120"/>
  <c r="H14" i="120"/>
  <c r="T54" i="124"/>
  <c r="AS11" i="118"/>
  <c r="U26" i="117"/>
  <c r="AQ29" i="124"/>
  <c r="AE45" i="123"/>
  <c r="BE45" i="121"/>
  <c r="AG18" i="124"/>
  <c r="AM53" i="120"/>
  <c r="AM36" i="120"/>
  <c r="AN31" i="121"/>
  <c r="AJ12" i="124"/>
  <c r="AG56" i="121"/>
  <c r="AX57" i="121"/>
  <c r="AQ54" i="120"/>
  <c r="AB17" i="124"/>
  <c r="AM16" i="120"/>
  <c r="BA40" i="120"/>
  <c r="AZ40" i="120"/>
  <c r="AB12" i="118"/>
  <c r="AF34" i="117"/>
  <c r="Y36" i="119"/>
  <c r="AN11" i="124"/>
  <c r="BE27" i="121"/>
  <c r="J10" i="119"/>
  <c r="Y53" i="123"/>
  <c r="BE42" i="123"/>
  <c r="AY48" i="130"/>
  <c r="V8" i="118"/>
  <c r="AP15" i="119"/>
  <c r="AV18" i="121"/>
  <c r="AN38" i="124"/>
  <c r="AN48" i="124"/>
  <c r="M32" i="125"/>
  <c r="AT17" i="122"/>
  <c r="I27" i="122"/>
  <c r="AF45" i="120"/>
  <c r="AY46" i="120"/>
  <c r="AL49" i="117"/>
  <c r="T8" i="122"/>
  <c r="X50" i="120"/>
  <c r="AO51" i="120"/>
  <c r="AE57" i="124"/>
  <c r="G29" i="122"/>
  <c r="L56" i="120"/>
  <c r="X57" i="120"/>
  <c r="AL57" i="119"/>
  <c r="M36" i="118"/>
  <c r="AR13" i="119"/>
  <c r="V54" i="117"/>
  <c r="AT45" i="121"/>
  <c r="AT9" i="122"/>
  <c r="BD52" i="117"/>
  <c r="AS20" i="122"/>
  <c r="J13" i="119"/>
  <c r="AZ38" i="117"/>
  <c r="AG36" i="118"/>
  <c r="Q10" i="118"/>
  <c r="T38" i="119"/>
  <c r="M24" i="124"/>
  <c r="AW43" i="123"/>
  <c r="AL25" i="121"/>
  <c r="AL55" i="120"/>
  <c r="AE23" i="125"/>
  <c r="S47" i="120"/>
  <c r="AN48" i="120"/>
  <c r="H8" i="126"/>
  <c r="AH13" i="126"/>
  <c r="AX52" i="120"/>
  <c r="U54" i="120"/>
  <c r="J23" i="125"/>
  <c r="G53" i="125"/>
  <c r="M58" i="120"/>
  <c r="AM54" i="119"/>
  <c r="T55" i="117"/>
  <c r="AS20" i="117"/>
  <c r="AV21" i="121"/>
  <c r="G55" i="123"/>
  <c r="U23" i="119"/>
  <c r="AD26" i="118"/>
  <c r="Q20" i="121"/>
  <c r="AT24" i="121"/>
  <c r="BD39" i="121"/>
  <c r="Z41" i="123"/>
  <c r="Q56" i="117"/>
  <c r="Y11" i="117"/>
  <c r="AL18" i="117"/>
  <c r="AL14" i="123"/>
  <c r="AG13" i="120"/>
  <c r="AJ47" i="118"/>
  <c r="O35" i="118"/>
  <c r="AW56" i="122"/>
  <c r="AX9" i="125"/>
  <c r="S17" i="125"/>
  <c r="H40" i="121"/>
  <c r="H49" i="122"/>
  <c r="AH48" i="122"/>
  <c r="H54" i="122"/>
  <c r="AN34" i="124"/>
  <c r="AF13" i="126"/>
  <c r="AD23" i="124"/>
  <c r="BB29" i="131"/>
  <c r="P25" i="121"/>
  <c r="U37" i="121"/>
  <c r="AN43" i="121"/>
  <c r="I49" i="121"/>
  <c r="AY11" i="122"/>
  <c r="AM9" i="121"/>
  <c r="AU47" i="122"/>
  <c r="Z17" i="120"/>
  <c r="AN40" i="123"/>
  <c r="AX40" i="121"/>
  <c r="BA32" i="118"/>
  <c r="BE20" i="121"/>
  <c r="AF56" i="118"/>
  <c r="BB8" i="118"/>
  <c r="AT38" i="119"/>
  <c r="BD33" i="124"/>
  <c r="U27" i="122"/>
  <c r="Y52" i="124"/>
  <c r="T13" i="119"/>
  <c r="BB51" i="126"/>
  <c r="V38" i="120"/>
  <c r="AJ39" i="120"/>
  <c r="BA49" i="123"/>
  <c r="AO44" i="121"/>
  <c r="H46" i="120"/>
  <c r="AD47" i="120"/>
  <c r="AL32" i="123"/>
  <c r="AW11" i="125"/>
  <c r="Q24" i="120"/>
  <c r="AK30" i="120"/>
  <c r="P24" i="124"/>
  <c r="AX24" i="117"/>
  <c r="BC44" i="117"/>
  <c r="AJ36" i="124"/>
  <c r="BD52" i="120"/>
  <c r="AN44" i="121"/>
  <c r="AD57" i="123"/>
  <c r="J23" i="121"/>
  <c r="M34" i="118"/>
  <c r="AZ50" i="120"/>
  <c r="O57" i="118"/>
  <c r="I9" i="118"/>
  <c r="AM9" i="118"/>
  <c r="S40" i="123"/>
  <c r="AM22" i="121"/>
  <c r="BB50" i="123"/>
  <c r="AK8" i="119"/>
  <c r="Q56" i="131"/>
  <c r="BC36" i="120"/>
  <c r="Z38" i="120"/>
  <c r="BA31" i="123"/>
  <c r="K25" i="125"/>
  <c r="AS44" i="120"/>
  <c r="L46" i="120"/>
  <c r="X14" i="122"/>
  <c r="V26" i="130"/>
  <c r="BA55" i="120"/>
  <c r="AX25" i="120"/>
  <c r="AE17" i="121"/>
  <c r="K26" i="117"/>
  <c r="U18" i="124"/>
  <c r="AR29" i="124"/>
  <c r="BD25" i="120"/>
  <c r="BE53" i="120"/>
  <c r="W58" i="122"/>
  <c r="AW36" i="122"/>
  <c r="P33" i="121"/>
  <c r="Z55" i="118"/>
  <c r="O20" i="118"/>
  <c r="BC57" i="118"/>
  <c r="AO54" i="118"/>
  <c r="AE18" i="118"/>
  <c r="U41" i="123"/>
  <c r="AI8" i="121"/>
  <c r="I37" i="122"/>
  <c r="AF52" i="119"/>
  <c r="AX42" i="122"/>
  <c r="AR43" i="119"/>
  <c r="AE45" i="119"/>
  <c r="V25" i="123"/>
  <c r="Y58" i="123"/>
  <c r="AX49" i="119"/>
  <c r="AN51" i="119"/>
  <c r="AG17" i="122"/>
  <c r="Z15" i="122"/>
  <c r="M58" i="119"/>
  <c r="AF8" i="119"/>
  <c r="AW34" i="122"/>
  <c r="S16" i="117"/>
  <c r="AT39" i="119"/>
  <c r="AG30" i="122"/>
  <c r="AK41" i="118"/>
  <c r="L35" i="117"/>
  <c r="I15" i="120"/>
  <c r="AV21" i="120"/>
  <c r="V31" i="120"/>
  <c r="AR57" i="124"/>
  <c r="AF44" i="117"/>
  <c r="AD14" i="117"/>
  <c r="M54" i="124"/>
  <c r="N43" i="123"/>
  <c r="AV25" i="119"/>
  <c r="X58" i="122"/>
  <c r="AN38" i="117"/>
  <c r="G18" i="124"/>
  <c r="AR39" i="119"/>
  <c r="I42" i="119"/>
  <c r="AH18" i="124"/>
  <c r="AO37" i="124"/>
  <c r="X39" i="119"/>
  <c r="AQ41" i="119"/>
  <c r="AE43" i="124"/>
  <c r="AR18" i="124"/>
  <c r="AK51" i="119"/>
  <c r="I53" i="119"/>
  <c r="AL24" i="120"/>
  <c r="Q16" i="121"/>
  <c r="Z20" i="117"/>
  <c r="AP50" i="120"/>
  <c r="AV22" i="124"/>
  <c r="BE25" i="119"/>
  <c r="N33" i="119"/>
  <c r="AG54" i="119"/>
  <c r="AV15" i="122"/>
  <c r="AW14" i="117"/>
  <c r="T53" i="117"/>
  <c r="AW8" i="122"/>
  <c r="Y47" i="117"/>
  <c r="AR58" i="117"/>
  <c r="K58" i="118"/>
  <c r="AH25" i="123"/>
  <c r="AQ18" i="123"/>
  <c r="AS48" i="122"/>
  <c r="AC22" i="118"/>
  <c r="AV23" i="118"/>
  <c r="AJ51" i="123"/>
  <c r="AZ16" i="122"/>
  <c r="X29" i="118"/>
  <c r="AU30" i="118"/>
  <c r="AD54" i="123"/>
  <c r="AH49" i="122"/>
  <c r="W34" i="118"/>
  <c r="AP35" i="118"/>
  <c r="P48" i="118"/>
  <c r="O49" i="122"/>
  <c r="AM41" i="117"/>
  <c r="K26" i="124"/>
  <c r="BA21" i="122"/>
  <c r="Y34" i="121"/>
  <c r="BE16" i="122"/>
  <c r="AD8" i="118"/>
  <c r="AK31" i="118"/>
  <c r="AR14" i="120"/>
  <c r="BE15" i="124"/>
  <c r="AI45" i="119"/>
  <c r="AC45" i="123"/>
  <c r="M11" i="121"/>
  <c r="BE29" i="123"/>
  <c r="U15" i="120"/>
  <c r="K49" i="122"/>
  <c r="AG30" i="123"/>
  <c r="S26" i="123"/>
  <c r="S24" i="123"/>
  <c r="L50" i="122"/>
  <c r="AZ16" i="124"/>
  <c r="AR41" i="124"/>
  <c r="L24" i="124"/>
  <c r="P56" i="122"/>
  <c r="K48" i="123"/>
  <c r="H20" i="123"/>
  <c r="T46" i="123"/>
  <c r="Y23" i="124"/>
  <c r="H37" i="120"/>
  <c r="BA8" i="120"/>
  <c r="BA33" i="124"/>
  <c r="V29" i="122"/>
  <c r="Z16" i="121"/>
  <c r="W33" i="118"/>
  <c r="Q21" i="118"/>
  <c r="T52" i="118"/>
  <c r="Q50" i="118"/>
  <c r="AI24" i="118"/>
  <c r="AX34" i="123"/>
  <c r="AJ33" i="121"/>
  <c r="O13" i="122"/>
  <c r="AF29" i="119"/>
  <c r="V46" i="122"/>
  <c r="V14" i="118"/>
  <c r="AP8" i="121"/>
  <c r="BB32" i="120"/>
  <c r="AT45" i="120"/>
  <c r="AD45" i="120"/>
  <c r="BC53" i="122"/>
  <c r="BC33" i="120"/>
  <c r="Z39" i="120"/>
  <c r="Q38" i="120"/>
  <c r="AJ20" i="122"/>
  <c r="AZ26" i="120"/>
  <c r="AI44" i="120"/>
  <c r="P44" i="120"/>
  <c r="W22" i="122"/>
  <c r="AX16" i="118"/>
  <c r="N9" i="117"/>
  <c r="AM23" i="120"/>
  <c r="AS22" i="120"/>
  <c r="BC8" i="120"/>
  <c r="AN57" i="124"/>
  <c r="BE37" i="117"/>
  <c r="AZ52" i="117"/>
  <c r="G13" i="124"/>
  <c r="P31" i="123"/>
  <c r="Y58" i="119"/>
  <c r="BE33" i="122"/>
  <c r="AV14" i="117"/>
  <c r="AP49" i="121"/>
  <c r="AO52" i="124"/>
  <c r="AB31" i="120"/>
  <c r="AJ50" i="127"/>
  <c r="AR29" i="122"/>
  <c r="AF46" i="122"/>
  <c r="AR8" i="117"/>
  <c r="U53" i="118"/>
  <c r="AI9" i="118"/>
  <c r="AP18" i="118"/>
  <c r="BE24" i="131"/>
  <c r="AI24" i="126"/>
  <c r="V51" i="121"/>
  <c r="AG52" i="121"/>
  <c r="L23" i="123"/>
  <c r="BB32" i="123"/>
  <c r="AV30" i="123"/>
  <c r="AP56" i="117"/>
  <c r="AX46" i="118"/>
  <c r="AK57" i="117"/>
  <c r="AK30" i="122"/>
  <c r="H17" i="118"/>
  <c r="AT13" i="117"/>
  <c r="BD33" i="118"/>
  <c r="AT18" i="118"/>
  <c r="AC17" i="123"/>
  <c r="AB34" i="121"/>
  <c r="AT9" i="128"/>
  <c r="BC32" i="118"/>
  <c r="AV31" i="122"/>
  <c r="AT9" i="118"/>
  <c r="AK12" i="121"/>
  <c r="AK35" i="121"/>
  <c r="K42" i="121"/>
  <c r="S30" i="121"/>
  <c r="AU30" i="122"/>
  <c r="AU17" i="122"/>
  <c r="AH47" i="122"/>
  <c r="AY27" i="121"/>
  <c r="Y45" i="122"/>
  <c r="AP35" i="121"/>
  <c r="O42" i="121"/>
  <c r="W30" i="121"/>
  <c r="AN32" i="123"/>
  <c r="AO43" i="119"/>
  <c r="AF44" i="119"/>
  <c r="J14" i="121"/>
  <c r="U9" i="121"/>
  <c r="AV13" i="117"/>
  <c r="H16" i="124"/>
  <c r="O37" i="117"/>
  <c r="BD52" i="118"/>
  <c r="V56" i="118"/>
  <c r="AX43" i="123"/>
  <c r="X38" i="121"/>
  <c r="M36" i="125"/>
  <c r="BD17" i="118"/>
  <c r="AX32" i="122"/>
  <c r="X54" i="118"/>
  <c r="AP56" i="121"/>
  <c r="T30" i="121"/>
  <c r="AU35" i="121"/>
  <c r="M18" i="121"/>
  <c r="K37" i="122"/>
  <c r="AZ11" i="121"/>
  <c r="W17" i="121"/>
  <c r="BB52" i="121"/>
  <c r="W46" i="122"/>
  <c r="AK24" i="121"/>
  <c r="G31" i="121"/>
  <c r="AO27" i="121"/>
  <c r="AO23" i="123"/>
  <c r="BC34" i="119"/>
  <c r="J16" i="118"/>
  <c r="BD18" i="121"/>
  <c r="AT12" i="121"/>
  <c r="N33" i="117"/>
  <c r="L29" i="117"/>
  <c r="AE44" i="117"/>
  <c r="AD54" i="118"/>
  <c r="U21" i="117"/>
  <c r="AV15" i="123"/>
  <c r="AF22" i="120"/>
  <c r="H31" i="121"/>
  <c r="BE10" i="118"/>
  <c r="P49" i="122"/>
  <c r="H49" i="118"/>
  <c r="AY14" i="120"/>
  <c r="N54" i="119"/>
  <c r="Y8" i="119"/>
  <c r="N49" i="119"/>
  <c r="N48" i="121"/>
  <c r="S27" i="119"/>
  <c r="BB37" i="119"/>
  <c r="H25" i="119"/>
  <c r="AD57" i="121"/>
  <c r="AL54" i="119"/>
  <c r="AT8" i="119"/>
  <c r="W44" i="119"/>
  <c r="AR31" i="121"/>
  <c r="O21" i="117"/>
  <c r="AT32" i="120"/>
  <c r="AD36" i="120"/>
  <c r="AF35" i="120"/>
  <c r="V35" i="119"/>
  <c r="S34" i="117"/>
  <c r="AH57" i="117"/>
  <c r="V10" i="123"/>
  <c r="Z14" i="123"/>
  <c r="U40" i="118"/>
  <c r="AG18" i="121"/>
  <c r="AQ25" i="120"/>
  <c r="H38" i="124"/>
  <c r="AO51" i="121"/>
  <c r="BB16" i="123"/>
  <c r="I20" i="119"/>
  <c r="V36" i="117"/>
  <c r="AU42" i="117"/>
  <c r="AZ25" i="117"/>
  <c r="I58" i="121"/>
  <c r="V10" i="117"/>
  <c r="AQ16" i="117"/>
  <c r="AZ39" i="117"/>
  <c r="AS57" i="121"/>
  <c r="S32" i="117"/>
  <c r="AT37" i="117"/>
  <c r="BD25" i="117"/>
  <c r="AC9" i="119"/>
  <c r="AW36" i="123"/>
  <c r="Q40" i="123"/>
  <c r="Q25" i="117"/>
  <c r="AX42" i="119"/>
  <c r="P31" i="119"/>
  <c r="AR8" i="121"/>
  <c r="AP26" i="124"/>
  <c r="BA27" i="117"/>
  <c r="AB44" i="130"/>
  <c r="J49" i="122"/>
  <c r="AW53" i="117"/>
  <c r="Z30" i="121"/>
  <c r="G16" i="122"/>
  <c r="K27" i="120"/>
  <c r="BC18" i="121"/>
  <c r="AL30" i="118"/>
  <c r="M43" i="123"/>
  <c r="P22" i="123"/>
  <c r="G50" i="123"/>
  <c r="AN22" i="120"/>
  <c r="AS29" i="123"/>
  <c r="P35" i="123"/>
  <c r="AV25" i="123"/>
  <c r="AC8" i="120"/>
  <c r="AU38" i="123"/>
  <c r="AE41" i="123"/>
  <c r="AF41" i="123"/>
  <c r="AF20" i="118"/>
  <c r="G39" i="122"/>
  <c r="AS16" i="119"/>
  <c r="I48" i="126"/>
  <c r="AK24" i="118"/>
  <c r="AI41" i="118"/>
  <c r="AN24" i="119"/>
  <c r="AZ49" i="124"/>
  <c r="AX34" i="124"/>
  <c r="AV58" i="126"/>
  <c r="M27" i="120"/>
  <c r="Y52" i="123"/>
  <c r="W40" i="119"/>
  <c r="AB44" i="121"/>
  <c r="AH17" i="119"/>
  <c r="AM35" i="119"/>
  <c r="H41" i="118"/>
  <c r="W52" i="122"/>
  <c r="I56" i="122"/>
  <c r="BB9" i="122"/>
  <c r="J24" i="120"/>
  <c r="Q42" i="122"/>
  <c r="G44" i="122"/>
  <c r="AN58" i="122"/>
  <c r="X29" i="120"/>
  <c r="AT11" i="122"/>
  <c r="AG13" i="122"/>
  <c r="I30" i="122"/>
  <c r="AI13" i="121"/>
  <c r="T53" i="121"/>
  <c r="T10" i="117"/>
  <c r="AC50" i="119"/>
  <c r="BD37" i="117"/>
  <c r="BD56" i="118"/>
  <c r="AT14" i="117"/>
  <c r="W10" i="123"/>
  <c r="AK13" i="120"/>
  <c r="AS15" i="122"/>
  <c r="G10" i="118"/>
  <c r="AL36" i="122"/>
  <c r="J54" i="118"/>
  <c r="M18" i="120"/>
  <c r="AQ33" i="118"/>
  <c r="Z44" i="121"/>
  <c r="AP55" i="117"/>
  <c r="AY42" i="121"/>
  <c r="AS44" i="121"/>
  <c r="V53" i="121"/>
  <c r="K9" i="119"/>
  <c r="AH45" i="121"/>
  <c r="BA46" i="121"/>
  <c r="V55" i="121"/>
  <c r="Q26" i="119"/>
  <c r="AJ54" i="121"/>
  <c r="J56" i="121"/>
  <c r="X50" i="129"/>
  <c r="H31" i="120"/>
  <c r="AV58" i="120"/>
  <c r="K44" i="120"/>
  <c r="AZ27" i="117"/>
  <c r="AY51" i="117"/>
  <c r="G49" i="123"/>
  <c r="AW45" i="124"/>
  <c r="AM41" i="118"/>
  <c r="AW20" i="121"/>
  <c r="AS56" i="120"/>
  <c r="AS14" i="124"/>
  <c r="L41" i="121"/>
  <c r="G17" i="122"/>
  <c r="AC8" i="117"/>
  <c r="BB34" i="117"/>
  <c r="BA51" i="121"/>
  <c r="AW11" i="121"/>
  <c r="AC11" i="121"/>
  <c r="L53" i="126"/>
  <c r="AP36" i="122"/>
  <c r="U44" i="122"/>
  <c r="AI18" i="117"/>
  <c r="AV24" i="117"/>
  <c r="AH26" i="120"/>
  <c r="AT8" i="120"/>
  <c r="AY12" i="120"/>
  <c r="P23" i="121"/>
  <c r="Y23" i="121"/>
  <c r="AW34" i="121"/>
  <c r="M20" i="119"/>
  <c r="AX25" i="118"/>
  <c r="AS48" i="117"/>
  <c r="AS9" i="118"/>
  <c r="AQ21" i="122"/>
  <c r="N22" i="118"/>
  <c r="AG58" i="120"/>
  <c r="U58" i="122"/>
  <c r="AE45" i="121"/>
  <c r="U18" i="123"/>
  <c r="O45" i="118"/>
  <c r="AR9" i="122"/>
  <c r="I29" i="124"/>
  <c r="W30" i="124"/>
  <c r="AE37" i="125"/>
  <c r="AE38" i="122"/>
  <c r="AQ36" i="124"/>
  <c r="AH38" i="124"/>
  <c r="BA39" i="124"/>
  <c r="K47" i="122"/>
  <c r="AX39" i="124"/>
  <c r="S42" i="124"/>
  <c r="K49" i="127"/>
  <c r="AU39" i="120"/>
  <c r="W56" i="123"/>
  <c r="Y39" i="120"/>
  <c r="J36" i="121"/>
  <c r="BD33" i="119"/>
  <c r="J53" i="120"/>
  <c r="BB24" i="118"/>
  <c r="AH20" i="120"/>
  <c r="M10" i="118"/>
  <c r="AL55" i="122"/>
  <c r="AQ30" i="117"/>
  <c r="Y14" i="122"/>
  <c r="P14" i="122"/>
  <c r="BA43" i="121"/>
  <c r="U45" i="122"/>
  <c r="S45" i="118"/>
  <c r="AR24" i="122"/>
  <c r="M29" i="124"/>
  <c r="AE30" i="124"/>
  <c r="AO40" i="124"/>
  <c r="AG33" i="122"/>
  <c r="AE34" i="124"/>
  <c r="AT35" i="124"/>
  <c r="O42" i="124"/>
  <c r="AI50" i="122"/>
  <c r="BB39" i="124"/>
  <c r="W42" i="124"/>
  <c r="AK22" i="123"/>
  <c r="AW33" i="120"/>
  <c r="H50" i="123"/>
  <c r="S30" i="119"/>
  <c r="AE8" i="121"/>
  <c r="AT36" i="119"/>
  <c r="AJ11" i="119"/>
  <c r="I25" i="118"/>
  <c r="P38" i="117"/>
  <c r="G33" i="118"/>
  <c r="T39" i="121"/>
  <c r="AZ18" i="124"/>
  <c r="L55" i="121"/>
  <c r="AS50" i="122"/>
  <c r="AW16" i="120"/>
  <c r="AB34" i="120"/>
  <c r="L47" i="118"/>
  <c r="M8" i="122"/>
  <c r="AG13" i="124"/>
  <c r="BB14" i="124"/>
  <c r="M56" i="121"/>
  <c r="AX14" i="122"/>
  <c r="AP56" i="124"/>
  <c r="G58" i="124"/>
  <c r="AL33" i="120"/>
  <c r="AP23" i="122"/>
  <c r="AC25" i="124"/>
  <c r="AV26" i="124"/>
  <c r="AT35" i="120"/>
  <c r="U12" i="118"/>
  <c r="AO54" i="122"/>
  <c r="AI20" i="117"/>
  <c r="AK16" i="120"/>
  <c r="I18" i="118"/>
  <c r="AY39" i="120"/>
  <c r="AG45" i="117"/>
  <c r="BD27" i="123"/>
  <c r="Y8" i="123"/>
  <c r="K32" i="119"/>
  <c r="BD56" i="120"/>
  <c r="AY24" i="120"/>
  <c r="AH9" i="122"/>
  <c r="G55" i="121"/>
  <c r="AT53" i="117"/>
  <c r="AG56" i="124"/>
  <c r="BB40" i="117"/>
  <c r="AB57" i="128"/>
  <c r="U32" i="123"/>
  <c r="AR37" i="123"/>
  <c r="AO10" i="131"/>
  <c r="AC44" i="129"/>
  <c r="O17" i="123"/>
  <c r="AI18" i="123"/>
  <c r="AD36" i="128"/>
  <c r="N41" i="128"/>
  <c r="AL17" i="123"/>
  <c r="Z21" i="123"/>
  <c r="AV23" i="119"/>
  <c r="Z26" i="124"/>
  <c r="AC47" i="121"/>
  <c r="U50" i="123"/>
  <c r="AZ30" i="119"/>
  <c r="AK16" i="117"/>
  <c r="AM39" i="121"/>
  <c r="L23" i="117"/>
  <c r="U38" i="119"/>
  <c r="AM54" i="121"/>
  <c r="AN40" i="117"/>
  <c r="K32" i="117"/>
  <c r="AD21" i="120"/>
  <c r="X30" i="120"/>
  <c r="AC29" i="118"/>
  <c r="AK14" i="130"/>
  <c r="AQ55" i="117"/>
  <c r="J33" i="120"/>
  <c r="J52" i="123"/>
  <c r="AF53" i="123"/>
  <c r="BD32" i="124"/>
  <c r="H55" i="121"/>
  <c r="BA11" i="123"/>
  <c r="P13" i="123"/>
  <c r="BE12" i="124"/>
  <c r="S58" i="120"/>
  <c r="M56" i="123"/>
  <c r="AC57" i="123"/>
  <c r="AD53" i="121"/>
  <c r="Q54" i="122"/>
  <c r="AG26" i="120"/>
  <c r="AL43" i="121"/>
  <c r="AL14" i="118"/>
  <c r="AI21" i="117"/>
  <c r="AX15" i="118"/>
  <c r="I35" i="120"/>
  <c r="AQ36" i="120"/>
  <c r="AF47" i="117"/>
  <c r="AZ24" i="120"/>
  <c r="AG18" i="123"/>
  <c r="P45" i="118"/>
  <c r="AX33" i="129"/>
  <c r="N39" i="119"/>
  <c r="L27" i="119"/>
  <c r="Y51" i="122"/>
  <c r="BC42" i="124"/>
  <c r="Y55" i="124"/>
  <c r="G50" i="122"/>
  <c r="AE55" i="122"/>
  <c r="S17" i="120"/>
  <c r="G17" i="124"/>
  <c r="AC31" i="122"/>
  <c r="BD36" i="122"/>
  <c r="I52" i="120"/>
  <c r="AP17" i="124"/>
  <c r="P30" i="122"/>
  <c r="AL31" i="122"/>
  <c r="AE18" i="119"/>
  <c r="V48" i="121"/>
  <c r="BB24" i="119"/>
  <c r="AT54" i="119"/>
  <c r="AK18" i="118"/>
  <c r="Z47" i="117"/>
  <c r="BB53" i="118"/>
  <c r="BE44" i="121"/>
  <c r="V16" i="124"/>
  <c r="AR22" i="121"/>
  <c r="J39" i="122"/>
  <c r="AH10" i="120"/>
  <c r="H34" i="120"/>
  <c r="AS41" i="118"/>
  <c r="Y44" i="118"/>
  <c r="AF47" i="120"/>
  <c r="I11" i="124"/>
  <c r="P58" i="122"/>
  <c r="J8" i="122"/>
  <c r="BC9" i="122"/>
  <c r="AZ14" i="124"/>
  <c r="BD20" i="122"/>
  <c r="X45" i="122"/>
  <c r="BE55" i="122"/>
  <c r="AC47" i="124"/>
  <c r="N17" i="122"/>
  <c r="AD24" i="122"/>
  <c r="X26" i="122"/>
  <c r="BB13" i="117"/>
  <c r="AH16" i="120"/>
  <c r="AK12" i="118"/>
  <c r="AB15" i="120"/>
  <c r="K39" i="117"/>
  <c r="S27" i="123"/>
  <c r="P40" i="123"/>
  <c r="W8" i="119"/>
  <c r="AI57" i="120"/>
  <c r="Q51" i="121"/>
  <c r="M51" i="122"/>
  <c r="Q44" i="121"/>
  <c r="BB30" i="117"/>
  <c r="AX9" i="124"/>
  <c r="V40" i="117"/>
  <c r="AS52" i="118"/>
  <c r="AW16" i="118"/>
  <c r="I34" i="123"/>
  <c r="G58" i="123"/>
  <c r="U18" i="117"/>
  <c r="J39" i="118"/>
  <c r="AV42" i="120"/>
  <c r="U47" i="117"/>
  <c r="H48" i="123"/>
  <c r="AO22" i="123"/>
  <c r="H12" i="124"/>
  <c r="U37" i="124"/>
  <c r="T51" i="117"/>
  <c r="BA49" i="121"/>
  <c r="AX39" i="122"/>
  <c r="AV50" i="120"/>
  <c r="AP50" i="123"/>
  <c r="BE8" i="117"/>
  <c r="AE27" i="119"/>
  <c r="AJ31" i="121"/>
  <c r="Y49" i="117"/>
  <c r="AH24" i="122"/>
  <c r="AG35" i="124"/>
  <c r="N12" i="117"/>
  <c r="AB20" i="117"/>
  <c r="AR47" i="123"/>
  <c r="X56" i="117"/>
  <c r="BB54" i="122"/>
  <c r="AT20" i="117"/>
  <c r="AE39" i="119"/>
  <c r="M12" i="121"/>
  <c r="AZ50" i="124"/>
  <c r="AB53" i="122"/>
  <c r="P54" i="123"/>
  <c r="AZ8" i="118"/>
  <c r="AP35" i="117"/>
  <c r="P31" i="122"/>
  <c r="AF24" i="124"/>
  <c r="L44" i="122"/>
  <c r="AL45" i="118"/>
  <c r="AR52" i="119"/>
  <c r="BC52" i="118"/>
  <c r="X38" i="122"/>
  <c r="BE21" i="120"/>
  <c r="AP47" i="117"/>
  <c r="AI52" i="118"/>
  <c r="AP37" i="123"/>
  <c r="J56" i="117"/>
  <c r="BD9" i="120"/>
  <c r="L31" i="122"/>
  <c r="Y14" i="123"/>
  <c r="Y36" i="121"/>
  <c r="I11" i="117"/>
  <c r="X54" i="121"/>
  <c r="BB52" i="117"/>
  <c r="BE48" i="120"/>
  <c r="Y47" i="118"/>
  <c r="AP47" i="119"/>
  <c r="AH50" i="123"/>
  <c r="AU37" i="118"/>
  <c r="AR56" i="120"/>
  <c r="Y46" i="117"/>
  <c r="I57" i="118"/>
  <c r="AE25" i="118"/>
  <c r="AY55" i="120"/>
  <c r="M57" i="119"/>
  <c r="Q49" i="118"/>
  <c r="AX31" i="117"/>
  <c r="AG44" i="119"/>
  <c r="U57" i="121"/>
  <c r="AE58" i="117"/>
  <c r="U29" i="124"/>
  <c r="AN10" i="120"/>
  <c r="X52" i="121"/>
  <c r="P46" i="120"/>
  <c r="T46" i="122"/>
  <c r="AV55" i="124"/>
  <c r="AC55" i="124"/>
  <c r="AK50" i="120"/>
  <c r="AL11" i="121"/>
  <c r="AW54" i="123"/>
  <c r="AH13" i="122"/>
  <c r="AK15" i="123"/>
  <c r="Z20" i="121"/>
  <c r="AI40" i="117"/>
  <c r="J24" i="122"/>
  <c r="BD51" i="117"/>
  <c r="AF41" i="119"/>
  <c r="AV43" i="123"/>
  <c r="BA35" i="119"/>
  <c r="L8" i="128"/>
  <c r="AH54" i="119"/>
  <c r="AN31" i="123"/>
  <c r="AI34" i="120"/>
  <c r="AY40" i="121"/>
  <c r="L39" i="119"/>
  <c r="O9" i="117"/>
  <c r="AN26" i="121"/>
  <c r="Q20" i="119"/>
  <c r="AV54" i="119"/>
  <c r="N41" i="120"/>
  <c r="AX31" i="123"/>
  <c r="AF16" i="121"/>
  <c r="AZ32" i="123"/>
  <c r="K58" i="119"/>
  <c r="AZ10" i="124"/>
  <c r="AV25" i="118"/>
  <c r="K57" i="118"/>
  <c r="AC27" i="118"/>
  <c r="AW18" i="118"/>
  <c r="X38" i="119"/>
  <c r="BD35" i="124"/>
  <c r="AV43" i="122"/>
  <c r="T12" i="122"/>
  <c r="AY41" i="119"/>
  <c r="X15" i="124"/>
  <c r="BA32" i="120"/>
  <c r="BE23" i="118"/>
  <c r="V20" i="121"/>
  <c r="AJ34" i="121"/>
  <c r="AY49" i="122"/>
  <c r="X51" i="118"/>
  <c r="AD20" i="123"/>
  <c r="Z54" i="117"/>
  <c r="BC9" i="118"/>
  <c r="P55" i="120"/>
  <c r="AJ56" i="117"/>
  <c r="BB24" i="124"/>
  <c r="Z36" i="119"/>
  <c r="AS37" i="119"/>
  <c r="K25" i="124"/>
  <c r="AO17" i="124"/>
  <c r="K46" i="119"/>
  <c r="AC47" i="119"/>
  <c r="BB8" i="124"/>
  <c r="AD39" i="124"/>
  <c r="AD48" i="119"/>
  <c r="AW49" i="119"/>
  <c r="U35" i="120"/>
  <c r="AL46" i="120"/>
  <c r="AX52" i="117"/>
  <c r="K25" i="120"/>
  <c r="BB38" i="123"/>
  <c r="AE43" i="118"/>
  <c r="K41" i="127"/>
  <c r="P45" i="119"/>
  <c r="G56" i="119"/>
  <c r="H47" i="122"/>
  <c r="X26" i="124"/>
  <c r="AY31" i="117"/>
  <c r="AX27" i="122"/>
  <c r="AL30" i="124"/>
  <c r="AQ11" i="117"/>
  <c r="T16" i="117"/>
  <c r="AR18" i="122"/>
  <c r="AF45" i="123"/>
  <c r="S35" i="122"/>
  <c r="AX22" i="118"/>
  <c r="O24" i="118"/>
  <c r="Z55" i="123"/>
  <c r="BE25" i="122"/>
  <c r="BD27" i="118"/>
  <c r="S30" i="118"/>
  <c r="H40" i="122"/>
  <c r="U36" i="122"/>
  <c r="AV34" i="118"/>
  <c r="K36" i="118"/>
  <c r="G35" i="118"/>
  <c r="AN40" i="121"/>
  <c r="AJ23" i="117"/>
  <c r="AE30" i="121"/>
  <c r="AX35" i="122"/>
  <c r="AY40" i="120"/>
  <c r="BB12" i="120"/>
  <c r="AY29" i="118"/>
  <c r="AN32" i="118"/>
  <c r="L47" i="120"/>
  <c r="X51" i="124"/>
  <c r="AD23" i="118"/>
  <c r="V50" i="121"/>
  <c r="AG31" i="122"/>
  <c r="I15" i="121"/>
  <c r="W15" i="123"/>
  <c r="AJ36" i="120"/>
  <c r="U50" i="122"/>
  <c r="BE48" i="123"/>
  <c r="AM45" i="122"/>
  <c r="AR25" i="122"/>
  <c r="BA50" i="122"/>
  <c r="AL18" i="123"/>
  <c r="BC15" i="123"/>
  <c r="AE25" i="123"/>
  <c r="AE39" i="122"/>
  <c r="T10" i="122"/>
  <c r="AR41" i="122"/>
  <c r="AQ31" i="122"/>
  <c r="M43" i="124"/>
  <c r="S48" i="120"/>
  <c r="AJ46" i="120"/>
  <c r="AX41" i="122"/>
  <c r="AE29" i="122"/>
  <c r="Y20" i="121"/>
  <c r="U14" i="117"/>
  <c r="I33" i="124"/>
  <c r="AM55" i="117"/>
  <c r="AP42" i="118"/>
  <c r="AB16" i="118"/>
  <c r="Y10" i="123"/>
  <c r="K36" i="121"/>
  <c r="AQ25" i="122"/>
  <c r="AD34" i="119"/>
  <c r="AY24" i="122"/>
  <c r="AV50" i="118"/>
  <c r="AT8" i="121"/>
  <c r="AN40" i="128"/>
  <c r="K40" i="123"/>
  <c r="AT23" i="123"/>
  <c r="U26" i="122"/>
  <c r="G21" i="122"/>
  <c r="AZ14" i="122"/>
  <c r="X11" i="130"/>
  <c r="H20" i="121"/>
  <c r="V31" i="128"/>
  <c r="K24" i="123"/>
  <c r="AZ36" i="123"/>
  <c r="AT45" i="122"/>
  <c r="AB30" i="122"/>
  <c r="AP51" i="122"/>
  <c r="I33" i="122"/>
  <c r="AX26" i="122"/>
  <c r="BD8" i="122"/>
  <c r="AQ14" i="120"/>
  <c r="Z23" i="122"/>
  <c r="BD31" i="118"/>
  <c r="BB46" i="118"/>
  <c r="K50" i="120"/>
  <c r="AP8" i="124"/>
  <c r="BA16" i="117"/>
  <c r="BB18" i="128"/>
  <c r="L22" i="120"/>
  <c r="T32" i="123"/>
  <c r="AI41" i="120"/>
  <c r="AM34" i="121"/>
  <c r="AU37" i="129"/>
  <c r="Y57" i="129"/>
  <c r="K29" i="128"/>
  <c r="AC20" i="122"/>
  <c r="AD14" i="121"/>
  <c r="BA18" i="118"/>
  <c r="X21" i="118"/>
  <c r="AF11" i="122"/>
  <c r="S26" i="128"/>
  <c r="Q36" i="128"/>
  <c r="S27" i="127"/>
  <c r="AJ58" i="117"/>
  <c r="AG16" i="121"/>
  <c r="AI16" i="122"/>
  <c r="Z12" i="118"/>
  <c r="AN54" i="122"/>
  <c r="AW16" i="119"/>
  <c r="O51" i="124"/>
  <c r="G31" i="118"/>
  <c r="G47" i="118"/>
  <c r="BD32" i="119"/>
  <c r="U55" i="124"/>
  <c r="AV44" i="124"/>
  <c r="AB45" i="125"/>
  <c r="AJ41" i="120"/>
  <c r="H47" i="123"/>
  <c r="BC40" i="119"/>
  <c r="AU55" i="121"/>
  <c r="AJ22" i="125"/>
  <c r="BB29" i="125"/>
  <c r="V14" i="124"/>
  <c r="AI57" i="122"/>
  <c r="V14" i="128"/>
  <c r="AU22" i="128"/>
  <c r="AM58" i="127"/>
  <c r="H15" i="122"/>
  <c r="L35" i="124"/>
  <c r="AQ43" i="124"/>
  <c r="V39" i="124"/>
  <c r="AW48" i="117"/>
  <c r="AG21" i="121"/>
  <c r="AT8" i="122"/>
  <c r="BB45" i="118"/>
  <c r="AP55" i="122"/>
  <c r="I17" i="119"/>
  <c r="L46" i="117"/>
  <c r="K31" i="118"/>
  <c r="AO48" i="118"/>
  <c r="BD47" i="119"/>
  <c r="AK17" i="124"/>
  <c r="BC35" i="123"/>
  <c r="AC40" i="121"/>
  <c r="AJ31" i="120"/>
  <c r="AJ40" i="122"/>
  <c r="I33" i="119"/>
  <c r="Z10" i="121"/>
  <c r="P34" i="121"/>
  <c r="AQ39" i="121"/>
  <c r="AV22" i="121"/>
  <c r="M38" i="122"/>
  <c r="AU52" i="121"/>
  <c r="BE57" i="121"/>
  <c r="AN56" i="121"/>
  <c r="BD46" i="122"/>
  <c r="K29" i="121"/>
  <c r="AK34" i="121"/>
  <c r="AJ32" i="121"/>
  <c r="N56" i="123"/>
  <c r="AW39" i="119"/>
  <c r="S48" i="118"/>
  <c r="AV13" i="121"/>
  <c r="AX12" i="121"/>
  <c r="I35" i="122"/>
  <c r="G24" i="123"/>
  <c r="AP50" i="117"/>
  <c r="AG40" i="117"/>
  <c r="AQ24" i="117"/>
  <c r="I47" i="123"/>
  <c r="AS10" i="120"/>
  <c r="BE48" i="118"/>
  <c r="AC11" i="118"/>
  <c r="AM37" i="121"/>
  <c r="O29" i="117"/>
  <c r="AV20" i="120"/>
  <c r="W52" i="119"/>
  <c r="AT57" i="119"/>
  <c r="AL43" i="119"/>
  <c r="AU51" i="121"/>
  <c r="L32" i="119"/>
  <c r="AH37" i="119"/>
  <c r="AR20" i="119"/>
  <c r="AI9" i="121"/>
  <c r="P49" i="119"/>
  <c r="AJ54" i="119"/>
  <c r="S49" i="119"/>
  <c r="S35" i="121"/>
  <c r="AQ39" i="117"/>
  <c r="T18" i="117"/>
  <c r="AB26" i="120"/>
  <c r="T33" i="120"/>
  <c r="AF30" i="117"/>
  <c r="BE27" i="117"/>
  <c r="AL57" i="117"/>
  <c r="J43" i="123"/>
  <c r="L42" i="121"/>
  <c r="AT35" i="118"/>
  <c r="AK25" i="117"/>
  <c r="G26" i="119"/>
  <c r="BA45" i="124"/>
  <c r="AX43" i="121"/>
  <c r="AG35" i="123"/>
  <c r="O32" i="119"/>
  <c r="AN32" i="117"/>
  <c r="G38" i="117"/>
  <c r="H21" i="117"/>
  <c r="AH52" i="121"/>
  <c r="AI8" i="117"/>
  <c r="BD13" i="117"/>
  <c r="BC53" i="117"/>
  <c r="AB12" i="121"/>
  <c r="Z26" i="117"/>
  <c r="AS32" i="117"/>
  <c r="W51" i="117"/>
  <c r="Y14" i="119"/>
  <c r="AQ37" i="123"/>
  <c r="P27" i="123"/>
  <c r="AO49" i="131"/>
  <c r="AY27" i="118"/>
  <c r="AO33" i="119"/>
  <c r="AR18" i="121"/>
  <c r="AT26" i="124"/>
  <c r="Z9" i="127"/>
  <c r="H53" i="126"/>
  <c r="AT57" i="122"/>
  <c r="W25" i="124"/>
  <c r="S9" i="121"/>
  <c r="AN57" i="122"/>
  <c r="Q26" i="120"/>
  <c r="AY50" i="121"/>
  <c r="AN14" i="118"/>
  <c r="AJ44" i="123"/>
  <c r="BD48" i="123"/>
  <c r="X42" i="123"/>
  <c r="BE20" i="120"/>
  <c r="W14" i="123"/>
  <c r="U26" i="123"/>
  <c r="BE16" i="123"/>
  <c r="AG11" i="120"/>
  <c r="AW47" i="123"/>
  <c r="P53" i="123"/>
  <c r="N49" i="123"/>
  <c r="AW57" i="118"/>
  <c r="Q41" i="122"/>
  <c r="Z10" i="119"/>
  <c r="U21" i="119"/>
  <c r="AP24" i="118"/>
  <c r="X43" i="118"/>
  <c r="AP39" i="119"/>
  <c r="Q12" i="124"/>
  <c r="BE34" i="123"/>
  <c r="AI45" i="122"/>
  <c r="BB43" i="120"/>
  <c r="AM18" i="122"/>
  <c r="M22" i="119"/>
  <c r="AH51" i="121"/>
  <c r="Z21" i="119"/>
  <c r="X17" i="119"/>
  <c r="U43" i="118"/>
  <c r="Y12" i="122"/>
  <c r="Q14" i="122"/>
  <c r="AP30" i="122"/>
  <c r="K58" i="120"/>
  <c r="AD26" i="122"/>
  <c r="T38" i="122"/>
  <c r="G20" i="122"/>
  <c r="BE26" i="120"/>
  <c r="Q34" i="122"/>
  <c r="M36" i="122"/>
  <c r="AK51" i="122"/>
  <c r="AN25" i="121"/>
  <c r="X53" i="121"/>
  <c r="BE57" i="117"/>
  <c r="J40" i="123"/>
  <c r="Q45" i="117"/>
  <c r="AY40" i="117"/>
  <c r="N18" i="117"/>
  <c r="AX25" i="123"/>
  <c r="AG10" i="120"/>
  <c r="Q30" i="119"/>
  <c r="AW32" i="118"/>
  <c r="AO49" i="122"/>
  <c r="AG10" i="117"/>
  <c r="P23" i="120"/>
  <c r="AS32" i="118"/>
  <c r="AG43" i="120"/>
  <c r="AG13" i="117"/>
  <c r="Q43" i="120"/>
  <c r="L41" i="122"/>
  <c r="AJ38" i="122"/>
  <c r="AU41" i="122"/>
  <c r="BC23" i="122"/>
  <c r="AS30" i="122"/>
  <c r="O18" i="128"/>
  <c r="V11" i="123"/>
  <c r="AJ12" i="119"/>
  <c r="BA18" i="120"/>
  <c r="BC44" i="120"/>
  <c r="AE21" i="121"/>
  <c r="BB26" i="121"/>
  <c r="U33" i="121"/>
  <c r="AF44" i="122"/>
  <c r="AE22" i="122"/>
  <c r="AF58" i="122"/>
  <c r="BE56" i="121"/>
  <c r="AX8" i="117"/>
  <c r="O22" i="124"/>
  <c r="AQ46" i="122"/>
  <c r="L36" i="117"/>
  <c r="AF12" i="119"/>
  <c r="AE45" i="122"/>
  <c r="K26" i="119"/>
  <c r="G51" i="121"/>
  <c r="Z42" i="118"/>
  <c r="BB15" i="119"/>
  <c r="AX53" i="118"/>
  <c r="AY29" i="122"/>
  <c r="N31" i="122"/>
  <c r="H43" i="122"/>
  <c r="V29" i="120"/>
  <c r="Q49" i="122"/>
  <c r="AK54" i="122"/>
  <c r="AN47" i="122"/>
  <c r="AW34" i="120"/>
  <c r="AS45" i="122"/>
  <c r="L47" i="122"/>
  <c r="AJ57" i="122"/>
  <c r="H17" i="123"/>
  <c r="BC48" i="121"/>
  <c r="AY31" i="118"/>
  <c r="AS48" i="120"/>
  <c r="P54" i="118"/>
  <c r="T42" i="118"/>
  <c r="V38" i="119"/>
  <c r="AM52" i="123"/>
  <c r="AQ51" i="122"/>
  <c r="BB47" i="124"/>
  <c r="AG8" i="119"/>
  <c r="BA32" i="122"/>
  <c r="Y32" i="119"/>
  <c r="AF45" i="121"/>
  <c r="Z43" i="118"/>
  <c r="Y23" i="118"/>
  <c r="S22" i="119"/>
  <c r="AQ54" i="118"/>
  <c r="AH46" i="122"/>
  <c r="AW47" i="122"/>
  <c r="Z58" i="122"/>
  <c r="AQ29" i="120"/>
  <c r="AO36" i="122"/>
  <c r="Z39" i="122"/>
  <c r="H51" i="122"/>
  <c r="V35" i="120"/>
  <c r="W25" i="122"/>
  <c r="AR50" i="122"/>
  <c r="H30" i="122"/>
  <c r="K57" i="122"/>
  <c r="AL55" i="121"/>
  <c r="AX54" i="118"/>
  <c r="U26" i="118"/>
  <c r="AK47" i="118"/>
  <c r="AR44" i="118"/>
  <c r="G18" i="118"/>
  <c r="W29" i="123"/>
  <c r="V56" i="121"/>
  <c r="Y54" i="123"/>
  <c r="AK55" i="119"/>
  <c r="AB34" i="122"/>
  <c r="Z8" i="118"/>
  <c r="N49" i="121"/>
  <c r="W9" i="118"/>
  <c r="H30" i="119"/>
  <c r="AQ30" i="118"/>
  <c r="AN55" i="118"/>
  <c r="V11" i="121"/>
  <c r="AQ12" i="121"/>
  <c r="T22" i="121"/>
  <c r="AZ32" i="120"/>
  <c r="AD53" i="122"/>
  <c r="V56" i="122"/>
  <c r="AM23" i="121"/>
  <c r="AP37" i="120"/>
  <c r="AQ23" i="121"/>
  <c r="N25" i="121"/>
  <c r="AL16" i="125"/>
  <c r="AM42" i="120"/>
  <c r="L27" i="120"/>
  <c r="V58" i="121"/>
  <c r="J52" i="117"/>
  <c r="AH32" i="117"/>
  <c r="BD29" i="117"/>
  <c r="AB58" i="124"/>
  <c r="N11" i="123"/>
  <c r="AE24" i="119"/>
  <c r="AX36" i="122"/>
  <c r="O38" i="117"/>
  <c r="AX37" i="121"/>
  <c r="J47" i="124"/>
  <c r="AR54" i="120"/>
  <c r="AJ55" i="118"/>
  <c r="K30" i="124"/>
  <c r="AD50" i="117"/>
  <c r="Z33" i="121"/>
  <c r="AO34" i="121"/>
  <c r="AS43" i="121"/>
  <c r="AD26" i="119"/>
  <c r="W45" i="121"/>
  <c r="AT46" i="121"/>
  <c r="AX54" i="121"/>
  <c r="BA32" i="119"/>
  <c r="P45" i="121"/>
  <c r="AH46" i="121"/>
  <c r="BB8" i="125"/>
  <c r="K41" i="119"/>
  <c r="G18" i="119"/>
  <c r="AY22" i="122"/>
  <c r="S55" i="117"/>
  <c r="AF42" i="117"/>
  <c r="BD55" i="122"/>
  <c r="AL52" i="118"/>
  <c r="AP16" i="117"/>
  <c r="AN53" i="118"/>
  <c r="AM41" i="123"/>
  <c r="AJ8" i="123"/>
  <c r="AW57" i="120"/>
  <c r="AP44" i="122"/>
  <c r="AL13" i="119"/>
  <c r="BC42" i="117"/>
  <c r="M20" i="120"/>
  <c r="BD44" i="121"/>
  <c r="X21" i="117"/>
  <c r="W40" i="120"/>
  <c r="BD40" i="120"/>
  <c r="BB40" i="120"/>
  <c r="Z23" i="119"/>
  <c r="AG55" i="121"/>
  <c r="BB56" i="121"/>
  <c r="AE49" i="121"/>
  <c r="M36" i="119"/>
  <c r="AK40" i="120"/>
  <c r="T40" i="120"/>
  <c r="AF48" i="123"/>
  <c r="L17" i="118"/>
  <c r="AY47" i="118"/>
  <c r="BD13" i="120"/>
  <c r="AR56" i="124"/>
  <c r="G40" i="119"/>
  <c r="AC42" i="124"/>
  <c r="AB16" i="121"/>
  <c r="AC47" i="123"/>
  <c r="AH14" i="120"/>
  <c r="M17" i="122"/>
  <c r="BE55" i="119"/>
  <c r="AP21" i="120"/>
  <c r="AZ16" i="118"/>
  <c r="BA56" i="117"/>
  <c r="O39" i="119"/>
  <c r="AY39" i="124"/>
  <c r="AC24" i="120"/>
  <c r="AT25" i="120"/>
  <c r="BB34" i="120"/>
  <c r="AR43" i="118"/>
  <c r="Y30" i="120"/>
  <c r="AV31" i="120"/>
  <c r="BD39" i="120"/>
  <c r="AX49" i="118"/>
  <c r="U36" i="120"/>
  <c r="AN37" i="120"/>
  <c r="AZ25" i="118"/>
  <c r="Q42" i="118"/>
  <c r="Q38" i="118"/>
  <c r="AY24" i="118"/>
  <c r="I23" i="123"/>
  <c r="X29" i="121"/>
  <c r="AU52" i="123"/>
  <c r="AT32" i="119"/>
  <c r="AW15" i="122"/>
  <c r="V30" i="118"/>
  <c r="AH37" i="121"/>
  <c r="AL26" i="118"/>
  <c r="AZ34" i="120"/>
  <c r="J24" i="118"/>
  <c r="T58" i="118"/>
  <c r="I21" i="119"/>
  <c r="BE10" i="117"/>
  <c r="U40" i="120"/>
  <c r="AM24" i="119"/>
  <c r="AM57" i="119"/>
  <c r="AM55" i="119"/>
  <c r="AR39" i="118"/>
  <c r="J57" i="120"/>
  <c r="AB58" i="120"/>
  <c r="S32" i="120"/>
  <c r="W37" i="118"/>
  <c r="AM38" i="119"/>
  <c r="AM21" i="119"/>
  <c r="AN57" i="117"/>
  <c r="H26" i="117"/>
  <c r="AX57" i="117"/>
  <c r="BD9" i="124"/>
  <c r="O22" i="123"/>
  <c r="BB44" i="119"/>
  <c r="X47" i="122"/>
  <c r="W14" i="117"/>
  <c r="BD25" i="121"/>
  <c r="N50" i="124"/>
  <c r="AT43" i="120"/>
  <c r="AG58" i="118"/>
  <c r="BD49" i="123"/>
  <c r="BC16" i="124"/>
  <c r="T35" i="124"/>
  <c r="N47" i="120"/>
  <c r="AV39" i="120"/>
  <c r="AT48" i="120"/>
  <c r="AX52" i="123"/>
  <c r="BE21" i="123"/>
  <c r="X27" i="123"/>
  <c r="Z49" i="124"/>
  <c r="M50" i="124"/>
  <c r="BB52" i="119"/>
  <c r="Y46" i="119"/>
  <c r="K27" i="119"/>
  <c r="I53" i="120"/>
  <c r="AD24" i="120"/>
  <c r="AO38" i="123"/>
  <c r="G20" i="118"/>
  <c r="S47" i="130"/>
  <c r="AU23" i="117"/>
  <c r="AL30" i="122"/>
  <c r="AL10" i="119"/>
  <c r="AS25" i="123"/>
  <c r="N24" i="123"/>
  <c r="I56" i="126"/>
  <c r="AL38" i="119"/>
  <c r="M25" i="119"/>
  <c r="N18" i="121"/>
  <c r="BB44" i="124"/>
  <c r="O32" i="117"/>
  <c r="AI12" i="122"/>
  <c r="AZ13" i="122"/>
  <c r="Q39" i="122"/>
  <c r="O54" i="117"/>
  <c r="BB54" i="123"/>
  <c r="AM54" i="122"/>
  <c r="AR53" i="122"/>
  <c r="BE25" i="117"/>
  <c r="AE24" i="122"/>
  <c r="AV25" i="122"/>
  <c r="BB10" i="120"/>
  <c r="AG32" i="122"/>
  <c r="AW21" i="119"/>
  <c r="AH40" i="120"/>
  <c r="AF17" i="118"/>
  <c r="H41" i="117"/>
  <c r="AF26" i="119"/>
  <c r="O12" i="124"/>
  <c r="J29" i="121"/>
  <c r="J16" i="119"/>
  <c r="AQ57" i="123"/>
  <c r="AD56" i="123"/>
  <c r="X42" i="129"/>
  <c r="AU12" i="118"/>
  <c r="AG27" i="119"/>
  <c r="S25" i="121"/>
  <c r="G45" i="124"/>
  <c r="N29" i="117"/>
  <c r="K24" i="122"/>
  <c r="AI25" i="122"/>
  <c r="BA56" i="122"/>
  <c r="G55" i="117"/>
  <c r="BD17" i="122"/>
  <c r="U20" i="122"/>
  <c r="AH10" i="121"/>
  <c r="AP58" i="117"/>
  <c r="G36" i="122"/>
  <c r="AC37" i="122"/>
  <c r="AY29" i="120"/>
  <c r="M34" i="122"/>
  <c r="BE21" i="119"/>
  <c r="AW18" i="120"/>
  <c r="AJ17" i="118"/>
  <c r="AJ17" i="117"/>
  <c r="J25" i="118"/>
  <c r="P39" i="123"/>
  <c r="J47" i="120"/>
  <c r="AD14" i="118"/>
  <c r="AP57" i="123"/>
  <c r="AF41" i="122"/>
  <c r="AJ35" i="127"/>
  <c r="S25" i="118"/>
  <c r="W31" i="119"/>
  <c r="AS23" i="121"/>
  <c r="AE45" i="124"/>
  <c r="V57" i="123"/>
  <c r="AJ43" i="122"/>
  <c r="BA48" i="122"/>
  <c r="P18" i="118"/>
  <c r="BA23" i="123"/>
  <c r="AV54" i="122"/>
  <c r="Q56" i="122"/>
  <c r="AM29" i="117"/>
  <c r="G40" i="122"/>
  <c r="AP10" i="122"/>
  <c r="AC12" i="122"/>
  <c r="S9" i="118"/>
  <c r="W44" i="121"/>
  <c r="AW10" i="118"/>
  <c r="Z8" i="117"/>
  <c r="BC36" i="118"/>
  <c r="AM37" i="117"/>
  <c r="L37" i="118"/>
  <c r="BC45" i="124"/>
  <c r="BD12" i="120"/>
  <c r="J25" i="121"/>
  <c r="N9" i="124"/>
  <c r="T49" i="122"/>
  <c r="O17" i="118"/>
  <c r="AF55" i="123"/>
  <c r="AK34" i="118"/>
  <c r="Y15" i="118"/>
  <c r="S39" i="119"/>
  <c r="X45" i="124"/>
  <c r="Q27" i="128"/>
  <c r="H44" i="121"/>
  <c r="Z45" i="121"/>
  <c r="AU9" i="131"/>
  <c r="AV54" i="129"/>
  <c r="AH40" i="121"/>
  <c r="P40" i="121"/>
  <c r="BA53" i="128"/>
  <c r="N21" i="128"/>
  <c r="L22" i="121"/>
  <c r="BC23" i="121"/>
  <c r="Y46" i="124"/>
  <c r="AC53" i="120"/>
  <c r="M43" i="118"/>
  <c r="S52" i="124"/>
  <c r="AC22" i="117"/>
  <c r="I18" i="121"/>
  <c r="AZ43" i="122"/>
  <c r="AU23" i="118"/>
  <c r="BA48" i="118"/>
  <c r="AS17" i="121"/>
  <c r="AC41" i="121"/>
  <c r="AL43" i="120"/>
  <c r="U23" i="121"/>
  <c r="BB14" i="117"/>
  <c r="O26" i="117"/>
  <c r="AV21" i="117"/>
  <c r="AX29" i="123"/>
  <c r="AU54" i="120"/>
  <c r="I12" i="121"/>
  <c r="Y13" i="121"/>
  <c r="AP39" i="124"/>
  <c r="W26" i="121"/>
  <c r="X23" i="121"/>
  <c r="AJ24" i="121"/>
  <c r="AQ39" i="124"/>
  <c r="AJ55" i="120"/>
  <c r="BB23" i="121"/>
  <c r="U25" i="121"/>
  <c r="BD51" i="122"/>
  <c r="M21" i="119"/>
  <c r="BC17" i="117"/>
  <c r="X49" i="119"/>
  <c r="AP17" i="120"/>
  <c r="AY44" i="117"/>
  <c r="U10" i="117"/>
  <c r="BB9" i="120"/>
  <c r="V8" i="124"/>
  <c r="AM41" i="121"/>
  <c r="AC44" i="120"/>
  <c r="N56" i="120"/>
  <c r="S37" i="123"/>
  <c r="AF17" i="117"/>
  <c r="AZ17" i="117"/>
  <c r="AB36" i="123"/>
  <c r="U51" i="120"/>
  <c r="BD37" i="124"/>
  <c r="AY8" i="120"/>
  <c r="Z10" i="120"/>
  <c r="AJ9" i="120"/>
  <c r="Q43" i="124"/>
  <c r="AM35" i="120"/>
  <c r="AM17" i="120"/>
  <c r="AX58" i="120"/>
  <c r="AL52" i="124"/>
  <c r="AH21" i="120"/>
  <c r="AW22" i="120"/>
  <c r="AW13" i="120"/>
  <c r="AF12" i="118"/>
  <c r="AF12" i="117"/>
  <c r="AM39" i="118"/>
  <c r="AU8" i="123"/>
  <c r="AS51" i="120"/>
  <c r="AH8" i="118"/>
  <c r="AV53" i="123"/>
  <c r="AU39" i="122"/>
  <c r="AL23" i="127"/>
  <c r="AV18" i="118"/>
  <c r="AG18" i="119"/>
  <c r="AB17" i="121"/>
  <c r="I39" i="124"/>
  <c r="G47" i="123"/>
  <c r="AH57" i="121"/>
  <c r="N14" i="121"/>
  <c r="Z41" i="122"/>
  <c r="BA45" i="120"/>
  <c r="T47" i="120"/>
  <c r="AP22" i="124"/>
  <c r="K58" i="122"/>
  <c r="AS50" i="120"/>
  <c r="J52" i="120"/>
  <c r="W54" i="124"/>
  <c r="BE46" i="122"/>
  <c r="W35" i="120"/>
  <c r="AT41" i="120"/>
  <c r="AH12" i="118"/>
  <c r="Y55" i="118"/>
  <c r="AM58" i="118"/>
  <c r="Z35" i="117"/>
  <c r="N13" i="120"/>
  <c r="X20" i="121"/>
  <c r="AW37" i="124"/>
  <c r="AQ36" i="122"/>
  <c r="AJ33" i="118"/>
  <c r="AQ25" i="123"/>
  <c r="AT55" i="118"/>
  <c r="AX9" i="118"/>
  <c r="AV33" i="119"/>
  <c r="AW38" i="124"/>
  <c r="Z26" i="122"/>
  <c r="AG27" i="118"/>
  <c r="AM41" i="119"/>
  <c r="Y47" i="123"/>
  <c r="AC23" i="119"/>
  <c r="AU51" i="124"/>
  <c r="AV14" i="120"/>
  <c r="AP33" i="121"/>
  <c r="AL35" i="117"/>
  <c r="AH54" i="121"/>
  <c r="BA8" i="117"/>
  <c r="AU53" i="120"/>
  <c r="BA46" i="119"/>
  <c r="AC21" i="120"/>
  <c r="O48" i="122"/>
  <c r="BE37" i="119"/>
  <c r="U45" i="117"/>
  <c r="AI38" i="119"/>
  <c r="AL50" i="120"/>
  <c r="S36" i="118"/>
  <c r="BD53" i="117"/>
  <c r="N49" i="118"/>
  <c r="AV20" i="123"/>
  <c r="AV9" i="120"/>
  <c r="AE52" i="117"/>
  <c r="V34" i="121"/>
  <c r="M15" i="120"/>
  <c r="AY11" i="119"/>
  <c r="AI27" i="123"/>
  <c r="AJ43" i="117"/>
  <c r="AC32" i="122"/>
  <c r="BB48" i="123"/>
  <c r="K9" i="117"/>
  <c r="AF13" i="117"/>
  <c r="AX17" i="121"/>
  <c r="AW30" i="123"/>
  <c r="O44" i="118"/>
  <c r="AH38" i="121"/>
  <c r="AF15" i="119"/>
  <c r="AJ17" i="120"/>
  <c r="AW48" i="118"/>
  <c r="Q8" i="118"/>
  <c r="AO24" i="118"/>
  <c r="Y42" i="121"/>
  <c r="AT33" i="121"/>
  <c r="AF42" i="120"/>
  <c r="AK57" i="123"/>
  <c r="J30" i="123"/>
  <c r="AJ43" i="119"/>
  <c r="AH52" i="119"/>
  <c r="BE17" i="124"/>
  <c r="AN15" i="117"/>
  <c r="AQ22" i="122"/>
  <c r="BA40" i="122"/>
  <c r="AU39" i="118"/>
  <c r="BE9" i="118"/>
  <c r="Q35" i="118"/>
  <c r="AY55" i="121"/>
  <c r="BD54" i="117"/>
  <c r="J26" i="124"/>
  <c r="AI46" i="119"/>
  <c r="W20" i="120"/>
  <c r="AI23" i="119"/>
  <c r="BD45" i="122"/>
  <c r="BB22" i="120"/>
  <c r="V34" i="120"/>
  <c r="AO38" i="119"/>
  <c r="AP24" i="122"/>
  <c r="AH32" i="122"/>
  <c r="AR39" i="117"/>
  <c r="AY49" i="118"/>
  <c r="AW42" i="120"/>
  <c r="AZ9" i="120"/>
  <c r="G48" i="119"/>
  <c r="AQ30" i="119"/>
  <c r="Z54" i="122"/>
  <c r="S34" i="120"/>
  <c r="T9" i="117"/>
  <c r="AS33" i="117"/>
  <c r="AU45" i="120"/>
  <c r="AT42" i="117"/>
  <c r="AQ33" i="122"/>
  <c r="Z18" i="121"/>
  <c r="AM17" i="122"/>
  <c r="BE40" i="118"/>
  <c r="AD49" i="118"/>
  <c r="AV54" i="117"/>
  <c r="BE55" i="124"/>
  <c r="BD12" i="118"/>
  <c r="S53" i="120"/>
  <c r="K38" i="120"/>
  <c r="AD27" i="123"/>
  <c r="AX29" i="119"/>
  <c r="AT51" i="121"/>
  <c r="AI45" i="118"/>
  <c r="AY22" i="117"/>
  <c r="AU53" i="121"/>
  <c r="BB39" i="120"/>
  <c r="AB20" i="124"/>
  <c r="BD55" i="121"/>
  <c r="G25" i="122"/>
  <c r="BB49" i="120"/>
  <c r="Y16" i="122"/>
  <c r="Y49" i="120"/>
  <c r="AL14" i="119"/>
  <c r="H20" i="120"/>
  <c r="AC36" i="121"/>
  <c r="AB43" i="119"/>
  <c r="AT10" i="120"/>
  <c r="AK52" i="122"/>
  <c r="AI46" i="121"/>
  <c r="G17" i="123"/>
  <c r="N43" i="117"/>
  <c r="Y51" i="124"/>
  <c r="AO58" i="118"/>
  <c r="AR20" i="121"/>
  <c r="U20" i="121"/>
  <c r="AP12" i="117"/>
  <c r="AB44" i="123"/>
  <c r="AK9" i="117"/>
  <c r="AV55" i="118"/>
  <c r="AR54" i="121"/>
  <c r="J15" i="117"/>
  <c r="BC10" i="120"/>
  <c r="AK57" i="119"/>
  <c r="AD12" i="119"/>
  <c r="H49" i="119"/>
  <c r="AW54" i="121"/>
  <c r="J25" i="119"/>
  <c r="AJ31" i="119"/>
  <c r="AG25" i="119"/>
  <c r="O13" i="121"/>
  <c r="AB54" i="119"/>
  <c r="T58" i="119"/>
  <c r="AR40" i="118"/>
  <c r="AI40" i="120"/>
  <c r="AJ58" i="124"/>
  <c r="Q17" i="122"/>
  <c r="AE50" i="120"/>
  <c r="W45" i="120"/>
  <c r="AT56" i="124"/>
  <c r="AG58" i="117"/>
  <c r="AQ57" i="117"/>
  <c r="BD41" i="123"/>
  <c r="Y32" i="120"/>
  <c r="AB27" i="118"/>
  <c r="X8" i="122"/>
  <c r="BD48" i="118"/>
  <c r="AP9" i="123"/>
  <c r="AT16" i="120"/>
  <c r="AE23" i="123"/>
  <c r="W34" i="119"/>
  <c r="AH29" i="117"/>
  <c r="BA34" i="117"/>
  <c r="AI53" i="117"/>
  <c r="AC58" i="121"/>
  <c r="W55" i="117"/>
  <c r="BA9" i="117"/>
  <c r="AH44" i="117"/>
  <c r="AW57" i="121"/>
  <c r="P8" i="117"/>
  <c r="T13" i="117"/>
  <c r="L48" i="117"/>
  <c r="BA58" i="119"/>
  <c r="V52" i="123"/>
  <c r="Q52" i="122"/>
  <c r="AR22" i="128"/>
  <c r="AZ24" i="118"/>
  <c r="J36" i="119"/>
  <c r="AK8" i="121"/>
  <c r="O27" i="124"/>
  <c r="X27" i="124"/>
  <c r="AO51" i="122"/>
  <c r="AQ50" i="122"/>
  <c r="AS9" i="124"/>
  <c r="O56" i="121"/>
  <c r="J46" i="122"/>
  <c r="AX33" i="119"/>
  <c r="K47" i="121"/>
  <c r="AI15" i="118"/>
  <c r="AJ58" i="123"/>
  <c r="T57" i="123"/>
  <c r="U40" i="122"/>
  <c r="AD26" i="120"/>
  <c r="P24" i="123"/>
  <c r="AF30" i="123"/>
  <c r="M57" i="123"/>
  <c r="AK14" i="120"/>
  <c r="K8" i="122"/>
  <c r="AI13" i="122"/>
  <c r="S13" i="122"/>
  <c r="N22" i="117"/>
  <c r="AJ54" i="122"/>
  <c r="AW29" i="118"/>
  <c r="AM43" i="123"/>
  <c r="AF53" i="118"/>
  <c r="AW42" i="118"/>
  <c r="AW38" i="119"/>
  <c r="AV58" i="124"/>
  <c r="X56" i="122"/>
  <c r="Z47" i="119"/>
  <c r="L54" i="120"/>
  <c r="AV38" i="122"/>
  <c r="V29" i="119"/>
  <c r="AZ50" i="121"/>
  <c r="BC15" i="118"/>
  <c r="I13" i="119"/>
  <c r="BB34" i="118"/>
  <c r="AS52" i="122"/>
  <c r="AJ12" i="130"/>
  <c r="Z10" i="129"/>
  <c r="G36" i="120"/>
  <c r="AS49" i="120"/>
  <c r="T29" i="120"/>
  <c r="V21" i="125"/>
  <c r="I36" i="131"/>
  <c r="G42" i="121"/>
  <c r="AK33" i="127"/>
  <c r="AY46" i="127"/>
  <c r="BD54" i="118"/>
  <c r="W29" i="118"/>
  <c r="AO50" i="118"/>
  <c r="P49" i="120"/>
  <c r="BA26" i="120"/>
  <c r="AH48" i="120"/>
  <c r="AZ39" i="118"/>
  <c r="K11" i="120"/>
  <c r="BA10" i="124"/>
  <c r="AE14" i="120"/>
  <c r="P53" i="117"/>
  <c r="AN42" i="121"/>
  <c r="AM18" i="123"/>
  <c r="G54" i="121"/>
  <c r="T26" i="122"/>
  <c r="AI10" i="119"/>
  <c r="AE44" i="121"/>
  <c r="M39" i="118"/>
  <c r="K37" i="124"/>
  <c r="AG43" i="124"/>
  <c r="N46" i="124"/>
  <c r="X56" i="121"/>
  <c r="AJ30" i="124"/>
  <c r="L36" i="124"/>
  <c r="AB24" i="124"/>
  <c r="AT57" i="121"/>
  <c r="AB51" i="124"/>
  <c r="AS56" i="124"/>
  <c r="U41" i="124"/>
  <c r="Q16" i="124"/>
  <c r="AO10" i="122"/>
  <c r="J39" i="121"/>
  <c r="X55" i="123"/>
  <c r="AF23" i="118"/>
  <c r="AR18" i="118"/>
  <c r="L20" i="120"/>
  <c r="BE10" i="124"/>
  <c r="AI43" i="119"/>
  <c r="AM45" i="123"/>
  <c r="BC39" i="121"/>
  <c r="AK13" i="123"/>
  <c r="AO22" i="120"/>
  <c r="AI33" i="122"/>
  <c r="BA21" i="119"/>
  <c r="J12" i="120"/>
  <c r="Q39" i="118"/>
  <c r="AP55" i="124"/>
  <c r="BB49" i="124"/>
  <c r="AK12" i="124"/>
  <c r="W52" i="121"/>
  <c r="AE23" i="124"/>
  <c r="AO18" i="124"/>
  <c r="AG16" i="124"/>
  <c r="AN54" i="121"/>
  <c r="I18" i="124"/>
  <c r="AG24" i="124"/>
  <c r="AM58" i="123"/>
  <c r="G53" i="121"/>
  <c r="H50" i="122"/>
  <c r="AX55" i="121"/>
  <c r="P56" i="121"/>
  <c r="AJ23" i="118"/>
  <c r="AK20" i="118"/>
  <c r="AS41" i="120"/>
  <c r="J46" i="124"/>
  <c r="AM8" i="118"/>
  <c r="BC52" i="122"/>
  <c r="V54" i="123"/>
  <c r="AU44" i="121"/>
  <c r="AT41" i="123"/>
  <c r="Z31" i="120"/>
  <c r="AT34" i="122"/>
  <c r="AD22" i="119"/>
  <c r="AB21" i="120"/>
  <c r="H42" i="118"/>
  <c r="AV57" i="122"/>
  <c r="J31" i="122"/>
  <c r="BB11" i="122"/>
  <c r="O39" i="120"/>
  <c r="P53" i="122"/>
  <c r="AH54" i="122"/>
  <c r="AJ9" i="122"/>
  <c r="AU35" i="120"/>
  <c r="U13" i="122"/>
  <c r="AP14" i="122"/>
  <c r="AI26" i="122"/>
  <c r="AG18" i="122"/>
  <c r="BB54" i="121"/>
  <c r="U41" i="117"/>
  <c r="AF45" i="117"/>
  <c r="AM23" i="117"/>
  <c r="U36" i="118"/>
  <c r="AB11" i="118"/>
  <c r="W39" i="123"/>
  <c r="W12" i="121"/>
  <c r="AN29" i="122"/>
  <c r="AQ9" i="119"/>
  <c r="AD12" i="122"/>
  <c r="W45" i="118"/>
  <c r="V49" i="121"/>
  <c r="G11" i="118"/>
  <c r="AN23" i="118"/>
  <c r="Q40" i="117"/>
  <c r="V27" i="121"/>
  <c r="N30" i="121"/>
  <c r="J42" i="121"/>
  <c r="O32" i="120"/>
  <c r="N17" i="121"/>
  <c r="AL18" i="121"/>
  <c r="BC27" i="121"/>
  <c r="AC37" i="120"/>
  <c r="BC43" i="121"/>
  <c r="AQ45" i="121"/>
  <c r="BC57" i="131"/>
  <c r="AT9" i="120"/>
  <c r="BC29" i="120"/>
  <c r="AB20" i="119"/>
  <c r="T53" i="123"/>
  <c r="AN27" i="117"/>
  <c r="AR31" i="117"/>
  <c r="AD37" i="124"/>
  <c r="Y20" i="123"/>
  <c r="AY31" i="119"/>
  <c r="N40" i="123"/>
  <c r="P11" i="117"/>
  <c r="X32" i="121"/>
  <c r="AX46" i="124"/>
  <c r="AI52" i="120"/>
  <c r="O56" i="118"/>
  <c r="AK30" i="123"/>
  <c r="AH50" i="117"/>
  <c r="AK27" i="121"/>
  <c r="BD29" i="121"/>
  <c r="M38" i="121"/>
  <c r="AH26" i="119"/>
  <c r="AS38" i="121"/>
  <c r="P41" i="121"/>
  <c r="J49" i="121"/>
  <c r="BE32" i="119"/>
  <c r="AI39" i="121"/>
  <c r="AX41" i="121"/>
  <c r="AP52" i="129"/>
  <c r="Z33" i="119"/>
  <c r="K21" i="119"/>
  <c r="X13" i="122"/>
  <c r="AU49" i="117"/>
  <c r="J20" i="117"/>
  <c r="BA45" i="122"/>
  <c r="BA15" i="117"/>
  <c r="AL11" i="117"/>
  <c r="BD18" i="117"/>
  <c r="AL54" i="123"/>
  <c r="BA21" i="123"/>
  <c r="AQ58" i="120"/>
  <c r="AB36" i="122"/>
  <c r="Z16" i="119"/>
  <c r="J43" i="117"/>
  <c r="AB21" i="117"/>
  <c r="AT21" i="120"/>
  <c r="T23" i="128"/>
  <c r="AR9" i="120"/>
  <c r="U8" i="120"/>
  <c r="AC16" i="120"/>
  <c r="AP30" i="119"/>
  <c r="BC40" i="120"/>
  <c r="AL40" i="120"/>
  <c r="AG9" i="120"/>
  <c r="AU32" i="119"/>
  <c r="AT17" i="120"/>
  <c r="O20" i="120"/>
  <c r="AW10" i="121"/>
  <c r="T17" i="118"/>
  <c r="AV8" i="118"/>
  <c r="AQ46" i="120"/>
  <c r="AU39" i="124"/>
  <c r="AN46" i="119"/>
  <c r="BE38" i="123"/>
  <c r="AD55" i="123"/>
  <c r="P21" i="121"/>
  <c r="BB33" i="123"/>
  <c r="AH9" i="120"/>
  <c r="U18" i="122"/>
  <c r="L56" i="119"/>
  <c r="P15" i="120"/>
  <c r="AQ35" i="118"/>
  <c r="AQ35" i="117"/>
  <c r="AU15" i="118"/>
  <c r="O38" i="123"/>
  <c r="AR44" i="120"/>
  <c r="G46" i="120"/>
  <c r="S54" i="120"/>
  <c r="AC44" i="118"/>
  <c r="AX30" i="120"/>
  <c r="Q32" i="120"/>
  <c r="Y41" i="120"/>
  <c r="S50" i="118"/>
  <c r="AK55" i="120"/>
  <c r="I57" i="120"/>
  <c r="AZ50" i="117"/>
  <c r="AM42" i="117"/>
  <c r="AG57" i="118"/>
  <c r="AS15" i="118"/>
  <c r="AZ33" i="123"/>
  <c r="G36" i="121"/>
  <c r="V8" i="122"/>
  <c r="AR37" i="119"/>
  <c r="K52" i="122"/>
  <c r="O15" i="118"/>
  <c r="AL37" i="121"/>
  <c r="X27" i="118"/>
  <c r="AS39" i="118"/>
  <c r="AJ40" i="117"/>
  <c r="AZ43" i="118"/>
  <c r="H54" i="124"/>
  <c r="AY20" i="120"/>
  <c r="K14" i="124"/>
  <c r="P34" i="119"/>
  <c r="AU39" i="119"/>
  <c r="AZ40" i="122"/>
  <c r="AD46" i="123"/>
  <c r="AG53" i="123"/>
  <c r="BA33" i="126"/>
  <c r="K55" i="130"/>
  <c r="AW51" i="124"/>
  <c r="X31" i="119"/>
  <c r="BB43" i="119"/>
  <c r="BD31" i="122"/>
  <c r="V54" i="122"/>
  <c r="AQ58" i="122"/>
  <c r="AB53" i="123"/>
  <c r="AY57" i="123"/>
  <c r="AM53" i="122"/>
  <c r="AV9" i="119"/>
  <c r="AP46" i="117"/>
  <c r="AB20" i="120"/>
  <c r="AB9" i="123"/>
  <c r="AY27" i="120"/>
  <c r="J51" i="122"/>
  <c r="W54" i="119"/>
  <c r="AF54" i="120"/>
  <c r="L34" i="118"/>
  <c r="P29" i="128"/>
  <c r="Q11" i="118"/>
  <c r="AK47" i="122"/>
  <c r="P12" i="120"/>
  <c r="AF13" i="120"/>
  <c r="V22" i="120"/>
  <c r="AY21" i="118"/>
  <c r="AF16" i="120"/>
  <c r="AW17" i="120"/>
  <c r="AU26" i="120"/>
  <c r="AD12" i="118"/>
  <c r="AJ23" i="120"/>
  <c r="AW24" i="120"/>
  <c r="AN57" i="126"/>
  <c r="M18" i="118"/>
  <c r="S23" i="118"/>
  <c r="W9" i="119"/>
  <c r="W44" i="124"/>
  <c r="U25" i="124"/>
  <c r="AX46" i="126"/>
  <c r="P41" i="120"/>
  <c r="AV54" i="123"/>
  <c r="M39" i="120"/>
  <c r="AU27" i="121"/>
  <c r="AX56" i="119"/>
  <c r="AM53" i="119"/>
  <c r="AF34" i="118"/>
  <c r="AE55" i="119"/>
  <c r="AU55" i="118"/>
  <c r="AD34" i="122"/>
  <c r="T13" i="120"/>
  <c r="AF14" i="120"/>
  <c r="X23" i="120"/>
  <c r="N38" i="118"/>
  <c r="T17" i="120"/>
  <c r="AF18" i="120"/>
  <c r="AF27" i="120"/>
  <c r="AN12" i="118"/>
  <c r="AJ24" i="120"/>
  <c r="BA25" i="120"/>
  <c r="BB14" i="119"/>
  <c r="U18" i="118"/>
  <c r="BE36" i="118"/>
  <c r="AE47" i="119"/>
  <c r="AS57" i="124"/>
  <c r="AC37" i="123"/>
  <c r="AZ17" i="122"/>
  <c r="AH32" i="120"/>
  <c r="Y57" i="123"/>
  <c r="AK31" i="119"/>
  <c r="AO37" i="121"/>
  <c r="AQ8" i="119"/>
  <c r="T12" i="119"/>
  <c r="AX36" i="118"/>
  <c r="M11" i="124"/>
  <c r="W52" i="118"/>
  <c r="BA44" i="121"/>
  <c r="AW52" i="120"/>
  <c r="P54" i="120"/>
  <c r="W27" i="120"/>
  <c r="N46" i="118"/>
  <c r="AN46" i="120"/>
  <c r="I48" i="120"/>
  <c r="U56" i="120"/>
  <c r="AF50" i="118"/>
  <c r="AP29" i="120"/>
  <c r="I31" i="120"/>
  <c r="AP34" i="124"/>
  <c r="AT38" i="117"/>
  <c r="S40" i="117"/>
  <c r="Y38" i="117"/>
  <c r="AE51" i="123"/>
  <c r="AS9" i="120"/>
  <c r="AV26" i="119"/>
  <c r="Y11" i="118"/>
  <c r="T37" i="122"/>
  <c r="AQ10" i="117"/>
  <c r="AW11" i="120"/>
  <c r="BB30" i="118"/>
  <c r="N32" i="120"/>
  <c r="AG56" i="117"/>
  <c r="AB57" i="123"/>
  <c r="Y18" i="123"/>
  <c r="AV55" i="119"/>
  <c r="AB11" i="119"/>
  <c r="AO12" i="119"/>
  <c r="AZ9" i="119"/>
  <c r="U12" i="117"/>
  <c r="AS15" i="119"/>
  <c r="BE16" i="119"/>
  <c r="AV18" i="119"/>
  <c r="AY8" i="117"/>
  <c r="W12" i="119"/>
  <c r="AR14" i="119"/>
  <c r="AK33" i="117"/>
  <c r="AB16" i="117"/>
  <c r="O42" i="117"/>
  <c r="Y44" i="123"/>
  <c r="AI47" i="121"/>
  <c r="Y35" i="118"/>
  <c r="BB29" i="118"/>
  <c r="AH31" i="119"/>
  <c r="K31" i="124"/>
  <c r="AT53" i="121"/>
  <c r="AQ32" i="123"/>
  <c r="X10" i="119"/>
  <c r="Q36" i="117"/>
  <c r="AO31" i="121"/>
  <c r="AS34" i="117"/>
  <c r="AT41" i="119"/>
  <c r="V21" i="121"/>
  <c r="Y24" i="117"/>
  <c r="T52" i="119"/>
  <c r="AL53" i="119"/>
  <c r="AX21" i="119"/>
  <c r="AD55" i="117"/>
  <c r="BC9" i="119"/>
  <c r="AH11" i="119"/>
  <c r="N21" i="119"/>
  <c r="K10" i="117"/>
  <c r="Q23" i="119"/>
  <c r="AG24" i="119"/>
  <c r="AN18" i="121"/>
  <c r="AV14" i="124"/>
  <c r="V34" i="126"/>
  <c r="AM41" i="126"/>
  <c r="AV35" i="122"/>
  <c r="S25" i="124"/>
  <c r="AQ56" i="121"/>
  <c r="AR8" i="122"/>
  <c r="O50" i="120"/>
  <c r="V47" i="121"/>
  <c r="BC38" i="118"/>
  <c r="AG33" i="117"/>
  <c r="AX38" i="118"/>
  <c r="BD40" i="119"/>
  <c r="BD47" i="120"/>
  <c r="M48" i="119"/>
  <c r="AM17" i="119"/>
  <c r="AN26" i="123"/>
  <c r="AI38" i="118"/>
  <c r="V13" i="118"/>
  <c r="BC42" i="118"/>
  <c r="H44" i="124"/>
  <c r="N30" i="118"/>
  <c r="AJ35" i="118"/>
  <c r="BC47" i="118"/>
  <c r="AS52" i="124"/>
  <c r="X44" i="118"/>
  <c r="AQ45" i="118"/>
  <c r="M39" i="119"/>
  <c r="AH52" i="124"/>
  <c r="M44" i="123"/>
  <c r="AR23" i="123"/>
  <c r="AZ44" i="120"/>
  <c r="BE56" i="123"/>
  <c r="AT20" i="119"/>
  <c r="AY21" i="121"/>
  <c r="AP48" i="119"/>
  <c r="AJ16" i="119"/>
  <c r="AE31" i="118"/>
  <c r="AC35" i="124"/>
  <c r="AB55" i="118"/>
  <c r="N12" i="121"/>
  <c r="BD50" i="124"/>
  <c r="AI26" i="121"/>
  <c r="AP46" i="122"/>
  <c r="I32" i="118"/>
  <c r="AV33" i="118"/>
  <c r="K44" i="130"/>
  <c r="AX55" i="124"/>
  <c r="AL35" i="118"/>
  <c r="BA36" i="118"/>
  <c r="AL47" i="126"/>
  <c r="Y24" i="124"/>
  <c r="W44" i="118"/>
  <c r="AP45" i="118"/>
  <c r="BB32" i="117"/>
  <c r="M46" i="123"/>
  <c r="AY31" i="120"/>
  <c r="AN34" i="120"/>
  <c r="AB32" i="118"/>
  <c r="AH21" i="122"/>
  <c r="I56" i="117"/>
  <c r="BD15" i="120"/>
  <c r="AG24" i="118"/>
  <c r="AV26" i="120"/>
  <c r="I51" i="117"/>
  <c r="AS50" i="123"/>
  <c r="AJ11" i="118"/>
  <c r="W54" i="118"/>
  <c r="T30" i="122"/>
  <c r="AM11" i="122"/>
  <c r="AB15" i="123"/>
  <c r="AF15" i="123"/>
  <c r="AX26" i="124"/>
  <c r="BE55" i="128"/>
  <c r="AO45" i="128"/>
  <c r="BD40" i="127"/>
  <c r="AN34" i="118"/>
  <c r="U56" i="119"/>
  <c r="T53" i="119"/>
  <c r="AC48" i="119"/>
  <c r="P16" i="123"/>
  <c r="Q35" i="122"/>
  <c r="X46" i="122"/>
  <c r="P31" i="120"/>
  <c r="S44" i="120"/>
  <c r="AE46" i="124"/>
  <c r="V16" i="119"/>
  <c r="AJ38" i="119"/>
  <c r="AW14" i="119"/>
  <c r="AR10" i="122"/>
  <c r="BC20" i="117"/>
  <c r="AD58" i="117"/>
  <c r="BA13" i="122"/>
  <c r="J9" i="117"/>
  <c r="AZ13" i="117"/>
  <c r="AK15" i="121"/>
  <c r="BB16" i="121"/>
  <c r="Q20" i="122"/>
  <c r="I41" i="117"/>
  <c r="L27" i="121"/>
  <c r="AD29" i="121"/>
  <c r="AT10" i="122"/>
  <c r="AJ9" i="117"/>
  <c r="AC27" i="121"/>
  <c r="AV29" i="121"/>
  <c r="T35" i="121"/>
  <c r="AU34" i="118"/>
  <c r="K15" i="117"/>
  <c r="AP16" i="118"/>
  <c r="AV41" i="120"/>
  <c r="BC38" i="120"/>
  <c r="BE23" i="117"/>
  <c r="AB54" i="120"/>
  <c r="K26" i="123"/>
  <c r="BD43" i="118"/>
  <c r="AB24" i="125"/>
  <c r="AU33" i="119"/>
  <c r="AJ15" i="119"/>
  <c r="AX45" i="122"/>
  <c r="AQ34" i="124"/>
  <c r="V37" i="117"/>
  <c r="U34" i="122"/>
  <c r="J38" i="124"/>
  <c r="AJ11" i="117"/>
  <c r="AF25" i="121"/>
  <c r="AY26" i="121"/>
  <c r="AP9" i="122"/>
  <c r="AP37" i="117"/>
  <c r="K22" i="121"/>
  <c r="AC23" i="121"/>
  <c r="N21" i="121"/>
  <c r="BE56" i="117"/>
  <c r="Z37" i="121"/>
  <c r="AO38" i="121"/>
  <c r="AE41" i="121"/>
  <c r="P44" i="118"/>
  <c r="AZ14" i="117"/>
  <c r="AR18" i="117"/>
  <c r="AR32" i="119"/>
  <c r="AW43" i="119"/>
  <c r="J22" i="120"/>
  <c r="AW12" i="119"/>
  <c r="AP44" i="123"/>
  <c r="BB43" i="117"/>
  <c r="W8" i="121"/>
  <c r="V36" i="119"/>
  <c r="Y10" i="119"/>
  <c r="S54" i="122"/>
  <c r="BE37" i="124"/>
  <c r="H15" i="117"/>
  <c r="O39" i="122"/>
  <c r="M15" i="123"/>
  <c r="I58" i="123"/>
  <c r="AZ13" i="120"/>
  <c r="O15" i="120"/>
  <c r="AW25" i="118"/>
  <c r="U46" i="123"/>
  <c r="Q20" i="120"/>
  <c r="AI21" i="120"/>
  <c r="AM44" i="117"/>
  <c r="AM8" i="122"/>
  <c r="P10" i="120"/>
  <c r="AB11" i="120"/>
  <c r="H13" i="119"/>
  <c r="N48" i="118"/>
  <c r="X48" i="122"/>
  <c r="AX21" i="117"/>
  <c r="BC51" i="121"/>
  <c r="AM37" i="123"/>
  <c r="AP38" i="120"/>
  <c r="BB10" i="122"/>
  <c r="O31" i="120"/>
  <c r="N27" i="119"/>
  <c r="AO34" i="118"/>
  <c r="T8" i="118"/>
  <c r="AJ33" i="120"/>
  <c r="O52" i="124"/>
  <c r="AX13" i="117"/>
  <c r="AN43" i="117"/>
  <c r="P26" i="122"/>
  <c r="AR22" i="120"/>
  <c r="P45" i="128"/>
  <c r="AR48" i="120"/>
  <c r="G50" i="120"/>
  <c r="AQ35" i="131"/>
  <c r="Q55" i="129"/>
  <c r="AH42" i="120"/>
  <c r="BC43" i="120"/>
  <c r="AK34" i="128"/>
  <c r="AT48" i="128"/>
  <c r="AD48" i="120"/>
  <c r="AW49" i="120"/>
  <c r="AE34" i="119"/>
  <c r="AY18" i="117"/>
  <c r="AT22" i="122"/>
  <c r="AK51" i="123"/>
  <c r="T18" i="119"/>
  <c r="S57" i="119"/>
  <c r="AL47" i="117"/>
  <c r="AO40" i="121"/>
  <c r="AI32" i="121"/>
  <c r="AL41" i="117"/>
  <c r="AG51" i="129"/>
  <c r="W20" i="117"/>
  <c r="AE39" i="118"/>
  <c r="Y12" i="118"/>
  <c r="U30" i="123"/>
  <c r="AW56" i="121"/>
  <c r="O32" i="128"/>
  <c r="N25" i="118"/>
  <c r="AO32" i="120"/>
  <c r="O45" i="119"/>
  <c r="K47" i="119"/>
  <c r="AV15" i="121"/>
  <c r="AO9" i="121"/>
  <c r="AZ51" i="119"/>
  <c r="AN53" i="119"/>
  <c r="U24" i="120"/>
  <c r="AY23" i="120"/>
  <c r="H8" i="119"/>
  <c r="X9" i="119"/>
  <c r="AS54" i="121"/>
  <c r="L57" i="117"/>
  <c r="AM34" i="118"/>
  <c r="AD45" i="121"/>
  <c r="G54" i="117"/>
  <c r="K56" i="117"/>
  <c r="AV10" i="120"/>
  <c r="L53" i="120"/>
  <c r="Y23" i="117"/>
  <c r="BD50" i="126"/>
  <c r="AG39" i="117"/>
  <c r="BC14" i="117"/>
  <c r="AT30" i="124"/>
  <c r="BA14" i="123"/>
  <c r="AS22" i="119"/>
  <c r="N54" i="122"/>
  <c r="AY27" i="124"/>
  <c r="AE44" i="124"/>
  <c r="M43" i="119"/>
  <c r="AI44" i="119"/>
  <c r="BE43" i="124"/>
  <c r="AP48" i="124"/>
  <c r="AY42" i="119"/>
  <c r="T44" i="119"/>
  <c r="AC27" i="124"/>
  <c r="AW57" i="124"/>
  <c r="K54" i="119"/>
  <c r="AC55" i="119"/>
  <c r="BD21" i="119"/>
  <c r="X43" i="119"/>
  <c r="U45" i="121"/>
  <c r="K56" i="119"/>
  <c r="AX20" i="123"/>
  <c r="AI39" i="117"/>
  <c r="U53" i="122"/>
  <c r="AY30" i="119"/>
  <c r="AO50" i="119"/>
  <c r="V10" i="122"/>
  <c r="AQ30" i="124"/>
  <c r="H10" i="117"/>
  <c r="AZ31" i="122"/>
  <c r="BE40" i="123"/>
  <c r="W9" i="117"/>
  <c r="Q30" i="122"/>
  <c r="AY58" i="123"/>
  <c r="BA46" i="122"/>
  <c r="W23" i="118"/>
  <c r="AV24" i="118"/>
  <c r="Z40" i="122"/>
  <c r="BA43" i="122"/>
  <c r="Y29" i="118"/>
  <c r="AR30" i="118"/>
  <c r="S14" i="122"/>
  <c r="AJ52" i="122"/>
  <c r="U35" i="118"/>
  <c r="AR36" i="118"/>
  <c r="Y15" i="117"/>
  <c r="AB22" i="121"/>
  <c r="G52" i="124"/>
  <c r="BB20" i="120"/>
  <c r="J26" i="122"/>
  <c r="AT30" i="120"/>
  <c r="AN31" i="119"/>
  <c r="Q32" i="118"/>
  <c r="AG46" i="118"/>
  <c r="V41" i="120"/>
  <c r="AN46" i="124"/>
  <c r="AV58" i="118"/>
  <c r="J47" i="117"/>
  <c r="J47" i="122"/>
  <c r="AH17" i="120"/>
  <c r="BE24" i="123"/>
  <c r="Z32" i="120"/>
  <c r="N14" i="122"/>
  <c r="S17" i="119"/>
  <c r="BD51" i="124"/>
  <c r="AN30" i="120"/>
  <c r="AG57" i="122"/>
  <c r="BD46" i="120"/>
  <c r="O36" i="117"/>
  <c r="AD46" i="121"/>
  <c r="H50" i="121"/>
  <c r="BC12" i="117"/>
  <c r="Q12" i="119"/>
  <c r="AV58" i="123"/>
  <c r="AP24" i="117"/>
  <c r="Z51" i="121"/>
  <c r="AL46" i="117"/>
  <c r="AN44" i="119"/>
  <c r="S29" i="118"/>
  <c r="V25" i="117"/>
  <c r="AY10" i="120"/>
  <c r="AP49" i="118"/>
  <c r="AY54" i="121"/>
  <c r="BD58" i="124"/>
  <c r="M52" i="120"/>
  <c r="AN51" i="118"/>
  <c r="Y10" i="118"/>
  <c r="AD45" i="122"/>
  <c r="AY56" i="121"/>
  <c r="AF27" i="118"/>
  <c r="AZ39" i="122"/>
  <c r="AN8" i="117"/>
  <c r="S38" i="123"/>
  <c r="W15" i="120"/>
  <c r="BB35" i="117"/>
  <c r="AI54" i="121"/>
  <c r="AQ15" i="119"/>
  <c r="Z13" i="119"/>
  <c r="AM52" i="117"/>
  <c r="Q43" i="119"/>
  <c r="I16" i="121"/>
  <c r="AQ33" i="124"/>
  <c r="N26" i="121"/>
  <c r="AG17" i="121"/>
  <c r="AC53" i="121"/>
  <c r="AE54" i="118"/>
  <c r="AK33" i="121"/>
  <c r="AW44" i="123"/>
  <c r="AD17" i="121"/>
  <c r="Z31" i="118"/>
  <c r="AL36" i="117"/>
  <c r="AU38" i="117"/>
  <c r="P44" i="121"/>
  <c r="J14" i="118"/>
  <c r="L42" i="117"/>
  <c r="AF49" i="120"/>
  <c r="U51" i="121"/>
  <c r="Y54" i="117"/>
  <c r="AH26" i="121"/>
  <c r="U12" i="122"/>
  <c r="AV35" i="118"/>
  <c r="T9" i="131"/>
  <c r="AU8" i="120"/>
  <c r="X45" i="121"/>
  <c r="AD8" i="121"/>
  <c r="L22" i="122"/>
  <c r="BA11" i="118"/>
  <c r="BB58" i="121"/>
  <c r="AK8" i="117"/>
  <c r="W9" i="124"/>
  <c r="AY36" i="122"/>
  <c r="AP53" i="118"/>
  <c r="T38" i="118"/>
  <c r="AY51" i="120"/>
  <c r="AL42" i="119"/>
  <c r="O26" i="123"/>
  <c r="M30" i="117"/>
  <c r="AD45" i="119"/>
  <c r="Y56" i="121"/>
  <c r="AO47" i="122"/>
  <c r="P25" i="117"/>
  <c r="M37" i="118"/>
  <c r="U44" i="120"/>
  <c r="O25" i="118"/>
  <c r="T50" i="118"/>
  <c r="AY49" i="120"/>
  <c r="BE33" i="118"/>
  <c r="AH23" i="121"/>
  <c r="AD22" i="122"/>
  <c r="AX23" i="120"/>
  <c r="AT26" i="117"/>
  <c r="AB39" i="122"/>
  <c r="W32" i="121"/>
  <c r="J41" i="117"/>
  <c r="AD41" i="121"/>
  <c r="AT55" i="122"/>
  <c r="AL11" i="119"/>
  <c r="Z18" i="122"/>
  <c r="AO41" i="117"/>
  <c r="P49" i="117"/>
  <c r="X32" i="120"/>
  <c r="AX35" i="120"/>
  <c r="AI14" i="120"/>
  <c r="AL22" i="117"/>
  <c r="AF32" i="118"/>
  <c r="J35" i="119"/>
  <c r="AQ20" i="124"/>
  <c r="J38" i="120"/>
  <c r="S24" i="117"/>
  <c r="H36" i="120"/>
  <c r="N37" i="122"/>
  <c r="AD41" i="119"/>
  <c r="AK45" i="117"/>
  <c r="AW47" i="124"/>
  <c r="V41" i="119"/>
  <c r="AC53" i="119"/>
  <c r="AV25" i="124"/>
  <c r="AB50" i="121"/>
  <c r="H18" i="122"/>
  <c r="AT33" i="119"/>
  <c r="AT37" i="121"/>
  <c r="X39" i="122"/>
  <c r="BA30" i="118"/>
  <c r="L27" i="123"/>
  <c r="AQ51" i="118"/>
  <c r="K22" i="118"/>
  <c r="AH30" i="119"/>
  <c r="AJ50" i="124"/>
  <c r="Q25" i="122"/>
  <c r="W32" i="117"/>
  <c r="Q22" i="117"/>
  <c r="BC22" i="124"/>
  <c r="Z51" i="124"/>
  <c r="Q25" i="120"/>
  <c r="G26" i="117"/>
  <c r="BC32" i="121"/>
  <c r="AY34" i="121"/>
  <c r="AB46" i="121"/>
  <c r="BB31" i="120"/>
  <c r="AJ35" i="121"/>
  <c r="X37" i="121"/>
  <c r="AH48" i="121"/>
  <c r="Z40" i="119"/>
  <c r="AY47" i="121"/>
  <c r="X49" i="121"/>
  <c r="AX13" i="127"/>
  <c r="K16" i="120"/>
  <c r="AZ39" i="120"/>
  <c r="AO49" i="118"/>
  <c r="AR41" i="127"/>
  <c r="AR27" i="117"/>
  <c r="W33" i="117"/>
  <c r="BE24" i="124"/>
  <c r="G21" i="123"/>
  <c r="W26" i="119"/>
  <c r="AN48" i="123"/>
  <c r="AL21" i="124"/>
  <c r="P36" i="121"/>
  <c r="Y12" i="124"/>
  <c r="AC29" i="120"/>
  <c r="AU56" i="118"/>
  <c r="O25" i="122"/>
  <c r="AL50" i="117"/>
  <c r="N37" i="121"/>
  <c r="AF38" i="121"/>
  <c r="AJ47" i="121"/>
  <c r="AL26" i="119"/>
  <c r="I34" i="121"/>
  <c r="AE35" i="121"/>
  <c r="Y58" i="121"/>
  <c r="AD33" i="119"/>
  <c r="AW48" i="121"/>
  <c r="P50" i="121"/>
  <c r="O9" i="128"/>
  <c r="AN39" i="119"/>
  <c r="P27" i="119"/>
  <c r="N9" i="122"/>
  <c r="AL13" i="124"/>
  <c r="AE50" i="117"/>
  <c r="W31" i="122"/>
  <c r="AP57" i="124"/>
  <c r="BD8" i="117"/>
  <c r="Z31" i="122"/>
  <c r="AR53" i="123"/>
  <c r="M42" i="120"/>
  <c r="AX17" i="122"/>
  <c r="BC18" i="119"/>
  <c r="AH43" i="117"/>
  <c r="I36" i="122"/>
  <c r="BC37" i="120"/>
  <c r="S17" i="124"/>
  <c r="BB18" i="120"/>
  <c r="Y21" i="120"/>
  <c r="AL14" i="120"/>
  <c r="T26" i="119"/>
  <c r="Y12" i="120"/>
  <c r="AP13" i="120"/>
  <c r="BD22" i="120"/>
  <c r="AM27" i="118"/>
  <c r="N16" i="120"/>
  <c r="AL17" i="120"/>
  <c r="J31" i="119"/>
  <c r="AE20" i="118"/>
  <c r="O21" i="118"/>
  <c r="AL42" i="120"/>
  <c r="AT34" i="124"/>
  <c r="Y54" i="118"/>
  <c r="V37" i="118"/>
  <c r="AC21" i="122"/>
  <c r="K20" i="120"/>
  <c r="BA24" i="123"/>
  <c r="AY37" i="120"/>
  <c r="AD38" i="122"/>
  <c r="BB51" i="119"/>
  <c r="W46" i="120"/>
  <c r="BE34" i="118"/>
  <c r="BA13" i="117"/>
  <c r="AF8" i="118"/>
  <c r="AS41" i="122"/>
  <c r="AQ13" i="121"/>
  <c r="AO13" i="121"/>
  <c r="AC13" i="121"/>
  <c r="AN10" i="124"/>
  <c r="V12" i="124"/>
  <c r="AL15" i="124"/>
  <c r="BB33" i="125"/>
  <c r="N14" i="123"/>
  <c r="S41" i="119"/>
  <c r="N14" i="120"/>
  <c r="AB22" i="120"/>
  <c r="AV33" i="124"/>
  <c r="P45" i="124"/>
  <c r="M36" i="124"/>
  <c r="AF29" i="124"/>
  <c r="AH32" i="124"/>
  <c r="AS44" i="124"/>
  <c r="P32" i="123"/>
  <c r="AI31" i="119"/>
  <c r="AR51" i="122"/>
  <c r="V31" i="117"/>
  <c r="AM38" i="121"/>
  <c r="K41" i="122"/>
  <c r="V51" i="120"/>
  <c r="J13" i="121"/>
  <c r="AD17" i="118"/>
  <c r="AI38" i="117"/>
  <c r="AM20" i="118"/>
  <c r="BD42" i="120"/>
  <c r="W13" i="120"/>
  <c r="Q32" i="121"/>
  <c r="AI33" i="121"/>
  <c r="K57" i="121"/>
  <c r="Z17" i="119"/>
  <c r="AJ43" i="121"/>
  <c r="H45" i="121"/>
  <c r="H53" i="121"/>
  <c r="AX30" i="119"/>
  <c r="AG58" i="121"/>
  <c r="AS8" i="121"/>
  <c r="AV39" i="131"/>
  <c r="AO40" i="118"/>
  <c r="AH21" i="119"/>
  <c r="K25" i="121"/>
  <c r="O21" i="124"/>
  <c r="AN16" i="129"/>
  <c r="BD35" i="126"/>
  <c r="AK16" i="122"/>
  <c r="I49" i="124"/>
  <c r="AY9" i="121"/>
  <c r="AX46" i="122"/>
  <c r="Z50" i="120"/>
  <c r="N45" i="121"/>
  <c r="AU43" i="118"/>
  <c r="BD38" i="117"/>
  <c r="M18" i="117"/>
  <c r="AL40" i="119"/>
  <c r="I31" i="119"/>
  <c r="H42" i="121"/>
  <c r="X43" i="121"/>
  <c r="X51" i="121"/>
  <c r="AC24" i="119"/>
  <c r="AN37" i="121"/>
  <c r="G39" i="121"/>
  <c r="T11" i="121"/>
  <c r="AB26" i="119"/>
  <c r="AQ52" i="121"/>
  <c r="J54" i="121"/>
  <c r="AH46" i="128"/>
  <c r="W18" i="118"/>
  <c r="J24" i="119"/>
  <c r="BA18" i="121"/>
  <c r="AN21" i="124"/>
  <c r="AL8" i="124"/>
  <c r="P12" i="122"/>
  <c r="AO58" i="122"/>
  <c r="AF32" i="124"/>
  <c r="K15" i="121"/>
  <c r="T34" i="122"/>
  <c r="AZ21" i="119"/>
  <c r="AR41" i="121"/>
  <c r="AO44" i="118"/>
  <c r="AR38" i="117"/>
  <c r="AI47" i="117"/>
  <c r="Y35" i="119"/>
  <c r="AD43" i="119"/>
  <c r="AO13" i="120"/>
  <c r="BA14" i="120"/>
  <c r="AS23" i="120"/>
  <c r="N47" i="118"/>
  <c r="T18" i="120"/>
  <c r="AL20" i="120"/>
  <c r="AL29" i="120"/>
  <c r="G13" i="118"/>
  <c r="BE24" i="120"/>
  <c r="Z26" i="120"/>
  <c r="AZ26" i="124"/>
  <c r="G56" i="118"/>
  <c r="AB36" i="118"/>
  <c r="AY44" i="119"/>
  <c r="Y53" i="124"/>
  <c r="AW24" i="122"/>
  <c r="AW44" i="119"/>
  <c r="K43" i="120"/>
  <c r="BB26" i="122"/>
  <c r="AJ34" i="119"/>
  <c r="I39" i="121"/>
  <c r="AX40" i="118"/>
  <c r="AL58" i="119"/>
  <c r="Q56" i="118"/>
  <c r="AO44" i="122"/>
  <c r="AK30" i="117"/>
  <c r="BD47" i="121"/>
  <c r="T52" i="120"/>
  <c r="AL53" i="120"/>
  <c r="AT26" i="120"/>
  <c r="T45" i="118"/>
  <c r="AF58" i="120"/>
  <c r="AN24" i="120"/>
  <c r="AT33" i="120"/>
  <c r="BE50" i="118"/>
  <c r="M29" i="120"/>
  <c r="AE30" i="120"/>
  <c r="Y11" i="122"/>
  <c r="J25" i="117"/>
  <c r="G22" i="117"/>
  <c r="AQ25" i="117"/>
  <c r="Z50" i="123"/>
  <c r="AO56" i="120"/>
  <c r="BE17" i="117"/>
  <c r="AT42" i="118"/>
  <c r="AH9" i="121"/>
  <c r="AL14" i="117"/>
  <c r="AJ13" i="120"/>
  <c r="BD29" i="118"/>
  <c r="AC32" i="119"/>
  <c r="BC43" i="117"/>
  <c r="AK44" i="122"/>
  <c r="BD36" i="123"/>
  <c r="J20" i="119"/>
  <c r="AF11" i="119"/>
  <c r="AS12" i="119"/>
  <c r="AF21" i="119"/>
  <c r="S54" i="117"/>
  <c r="AB16" i="119"/>
  <c r="AS17" i="119"/>
  <c r="AK20" i="119"/>
  <c r="AE26" i="117"/>
  <c r="AY22" i="119"/>
  <c r="L24" i="119"/>
  <c r="M38" i="124"/>
  <c r="AR47" i="117"/>
  <c r="S42" i="117"/>
  <c r="K41" i="123"/>
  <c r="AS18" i="120"/>
  <c r="H27" i="118"/>
  <c r="BA38" i="123"/>
  <c r="AN11" i="118"/>
  <c r="I50" i="124"/>
  <c r="AY11" i="120"/>
  <c r="AV21" i="123"/>
  <c r="AS11" i="119"/>
  <c r="Y43" i="117"/>
  <c r="AV10" i="121"/>
  <c r="AS12" i="117"/>
  <c r="AE21" i="118"/>
  <c r="T52" i="121"/>
  <c r="AQ47" i="117"/>
  <c r="AX57" i="119"/>
  <c r="V8" i="119"/>
  <c r="N17" i="119"/>
  <c r="AH55" i="117"/>
  <c r="AP16" i="119"/>
  <c r="I18" i="119"/>
  <c r="Q27" i="119"/>
  <c r="AR56" i="117"/>
  <c r="AL18" i="119"/>
  <c r="BA20" i="119"/>
  <c r="BA13" i="121"/>
  <c r="O15" i="124"/>
  <c r="I26" i="117"/>
  <c r="AN43" i="123"/>
  <c r="V24" i="122"/>
  <c r="AO9" i="124"/>
  <c r="K56" i="121"/>
  <c r="P15" i="122"/>
  <c r="G10" i="119"/>
  <c r="G47" i="121"/>
  <c r="AU8" i="118"/>
  <c r="U33" i="117"/>
  <c r="AJ38" i="117"/>
  <c r="AV24" i="119"/>
  <c r="AF39" i="119"/>
  <c r="AK16" i="119"/>
  <c r="AJ18" i="119"/>
  <c r="BD21" i="123"/>
  <c r="AY9" i="118"/>
  <c r="AL34" i="118"/>
  <c r="O34" i="118"/>
  <c r="N47" i="124"/>
  <c r="N32" i="118"/>
  <c r="AO37" i="118"/>
  <c r="AE8" i="118"/>
  <c r="AR48" i="124"/>
  <c r="BD38" i="118"/>
  <c r="S41" i="118"/>
  <c r="AB38" i="119"/>
  <c r="AX47" i="124"/>
  <c r="G57" i="122"/>
  <c r="AZ57" i="120"/>
  <c r="X54" i="120"/>
  <c r="BD14" i="122"/>
  <c r="N29" i="119"/>
  <c r="O27" i="121"/>
  <c r="AJ40" i="118"/>
  <c r="BB12" i="119"/>
  <c r="V48" i="118"/>
  <c r="AZ37" i="122"/>
  <c r="BB15" i="117"/>
  <c r="K24" i="121"/>
  <c r="K50" i="123"/>
  <c r="V43" i="120"/>
  <c r="AI46" i="122"/>
  <c r="AT51" i="117"/>
  <c r="Z20" i="122"/>
  <c r="G33" i="122"/>
  <c r="AJ44" i="122"/>
  <c r="AY25" i="122"/>
  <c r="AJ42" i="122"/>
  <c r="AN8" i="127"/>
  <c r="Z41" i="131"/>
  <c r="AS24" i="117"/>
  <c r="S18" i="120"/>
  <c r="Y56" i="120"/>
  <c r="AX22" i="121"/>
  <c r="U29" i="121"/>
  <c r="AN34" i="121"/>
  <c r="AY45" i="122"/>
  <c r="G26" i="122"/>
  <c r="AL13" i="122"/>
  <c r="AV30" i="121"/>
  <c r="AC53" i="122"/>
  <c r="S48" i="119"/>
  <c r="BE48" i="121"/>
  <c r="AY12" i="118"/>
  <c r="AE57" i="117"/>
  <c r="AC27" i="119"/>
  <c r="AX20" i="117"/>
  <c r="BC14" i="121"/>
  <c r="U17" i="119"/>
  <c r="BD15" i="123"/>
  <c r="V55" i="119"/>
  <c r="V57" i="119"/>
  <c r="AB58" i="119"/>
  <c r="AF23" i="117"/>
  <c r="AU15" i="119"/>
  <c r="V17" i="119"/>
  <c r="AJ26" i="119"/>
  <c r="L8" i="117"/>
  <c r="J56" i="119"/>
  <c r="AY57" i="119"/>
  <c r="AY15" i="120"/>
  <c r="AR34" i="124"/>
  <c r="O48" i="120"/>
  <c r="W46" i="124"/>
  <c r="W31" i="121"/>
  <c r="J23" i="123"/>
  <c r="AL8" i="120"/>
  <c r="AS25" i="122"/>
  <c r="X45" i="119"/>
  <c r="I14" i="120"/>
  <c r="Z14" i="118"/>
  <c r="AJ51" i="117"/>
  <c r="AR33" i="119"/>
  <c r="AZ57" i="124"/>
  <c r="AG57" i="121"/>
  <c r="AK23" i="119"/>
  <c r="P56" i="123"/>
  <c r="AK40" i="118"/>
  <c r="T40" i="118"/>
  <c r="AL15" i="118"/>
  <c r="AV53" i="117"/>
  <c r="AQ57" i="119"/>
  <c r="BE54" i="119"/>
  <c r="AM42" i="118"/>
  <c r="AB53" i="117"/>
  <c r="J17" i="118"/>
  <c r="AH18" i="118"/>
  <c r="X41" i="120"/>
  <c r="X18" i="124"/>
  <c r="AX43" i="119"/>
  <c r="AF36" i="124"/>
  <c r="AQ36" i="123"/>
  <c r="BB34" i="121"/>
  <c r="K10" i="123"/>
  <c r="BA30" i="120"/>
  <c r="AH33" i="122"/>
  <c r="AF45" i="119"/>
  <c r="BC20" i="120"/>
  <c r="P30" i="118"/>
  <c r="P30" i="117"/>
  <c r="AU9" i="118"/>
  <c r="AT35" i="123"/>
  <c r="K55" i="120"/>
  <c r="BE31" i="118"/>
  <c r="AP58" i="123"/>
  <c r="N31" i="118"/>
  <c r="AJ32" i="118"/>
  <c r="AC42" i="128"/>
  <c r="AJ25" i="124"/>
  <c r="AZ21" i="118"/>
  <c r="AE27" i="118"/>
  <c r="AG39" i="126"/>
  <c r="P32" i="124"/>
  <c r="H43" i="118"/>
  <c r="Z44" i="118"/>
  <c r="AS10" i="118"/>
  <c r="AC27" i="123"/>
  <c r="S12" i="121"/>
  <c r="O26" i="122"/>
  <c r="BB13" i="119"/>
  <c r="M41" i="122"/>
  <c r="AV9" i="118"/>
  <c r="AS25" i="121"/>
  <c r="J22" i="118"/>
  <c r="H39" i="118"/>
  <c r="AM51" i="117"/>
  <c r="AR42" i="118"/>
  <c r="AH48" i="124"/>
  <c r="AR13" i="120"/>
  <c r="H35" i="121"/>
  <c r="AN17" i="124"/>
  <c r="AO40" i="123"/>
  <c r="AM38" i="117"/>
  <c r="AM21" i="117"/>
  <c r="U39" i="119"/>
  <c r="AR37" i="124"/>
  <c r="AF49" i="118"/>
  <c r="AG52" i="118"/>
  <c r="M22" i="130"/>
  <c r="BB40" i="123"/>
  <c r="BC40" i="117"/>
  <c r="AL40" i="117"/>
  <c r="AK54" i="124"/>
  <c r="S45" i="123"/>
  <c r="BD27" i="119"/>
  <c r="AW12" i="127"/>
  <c r="J33" i="117"/>
  <c r="AF9" i="121"/>
  <c r="AC46" i="124"/>
  <c r="J42" i="120"/>
  <c r="N53" i="118"/>
  <c r="AM22" i="123"/>
  <c r="W34" i="117"/>
  <c r="AM20" i="120"/>
  <c r="M46" i="122"/>
  <c r="AE23" i="118"/>
  <c r="AG51" i="118"/>
  <c r="J58" i="121"/>
  <c r="AS37" i="123"/>
  <c r="Y35" i="117"/>
  <c r="AV36" i="117"/>
  <c r="P56" i="125"/>
  <c r="AL47" i="123"/>
  <c r="AY45" i="117"/>
  <c r="V47" i="117"/>
  <c r="X54" i="131"/>
  <c r="W16" i="123"/>
  <c r="AL51" i="117"/>
  <c r="BA52" i="117"/>
  <c r="P45" i="122"/>
  <c r="U44" i="117"/>
  <c r="N11" i="117"/>
  <c r="AH23" i="117"/>
  <c r="AB39" i="123"/>
  <c r="BE20" i="123"/>
  <c r="AB36" i="120"/>
  <c r="AQ35" i="122"/>
  <c r="AV44" i="119"/>
  <c r="L31" i="117"/>
  <c r="AP52" i="118"/>
  <c r="J16" i="120"/>
  <c r="AF55" i="117"/>
  <c r="S52" i="117"/>
  <c r="I23" i="120"/>
  <c r="W13" i="124"/>
  <c r="AY53" i="121"/>
  <c r="AT37" i="120"/>
  <c r="AM42" i="122"/>
  <c r="AB56" i="117"/>
  <c r="AO57" i="117"/>
  <c r="AG24" i="126"/>
  <c r="BB58" i="123"/>
  <c r="H16" i="117"/>
  <c r="X17" i="117"/>
  <c r="S37" i="126"/>
  <c r="AM55" i="122"/>
  <c r="AD36" i="124"/>
  <c r="Z38" i="124"/>
  <c r="H23" i="123"/>
  <c r="Q11" i="121"/>
  <c r="AB31" i="123"/>
  <c r="AE22" i="120"/>
  <c r="AR49" i="122"/>
  <c r="AQ33" i="119"/>
  <c r="AW14" i="120"/>
  <c r="BA23" i="118"/>
  <c r="BA23" i="117"/>
  <c r="AJ31" i="118"/>
  <c r="AL41" i="123"/>
  <c r="AF44" i="120"/>
  <c r="AH25" i="118"/>
  <c r="T58" i="123"/>
  <c r="P42" i="122"/>
  <c r="AB36" i="127"/>
  <c r="AZ13" i="118"/>
  <c r="AK10" i="122"/>
  <c r="AB47" i="124"/>
  <c r="AO48" i="124"/>
  <c r="BE9" i="122"/>
  <c r="L34" i="122"/>
  <c r="T17" i="124"/>
  <c r="AF18" i="124"/>
  <c r="K44" i="122"/>
  <c r="AI22" i="122"/>
  <c r="BA57" i="124"/>
  <c r="U8" i="124"/>
  <c r="AO41" i="122"/>
  <c r="BA31" i="119"/>
  <c r="O29" i="122"/>
  <c r="AR14" i="118"/>
  <c r="X14" i="121"/>
  <c r="AW15" i="118"/>
  <c r="AV43" i="117"/>
  <c r="AQ14" i="118"/>
  <c r="AM18" i="117"/>
  <c r="AF46" i="118"/>
  <c r="AL51" i="124"/>
  <c r="J20" i="120"/>
  <c r="AD30" i="121"/>
  <c r="BB52" i="127"/>
  <c r="T31" i="127"/>
  <c r="T23" i="118"/>
  <c r="AD29" i="118"/>
  <c r="AV13" i="118"/>
  <c r="AK37" i="118"/>
  <c r="M40" i="122"/>
  <c r="H55" i="118"/>
  <c r="AV10" i="126"/>
  <c r="BB13" i="126"/>
  <c r="AM27" i="117"/>
  <c r="BC51" i="118"/>
  <c r="AZ56" i="118"/>
  <c r="BE53" i="118"/>
  <c r="AX44" i="118"/>
  <c r="W50" i="118"/>
  <c r="AK21" i="117"/>
  <c r="J18" i="123"/>
  <c r="BC32" i="120"/>
  <c r="V45" i="120"/>
  <c r="AS47" i="117"/>
  <c r="AB34" i="117"/>
  <c r="BD11" i="117"/>
  <c r="I39" i="123"/>
  <c r="BA45" i="121"/>
  <c r="AI12" i="118"/>
  <c r="Q26" i="117"/>
  <c r="AZ49" i="119"/>
  <c r="U16" i="124"/>
  <c r="U20" i="117"/>
  <c r="P43" i="119"/>
  <c r="AH44" i="119"/>
  <c r="AR58" i="118"/>
  <c r="Q13" i="117"/>
  <c r="L48" i="119"/>
  <c r="AD49" i="119"/>
  <c r="N55" i="117"/>
  <c r="AJ14" i="117"/>
  <c r="BA53" i="119"/>
  <c r="T55" i="119"/>
  <c r="U12" i="120"/>
  <c r="AB38" i="117"/>
  <c r="AK24" i="117"/>
  <c r="P40" i="120"/>
  <c r="J36" i="124"/>
  <c r="AL15" i="122"/>
  <c r="G38" i="120"/>
  <c r="O56" i="120"/>
  <c r="T43" i="124"/>
  <c r="AB12" i="117"/>
  <c r="AE12" i="117"/>
  <c r="BA30" i="123"/>
  <c r="O33" i="120"/>
  <c r="Y49" i="118"/>
  <c r="J52" i="122"/>
  <c r="L27" i="118"/>
  <c r="AE33" i="123"/>
  <c r="AJ16" i="117"/>
  <c r="O37" i="119"/>
  <c r="AG38" i="119"/>
  <c r="AX33" i="117"/>
  <c r="M44" i="117"/>
  <c r="AF48" i="119"/>
  <c r="AY49" i="119"/>
  <c r="AE53" i="117"/>
  <c r="AZ47" i="117"/>
  <c r="K49" i="119"/>
  <c r="AG50" i="119"/>
  <c r="N31" i="120"/>
  <c r="P15" i="123"/>
  <c r="P29" i="117"/>
  <c r="P21" i="120"/>
  <c r="AP37" i="124"/>
  <c r="AJ51" i="121"/>
  <c r="AR9" i="119"/>
  <c r="W55" i="120"/>
  <c r="AI10" i="123"/>
  <c r="AW57" i="117"/>
  <c r="O12" i="117"/>
  <c r="G56" i="123"/>
  <c r="AK13" i="119"/>
  <c r="BC49" i="118"/>
  <c r="BE22" i="120"/>
  <c r="AS35" i="117"/>
  <c r="AE14" i="123"/>
  <c r="AP56" i="123"/>
  <c r="X37" i="118"/>
  <c r="AU38" i="118"/>
  <c r="AZ9" i="123"/>
  <c r="AF12" i="123"/>
  <c r="AZ40" i="118"/>
  <c r="AI40" i="118"/>
  <c r="P50" i="123"/>
  <c r="AR40" i="122"/>
  <c r="AH17" i="118"/>
  <c r="BC18" i="118"/>
  <c r="AN10" i="118"/>
  <c r="AJ50" i="123"/>
  <c r="O53" i="119"/>
  <c r="Z41" i="118"/>
  <c r="AV9" i="122"/>
  <c r="BB25" i="122"/>
  <c r="BE22" i="126"/>
  <c r="H11" i="118"/>
  <c r="J51" i="119"/>
  <c r="AK17" i="121"/>
  <c r="AS15" i="124"/>
  <c r="AO17" i="121"/>
  <c r="AB48" i="118"/>
  <c r="AY13" i="121"/>
  <c r="AH39" i="124"/>
  <c r="H14" i="121"/>
  <c r="J58" i="122"/>
  <c r="AT33" i="118"/>
  <c r="T24" i="118"/>
  <c r="AM48" i="117"/>
  <c r="AJ13" i="122"/>
  <c r="AY30" i="121"/>
  <c r="BB33" i="121"/>
  <c r="M45" i="121"/>
  <c r="AU54" i="122"/>
  <c r="AV33" i="117"/>
  <c r="Q47" i="117"/>
  <c r="AU53" i="117"/>
  <c r="AR47" i="124"/>
  <c r="AZ14" i="120"/>
  <c r="AX33" i="121"/>
  <c r="BC54" i="124"/>
  <c r="AJ40" i="121"/>
  <c r="H10" i="118"/>
  <c r="AL15" i="121"/>
  <c r="BA49" i="118"/>
  <c r="T47" i="118"/>
  <c r="AD38" i="119"/>
  <c r="AG27" i="124"/>
  <c r="AP48" i="122"/>
  <c r="AP29" i="124"/>
  <c r="W36" i="119"/>
  <c r="S56" i="122"/>
  <c r="AG32" i="119"/>
  <c r="AE15" i="121"/>
  <c r="AO8" i="120"/>
  <c r="AS13" i="120"/>
  <c r="AV18" i="120"/>
  <c r="S39" i="122"/>
  <c r="U53" i="121"/>
  <c r="AR58" i="121"/>
  <c r="G40" i="120"/>
  <c r="AY53" i="122"/>
  <c r="AB9" i="120"/>
  <c r="AB14" i="120"/>
  <c r="AX20" i="120"/>
  <c r="S53" i="122"/>
  <c r="AE24" i="118"/>
  <c r="W35" i="118"/>
  <c r="AW17" i="121"/>
  <c r="AM37" i="120"/>
  <c r="AU30" i="117"/>
  <c r="U58" i="120"/>
  <c r="AB37" i="117"/>
  <c r="Y56" i="117"/>
  <c r="L16" i="117"/>
  <c r="BE26" i="123"/>
  <c r="AG24" i="120"/>
  <c r="AN22" i="123"/>
  <c r="Y18" i="117"/>
  <c r="J50" i="121"/>
  <c r="AV11" i="117"/>
  <c r="Z37" i="120"/>
  <c r="AF35" i="118"/>
  <c r="AL13" i="118"/>
  <c r="AK29" i="118"/>
  <c r="AJ58" i="121"/>
  <c r="AB31" i="119"/>
  <c r="AY36" i="119"/>
  <c r="AW58" i="119"/>
  <c r="S13" i="121"/>
  <c r="I35" i="118"/>
  <c r="AH15" i="118"/>
  <c r="G30" i="118"/>
  <c r="H15" i="120"/>
  <c r="AZ13" i="124"/>
  <c r="AF51" i="121"/>
  <c r="BB40" i="119"/>
  <c r="AG44" i="120"/>
  <c r="H25" i="123"/>
  <c r="AL52" i="117"/>
  <c r="AU57" i="117"/>
  <c r="Z37" i="123"/>
  <c r="AO18" i="119"/>
  <c r="AN29" i="118"/>
  <c r="W54" i="121"/>
  <c r="V11" i="117"/>
  <c r="AB35" i="123"/>
  <c r="AW21" i="120"/>
  <c r="AD29" i="123"/>
  <c r="BA34" i="119"/>
  <c r="T22" i="124"/>
  <c r="AY30" i="124"/>
  <c r="K17" i="124"/>
  <c r="AL52" i="121"/>
  <c r="BE51" i="117"/>
  <c r="T57" i="117"/>
  <c r="AJ24" i="117"/>
  <c r="BE15" i="121"/>
  <c r="AI23" i="124"/>
  <c r="G30" i="124"/>
  <c r="O17" i="124"/>
  <c r="AD18" i="118"/>
  <c r="Q40" i="122"/>
  <c r="Y25" i="122"/>
  <c r="AQ15" i="126"/>
  <c r="AC49" i="118"/>
  <c r="BC38" i="119"/>
  <c r="Q12" i="121"/>
  <c r="AS10" i="124"/>
  <c r="AZ23" i="121"/>
  <c r="AY25" i="119"/>
  <c r="AU41" i="121"/>
  <c r="AC48" i="124"/>
  <c r="BE8" i="121"/>
  <c r="AJ47" i="122"/>
  <c r="AE8" i="119"/>
  <c r="S39" i="121"/>
  <c r="AN38" i="118"/>
  <c r="S11" i="118"/>
  <c r="H39" i="120"/>
  <c r="Q24" i="122"/>
  <c r="AH33" i="125"/>
  <c r="O50" i="118"/>
  <c r="Q40" i="118"/>
  <c r="U40" i="121"/>
  <c r="AZ58" i="122"/>
  <c r="K11" i="122"/>
  <c r="X48" i="123"/>
  <c r="Q14" i="121"/>
  <c r="AG49" i="122"/>
  <c r="AZ23" i="118"/>
  <c r="K44" i="118"/>
  <c r="AE44" i="123"/>
  <c r="V38" i="123"/>
  <c r="AT12" i="118"/>
  <c r="Z47" i="122"/>
  <c r="AU46" i="119"/>
  <c r="AJ38" i="118"/>
  <c r="I11" i="118"/>
  <c r="AT50" i="117"/>
  <c r="J14" i="122"/>
  <c r="AC46" i="119"/>
  <c r="Y13" i="118"/>
  <c r="BB10" i="118"/>
  <c r="AB25" i="118"/>
  <c r="AD58" i="121"/>
  <c r="AQ46" i="124"/>
  <c r="S51" i="120"/>
  <c r="P40" i="117"/>
  <c r="V22" i="118"/>
  <c r="BE25" i="118"/>
  <c r="H54" i="121"/>
  <c r="AX16" i="117"/>
  <c r="P21" i="117"/>
  <c r="AM42" i="121"/>
  <c r="AK31" i="122"/>
  <c r="U58" i="117"/>
  <c r="S56" i="124"/>
  <c r="AN38" i="120"/>
  <c r="AW42" i="121"/>
  <c r="L36" i="121"/>
  <c r="AI27" i="118"/>
  <c r="BB27" i="120"/>
  <c r="BB47" i="120"/>
  <c r="BC42" i="128"/>
  <c r="BA50" i="118"/>
  <c r="H25" i="118"/>
  <c r="AT41" i="118"/>
  <c r="AI29" i="118"/>
  <c r="AQ46" i="123"/>
  <c r="U23" i="118"/>
  <c r="AH53" i="121"/>
  <c r="AH26" i="122"/>
  <c r="AS47" i="121"/>
  <c r="AP32" i="118"/>
  <c r="S9" i="122"/>
  <c r="AS43" i="125"/>
  <c r="AI50" i="118"/>
  <c r="I31" i="123"/>
  <c r="N12" i="122"/>
  <c r="AH24" i="120"/>
  <c r="AL36" i="119"/>
  <c r="AP17" i="122"/>
  <c r="BE34" i="124"/>
  <c r="AS12" i="123"/>
  <c r="AR26" i="122"/>
  <c r="AF36" i="119"/>
  <c r="U49" i="122"/>
  <c r="AE35" i="118"/>
  <c r="AI43" i="117"/>
  <c r="AG12" i="118"/>
  <c r="BD30" i="117"/>
  <c r="T27" i="120"/>
  <c r="AD51" i="123"/>
  <c r="H33" i="124"/>
  <c r="AX14" i="123"/>
  <c r="BD39" i="128"/>
  <c r="L10" i="122"/>
  <c r="H20" i="117"/>
  <c r="W41" i="121"/>
  <c r="AY56" i="124"/>
  <c r="V22" i="121"/>
  <c r="BE47" i="118"/>
  <c r="H58" i="119"/>
  <c r="Q22" i="122"/>
  <c r="AE46" i="118"/>
  <c r="Q27" i="118"/>
  <c r="AW58" i="120"/>
  <c r="AZ54" i="122"/>
  <c r="AW22" i="119"/>
  <c r="G46" i="118"/>
  <c r="Q53" i="121"/>
  <c r="L43" i="117"/>
  <c r="K56" i="122"/>
  <c r="AH13" i="117"/>
  <c r="M39" i="121"/>
  <c r="V47" i="122"/>
  <c r="AS32" i="124"/>
  <c r="AN40" i="119"/>
  <c r="M48" i="117"/>
  <c r="AZ10" i="121"/>
  <c r="L24" i="117"/>
  <c r="AJ12" i="118"/>
  <c r="BD14" i="121"/>
  <c r="AH41" i="123"/>
  <c r="W16" i="120"/>
  <c r="AW52" i="118"/>
  <c r="AP44" i="117"/>
  <c r="AW36" i="120"/>
  <c r="BB18" i="122"/>
  <c r="H44" i="119"/>
  <c r="AF54" i="117"/>
  <c r="AU14" i="122"/>
  <c r="W13" i="117"/>
  <c r="AF14" i="118"/>
  <c r="Q42" i="120"/>
  <c r="N36" i="121"/>
  <c r="AD11" i="120"/>
  <c r="X9" i="123"/>
  <c r="O44" i="123"/>
  <c r="AV41" i="123"/>
  <c r="S33" i="117"/>
  <c r="BC9" i="120"/>
  <c r="AL16" i="117"/>
  <c r="AT36" i="121"/>
  <c r="AQ51" i="120"/>
  <c r="BE52" i="120"/>
  <c r="M26" i="120"/>
  <c r="AO45" i="118"/>
  <c r="BC57" i="120"/>
  <c r="BD23" i="120"/>
  <c r="Q33" i="120"/>
  <c r="AO52" i="118"/>
  <c r="AI27" i="120"/>
  <c r="AX29" i="120"/>
  <c r="L55" i="120"/>
  <c r="AH25" i="117"/>
  <c r="Y45" i="117"/>
  <c r="BD21" i="117"/>
  <c r="T8" i="123"/>
  <c r="O29" i="120"/>
  <c r="AK30" i="124"/>
  <c r="Q23" i="117"/>
  <c r="L20" i="121"/>
  <c r="G12" i="117"/>
  <c r="BB23" i="120"/>
  <c r="I30" i="118"/>
  <c r="AJ10" i="118"/>
  <c r="X44" i="117"/>
  <c r="I57" i="122"/>
  <c r="Q26" i="123"/>
  <c r="AG14" i="119"/>
  <c r="BA56" i="119"/>
  <c r="N58" i="119"/>
  <c r="AJ21" i="119"/>
  <c r="AQ9" i="117"/>
  <c r="AF16" i="119"/>
  <c r="AW17" i="119"/>
  <c r="AU26" i="119"/>
  <c r="V12" i="117"/>
  <c r="BC22" i="119"/>
  <c r="P24" i="119"/>
  <c r="BB47" i="123"/>
  <c r="BE41" i="117"/>
  <c r="AR42" i="117"/>
  <c r="V37" i="123"/>
  <c r="AT31" i="119"/>
  <c r="AK30" i="118"/>
  <c r="AI56" i="121"/>
  <c r="Y16" i="117"/>
  <c r="BC8" i="123"/>
  <c r="AN14" i="120"/>
  <c r="AO27" i="123"/>
  <c r="P57" i="119"/>
  <c r="AN49" i="117"/>
  <c r="AI57" i="121"/>
  <c r="N58" i="117"/>
  <c r="P21" i="118"/>
  <c r="AE48" i="121"/>
  <c r="AY48" i="117"/>
  <c r="I14" i="119"/>
  <c r="AC15" i="119"/>
  <c r="AK24" i="119"/>
  <c r="S51" i="117"/>
  <c r="AQ12" i="119"/>
  <c r="N14" i="119"/>
  <c r="AQ23" i="119"/>
  <c r="P51" i="117"/>
  <c r="BB25" i="119"/>
  <c r="U27" i="119"/>
  <c r="AF17" i="121"/>
  <c r="AP33" i="124"/>
  <c r="V16" i="121"/>
  <c r="W34" i="120"/>
  <c r="AL36" i="121"/>
  <c r="P53" i="124"/>
  <c r="V54" i="121"/>
  <c r="J22" i="122"/>
  <c r="U46" i="119"/>
  <c r="T45" i="121"/>
  <c r="BA27" i="118"/>
  <c r="H27" i="117"/>
  <c r="AJ30" i="119"/>
  <c r="AG16" i="118"/>
  <c r="O18" i="123"/>
  <c r="AL20" i="119"/>
  <c r="AJ13" i="123"/>
  <c r="Y23" i="119"/>
  <c r="AK58" i="130"/>
  <c r="X17" i="129"/>
  <c r="AI42" i="120"/>
  <c r="V55" i="120"/>
  <c r="AU34" i="120"/>
  <c r="AC39" i="125"/>
  <c r="AD27" i="121"/>
  <c r="N23" i="118"/>
  <c r="O20" i="127"/>
  <c r="BA29" i="127"/>
  <c r="I34" i="118"/>
  <c r="AX34" i="118"/>
  <c r="Q12" i="118"/>
  <c r="AJ54" i="120"/>
  <c r="AB33" i="120"/>
  <c r="H54" i="120"/>
  <c r="BA58" i="117"/>
  <c r="AH25" i="119"/>
  <c r="V31" i="123"/>
  <c r="X47" i="120"/>
  <c r="BD11" i="122"/>
  <c r="U53" i="119"/>
  <c r="AD36" i="117"/>
  <c r="M23" i="121"/>
  <c r="Y55" i="121"/>
  <c r="L15" i="117"/>
  <c r="U45" i="118"/>
  <c r="K46" i="121"/>
  <c r="AJ18" i="117"/>
  <c r="AB57" i="119"/>
  <c r="AU58" i="119"/>
  <c r="AX15" i="119"/>
  <c r="I48" i="117"/>
  <c r="AC11" i="119"/>
  <c r="AT12" i="119"/>
  <c r="X27" i="119"/>
  <c r="V13" i="117"/>
  <c r="Q17" i="119"/>
  <c r="AK18" i="119"/>
  <c r="AR43" i="122"/>
  <c r="AD44" i="117"/>
  <c r="H14" i="117"/>
  <c r="AB50" i="122"/>
  <c r="AC44" i="117"/>
  <c r="AO35" i="117"/>
  <c r="AV18" i="117"/>
  <c r="AU55" i="123"/>
  <c r="AO10" i="123"/>
  <c r="L48" i="120"/>
  <c r="H42" i="122"/>
  <c r="AP55" i="119"/>
  <c r="AH36" i="117"/>
  <c r="V30" i="117"/>
  <c r="AI8" i="120"/>
  <c r="AL46" i="131"/>
  <c r="AN35" i="117"/>
  <c r="AH13" i="120"/>
  <c r="Q37" i="124"/>
  <c r="BD52" i="119"/>
  <c r="S54" i="119"/>
  <c r="AU11" i="119"/>
  <c r="Y48" i="117"/>
  <c r="AX11" i="119"/>
  <c r="Q13" i="119"/>
  <c r="W22" i="119"/>
  <c r="AZ9" i="117"/>
  <c r="V13" i="119"/>
  <c r="AQ14" i="119"/>
  <c r="AR52" i="122"/>
  <c r="AZ8" i="124"/>
  <c r="G45" i="117"/>
  <c r="AI37" i="122"/>
  <c r="G49" i="124"/>
  <c r="AR32" i="117"/>
  <c r="AQ20" i="122"/>
  <c r="Q56" i="123"/>
  <c r="Z43" i="120"/>
  <c r="H22" i="122"/>
  <c r="O58" i="119"/>
  <c r="BC36" i="117"/>
  <c r="AB15" i="122"/>
  <c r="AF32" i="120"/>
  <c r="X45" i="117"/>
  <c r="AS29" i="117"/>
  <c r="AU22" i="120"/>
  <c r="AU20" i="124"/>
  <c r="T22" i="118"/>
  <c r="AQ23" i="118"/>
  <c r="H33" i="118"/>
  <c r="H48" i="117"/>
  <c r="N11" i="118"/>
  <c r="AL12" i="118"/>
  <c r="P22" i="118"/>
  <c r="X32" i="117"/>
  <c r="AD34" i="118"/>
  <c r="AS35" i="118"/>
  <c r="J36" i="120"/>
  <c r="S29" i="124"/>
  <c r="AC16" i="118"/>
  <c r="AT26" i="118"/>
  <c r="AI44" i="122"/>
  <c r="AN40" i="120"/>
  <c r="AI8" i="123"/>
  <c r="AB32" i="120"/>
  <c r="AJ22" i="122"/>
  <c r="BD39" i="119"/>
  <c r="AG32" i="120"/>
  <c r="AL29" i="118"/>
  <c r="AW8" i="117"/>
  <c r="AT46" i="118"/>
  <c r="X21" i="122"/>
  <c r="M47" i="119"/>
  <c r="K30" i="118"/>
  <c r="W21" i="122"/>
  <c r="AJ30" i="118"/>
  <c r="H32" i="118"/>
  <c r="BC26" i="126"/>
  <c r="AS25" i="124"/>
  <c r="AO36" i="118"/>
  <c r="H38" i="118"/>
  <c r="O21" i="129"/>
  <c r="T32" i="124"/>
  <c r="AB42" i="118"/>
  <c r="AS43" i="118"/>
  <c r="AG13" i="118"/>
  <c r="N12" i="123"/>
  <c r="P53" i="121"/>
  <c r="BE52" i="125"/>
  <c r="AJ58" i="119"/>
  <c r="S46" i="122"/>
  <c r="AP46" i="118"/>
  <c r="AF30" i="121"/>
  <c r="AH22" i="118"/>
  <c r="BD22" i="123"/>
  <c r="Q14" i="117"/>
  <c r="AL8" i="117"/>
  <c r="O48" i="124"/>
  <c r="J46" i="120"/>
  <c r="G26" i="121"/>
  <c r="AQ45" i="123"/>
  <c r="AG38" i="123"/>
  <c r="Q15" i="117"/>
  <c r="AG16" i="117"/>
  <c r="AX53" i="131"/>
  <c r="V40" i="123"/>
  <c r="W40" i="117"/>
  <c r="BD40" i="117"/>
  <c r="AL16" i="126"/>
  <c r="AX13" i="123"/>
  <c r="AG8" i="117"/>
  <c r="AX9" i="117"/>
  <c r="U21" i="124"/>
  <c r="L38" i="123"/>
  <c r="AB32" i="119"/>
  <c r="W31" i="124"/>
  <c r="AJ13" i="117"/>
  <c r="BE12" i="121"/>
  <c r="AY29" i="124"/>
  <c r="AP52" i="120"/>
  <c r="AN46" i="118"/>
  <c r="M53" i="123"/>
  <c r="AE34" i="117"/>
  <c r="AO43" i="120"/>
  <c r="AU37" i="122"/>
  <c r="AF15" i="118"/>
  <c r="AS55" i="118"/>
  <c r="BB17" i="121"/>
  <c r="AQ38" i="123"/>
  <c r="AC35" i="117"/>
  <c r="AZ36" i="117"/>
  <c r="BE52" i="131"/>
  <c r="AW49" i="123"/>
  <c r="AZ41" i="117"/>
  <c r="O43" i="117"/>
  <c r="I31" i="130"/>
  <c r="K17" i="123"/>
  <c r="AQ51" i="117"/>
  <c r="BE52" i="117"/>
  <c r="U30" i="122"/>
  <c r="P18" i="124"/>
  <c r="AZ8" i="117"/>
  <c r="BC58" i="122"/>
  <c r="N52" i="123"/>
  <c r="X31" i="120"/>
  <c r="AD15" i="122"/>
  <c r="Q47" i="119"/>
  <c r="AF31" i="117"/>
  <c r="AZ10" i="122"/>
  <c r="AH15" i="120"/>
  <c r="Z56" i="118"/>
  <c r="AX38" i="117"/>
  <c r="AB16" i="120"/>
  <c r="BD27" i="124"/>
  <c r="AK21" i="120"/>
  <c r="Y33" i="119"/>
  <c r="S21" i="122"/>
  <c r="J24" i="124"/>
  <c r="H26" i="124"/>
  <c r="AH31" i="126"/>
  <c r="AM23" i="122"/>
  <c r="P29" i="124"/>
  <c r="H31" i="124"/>
  <c r="AP22" i="125"/>
  <c r="U33" i="122"/>
  <c r="AS39" i="124"/>
  <c r="AL42" i="124"/>
  <c r="AZ20" i="122"/>
  <c r="AM58" i="120"/>
  <c r="AV17" i="123"/>
  <c r="AD37" i="120"/>
  <c r="BC55" i="122"/>
  <c r="G29" i="119"/>
  <c r="K26" i="120"/>
  <c r="K26" i="118"/>
  <c r="U54" i="117"/>
  <c r="AN16" i="118"/>
  <c r="L9" i="122"/>
  <c r="AR44" i="119"/>
  <c r="T46" i="118"/>
  <c r="AI9" i="122"/>
  <c r="BA44" i="122"/>
  <c r="L9" i="125"/>
  <c r="AT44" i="118"/>
  <c r="J39" i="119"/>
  <c r="AZ21" i="124"/>
  <c r="BE41" i="119"/>
  <c r="AB47" i="119"/>
  <c r="AI40" i="122"/>
  <c r="AO51" i="123"/>
  <c r="AZ54" i="123"/>
  <c r="AB32" i="131"/>
  <c r="AG38" i="124"/>
  <c r="AD58" i="124"/>
  <c r="N38" i="119"/>
  <c r="AT50" i="119"/>
  <c r="S33" i="122"/>
  <c r="AJ55" i="122"/>
  <c r="AT31" i="122"/>
  <c r="AL58" i="123"/>
  <c r="AC52" i="123"/>
  <c r="AM36" i="122"/>
  <c r="S40" i="118"/>
  <c r="AP26" i="117"/>
  <c r="I24" i="119"/>
  <c r="V30" i="120"/>
  <c r="AM45" i="120"/>
  <c r="AF21" i="117"/>
  <c r="BC55" i="120"/>
  <c r="AX8" i="124"/>
  <c r="T22" i="119"/>
  <c r="V33" i="119"/>
  <c r="H14" i="123"/>
  <c r="X30" i="117"/>
  <c r="AU31" i="117"/>
  <c r="Q11" i="128"/>
  <c r="X18" i="123"/>
  <c r="K42" i="117"/>
  <c r="AE43" i="117"/>
  <c r="AB47" i="128"/>
  <c r="AB25" i="123"/>
  <c r="P42" i="117"/>
  <c r="AF43" i="117"/>
  <c r="W29" i="127"/>
  <c r="T42" i="122"/>
  <c r="J53" i="124"/>
  <c r="K8" i="121"/>
  <c r="AB13" i="122"/>
  <c r="W38" i="120"/>
  <c r="AB39" i="121"/>
  <c r="BA26" i="118"/>
  <c r="K27" i="117"/>
  <c r="L54" i="118"/>
  <c r="AE41" i="120"/>
  <c r="AV48" i="120"/>
  <c r="AC46" i="126"/>
  <c r="AM36" i="119"/>
  <c r="AL10" i="123"/>
  <c r="AL44" i="118"/>
  <c r="AS25" i="125"/>
  <c r="AJ45" i="119"/>
  <c r="L14" i="123"/>
  <c r="AO8" i="117"/>
  <c r="BE9" i="117"/>
  <c r="T48" i="128"/>
  <c r="J20" i="123"/>
  <c r="AY35" i="117"/>
  <c r="N37" i="117"/>
  <c r="V40" i="127"/>
  <c r="AF25" i="123"/>
  <c r="AS18" i="117"/>
  <c r="L21" i="117"/>
  <c r="J45" i="123"/>
  <c r="BE37" i="122"/>
  <c r="X32" i="124"/>
  <c r="G15" i="121"/>
  <c r="AO21" i="122"/>
  <c r="Q40" i="119"/>
  <c r="AI41" i="121"/>
  <c r="G27" i="118"/>
  <c r="AX26" i="117"/>
  <c r="T14" i="117"/>
  <c r="G34" i="119"/>
  <c r="H37" i="119"/>
  <c r="BE17" i="119"/>
  <c r="AJ13" i="119"/>
  <c r="AD43" i="123"/>
  <c r="X54" i="117"/>
  <c r="BB12" i="118"/>
  <c r="AK36" i="119"/>
  <c r="G42" i="122"/>
  <c r="AG29" i="124"/>
  <c r="AZ30" i="124"/>
  <c r="AE41" i="124"/>
  <c r="K45" i="122"/>
  <c r="AI34" i="124"/>
  <c r="AX35" i="124"/>
  <c r="BB11" i="124"/>
  <c r="Y54" i="122"/>
  <c r="W41" i="124"/>
  <c r="AV42" i="124"/>
  <c r="BE46" i="120"/>
  <c r="AR43" i="120"/>
  <c r="I39" i="122"/>
  <c r="AF34" i="119"/>
  <c r="O15" i="121"/>
  <c r="AM18" i="118"/>
  <c r="AH58" i="119"/>
  <c r="AW53" i="118"/>
  <c r="AT56" i="122"/>
  <c r="AX12" i="117"/>
  <c r="AZ47" i="121"/>
  <c r="AL21" i="123"/>
  <c r="AI54" i="120"/>
  <c r="AP34" i="122"/>
  <c r="O49" i="120"/>
  <c r="AV11" i="118"/>
  <c r="AH46" i="118"/>
  <c r="AP8" i="122"/>
  <c r="AR32" i="124"/>
  <c r="W55" i="124"/>
  <c r="N33" i="120"/>
  <c r="AC15" i="122"/>
  <c r="G20" i="124"/>
  <c r="AC21" i="124"/>
  <c r="AN36" i="120"/>
  <c r="U24" i="122"/>
  <c r="X41" i="124"/>
  <c r="AJ42" i="124"/>
  <c r="AY37" i="117"/>
  <c r="AK50" i="118"/>
  <c r="AJ22" i="121"/>
  <c r="AH14" i="117"/>
  <c r="N9" i="120"/>
  <c r="M17" i="118"/>
  <c r="BA36" i="119"/>
  <c r="BA31" i="117"/>
  <c r="AB18" i="122"/>
  <c r="J34" i="123"/>
  <c r="BE18" i="119"/>
  <c r="BA51" i="119"/>
  <c r="AD34" i="121"/>
  <c r="O55" i="121"/>
  <c r="J42" i="117"/>
  <c r="X55" i="130"/>
  <c r="AK12" i="117"/>
  <c r="BE34" i="127"/>
  <c r="AZ12" i="123"/>
  <c r="O14" i="123"/>
  <c r="Z35" i="128"/>
  <c r="J50" i="128"/>
  <c r="AZ49" i="123"/>
  <c r="AQ8" i="123"/>
  <c r="AB49" i="126"/>
  <c r="I34" i="127"/>
  <c r="AV24" i="123"/>
  <c r="M26" i="123"/>
  <c r="AM45" i="118"/>
  <c r="AQ54" i="124"/>
  <c r="AX40" i="120"/>
  <c r="AR36" i="123"/>
  <c r="AK33" i="119"/>
  <c r="AI31" i="117"/>
  <c r="P58" i="121"/>
  <c r="W53" i="117"/>
  <c r="Z21" i="118"/>
  <c r="AQ48" i="121"/>
  <c r="AD9" i="117"/>
  <c r="T50" i="117"/>
  <c r="N35" i="120"/>
  <c r="U41" i="120"/>
  <c r="AJ46" i="117"/>
  <c r="Y35" i="125"/>
  <c r="AU55" i="117"/>
  <c r="AY29" i="119"/>
  <c r="AU58" i="123"/>
  <c r="AC53" i="123"/>
  <c r="BB16" i="124"/>
  <c r="V25" i="120"/>
  <c r="X57" i="123"/>
  <c r="AQ58" i="123"/>
  <c r="AP45" i="123"/>
  <c r="AS20" i="119"/>
  <c r="V56" i="123"/>
  <c r="AU57" i="123"/>
  <c r="G56" i="121"/>
  <c r="AB10" i="122"/>
  <c r="AM51" i="119"/>
  <c r="BB46" i="121"/>
  <c r="G15" i="118"/>
  <c r="S21" i="117"/>
  <c r="Q20" i="117"/>
  <c r="W23" i="119"/>
  <c r="AL34" i="119"/>
  <c r="AN25" i="120"/>
  <c r="BA17" i="119"/>
  <c r="AQ11" i="123"/>
  <c r="P54" i="117"/>
  <c r="AR17" i="118"/>
  <c r="O31" i="119"/>
  <c r="T27" i="119"/>
  <c r="AV14" i="122"/>
  <c r="AQ45" i="124"/>
  <c r="BD35" i="123"/>
  <c r="G53" i="122"/>
  <c r="AG58" i="122"/>
  <c r="AB39" i="120"/>
  <c r="X47" i="124"/>
  <c r="AB21" i="122"/>
  <c r="L25" i="122"/>
  <c r="Q49" i="119"/>
  <c r="J21" i="123"/>
  <c r="BA30" i="122"/>
  <c r="X32" i="122"/>
  <c r="J29" i="119"/>
  <c r="BE54" i="121"/>
  <c r="AS58" i="119"/>
  <c r="L18" i="119"/>
  <c r="W56" i="118"/>
  <c r="Y17" i="122"/>
  <c r="Y57" i="117"/>
  <c r="G24" i="121"/>
  <c r="AG32" i="123"/>
  <c r="AW51" i="120"/>
  <c r="AZ22" i="122"/>
  <c r="AG50" i="120"/>
  <c r="AK37" i="125"/>
  <c r="AX32" i="120"/>
  <c r="AP57" i="120"/>
  <c r="AV34" i="117"/>
  <c r="K56" i="118"/>
  <c r="AD16" i="118"/>
  <c r="S43" i="125"/>
  <c r="Q48" i="123"/>
  <c r="AM42" i="124"/>
  <c r="AM31" i="119"/>
  <c r="BD36" i="119"/>
  <c r="AE38" i="123"/>
  <c r="O23" i="123"/>
  <c r="AE12" i="123"/>
  <c r="AC10" i="117"/>
  <c r="S34" i="118"/>
  <c r="AO33" i="117"/>
  <c r="AH56" i="119"/>
  <c r="U16" i="121"/>
  <c r="G34" i="117"/>
  <c r="AI54" i="117"/>
  <c r="AK26" i="124"/>
  <c r="AW9" i="123"/>
  <c r="Z54" i="119"/>
  <c r="AF20" i="120"/>
  <c r="P34" i="117"/>
  <c r="J44" i="121"/>
  <c r="Q52" i="124"/>
  <c r="P29" i="120"/>
  <c r="AZ18" i="119"/>
  <c r="W25" i="119"/>
  <c r="O38" i="119"/>
  <c r="AM27" i="121"/>
  <c r="BD36" i="120"/>
  <c r="W43" i="120"/>
  <c r="AZ30" i="120"/>
  <c r="J34" i="121"/>
  <c r="AK44" i="119"/>
  <c r="G50" i="119"/>
  <c r="AV50" i="119"/>
  <c r="H37" i="121"/>
  <c r="O31" i="117"/>
  <c r="N49" i="117"/>
  <c r="G20" i="120"/>
  <c r="X42" i="120"/>
  <c r="AX52" i="118"/>
  <c r="AH25" i="126"/>
  <c r="K34" i="117"/>
  <c r="U56" i="117"/>
  <c r="L42" i="124"/>
  <c r="BA9" i="123"/>
  <c r="Q50" i="119"/>
  <c r="X17" i="122"/>
  <c r="BA52" i="124"/>
  <c r="BA47" i="121"/>
  <c r="AT17" i="124"/>
  <c r="S41" i="120"/>
  <c r="AJ8" i="119"/>
  <c r="AO13" i="119"/>
  <c r="S53" i="119"/>
  <c r="AL27" i="121"/>
  <c r="AI14" i="119"/>
  <c r="AT22" i="119"/>
  <c r="G13" i="119"/>
  <c r="AQ53" i="121"/>
  <c r="AO8" i="119"/>
  <c r="AS13" i="119"/>
  <c r="AJ48" i="119"/>
  <c r="AZ42" i="121"/>
  <c r="N24" i="117"/>
  <c r="T30" i="117"/>
  <c r="AB47" i="120"/>
  <c r="P43" i="120"/>
  <c r="AC46" i="117"/>
  <c r="AI52" i="123"/>
  <c r="AI34" i="117"/>
  <c r="AK56" i="117"/>
  <c r="AG8" i="124"/>
  <c r="AV30" i="125"/>
  <c r="M55" i="119"/>
  <c r="AS14" i="121"/>
  <c r="AG54" i="124"/>
  <c r="BE47" i="121"/>
  <c r="S37" i="124"/>
  <c r="AC39" i="120"/>
  <c r="BB48" i="117"/>
  <c r="AE54" i="117"/>
  <c r="BA29" i="117"/>
  <c r="AS48" i="121"/>
  <c r="G40" i="117"/>
  <c r="Y13" i="117"/>
  <c r="BB10" i="117"/>
  <c r="X12" i="121"/>
  <c r="X35" i="117"/>
  <c r="AU41" i="117"/>
  <c r="Z30" i="117"/>
  <c r="X14" i="119"/>
  <c r="Q39" i="123"/>
  <c r="J41" i="124"/>
  <c r="AS30" i="125"/>
  <c r="AU38" i="119"/>
  <c r="AH39" i="119"/>
  <c r="L20" i="122"/>
  <c r="AF26" i="124"/>
  <c r="H50" i="117"/>
  <c r="T54" i="122"/>
  <c r="AW12" i="123"/>
  <c r="K57" i="117"/>
  <c r="W44" i="122"/>
  <c r="S40" i="122"/>
  <c r="M51" i="120"/>
  <c r="AO39" i="122"/>
  <c r="AY34" i="119"/>
  <c r="AK12" i="123"/>
  <c r="Y36" i="123"/>
  <c r="N47" i="123"/>
  <c r="Q9" i="120"/>
  <c r="AX38" i="123"/>
  <c r="AK47" i="123"/>
  <c r="K35" i="123"/>
  <c r="AQ12" i="120"/>
  <c r="AE8" i="123"/>
  <c r="AZ13" i="123"/>
  <c r="AG49" i="123"/>
  <c r="W14" i="119"/>
  <c r="AB31" i="122"/>
  <c r="T58" i="120"/>
  <c r="G58" i="117"/>
  <c r="AG25" i="118"/>
  <c r="AE41" i="118"/>
  <c r="AP44" i="120"/>
  <c r="AH54" i="124"/>
  <c r="I46" i="117"/>
  <c r="N24" i="130"/>
  <c r="AS15" i="120"/>
  <c r="AH20" i="123"/>
  <c r="M35" i="120"/>
  <c r="AM20" i="121"/>
  <c r="AU14" i="119"/>
  <c r="BD24" i="120"/>
  <c r="AH39" i="118"/>
  <c r="M32" i="122"/>
  <c r="AZ33" i="122"/>
  <c r="AE49" i="122"/>
  <c r="I41" i="120"/>
  <c r="AH16" i="122"/>
  <c r="X20" i="122"/>
  <c r="AD32" i="122"/>
  <c r="AQ30" i="120"/>
  <c r="U51" i="122"/>
  <c r="BD54" i="122"/>
  <c r="Y9" i="122"/>
  <c r="G9" i="121"/>
  <c r="AD49" i="121"/>
  <c r="Q37" i="117"/>
  <c r="V58" i="126"/>
  <c r="AV31" i="117"/>
  <c r="BE55" i="118"/>
  <c r="AK51" i="118"/>
  <c r="K20" i="123"/>
  <c r="H15" i="121"/>
  <c r="T20" i="126"/>
  <c r="L20" i="118"/>
  <c r="AC16" i="122"/>
  <c r="AZ49" i="118"/>
  <c r="AK45" i="121"/>
  <c r="T34" i="118"/>
  <c r="AB32" i="122"/>
  <c r="AE49" i="117"/>
  <c r="P37" i="121"/>
  <c r="H39" i="121"/>
  <c r="AS49" i="121"/>
  <c r="AS40" i="119"/>
  <c r="V41" i="121"/>
  <c r="N43" i="121"/>
  <c r="L52" i="121"/>
  <c r="W16" i="119"/>
  <c r="N51" i="121"/>
  <c r="AF52" i="121"/>
  <c r="AM45" i="125"/>
  <c r="H42" i="120"/>
  <c r="AP41" i="120"/>
  <c r="AH37" i="117"/>
  <c r="AT34" i="123"/>
  <c r="M29" i="117"/>
  <c r="AR33" i="117"/>
  <c r="Z54" i="124"/>
  <c r="S47" i="127"/>
  <c r="U32" i="119"/>
  <c r="L34" i="121"/>
  <c r="AT31" i="124"/>
  <c r="T36" i="121"/>
  <c r="AZ31" i="124"/>
  <c r="AN27" i="120"/>
  <c r="BA40" i="117"/>
  <c r="AN31" i="122"/>
  <c r="AQ50" i="117"/>
  <c r="M32" i="121"/>
  <c r="AE33" i="121"/>
  <c r="AK42" i="121"/>
  <c r="H27" i="119"/>
  <c r="AF43" i="121"/>
  <c r="BC44" i="121"/>
  <c r="BC52" i="121"/>
  <c r="Y27" i="119"/>
  <c r="G44" i="121"/>
  <c r="Y45" i="121"/>
  <c r="I22" i="125"/>
  <c r="T33" i="119"/>
  <c r="AO27" i="119"/>
  <c r="BC18" i="122"/>
  <c r="N18" i="124"/>
  <c r="AU44" i="117"/>
  <c r="AY48" i="122"/>
  <c r="H12" i="123"/>
  <c r="P50" i="117"/>
  <c r="AR33" i="122"/>
  <c r="AM52" i="122"/>
  <c r="U32" i="120"/>
  <c r="AY32" i="122"/>
  <c r="AO22" i="119"/>
  <c r="AE38" i="117"/>
  <c r="P30" i="120"/>
  <c r="AS33" i="120"/>
  <c r="AV23" i="121"/>
  <c r="AG11" i="123"/>
  <c r="M57" i="122"/>
  <c r="AS40" i="121"/>
  <c r="AB54" i="124"/>
  <c r="BD56" i="117"/>
  <c r="AP35" i="120"/>
  <c r="AT29" i="118"/>
  <c r="P35" i="122"/>
  <c r="AZ16" i="119"/>
  <c r="X29" i="119"/>
  <c r="J9" i="121"/>
  <c r="BA25" i="121"/>
  <c r="M37" i="117"/>
  <c r="AX17" i="120"/>
  <c r="T56" i="120"/>
  <c r="AL31" i="118"/>
  <c r="U44" i="121"/>
  <c r="S44" i="117"/>
  <c r="BB29" i="124"/>
  <c r="BE37" i="120"/>
  <c r="O23" i="120"/>
  <c r="T47" i="124"/>
  <c r="V42" i="119"/>
  <c r="O48" i="121"/>
  <c r="AD32" i="120"/>
  <c r="W32" i="120"/>
  <c r="BB41" i="118"/>
  <c r="G14" i="117"/>
  <c r="M51" i="117"/>
  <c r="AN21" i="121"/>
  <c r="AX41" i="118"/>
  <c r="V49" i="118"/>
  <c r="AZ58" i="118"/>
  <c r="L45" i="119"/>
  <c r="L18" i="120"/>
  <c r="AR29" i="118"/>
  <c r="AU31" i="120"/>
  <c r="AS30" i="124"/>
  <c r="BB29" i="123"/>
  <c r="AN16" i="120"/>
  <c r="AP45" i="122"/>
  <c r="AU56" i="120"/>
  <c r="BC48" i="117"/>
  <c r="AW56" i="117"/>
  <c r="O15" i="122"/>
  <c r="AM51" i="118"/>
  <c r="AL18" i="120"/>
  <c r="AY33" i="124"/>
  <c r="AO37" i="120"/>
  <c r="AU44" i="119"/>
  <c r="Z38" i="125"/>
  <c r="BE52" i="118"/>
  <c r="AW25" i="123"/>
  <c r="AH51" i="123"/>
  <c r="AK33" i="128"/>
  <c r="V25" i="118"/>
  <c r="Y51" i="119"/>
  <c r="AH17" i="121"/>
  <c r="AE35" i="117"/>
  <c r="AF50" i="117"/>
  <c r="T15" i="124"/>
  <c r="L49" i="117"/>
  <c r="X41" i="121"/>
  <c r="I24" i="117"/>
  <c r="AW9" i="119"/>
  <c r="AX17" i="118"/>
  <c r="W30" i="117"/>
  <c r="AO34" i="122"/>
  <c r="AV13" i="119"/>
  <c r="H13" i="120"/>
  <c r="H43" i="123"/>
  <c r="P13" i="124"/>
  <c r="G23" i="119"/>
  <c r="AQ29" i="119"/>
  <c r="AM30" i="120"/>
  <c r="AW35" i="119"/>
  <c r="BC53" i="120"/>
  <c r="BD22" i="124"/>
  <c r="T16" i="121"/>
  <c r="AJ52" i="119"/>
  <c r="AH29" i="122"/>
  <c r="AP52" i="124"/>
  <c r="AU44" i="123"/>
  <c r="AL32" i="120"/>
  <c r="BA9" i="124"/>
  <c r="AQ23" i="117"/>
  <c r="AR39" i="122"/>
  <c r="AR49" i="128"/>
  <c r="U21" i="120"/>
  <c r="AJ35" i="117"/>
  <c r="BB15" i="120"/>
  <c r="AL52" i="120"/>
  <c r="AW36" i="118"/>
  <c r="AS22" i="122"/>
  <c r="V21" i="118"/>
  <c r="AF9" i="124"/>
  <c r="V24" i="117"/>
  <c r="AK58" i="117"/>
  <c r="AL21" i="120"/>
  <c r="AF38" i="122"/>
  <c r="BA15" i="118"/>
  <c r="O40" i="117"/>
  <c r="AN50" i="122"/>
  <c r="T58" i="122"/>
  <c r="AT24" i="117"/>
  <c r="AE9" i="120"/>
  <c r="AM35" i="117"/>
  <c r="AG24" i="117"/>
  <c r="W54" i="117"/>
  <c r="AS51" i="121"/>
  <c r="AG54" i="117"/>
  <c r="AC23" i="118"/>
  <c r="AN18" i="119"/>
  <c r="AS12" i="131"/>
  <c r="X49" i="124"/>
  <c r="K46" i="117"/>
  <c r="AU44" i="124"/>
  <c r="Z54" i="121"/>
  <c r="H55" i="122"/>
  <c r="S47" i="119"/>
  <c r="T11" i="120"/>
  <c r="U34" i="120"/>
  <c r="AM34" i="117"/>
  <c r="G39" i="118"/>
  <c r="AR57" i="119"/>
  <c r="L17" i="122"/>
  <c r="AQ29" i="118"/>
  <c r="BE30" i="118"/>
  <c r="O42" i="130"/>
  <c r="AW25" i="124"/>
  <c r="L36" i="118"/>
  <c r="AD37" i="118"/>
  <c r="BD41" i="126"/>
  <c r="AT14" i="124"/>
  <c r="AJ41" i="118"/>
  <c r="BA42" i="118"/>
  <c r="X58" i="118"/>
  <c r="AD16" i="123"/>
  <c r="BA56" i="121"/>
  <c r="Z54" i="127"/>
  <c r="BC16" i="118"/>
  <c r="AX47" i="122"/>
  <c r="X47" i="118"/>
  <c r="M55" i="121"/>
  <c r="AL22" i="118"/>
  <c r="V47" i="123"/>
  <c r="AI37" i="117"/>
  <c r="X44" i="124"/>
  <c r="AP13" i="124"/>
  <c r="T39" i="120"/>
  <c r="AT13" i="120"/>
  <c r="BD24" i="122"/>
  <c r="AT17" i="123"/>
  <c r="AG38" i="117"/>
  <c r="BD39" i="117"/>
  <c r="BA9" i="126"/>
  <c r="AC8" i="123"/>
  <c r="AP21" i="117"/>
  <c r="I23" i="117"/>
  <c r="AF14" i="122"/>
  <c r="AG42" i="123"/>
  <c r="AG50" i="117"/>
  <c r="BB51" i="117"/>
  <c r="AR39" i="124"/>
  <c r="P12" i="125"/>
  <c r="AD25" i="119"/>
  <c r="AT35" i="121"/>
  <c r="AP31" i="124"/>
  <c r="H13" i="121"/>
  <c r="X30" i="124"/>
  <c r="AI51" i="120"/>
  <c r="AM36" i="117"/>
  <c r="AS32" i="122"/>
  <c r="AZ34" i="117"/>
  <c r="AT46" i="120"/>
  <c r="AV20" i="122"/>
  <c r="AP17" i="118"/>
  <c r="U17" i="117"/>
  <c r="BB47" i="121"/>
  <c r="T13" i="123"/>
  <c r="AX35" i="117"/>
  <c r="U37" i="117"/>
  <c r="S51" i="130"/>
  <c r="AU50" i="123"/>
  <c r="BD41" i="117"/>
  <c r="S43" i="117"/>
  <c r="AJ41" i="129"/>
  <c r="AJ24" i="123"/>
  <c r="AU51" i="117"/>
  <c r="J53" i="117"/>
  <c r="N43" i="122"/>
  <c r="AY32" i="123"/>
  <c r="AR55" i="117"/>
  <c r="Q11" i="122"/>
  <c r="AK55" i="123"/>
  <c r="AU27" i="120"/>
  <c r="M21" i="122"/>
  <c r="M50" i="119"/>
  <c r="AK26" i="117"/>
  <c r="AW12" i="121"/>
  <c r="N39" i="120"/>
  <c r="AM26" i="121"/>
  <c r="Z53" i="117"/>
  <c r="AP47" i="120"/>
  <c r="AB42" i="124"/>
  <c r="BD30" i="120"/>
  <c r="AK39" i="119"/>
  <c r="AU36" i="120"/>
  <c r="AY51" i="121"/>
  <c r="H21" i="121"/>
  <c r="Y21" i="121"/>
  <c r="BD11" i="124"/>
  <c r="N14" i="124"/>
  <c r="AH17" i="124"/>
  <c r="AF9" i="122"/>
  <c r="AW33" i="131"/>
  <c r="AE11" i="119"/>
  <c r="T22" i="120"/>
  <c r="AR16" i="120"/>
  <c r="O35" i="124"/>
  <c r="AH46" i="124"/>
  <c r="AE37" i="124"/>
  <c r="T31" i="124"/>
  <c r="Z34" i="124"/>
  <c r="L46" i="124"/>
  <c r="K48" i="119"/>
  <c r="AT30" i="117"/>
  <c r="AM21" i="121"/>
  <c r="Z29" i="117"/>
  <c r="H35" i="119"/>
  <c r="AH14" i="121"/>
  <c r="O20" i="117"/>
  <c r="K8" i="117"/>
  <c r="G15" i="120"/>
  <c r="AG20" i="123"/>
  <c r="AD38" i="117"/>
  <c r="AS39" i="117"/>
  <c r="K13" i="118"/>
  <c r="AF20" i="123"/>
  <c r="AG57" i="117"/>
  <c r="AZ58" i="117"/>
  <c r="AP55" i="118"/>
  <c r="AI32" i="123"/>
  <c r="U30" i="117"/>
  <c r="AV35" i="117"/>
  <c r="U29" i="123"/>
  <c r="AT14" i="120"/>
  <c r="AZ48" i="118"/>
  <c r="H49" i="123"/>
  <c r="Y40" i="118"/>
  <c r="O26" i="124"/>
  <c r="Y15" i="120"/>
  <c r="BD9" i="123"/>
  <c r="K50" i="119"/>
  <c r="BB36" i="117"/>
  <c r="AY11" i="121"/>
  <c r="AX58" i="117"/>
  <c r="G21" i="118"/>
  <c r="AJ46" i="121"/>
  <c r="AL23" i="117"/>
  <c r="O57" i="117"/>
  <c r="AO41" i="120"/>
  <c r="AY10" i="123"/>
  <c r="AY38" i="117"/>
  <c r="N41" i="117"/>
  <c r="AC36" i="118"/>
  <c r="I26" i="123"/>
  <c r="BA44" i="117"/>
  <c r="T46" i="117"/>
  <c r="J21" i="117"/>
  <c r="L31" i="123"/>
  <c r="I32" i="117"/>
  <c r="AE37" i="117"/>
  <c r="AY31" i="123"/>
  <c r="K24" i="120"/>
  <c r="AB50" i="118"/>
  <c r="AN9" i="121"/>
  <c r="P58" i="118"/>
  <c r="AT14" i="123"/>
  <c r="Q11" i="120"/>
  <c r="AD22" i="123"/>
  <c r="AQ46" i="119"/>
  <c r="O44" i="117"/>
  <c r="AI16" i="121"/>
  <c r="H53" i="117"/>
  <c r="BD42" i="118"/>
  <c r="G43" i="121"/>
  <c r="AP20" i="117"/>
  <c r="AW46" i="123"/>
  <c r="AF36" i="120"/>
  <c r="I53" i="123"/>
  <c r="BE53" i="117"/>
  <c r="X55" i="117"/>
  <c r="H54" i="128"/>
  <c r="N20" i="123"/>
  <c r="AS13" i="117"/>
  <c r="BE14" i="117"/>
  <c r="AQ35" i="127"/>
  <c r="Z57" i="123"/>
  <c r="K50" i="117"/>
  <c r="AE51" i="117"/>
  <c r="Q35" i="120"/>
  <c r="X58" i="121"/>
  <c r="AK52" i="124"/>
  <c r="BE13" i="121"/>
  <c r="X57" i="122"/>
  <c r="AI27" i="119"/>
  <c r="AW38" i="121"/>
  <c r="AO17" i="118"/>
  <c r="AS21" i="117"/>
  <c r="H36" i="119"/>
  <c r="Y17" i="118"/>
  <c r="M21" i="124"/>
  <c r="BB8" i="119"/>
  <c r="AN42" i="123"/>
  <c r="N26" i="124"/>
  <c r="L15" i="119"/>
  <c r="Z30" i="119"/>
  <c r="N26" i="122"/>
  <c r="BE11" i="124"/>
  <c r="T13" i="124"/>
  <c r="AI49" i="124"/>
  <c r="BD48" i="122"/>
  <c r="BD34" i="124"/>
  <c r="S36" i="124"/>
  <c r="AB46" i="123"/>
  <c r="H38" i="122"/>
  <c r="X23" i="124"/>
  <c r="AJ24" i="124"/>
  <c r="AB32" i="117"/>
  <c r="O23" i="119"/>
  <c r="AT52" i="122"/>
  <c r="I30" i="119"/>
  <c r="W15" i="121"/>
  <c r="N13" i="118"/>
  <c r="AN54" i="119"/>
  <c r="AC54" i="118"/>
  <c r="BD56" i="121"/>
  <c r="N16" i="117"/>
  <c r="AB42" i="121"/>
  <c r="AS54" i="123"/>
  <c r="AY15" i="119"/>
  <c r="BD37" i="122"/>
  <c r="AT29" i="119"/>
  <c r="AK54" i="130"/>
  <c r="AJ45" i="118"/>
  <c r="T20" i="122"/>
  <c r="AG23" i="124"/>
  <c r="AX24" i="124"/>
  <c r="Q37" i="120"/>
  <c r="BB15" i="122"/>
  <c r="AS21" i="124"/>
  <c r="H27" i="124"/>
  <c r="AP26" i="119"/>
  <c r="BE35" i="122"/>
  <c r="W35" i="124"/>
  <c r="AP36" i="124"/>
  <c r="AT10" i="124"/>
  <c r="AP13" i="117"/>
  <c r="AW46" i="121"/>
  <c r="AN11" i="117"/>
  <c r="BA36" i="120"/>
  <c r="Q17" i="118"/>
  <c r="K17" i="118"/>
  <c r="Z32" i="117"/>
  <c r="Y55" i="122"/>
  <c r="AN24" i="123"/>
  <c r="AQ20" i="119"/>
  <c r="AV52" i="119"/>
  <c r="AQ18" i="121"/>
  <c r="AP58" i="121"/>
  <c r="Y37" i="117"/>
  <c r="AB23" i="122"/>
  <c r="AN54" i="117"/>
  <c r="AH12" i="126"/>
  <c r="Z10" i="123"/>
  <c r="Z16" i="123"/>
  <c r="U9" i="126"/>
  <c r="P36" i="127"/>
  <c r="S18" i="123"/>
  <c r="AK20" i="123"/>
  <c r="AQ51" i="124"/>
  <c r="S29" i="126"/>
  <c r="AU42" i="123"/>
  <c r="AH45" i="123"/>
  <c r="I36" i="118"/>
  <c r="W49" i="123"/>
  <c r="BC14" i="120"/>
  <c r="AJ27" i="123"/>
  <c r="AW34" i="119"/>
  <c r="AR37" i="117"/>
  <c r="G11" i="121"/>
  <c r="AO47" i="117"/>
  <c r="L21" i="118"/>
  <c r="W48" i="121"/>
  <c r="AQ48" i="117"/>
  <c r="J34" i="117"/>
  <c r="AW47" i="120"/>
  <c r="AU24" i="120"/>
  <c r="AU38" i="122"/>
  <c r="AY55" i="117"/>
  <c r="AE10" i="118"/>
  <c r="BD58" i="123"/>
  <c r="AH53" i="123"/>
  <c r="K15" i="123"/>
  <c r="X30" i="119"/>
  <c r="AG57" i="123"/>
  <c r="AZ58" i="123"/>
  <c r="H10" i="123"/>
  <c r="W47" i="118"/>
  <c r="AI56" i="123"/>
  <c r="AZ57" i="123"/>
  <c r="BA8" i="121"/>
  <c r="AY46" i="122"/>
  <c r="AE57" i="119"/>
  <c r="AV35" i="121"/>
  <c r="K51" i="118"/>
  <c r="AF15" i="117"/>
  <c r="AF30" i="119"/>
  <c r="AO15" i="118"/>
  <c r="BB35" i="124"/>
  <c r="AH20" i="119"/>
  <c r="X39" i="123"/>
  <c r="BA25" i="124"/>
  <c r="AM14" i="119"/>
  <c r="AG45" i="119"/>
  <c r="AR22" i="119"/>
  <c r="Z36" i="122"/>
  <c r="H49" i="124"/>
  <c r="G24" i="117"/>
  <c r="AQ15" i="117"/>
  <c r="Z35" i="122"/>
  <c r="AG48" i="122"/>
  <c r="AQ55" i="122"/>
  <c r="AQ41" i="122"/>
  <c r="AR20" i="122"/>
  <c r="AX41" i="123"/>
  <c r="AF48" i="117"/>
  <c r="AF32" i="117"/>
  <c r="T14" i="120"/>
  <c r="H33" i="120"/>
  <c r="G32" i="121"/>
  <c r="AC37" i="121"/>
  <c r="AV43" i="121"/>
  <c r="N57" i="122"/>
  <c r="AG42" i="122"/>
  <c r="AQ30" i="122"/>
  <c r="AX11" i="122"/>
  <c r="S15" i="117"/>
  <c r="AN55" i="117"/>
  <c r="AY51" i="118"/>
  <c r="X50" i="121"/>
  <c r="AS41" i="117"/>
  <c r="U20" i="123"/>
  <c r="Q39" i="120"/>
  <c r="K34" i="120"/>
  <c r="AW46" i="124"/>
  <c r="V46" i="117"/>
  <c r="AX16" i="123"/>
  <c r="S32" i="123"/>
  <c r="Q44" i="123"/>
  <c r="M46" i="121"/>
  <c r="G15" i="124"/>
  <c r="BA33" i="123"/>
  <c r="AL36" i="123"/>
  <c r="I12" i="119"/>
  <c r="AQ43" i="123"/>
  <c r="H16" i="123"/>
  <c r="X17" i="123"/>
  <c r="X23" i="123"/>
  <c r="AH33" i="123"/>
  <c r="AX34" i="120"/>
  <c r="W57" i="122"/>
  <c r="AX32" i="119"/>
  <c r="AH24" i="117"/>
  <c r="AS21" i="118"/>
  <c r="J10" i="120"/>
  <c r="L50" i="117"/>
  <c r="W29" i="117"/>
  <c r="AC15" i="120"/>
  <c r="Z41" i="124"/>
  <c r="J47" i="121"/>
  <c r="AX49" i="120"/>
  <c r="BD32" i="120"/>
  <c r="BD29" i="123"/>
  <c r="AW23" i="117"/>
  <c r="BE53" i="123"/>
  <c r="I33" i="123"/>
  <c r="AX44" i="123"/>
  <c r="X16" i="119"/>
  <c r="AH12" i="123"/>
  <c r="H11" i="123"/>
  <c r="T12" i="123"/>
  <c r="G52" i="117"/>
  <c r="AX22" i="122"/>
  <c r="L16" i="123"/>
  <c r="AB17" i="123"/>
  <c r="Z52" i="122"/>
  <c r="AR57" i="123"/>
  <c r="AN54" i="120"/>
  <c r="AG25" i="122"/>
  <c r="W35" i="119"/>
  <c r="BC24" i="117"/>
  <c r="BC46" i="123"/>
  <c r="M8" i="120"/>
  <c r="AR55" i="119"/>
  <c r="AO29" i="117"/>
  <c r="Z22" i="120"/>
  <c r="AL20" i="124"/>
  <c r="M48" i="121"/>
  <c r="K25" i="119"/>
  <c r="AJ40" i="119"/>
  <c r="K54" i="123"/>
  <c r="Q54" i="117"/>
  <c r="AY21" i="124"/>
  <c r="AT35" i="122"/>
  <c r="Q37" i="122"/>
  <c r="I40" i="121"/>
  <c r="AO51" i="117"/>
  <c r="AN30" i="122"/>
  <c r="BB31" i="122"/>
  <c r="X21" i="121"/>
  <c r="O23" i="124"/>
  <c r="BB22" i="122"/>
  <c r="AC29" i="122"/>
  <c r="U42" i="120"/>
  <c r="AW44" i="122"/>
  <c r="Q16" i="119"/>
  <c r="M32" i="120"/>
  <c r="AV20" i="118"/>
  <c r="AZ48" i="117"/>
  <c r="K11" i="118"/>
  <c r="AE18" i="122"/>
  <c r="J49" i="119"/>
  <c r="AY41" i="118"/>
  <c r="AK33" i="122"/>
  <c r="Z38" i="122"/>
  <c r="AZ24" i="125"/>
  <c r="AE13" i="118"/>
  <c r="AM37" i="118"/>
  <c r="AF27" i="121"/>
  <c r="T27" i="124"/>
  <c r="T15" i="122"/>
  <c r="U57" i="122"/>
  <c r="N8" i="122"/>
  <c r="Q43" i="118"/>
  <c r="AM26" i="122"/>
  <c r="AS27" i="122"/>
  <c r="AQ39" i="122"/>
  <c r="BE26" i="117"/>
  <c r="AW18" i="122"/>
  <c r="AP11" i="122"/>
  <c r="AC13" i="122"/>
  <c r="AK46" i="118"/>
  <c r="AX58" i="121"/>
  <c r="P11" i="118"/>
  <c r="V22" i="127"/>
  <c r="BB21" i="117"/>
  <c r="AL50" i="118"/>
  <c r="AV47" i="124"/>
  <c r="AO45" i="120"/>
  <c r="AN22" i="121"/>
  <c r="BB18" i="123"/>
  <c r="J16" i="121"/>
  <c r="AG11" i="118"/>
  <c r="AC15" i="121"/>
  <c r="AG53" i="118"/>
  <c r="AC14" i="118"/>
  <c r="Q45" i="119"/>
  <c r="AE39" i="124"/>
  <c r="AO56" i="127"/>
  <c r="AL10" i="121"/>
  <c r="AL12" i="121"/>
  <c r="AV22" i="128"/>
  <c r="P31" i="128"/>
  <c r="AH13" i="121"/>
  <c r="AH15" i="121"/>
  <c r="M39" i="126"/>
  <c r="AD58" i="127"/>
  <c r="BA26" i="121"/>
  <c r="AW29" i="121"/>
  <c r="AU29" i="124"/>
  <c r="G30" i="120"/>
  <c r="AT34" i="118"/>
  <c r="O42" i="123"/>
  <c r="AG22" i="117"/>
  <c r="AI12" i="120"/>
  <c r="BE36" i="122"/>
  <c r="AW14" i="118"/>
  <c r="S54" i="118"/>
  <c r="N58" i="121"/>
  <c r="Q40" i="120"/>
  <c r="U20" i="124"/>
  <c r="AK58" i="119"/>
  <c r="AV22" i="117"/>
  <c r="AT27" i="117"/>
  <c r="W47" i="117"/>
  <c r="N51" i="123"/>
  <c r="U58" i="119"/>
  <c r="AS21" i="121"/>
  <c r="L23" i="121"/>
  <c r="AT24" i="124"/>
  <c r="S31" i="120"/>
  <c r="AC17" i="121"/>
  <c r="AX18" i="121"/>
  <c r="N16" i="123"/>
  <c r="BC52" i="119"/>
  <c r="AD33" i="121"/>
  <c r="AS34" i="121"/>
  <c r="K20" i="122"/>
  <c r="AG23" i="119"/>
  <c r="AD18" i="117"/>
  <c r="Q25" i="123"/>
  <c r="AL13" i="120"/>
  <c r="K34" i="121"/>
  <c r="K37" i="117"/>
  <c r="H16" i="120"/>
  <c r="S27" i="124"/>
  <c r="AB55" i="121"/>
  <c r="AV16" i="119"/>
  <c r="AM18" i="119"/>
  <c r="AJ55" i="123"/>
  <c r="AV48" i="117"/>
  <c r="AN17" i="117"/>
  <c r="T45" i="123"/>
  <c r="Z20" i="119"/>
  <c r="AK17" i="123"/>
  <c r="BA22" i="120"/>
  <c r="AE8" i="120"/>
  <c r="Z48" i="120"/>
  <c r="AG44" i="124"/>
  <c r="AU14" i="120"/>
  <c r="Z16" i="120"/>
  <c r="Q58" i="119"/>
  <c r="U47" i="123"/>
  <c r="Q15" i="120"/>
  <c r="AG16" i="120"/>
  <c r="AP25" i="120"/>
  <c r="U14" i="118"/>
  <c r="BA57" i="117"/>
  <c r="G16" i="118"/>
  <c r="AN40" i="122"/>
  <c r="BA48" i="119"/>
  <c r="AD21" i="118"/>
  <c r="AN21" i="122"/>
  <c r="AE26" i="122"/>
  <c r="Z54" i="126"/>
  <c r="H16" i="118"/>
  <c r="Z56" i="119"/>
  <c r="Z47" i="118"/>
  <c r="AB50" i="117"/>
  <c r="V21" i="124"/>
  <c r="AH36" i="120"/>
  <c r="X44" i="120"/>
  <c r="AG27" i="120"/>
  <c r="AX25" i="125"/>
  <c r="J17" i="119"/>
  <c r="AQ55" i="118"/>
  <c r="BE38" i="124"/>
  <c r="AI39" i="124"/>
  <c r="Y39" i="119"/>
  <c r="M35" i="119"/>
  <c r="AI16" i="119"/>
  <c r="Y43" i="120"/>
  <c r="Q50" i="120"/>
  <c r="W54" i="120"/>
  <c r="J58" i="118"/>
  <c r="BB24" i="121"/>
  <c r="AE11" i="123"/>
  <c r="AO34" i="120"/>
  <c r="AB42" i="117"/>
  <c r="AZ55" i="118"/>
  <c r="BC25" i="121"/>
  <c r="Q55" i="117"/>
  <c r="BA24" i="120"/>
  <c r="N33" i="118"/>
  <c r="U55" i="119"/>
  <c r="AC21" i="117"/>
  <c r="AQ17" i="122"/>
  <c r="T22" i="122"/>
  <c r="J38" i="122"/>
  <c r="AX55" i="120"/>
  <c r="AH51" i="122"/>
  <c r="AW52" i="122"/>
  <c r="AH17" i="122"/>
  <c r="AZ38" i="120"/>
  <c r="AF39" i="122"/>
  <c r="AY41" i="122"/>
  <c r="BE52" i="122"/>
  <c r="AS12" i="121"/>
  <c r="AZ49" i="121"/>
  <c r="S46" i="118"/>
  <c r="AF55" i="120"/>
  <c r="BE31" i="117"/>
  <c r="AX50" i="117"/>
  <c r="L11" i="117"/>
  <c r="AK48" i="123"/>
  <c r="H26" i="120"/>
  <c r="AC53" i="124"/>
  <c r="U42" i="117"/>
  <c r="AW35" i="121"/>
  <c r="AD57" i="117"/>
  <c r="AV35" i="120"/>
  <c r="AI35" i="118"/>
  <c r="AR8" i="118"/>
  <c r="BD26" i="117"/>
  <c r="AB46" i="122"/>
  <c r="AY47" i="122"/>
  <c r="AM58" i="121"/>
  <c r="AC33" i="120"/>
  <c r="AY30" i="122"/>
  <c r="AL32" i="122"/>
  <c r="H46" i="122"/>
  <c r="S38" i="120"/>
  <c r="AM24" i="121"/>
  <c r="AM57" i="121"/>
  <c r="AM55" i="121"/>
  <c r="AW27" i="121"/>
  <c r="U23" i="120"/>
  <c r="AG22" i="122"/>
  <c r="K34" i="118"/>
  <c r="J32" i="117"/>
  <c r="M57" i="117"/>
  <c r="AL58" i="117"/>
  <c r="J9" i="123"/>
  <c r="AR36" i="120"/>
  <c r="AF43" i="123"/>
  <c r="AL42" i="117"/>
  <c r="AP37" i="121"/>
  <c r="AI55" i="117"/>
  <c r="AK36" i="120"/>
  <c r="AV54" i="118"/>
  <c r="V42" i="117"/>
  <c r="U27" i="117"/>
  <c r="BD38" i="121"/>
  <c r="S41" i="121"/>
  <c r="AC49" i="121"/>
  <c r="BD18" i="119"/>
  <c r="S45" i="121"/>
  <c r="AP46" i="121"/>
  <c r="AT54" i="121"/>
  <c r="AW32" i="119"/>
  <c r="AV50" i="121"/>
  <c r="M52" i="121"/>
  <c r="AJ53" i="129"/>
  <c r="AZ45" i="119"/>
  <c r="BD9" i="119"/>
  <c r="AN54" i="123"/>
  <c r="AW24" i="117"/>
  <c r="BD47" i="117"/>
  <c r="AO40" i="122"/>
  <c r="AQ13" i="118"/>
  <c r="Y36" i="118"/>
  <c r="AL29" i="119"/>
  <c r="AF53" i="117"/>
  <c r="AW22" i="123"/>
  <c r="T12" i="120"/>
  <c r="AS53" i="123"/>
  <c r="AS23" i="119"/>
  <c r="AH42" i="117"/>
  <c r="AL51" i="121"/>
  <c r="T15" i="121"/>
  <c r="X43" i="117"/>
  <c r="M50" i="121"/>
  <c r="AC51" i="121"/>
  <c r="Y43" i="121"/>
  <c r="AZ26" i="119"/>
  <c r="AC42" i="121"/>
  <c r="BB43" i="121"/>
  <c r="AR52" i="121"/>
  <c r="BE29" i="119"/>
  <c r="Q45" i="121"/>
  <c r="AR46" i="121"/>
  <c r="K10" i="124"/>
  <c r="AS16" i="118"/>
  <c r="AF22" i="118"/>
  <c r="M53" i="121"/>
  <c r="AN56" i="124"/>
  <c r="AN12" i="120"/>
  <c r="AJ30" i="117"/>
  <c r="AV17" i="121"/>
  <c r="AI44" i="124"/>
  <c r="U12" i="121"/>
  <c r="AY13" i="122"/>
  <c r="AF10" i="119"/>
  <c r="AR37" i="121"/>
  <c r="AI16" i="118"/>
  <c r="AF11" i="117"/>
  <c r="AZ33" i="119"/>
  <c r="BA14" i="117"/>
  <c r="I24" i="120"/>
  <c r="Y25" i="120"/>
  <c r="AC34" i="120"/>
  <c r="K8" i="118"/>
  <c r="BD29" i="120"/>
  <c r="W31" i="120"/>
  <c r="AI39" i="120"/>
  <c r="M49" i="118"/>
  <c r="AZ35" i="120"/>
  <c r="O37" i="120"/>
  <c r="X48" i="120"/>
  <c r="AN49" i="118"/>
  <c r="BC35" i="118"/>
  <c r="I48" i="119"/>
  <c r="AM20" i="123"/>
  <c r="AQ13" i="122"/>
  <c r="Q24" i="124"/>
  <c r="V37" i="119"/>
  <c r="P10" i="122"/>
  <c r="AO31" i="119"/>
  <c r="AQ33" i="121"/>
  <c r="AG37" i="118"/>
  <c r="BE48" i="119"/>
  <c r="AT15" i="119"/>
  <c r="AI57" i="118"/>
  <c r="AT55" i="120"/>
  <c r="O13" i="117"/>
  <c r="Y41" i="121"/>
  <c r="AD51" i="120"/>
  <c r="AS52" i="120"/>
  <c r="AZ25" i="120"/>
  <c r="M48" i="118"/>
  <c r="Z57" i="120"/>
  <c r="AO58" i="120"/>
  <c r="AN32" i="120"/>
  <c r="K46" i="118"/>
  <c r="S27" i="120"/>
  <c r="AK29" i="120"/>
  <c r="AP33" i="118"/>
  <c r="AL25" i="117"/>
  <c r="AK51" i="117"/>
  <c r="P18" i="117"/>
  <c r="AP14" i="123"/>
  <c r="BC48" i="120"/>
  <c r="BE57" i="123"/>
  <c r="AH17" i="117"/>
  <c r="AV25" i="121"/>
  <c r="AH31" i="117"/>
  <c r="AT24" i="120"/>
  <c r="AO57" i="118"/>
  <c r="N17" i="117"/>
  <c r="AB44" i="117"/>
  <c r="V13" i="121"/>
  <c r="AS30" i="123"/>
  <c r="AI20" i="119"/>
  <c r="BE56" i="119"/>
  <c r="V58" i="119"/>
  <c r="AO21" i="119"/>
  <c r="AN44" i="117"/>
  <c r="U11" i="119"/>
  <c r="AK12" i="119"/>
  <c r="AY26" i="119"/>
  <c r="AQ12" i="117"/>
  <c r="H23" i="119"/>
  <c r="T24" i="119"/>
  <c r="BD55" i="123"/>
  <c r="AF18" i="117"/>
  <c r="AE42" i="117"/>
  <c r="AU56" i="123"/>
  <c r="Z18" i="119"/>
  <c r="Q58" i="118"/>
  <c r="AX22" i="119"/>
  <c r="BA30" i="117"/>
  <c r="Y39" i="123"/>
  <c r="AI16" i="120"/>
  <c r="V44" i="123"/>
  <c r="X57" i="119"/>
  <c r="BE35" i="117"/>
  <c r="X32" i="130"/>
  <c r="T10" i="121"/>
  <c r="BE36" i="117"/>
  <c r="W22" i="118"/>
  <c r="AK41" i="121"/>
  <c r="AF38" i="117"/>
  <c r="P41" i="118"/>
  <c r="AK57" i="124"/>
  <c r="W14" i="122"/>
  <c r="AI32" i="118"/>
  <c r="AO56" i="118"/>
  <c r="AV45" i="118"/>
  <c r="AX13" i="118"/>
  <c r="AR25" i="120"/>
  <c r="X38" i="120"/>
  <c r="AT58" i="124"/>
  <c r="Z56" i="123"/>
  <c r="BE29" i="122"/>
  <c r="AJ9" i="118"/>
  <c r="AM10" i="120"/>
  <c r="AR37" i="118"/>
  <c r="S26" i="118"/>
  <c r="AD16" i="117"/>
  <c r="AJ22" i="118"/>
  <c r="AM20" i="122"/>
  <c r="V44" i="118"/>
  <c r="M9" i="122"/>
  <c r="AR58" i="119"/>
  <c r="G43" i="123"/>
  <c r="Y57" i="119"/>
  <c r="N48" i="117"/>
  <c r="AP12" i="121"/>
  <c r="BB27" i="121"/>
  <c r="M44" i="124"/>
  <c r="BE47" i="124"/>
  <c r="AI48" i="120"/>
  <c r="V54" i="120"/>
  <c r="AU36" i="123"/>
  <c r="AK13" i="118"/>
  <c r="AI32" i="119"/>
  <c r="T9" i="118"/>
  <c r="S33" i="121"/>
  <c r="BB42" i="124"/>
  <c r="AH58" i="121"/>
  <c r="AT36" i="123"/>
  <c r="AK35" i="119"/>
  <c r="AK11" i="117"/>
  <c r="Y40" i="120"/>
  <c r="AC32" i="124"/>
  <c r="AI51" i="117"/>
  <c r="AN40" i="127"/>
  <c r="BB32" i="122"/>
  <c r="BA49" i="124"/>
  <c r="Y42" i="124"/>
  <c r="AM55" i="118"/>
  <c r="K8" i="119"/>
  <c r="J50" i="119"/>
  <c r="BE27" i="122"/>
  <c r="G41" i="119"/>
  <c r="J29" i="122"/>
  <c r="AY48" i="124"/>
  <c r="BA48" i="117"/>
  <c r="AF24" i="123"/>
  <c r="H42" i="123"/>
  <c r="U48" i="117"/>
  <c r="AL12" i="117"/>
  <c r="AU8" i="127"/>
  <c r="U44" i="118"/>
  <c r="AC18" i="117"/>
  <c r="U48" i="121"/>
  <c r="X14" i="120"/>
  <c r="AL12" i="119"/>
  <c r="BC35" i="122"/>
  <c r="AE25" i="119"/>
  <c r="AX38" i="124"/>
  <c r="AB30" i="118"/>
  <c r="BE30" i="119"/>
  <c r="AU57" i="122"/>
  <c r="S49" i="117"/>
  <c r="BC23" i="119"/>
  <c r="AQ43" i="122"/>
  <c r="BD20" i="118"/>
  <c r="AG40" i="123"/>
  <c r="AP33" i="119"/>
  <c r="AG15" i="117"/>
  <c r="BE21" i="124"/>
  <c r="T46" i="121"/>
  <c r="AY57" i="117"/>
  <c r="AN17" i="121"/>
  <c r="AK34" i="124"/>
  <c r="BB51" i="123"/>
  <c r="AR15" i="117"/>
  <c r="BD54" i="121"/>
  <c r="BD37" i="123"/>
  <c r="AD10" i="117"/>
  <c r="BC22" i="121"/>
  <c r="O37" i="123"/>
  <c r="AM25" i="120"/>
  <c r="J13" i="117"/>
  <c r="AE33" i="117"/>
  <c r="AK49" i="120"/>
  <c r="J52" i="119"/>
  <c r="AY15" i="121"/>
  <c r="AO30" i="121"/>
  <c r="L32" i="117"/>
  <c r="AM37" i="119"/>
  <c r="AW35" i="118"/>
  <c r="BC53" i="118"/>
  <c r="X17" i="120"/>
  <c r="AH44" i="120"/>
  <c r="AT21" i="122"/>
  <c r="AT16" i="118"/>
  <c r="S58" i="117"/>
  <c r="AB33" i="121"/>
  <c r="O18" i="122"/>
  <c r="K16" i="117"/>
  <c r="U31" i="119"/>
  <c r="G9" i="123"/>
  <c r="AI22" i="121"/>
  <c r="J30" i="120"/>
  <c r="AS39" i="122"/>
  <c r="AW46" i="119"/>
  <c r="AJ54" i="117"/>
  <c r="AZ58" i="120"/>
  <c r="J48" i="117"/>
  <c r="AM26" i="119"/>
  <c r="S52" i="121"/>
  <c r="AL26" i="117"/>
  <c r="AM53" i="117"/>
  <c r="BA14" i="124"/>
  <c r="AF44" i="121"/>
  <c r="AZ15" i="120"/>
  <c r="AO12" i="122"/>
  <c r="BB57" i="119"/>
  <c r="U55" i="121"/>
  <c r="W12" i="123"/>
  <c r="AN50" i="119"/>
  <c r="BC8" i="117"/>
  <c r="BE18" i="120"/>
  <c r="AW51" i="117"/>
  <c r="AD20" i="120"/>
  <c r="AG53" i="122"/>
  <c r="M10" i="117"/>
  <c r="BE40" i="119"/>
  <c r="AQ30" i="121"/>
  <c r="AW47" i="118"/>
  <c r="S14" i="118"/>
  <c r="Z41" i="119"/>
  <c r="AE13" i="124"/>
  <c r="AQ52" i="117"/>
  <c r="Z9" i="119"/>
  <c r="BA53" i="120"/>
  <c r="I17" i="117"/>
  <c r="M20" i="118"/>
  <c r="AY33" i="120"/>
  <c r="P29" i="119"/>
  <c r="AE56" i="122"/>
  <c r="AI11" i="117"/>
  <c r="AT18" i="120"/>
  <c r="X51" i="117"/>
  <c r="M11" i="123"/>
  <c r="AH42" i="118"/>
  <c r="H42" i="117"/>
  <c r="AI47" i="118"/>
  <c r="AJ25" i="122"/>
  <c r="AI52" i="119"/>
  <c r="H20" i="119"/>
  <c r="AT9" i="121"/>
  <c r="AC58" i="117"/>
  <c r="J48" i="120"/>
  <c r="AC24" i="123"/>
  <c r="AS50" i="118"/>
  <c r="K14" i="121"/>
  <c r="AL29" i="124"/>
  <c r="J41" i="120"/>
  <c r="AH58" i="118"/>
  <c r="AV45" i="121"/>
  <c r="O51" i="119"/>
  <c r="AD55" i="121"/>
  <c r="AE39" i="120"/>
  <c r="BD18" i="123"/>
  <c r="BD31" i="117"/>
  <c r="AY24" i="121"/>
  <c r="AY20" i="124"/>
  <c r="AN10" i="117"/>
  <c r="I45" i="120"/>
  <c r="J29" i="117"/>
  <c r="AV43" i="118"/>
  <c r="V27" i="117"/>
  <c r="Y9" i="123"/>
  <c r="BC47" i="120"/>
  <c r="K35" i="119"/>
  <c r="BD22" i="119"/>
  <c r="BA39" i="118"/>
  <c r="AP57" i="121"/>
  <c r="AH29" i="123"/>
  <c r="BA22" i="117"/>
  <c r="AE10" i="117"/>
  <c r="AK23" i="122"/>
  <c r="S50" i="117"/>
  <c r="Y14" i="118"/>
  <c r="AS35" i="119"/>
  <c r="W46" i="119"/>
  <c r="AK31" i="117"/>
  <c r="AK9" i="124"/>
  <c r="AP36" i="118"/>
  <c r="G38" i="118"/>
  <c r="AF26" i="121"/>
  <c r="AF58" i="117"/>
  <c r="AU22" i="121"/>
  <c r="G23" i="122"/>
  <c r="P12" i="118"/>
  <c r="G52" i="120"/>
  <c r="X11" i="122"/>
  <c r="AM16" i="122"/>
  <c r="N36" i="117"/>
  <c r="AI10" i="124"/>
  <c r="J27" i="119"/>
  <c r="AR24" i="119"/>
  <c r="Z46" i="118"/>
  <c r="AD56" i="119"/>
  <c r="AS45" i="120"/>
  <c r="AZ30" i="128"/>
  <c r="BB35" i="121"/>
  <c r="BA18" i="117"/>
  <c r="AB14" i="123"/>
  <c r="Y51" i="118"/>
  <c r="AF53" i="120"/>
  <c r="V58" i="120"/>
  <c r="AO25" i="117"/>
  <c r="O34" i="123"/>
  <c r="AN46" i="123"/>
  <c r="AH37" i="118"/>
  <c r="AK43" i="120"/>
  <c r="AL16" i="123"/>
  <c r="AX21" i="120"/>
  <c r="AL54" i="124"/>
  <c r="BE14" i="118"/>
  <c r="Z33" i="118"/>
  <c r="I27" i="123"/>
  <c r="AB37" i="119"/>
  <c r="AV10" i="117"/>
  <c r="AB41" i="119"/>
  <c r="AD32" i="121"/>
  <c r="U15" i="117"/>
  <c r="AP54" i="117"/>
  <c r="H52" i="120"/>
  <c r="AU12" i="119"/>
  <c r="I22" i="124"/>
  <c r="L49" i="118"/>
  <c r="BD21" i="118"/>
  <c r="AO39" i="121"/>
  <c r="X53" i="118"/>
  <c r="AR55" i="122"/>
  <c r="N56" i="117"/>
  <c r="N38" i="120"/>
  <c r="AG23" i="123"/>
  <c r="AX37" i="122"/>
  <c r="BC49" i="122"/>
  <c r="AG40" i="122"/>
  <c r="N34" i="117"/>
  <c r="AI38" i="122"/>
  <c r="BA51" i="124"/>
  <c r="K22" i="123"/>
  <c r="H21" i="119"/>
  <c r="AE58" i="119"/>
  <c r="I23" i="118"/>
  <c r="BA51" i="118"/>
  <c r="AT56" i="121"/>
  <c r="AF12" i="120"/>
  <c r="AL49" i="122"/>
  <c r="M16" i="122"/>
  <c r="I9" i="121"/>
  <c r="S43" i="122"/>
  <c r="AN52" i="120"/>
  <c r="G21" i="120"/>
  <c r="AI43" i="124"/>
  <c r="AE56" i="121"/>
  <c r="AC55" i="121"/>
  <c r="AR9" i="117"/>
  <c r="X31" i="118"/>
  <c r="I9" i="119"/>
  <c r="AS36" i="123"/>
  <c r="AS17" i="124"/>
  <c r="AV57" i="123"/>
  <c r="J54" i="117"/>
  <c r="Y24" i="120"/>
  <c r="U45" i="124"/>
  <c r="U12" i="124"/>
  <c r="BE20" i="127"/>
  <c r="P38" i="118"/>
  <c r="W37" i="119"/>
  <c r="G49" i="117"/>
  <c r="I52" i="122"/>
  <c r="W25" i="121"/>
  <c r="AG9" i="118"/>
  <c r="U47" i="122"/>
  <c r="Y42" i="118"/>
  <c r="AM52" i="120"/>
  <c r="J46" i="118"/>
  <c r="M38" i="120"/>
  <c r="S11" i="120"/>
  <c r="AC45" i="118"/>
  <c r="AF32" i="122"/>
  <c r="J50" i="120"/>
  <c r="O34" i="122"/>
  <c r="J18" i="117"/>
  <c r="AZ25" i="121"/>
  <c r="AM51" i="122"/>
  <c r="BE32" i="117"/>
  <c r="T57" i="119"/>
  <c r="AS29" i="122"/>
  <c r="AZ45" i="123"/>
  <c r="AX40" i="119"/>
  <c r="W32" i="122"/>
  <c r="AS53" i="117"/>
  <c r="X24" i="117"/>
  <c r="O10" i="118"/>
  <c r="AV52" i="117"/>
  <c r="AN49" i="119"/>
  <c r="N44" i="117"/>
  <c r="I26" i="122"/>
  <c r="AN45" i="121"/>
  <c r="BE26" i="118"/>
  <c r="W18" i="124"/>
  <c r="G11" i="117"/>
  <c r="AS57" i="119"/>
  <c r="AH34" i="119"/>
  <c r="AF16" i="117"/>
  <c r="AD30" i="119"/>
  <c r="AH49" i="124"/>
  <c r="W18" i="120"/>
  <c r="BC44" i="122"/>
  <c r="H8" i="125"/>
  <c r="Y18" i="120"/>
  <c r="AN30" i="117"/>
  <c r="I21" i="118"/>
  <c r="AP51" i="121"/>
  <c r="X11" i="117"/>
  <c r="H32" i="119"/>
  <c r="AB54" i="117"/>
  <c r="Y58" i="118"/>
  <c r="K46" i="120"/>
  <c r="AB47" i="118"/>
  <c r="AQ11" i="121"/>
  <c r="L30" i="122"/>
  <c r="W38" i="117"/>
  <c r="BA43" i="124"/>
  <c r="AV29" i="118"/>
  <c r="AC12" i="121"/>
  <c r="AT42" i="121"/>
  <c r="AQ12" i="118"/>
  <c r="BE56" i="118"/>
  <c r="U14" i="122"/>
  <c r="Y41" i="119"/>
  <c r="H30" i="118"/>
  <c r="AR47" i="122"/>
  <c r="G15" i="123"/>
  <c r="Q38" i="119"/>
  <c r="AB52" i="119"/>
  <c r="H41" i="121"/>
  <c r="BC58" i="117"/>
  <c r="AL22" i="121"/>
  <c r="AQ46" i="121"/>
  <c r="AL48" i="117"/>
  <c r="S26" i="120"/>
  <c r="U14" i="120"/>
  <c r="BA38" i="121"/>
  <c r="T45" i="117"/>
  <c r="AM20" i="119"/>
  <c r="Z40" i="121"/>
  <c r="AS26" i="117"/>
  <c r="V26" i="123"/>
  <c r="AN9" i="118"/>
  <c r="K53" i="117"/>
  <c r="AW21" i="123"/>
  <c r="M15" i="124"/>
  <c r="BE38" i="118"/>
  <c r="G36" i="124"/>
  <c r="BA45" i="119"/>
  <c r="AQ18" i="117"/>
  <c r="K31" i="121"/>
  <c r="AV15" i="117"/>
  <c r="AW20" i="118"/>
  <c r="Z53" i="123"/>
  <c r="J29" i="120"/>
  <c r="AF22" i="117"/>
  <c r="BA32" i="117"/>
  <c r="AC55" i="123"/>
  <c r="AB25" i="120"/>
  <c r="AZ47" i="119"/>
  <c r="AE53" i="119"/>
  <c r="AV48" i="122"/>
  <c r="AN37" i="118"/>
  <c r="H52" i="118"/>
  <c r="G35" i="121"/>
  <c r="AV18" i="124"/>
  <c r="BA11" i="122"/>
  <c r="AS45" i="118"/>
  <c r="BA30" i="124"/>
  <c r="AH46" i="120"/>
  <c r="K26" i="121"/>
  <c r="AZ55" i="124"/>
  <c r="BA33" i="120"/>
  <c r="G27" i="123"/>
  <c r="Z34" i="122"/>
  <c r="AB36" i="121"/>
  <c r="S13" i="118"/>
  <c r="AQ11" i="119"/>
  <c r="N51" i="118"/>
  <c r="Q31" i="120"/>
  <c r="J46" i="117"/>
  <c r="AC48" i="122"/>
  <c r="AK40" i="117"/>
  <c r="Y8" i="120"/>
  <c r="AF45" i="118"/>
  <c r="Y24" i="122"/>
  <c r="AH40" i="117"/>
  <c r="AH11" i="117"/>
  <c r="H16" i="119"/>
  <c r="AG40" i="119"/>
  <c r="AU27" i="117"/>
  <c r="L35" i="123"/>
  <c r="BC54" i="122"/>
  <c r="Z11" i="118"/>
  <c r="AG54" i="120"/>
  <c r="AC26" i="117"/>
  <c r="AL30" i="119"/>
  <c r="AF41" i="121"/>
  <c r="BC13" i="122"/>
  <c r="U56" i="124"/>
  <c r="Z57" i="125"/>
  <c r="AM23" i="118"/>
  <c r="AX48" i="119"/>
  <c r="K17" i="119"/>
  <c r="AY36" i="120"/>
  <c r="BC11" i="117"/>
  <c r="AY22" i="124"/>
  <c r="I36" i="120"/>
  <c r="AV51" i="117"/>
  <c r="I26" i="119"/>
  <c r="AY14" i="123"/>
  <c r="N58" i="118"/>
  <c r="AX33" i="118"/>
  <c r="BB9" i="117"/>
  <c r="AK17" i="122"/>
  <c r="AR25" i="119"/>
  <c r="N47" i="117"/>
  <c r="H15" i="118"/>
  <c r="AW20" i="120"/>
  <c r="Q8" i="120"/>
  <c r="AW11" i="119"/>
  <c r="AN44" i="122"/>
  <c r="BA51" i="123"/>
  <c r="X49" i="117"/>
  <c r="AZ46" i="117"/>
  <c r="AJ10" i="119"/>
  <c r="N55" i="122"/>
  <c r="AD27" i="120"/>
  <c r="AR51" i="117"/>
  <c r="AD10" i="123"/>
  <c r="J24" i="117"/>
  <c r="AC20" i="121"/>
  <c r="BC15" i="117"/>
  <c r="BC36" i="128"/>
  <c r="I18" i="117"/>
  <c r="BC55" i="118"/>
  <c r="AK36" i="117"/>
  <c r="AX41" i="120"/>
  <c r="AB11" i="117"/>
  <c r="P32" i="121"/>
  <c r="L15" i="122"/>
  <c r="AH27" i="121"/>
  <c r="V54" i="118"/>
  <c r="AI20" i="123"/>
  <c r="AO30" i="117"/>
  <c r="Y11" i="120"/>
  <c r="P16" i="117"/>
  <c r="O21" i="120"/>
  <c r="AU44" i="118"/>
  <c r="BC25" i="120"/>
  <c r="AE25" i="117"/>
  <c r="AC8" i="121"/>
  <c r="P29" i="118"/>
  <c r="AC32" i="118"/>
  <c r="AQ34" i="117"/>
  <c r="AJ40" i="120"/>
  <c r="AQ47" i="119"/>
  <c r="W53" i="121"/>
  <c r="AH22" i="124"/>
  <c r="G51" i="118"/>
  <c r="AC23" i="117"/>
  <c r="P29" i="122"/>
  <c r="M45" i="120"/>
  <c r="O22" i="117"/>
  <c r="AF22" i="119"/>
  <c r="AK11" i="120"/>
  <c r="AL57" i="121"/>
  <c r="AV42" i="121"/>
  <c r="AH12" i="117"/>
  <c r="AH18" i="117"/>
  <c r="W47" i="124"/>
  <c r="S55" i="123"/>
  <c r="Q10" i="117"/>
  <c r="G57" i="117"/>
  <c r="S30" i="117"/>
  <c r="AQ49" i="117"/>
  <c r="J10" i="121"/>
  <c r="O51" i="123"/>
  <c r="BC21" i="119"/>
  <c r="I8" i="122"/>
  <c r="X15" i="119"/>
  <c r="AU40" i="118"/>
  <c r="AK45" i="120"/>
  <c r="V10" i="119"/>
  <c r="W57" i="117"/>
  <c r="AV11" i="119"/>
  <c r="X36" i="121"/>
  <c r="AT43" i="118"/>
  <c r="AW22" i="122"/>
  <c r="AG26" i="117"/>
  <c r="Z24" i="121"/>
  <c r="AL15" i="117"/>
  <c r="AX46" i="121"/>
  <c r="L31" i="120"/>
  <c r="AD13" i="120"/>
  <c r="AO12" i="120"/>
  <c r="O14" i="118"/>
  <c r="AL11" i="124"/>
  <c r="AL10" i="118"/>
  <c r="L53" i="118"/>
  <c r="AX25" i="119"/>
  <c r="AN39" i="118"/>
  <c r="AM58" i="119"/>
  <c r="AB20" i="121"/>
  <c r="AI14" i="117"/>
  <c r="I26" i="121"/>
  <c r="AL43" i="122"/>
  <c r="O48" i="117"/>
  <c r="AY15" i="118"/>
  <c r="AH26" i="117"/>
  <c r="G38" i="119"/>
  <c r="BD23" i="122"/>
  <c r="AO32" i="117"/>
  <c r="AT54" i="117"/>
  <c r="AS53" i="124"/>
  <c r="T14" i="119"/>
  <c r="AQ49" i="122"/>
  <c r="AG35" i="122"/>
  <c r="Q44" i="120"/>
  <c r="AN55" i="120"/>
  <c r="AC11" i="117"/>
  <c r="I47" i="118"/>
  <c r="H56" i="119"/>
  <c r="AZ34" i="122"/>
  <c r="M44" i="121"/>
  <c r="AV47" i="117"/>
  <c r="AC32" i="121"/>
  <c r="AT50" i="123"/>
  <c r="AD47" i="123"/>
  <c r="AB47" i="117"/>
  <c r="AJ46" i="118"/>
  <c r="AU18" i="120"/>
  <c r="AG41" i="119"/>
  <c r="T23" i="123"/>
  <c r="Z48" i="128"/>
  <c r="W49" i="120"/>
  <c r="H33" i="121"/>
  <c r="P22" i="127"/>
  <c r="L8" i="124"/>
  <c r="AX40" i="122"/>
  <c r="S9" i="117"/>
  <c r="G51" i="120"/>
  <c r="AF10" i="124"/>
  <c r="AB39" i="118"/>
  <c r="AI13" i="123"/>
  <c r="T33" i="117"/>
  <c r="V17" i="118"/>
  <c r="P38" i="123"/>
  <c r="O12" i="121"/>
  <c r="AX21" i="118"/>
  <c r="AB35" i="119"/>
  <c r="AX45" i="124"/>
  <c r="AZ49" i="122"/>
  <c r="AW55" i="121"/>
  <c r="AI38" i="123"/>
  <c r="BC37" i="121"/>
  <c r="AP20" i="123"/>
  <c r="W53" i="119"/>
  <c r="I43" i="121"/>
  <c r="T51" i="118"/>
  <c r="L25" i="118"/>
  <c r="AO53" i="123"/>
  <c r="Q44" i="117"/>
  <c r="AJ52" i="124"/>
  <c r="AV46" i="118"/>
  <c r="AO56" i="117"/>
  <c r="BC18" i="120"/>
  <c r="AE21" i="119"/>
  <c r="AY23" i="121"/>
  <c r="AK37" i="119"/>
  <c r="AI55" i="119"/>
  <c r="AX18" i="117"/>
  <c r="S11" i="119"/>
  <c r="U25" i="120"/>
  <c r="BA31" i="121"/>
  <c r="W27" i="119"/>
  <c r="AE46" i="120"/>
  <c r="O49" i="118"/>
  <c r="O27" i="122"/>
  <c r="G11" i="120"/>
  <c r="Z55" i="120"/>
  <c r="H21" i="124"/>
  <c r="AN8" i="124"/>
  <c r="L35" i="120"/>
  <c r="AD43" i="121"/>
  <c r="G42" i="124"/>
  <c r="I41" i="118"/>
  <c r="Q54" i="124"/>
  <c r="AE21" i="123"/>
  <c r="O27" i="119"/>
  <c r="X53" i="124"/>
  <c r="S24" i="120"/>
  <c r="BE36" i="120"/>
  <c r="AK55" i="118"/>
  <c r="AY9" i="119"/>
  <c r="AL50" i="122"/>
  <c r="AZ48" i="123"/>
  <c r="AN50" i="118"/>
  <c r="J32" i="118"/>
  <c r="AY40" i="118"/>
  <c r="BA41" i="119"/>
  <c r="AI10" i="117"/>
  <c r="V25" i="121"/>
  <c r="N13" i="119"/>
  <c r="AD53" i="123"/>
  <c r="AN10" i="122"/>
  <c r="AF42" i="121"/>
  <c r="G48" i="121"/>
  <c r="AE38" i="118"/>
  <c r="BE44" i="122"/>
  <c r="Q14" i="119"/>
  <c r="T40" i="117"/>
  <c r="AQ16" i="121"/>
  <c r="W33" i="124"/>
  <c r="AQ35" i="120"/>
  <c r="I48" i="123"/>
  <c r="M31" i="119"/>
  <c r="AI51" i="118"/>
  <c r="Z8" i="122"/>
  <c r="Y12" i="117"/>
  <c r="V12" i="122"/>
  <c r="AC51" i="117"/>
  <c r="AV16" i="120"/>
  <c r="AH44" i="118"/>
  <c r="T29" i="118"/>
  <c r="AR30" i="121"/>
  <c r="G56" i="117"/>
  <c r="AJ18" i="120"/>
  <c r="AV23" i="117"/>
  <c r="AP26" i="123"/>
  <c r="AQ49" i="121"/>
  <c r="K48" i="118"/>
  <c r="AN51" i="124"/>
  <c r="M20" i="121"/>
  <c r="BD12" i="117"/>
  <c r="H18" i="119"/>
  <c r="J35" i="123"/>
  <c r="BE41" i="120"/>
  <c r="X38" i="118"/>
  <c r="J14" i="124"/>
  <c r="AR10" i="117"/>
  <c r="AW33" i="117"/>
  <c r="BE12" i="119"/>
  <c r="AY32" i="124"/>
  <c r="O44" i="119"/>
  <c r="AW17" i="124"/>
  <c r="AG29" i="122"/>
  <c r="W16" i="121"/>
  <c r="L12" i="118"/>
  <c r="Z9" i="120"/>
  <c r="AI39" i="118"/>
  <c r="N30" i="117"/>
  <c r="H57" i="121"/>
  <c r="AS54" i="117"/>
  <c r="W42" i="120"/>
  <c r="O45" i="117"/>
  <c r="U14" i="121"/>
  <c r="BC10" i="122"/>
  <c r="G37" i="117"/>
  <c r="AU39" i="117"/>
  <c r="Y53" i="128"/>
  <c r="V39" i="120"/>
  <c r="AY54" i="123"/>
  <c r="BE34" i="122"/>
  <c r="BB57" i="121"/>
  <c r="AZ15" i="117"/>
  <c r="AH49" i="119"/>
  <c r="O54" i="119"/>
  <c r="H20" i="118"/>
  <c r="AN9" i="120"/>
  <c r="BC33" i="124"/>
  <c r="AZ37" i="119"/>
  <c r="X46" i="119"/>
  <c r="Q32" i="117"/>
  <c r="W27" i="127"/>
  <c r="U20" i="118"/>
  <c r="X54" i="122"/>
  <c r="U45" i="123"/>
  <c r="J15" i="118"/>
  <c r="H18" i="121"/>
  <c r="AL14" i="121"/>
  <c r="AK49" i="117"/>
  <c r="BA47" i="120"/>
  <c r="O13" i="119"/>
  <c r="X57" i="118"/>
  <c r="V8" i="121"/>
  <c r="BA42" i="120"/>
  <c r="AV47" i="121"/>
  <c r="AI13" i="124"/>
  <c r="AM20" i="117"/>
  <c r="AU32" i="123"/>
  <c r="AB38" i="118"/>
  <c r="O36" i="121"/>
  <c r="U35" i="123"/>
  <c r="AC57" i="124"/>
  <c r="AH48" i="117"/>
  <c r="BD12" i="126"/>
  <c r="AX11" i="125"/>
  <c r="W27" i="123"/>
  <c r="AD35" i="119"/>
  <c r="BB57" i="117"/>
  <c r="Z57" i="118"/>
  <c r="Q40" i="121"/>
  <c r="AI24" i="120"/>
  <c r="P51" i="118"/>
  <c r="H31" i="122"/>
  <c r="BB38" i="117"/>
  <c r="AE15" i="119"/>
  <c r="AC34" i="119"/>
  <c r="AD15" i="121"/>
  <c r="W50" i="124"/>
  <c r="AB51" i="117"/>
  <c r="O23" i="117"/>
  <c r="M13" i="119"/>
  <c r="V25" i="119"/>
  <c r="Q35" i="129"/>
  <c r="AP27" i="119"/>
  <c r="AJ50" i="119"/>
  <c r="AL54" i="117"/>
  <c r="I16" i="123"/>
  <c r="AE9" i="117"/>
  <c r="AQ48" i="119"/>
  <c r="Q10" i="127"/>
  <c r="AK17" i="118"/>
  <c r="BC15" i="120"/>
  <c r="AL16" i="118"/>
  <c r="AM37" i="122"/>
  <c r="AO20" i="122"/>
  <c r="AV29" i="120"/>
  <c r="AJ17" i="119"/>
  <c r="AJ51" i="118"/>
  <c r="AG32" i="121"/>
  <c r="AK57" i="122"/>
  <c r="Q33" i="118"/>
  <c r="O9" i="118"/>
  <c r="AB10" i="128"/>
  <c r="AX40" i="117"/>
  <c r="N44" i="118"/>
  <c r="AO39" i="126"/>
  <c r="P8" i="119"/>
  <c r="AV17" i="117"/>
  <c r="P12" i="117"/>
  <c r="AT14" i="121"/>
  <c r="AJ42" i="121"/>
  <c r="V46" i="121"/>
  <c r="Z53" i="118"/>
  <c r="BC41" i="120"/>
  <c r="I27" i="117"/>
  <c r="N35" i="117"/>
  <c r="K18" i="123"/>
  <c r="AX37" i="120"/>
  <c r="K36" i="119"/>
  <c r="N34" i="123"/>
  <c r="P22" i="120"/>
  <c r="J23" i="118"/>
  <c r="BB54" i="124"/>
  <c r="AI58" i="123"/>
  <c r="AS26" i="119"/>
  <c r="J49" i="118"/>
  <c r="AK14" i="119"/>
  <c r="H36" i="121"/>
  <c r="U39" i="121"/>
  <c r="BD34" i="122"/>
  <c r="Y39" i="124"/>
  <c r="AX10" i="124"/>
  <c r="AX50" i="121"/>
  <c r="AT26" i="122"/>
  <c r="AZ48" i="119"/>
  <c r="AP46" i="119"/>
  <c r="V26" i="118"/>
  <c r="AO39" i="117"/>
  <c r="AH38" i="122"/>
  <c r="N46" i="117"/>
  <c r="AP35" i="124"/>
  <c r="BD58" i="122"/>
  <c r="AG49" i="124"/>
  <c r="AK39" i="123"/>
  <c r="AP12" i="118"/>
  <c r="AC10" i="120"/>
  <c r="AH41" i="118"/>
  <c r="O32" i="121"/>
  <c r="AS27" i="117"/>
  <c r="K45" i="118"/>
  <c r="AX15" i="122"/>
  <c r="S31" i="121"/>
  <c r="J52" i="118"/>
  <c r="X53" i="122"/>
  <c r="N13" i="117"/>
  <c r="AE42" i="118"/>
  <c r="BA16" i="118"/>
  <c r="AL33" i="119"/>
  <c r="S35" i="119"/>
  <c r="T35" i="118"/>
  <c r="O39" i="117"/>
  <c r="S27" i="121"/>
  <c r="BC13" i="117"/>
  <c r="BC18" i="117"/>
  <c r="AD53" i="117"/>
  <c r="BA45" i="118"/>
  <c r="J44" i="118"/>
  <c r="BE13" i="119"/>
  <c r="S13" i="117"/>
  <c r="W49" i="118"/>
  <c r="AY12" i="122"/>
  <c r="X11" i="118"/>
  <c r="Q46" i="118"/>
  <c r="AV20" i="121"/>
  <c r="Q44" i="118"/>
  <c r="AL47" i="120"/>
  <c r="AW13" i="122"/>
  <c r="AF56" i="119"/>
  <c r="AS56" i="117"/>
  <c r="AH22" i="117"/>
  <c r="H18" i="117"/>
  <c r="Z44" i="122"/>
  <c r="AU47" i="117"/>
  <c r="AE22" i="117"/>
  <c r="Y36" i="117"/>
  <c r="I55" i="118"/>
  <c r="M52" i="117"/>
  <c r="AN15" i="118"/>
  <c r="AI53" i="122"/>
  <c r="I46" i="120"/>
  <c r="AP16" i="123"/>
  <c r="L30" i="117"/>
  <c r="AV30" i="117"/>
  <c r="AP21" i="123"/>
  <c r="BE22" i="117"/>
  <c r="H51" i="117"/>
  <c r="AP38" i="118"/>
  <c r="H36" i="129"/>
  <c r="I43" i="119"/>
  <c r="AS50" i="119"/>
  <c r="I44" i="117"/>
  <c r="S55" i="119"/>
  <c r="K32" i="118"/>
  <c r="AK49" i="118"/>
  <c r="N58" i="124"/>
  <c r="U23" i="123"/>
  <c r="BB56" i="117"/>
  <c r="O24" i="121"/>
  <c r="U10" i="123"/>
  <c r="M34" i="119"/>
  <c r="AQ47" i="122"/>
  <c r="Z41" i="121"/>
  <c r="AY55" i="124"/>
  <c r="AB55" i="122"/>
  <c r="AC10" i="119"/>
  <c r="AM51" i="121"/>
  <c r="N57" i="117"/>
  <c r="BD17" i="120"/>
  <c r="H45" i="118"/>
  <c r="AU35" i="117"/>
  <c r="AR34" i="122"/>
  <c r="BD18" i="122"/>
  <c r="W29" i="121"/>
  <c r="I35" i="124"/>
  <c r="AW9" i="118"/>
  <c r="BC11" i="122"/>
  <c r="K23" i="118"/>
  <c r="H11" i="119"/>
  <c r="AF14" i="124"/>
  <c r="BD50" i="118"/>
  <c r="AF29" i="122"/>
  <c r="AF51" i="117"/>
  <c r="BD29" i="122"/>
  <c r="V51" i="119"/>
  <c r="H47" i="120"/>
  <c r="J14" i="117"/>
  <c r="BE34" i="121"/>
  <c r="W10" i="122"/>
  <c r="W21" i="119"/>
  <c r="BA8" i="119"/>
  <c r="N57" i="121"/>
  <c r="AL8" i="118"/>
  <c r="L33" i="121"/>
  <c r="U23" i="117"/>
  <c r="V39" i="117"/>
  <c r="AQ31" i="117"/>
  <c r="AS26" i="120"/>
  <c r="AL30" i="121"/>
  <c r="J10" i="118"/>
  <c r="AO54" i="117"/>
  <c r="AJ14" i="118"/>
  <c r="Y14" i="124"/>
  <c r="I43" i="117"/>
  <c r="Q11" i="117"/>
  <c r="BB52" i="122"/>
  <c r="L56" i="123"/>
  <c r="AF48" i="120"/>
  <c r="BE8" i="120"/>
  <c r="AQ38" i="118"/>
  <c r="BC39" i="122"/>
  <c r="I38" i="118"/>
  <c r="AZ47" i="118"/>
  <c r="Y42" i="122"/>
  <c r="BD23" i="121"/>
  <c r="AL17" i="119"/>
  <c r="AF36" i="123"/>
  <c r="BE11" i="123"/>
  <c r="AW8" i="124"/>
  <c r="AT23" i="117"/>
  <c r="T49" i="117"/>
  <c r="AL16" i="121"/>
  <c r="AT8" i="118"/>
  <c r="AJ30" i="121"/>
  <c r="AW27" i="117"/>
  <c r="J38" i="118"/>
  <c r="AN29" i="119"/>
  <c r="H46" i="119"/>
  <c r="AG36" i="124"/>
  <c r="AQ55" i="119"/>
  <c r="BA38" i="119"/>
  <c r="G34" i="120"/>
  <c r="AV56" i="120"/>
  <c r="AG8" i="118"/>
  <c r="Q34" i="117"/>
  <c r="AB45" i="119"/>
  <c r="AQ24" i="124"/>
  <c r="AW33" i="122"/>
  <c r="AO23" i="120"/>
  <c r="AB33" i="119"/>
  <c r="AQ58" i="119"/>
  <c r="Y41" i="118"/>
  <c r="AQ50" i="121"/>
  <c r="AF34" i="121"/>
  <c r="Y37" i="123"/>
  <c r="AL18" i="118"/>
  <c r="X51" i="120"/>
  <c r="BD31" i="119"/>
  <c r="I41" i="124"/>
  <c r="AM18" i="120"/>
  <c r="K52" i="118"/>
  <c r="AZ50" i="122"/>
  <c r="H36" i="123"/>
  <c r="I20" i="124"/>
  <c r="N27" i="117"/>
  <c r="AJ45" i="124"/>
  <c r="Z26" i="123"/>
  <c r="AV29" i="119"/>
  <c r="G33" i="120"/>
  <c r="AU14" i="123"/>
  <c r="L55" i="117"/>
  <c r="AT48" i="118"/>
  <c r="AT44" i="120"/>
  <c r="AG55" i="123"/>
  <c r="AB8" i="117"/>
  <c r="AI30" i="117"/>
  <c r="AG51" i="121"/>
  <c r="BC57" i="117"/>
  <c r="BD53" i="120"/>
  <c r="BC35" i="125"/>
  <c r="Y33" i="122"/>
  <c r="AL56" i="122"/>
  <c r="U10" i="119"/>
  <c r="H53" i="118"/>
  <c r="AL9" i="117"/>
  <c r="AC42" i="120"/>
  <c r="S30" i="127"/>
  <c r="AZ34" i="118"/>
  <c r="AQ53" i="117"/>
  <c r="BB12" i="117"/>
  <c r="T54" i="117"/>
  <c r="AW58" i="121"/>
  <c r="AY40" i="122"/>
  <c r="AO15" i="122"/>
  <c r="H29" i="119"/>
  <c r="M16" i="121"/>
  <c r="M26" i="118"/>
  <c r="G51" i="123"/>
  <c r="AI53" i="118"/>
  <c r="N8" i="117"/>
  <c r="O31" i="121"/>
  <c r="AD13" i="117"/>
  <c r="P26" i="120"/>
  <c r="G25" i="120"/>
  <c r="L11" i="120"/>
  <c r="AG24" i="121"/>
  <c r="Z48" i="121"/>
  <c r="AD37" i="119"/>
  <c r="AN26" i="120"/>
  <c r="V58" i="118"/>
  <c r="AN58" i="121"/>
  <c r="G15" i="119"/>
  <c r="BE54" i="120"/>
  <c r="AL24" i="119"/>
  <c r="AO29" i="120"/>
  <c r="BE13" i="120"/>
  <c r="AB30" i="120"/>
  <c r="AF43" i="122"/>
  <c r="Y46" i="123"/>
  <c r="AT20" i="122"/>
  <c r="AI30" i="121"/>
  <c r="AF14" i="121"/>
  <c r="V9" i="117"/>
  <c r="BE12" i="122"/>
  <c r="AL56" i="119"/>
  <c r="G27" i="117"/>
  <c r="V34" i="117"/>
  <c r="F27" i="117" l="1"/>
  <c r="E27" i="117" s="1"/>
  <c r="AA30" i="120"/>
  <c r="R30" i="120" s="1"/>
  <c r="AB28" i="120"/>
  <c r="AB19" i="120" s="1"/>
  <c r="AO28" i="120"/>
  <c r="F15" i="119"/>
  <c r="E15" i="119" s="1"/>
  <c r="F25" i="120"/>
  <c r="E25" i="120" s="1"/>
  <c r="N7" i="117"/>
  <c r="N6" i="117" s="1"/>
  <c r="F51" i="123"/>
  <c r="E51" i="123" s="1"/>
  <c r="H28" i="119"/>
  <c r="H19" i="119" s="1"/>
  <c r="AB7" i="117"/>
  <c r="AB6" i="117" s="1"/>
  <c r="AA8" i="117"/>
  <c r="R8" i="117" s="1"/>
  <c r="F33" i="120"/>
  <c r="AV28" i="119"/>
  <c r="AA33" i="119"/>
  <c r="R33" i="119" s="1"/>
  <c r="AA45" i="119"/>
  <c r="R45" i="119" s="1"/>
  <c r="AG7" i="118"/>
  <c r="AG6" i="118" s="1"/>
  <c r="F34" i="120"/>
  <c r="E34" i="120" s="1"/>
  <c r="AN28" i="119"/>
  <c r="AN19" i="119" s="1"/>
  <c r="AT7" i="118"/>
  <c r="AT6" i="118" s="1"/>
  <c r="AW7" i="124"/>
  <c r="AW6" i="124" s="1"/>
  <c r="BE7" i="120"/>
  <c r="BE6" i="120" s="1"/>
  <c r="AL7" i="118"/>
  <c r="AL6" i="118" s="1"/>
  <c r="BA7" i="119"/>
  <c r="BA6" i="119" s="1"/>
  <c r="BD28" i="122"/>
  <c r="AF28" i="122"/>
  <c r="W28" i="121"/>
  <c r="AA55" i="122"/>
  <c r="R55" i="122" s="1"/>
  <c r="P7" i="119"/>
  <c r="AA10" i="128"/>
  <c r="R10" i="128" s="1"/>
  <c r="AV28" i="120"/>
  <c r="AA51" i="117"/>
  <c r="AA38" i="118"/>
  <c r="V7" i="121"/>
  <c r="V6" i="121" s="1"/>
  <c r="F37" i="117"/>
  <c r="E37" i="117" s="1"/>
  <c r="AG28" i="122"/>
  <c r="F56" i="117"/>
  <c r="E56" i="117" s="1"/>
  <c r="T28" i="118"/>
  <c r="Z7" i="122"/>
  <c r="Z6" i="122" s="1"/>
  <c r="F48" i="121"/>
  <c r="E48" i="121" s="1"/>
  <c r="F42" i="124"/>
  <c r="E42" i="124" s="1"/>
  <c r="AN7" i="124"/>
  <c r="AN6" i="124" s="1"/>
  <c r="F11" i="120"/>
  <c r="AA35" i="119"/>
  <c r="R35" i="119" s="1"/>
  <c r="AA39" i="118"/>
  <c r="R39" i="118" s="1"/>
  <c r="F51" i="120"/>
  <c r="E51" i="120" s="1"/>
  <c r="L7" i="124"/>
  <c r="L6" i="124" s="1"/>
  <c r="AA47" i="117"/>
  <c r="F38" i="119"/>
  <c r="E38" i="119" s="1"/>
  <c r="AA20" i="121"/>
  <c r="I7" i="122"/>
  <c r="I6" i="122" s="1"/>
  <c r="F57" i="117"/>
  <c r="E57" i="117" s="1"/>
  <c r="P28" i="122"/>
  <c r="F51" i="118"/>
  <c r="E51" i="118" s="1"/>
  <c r="P28" i="118"/>
  <c r="P19" i="118" s="1"/>
  <c r="AC7" i="121"/>
  <c r="AC6" i="121" s="1"/>
  <c r="AA11" i="117"/>
  <c r="Q7" i="120"/>
  <c r="Q6" i="120" s="1"/>
  <c r="Y7" i="120"/>
  <c r="Y6" i="120" s="1"/>
  <c r="AA36" i="121"/>
  <c r="R36" i="121" s="1"/>
  <c r="F27" i="123"/>
  <c r="E27" i="123" s="1"/>
  <c r="F35" i="121"/>
  <c r="E35" i="121" s="1"/>
  <c r="AA25" i="120"/>
  <c r="J28" i="120"/>
  <c r="F36" i="124"/>
  <c r="E36" i="124" s="1"/>
  <c r="R26" i="120"/>
  <c r="AA52" i="119"/>
  <c r="F15" i="123"/>
  <c r="E15" i="123" s="1"/>
  <c r="AV28" i="118"/>
  <c r="AA47" i="118"/>
  <c r="R47" i="118" s="1"/>
  <c r="AA54" i="117"/>
  <c r="H7" i="125"/>
  <c r="H6" i="125" s="1"/>
  <c r="F8" i="125"/>
  <c r="E8" i="125" s="1"/>
  <c r="F11" i="117"/>
  <c r="E11" i="117" s="1"/>
  <c r="AS28" i="122"/>
  <c r="F49" i="117"/>
  <c r="E49" i="117" s="1"/>
  <c r="F21" i="120"/>
  <c r="E21" i="120" s="1"/>
  <c r="AA41" i="119"/>
  <c r="R41" i="119" s="1"/>
  <c r="AA37" i="119"/>
  <c r="AA14" i="123"/>
  <c r="R14" i="123" s="1"/>
  <c r="F52" i="120"/>
  <c r="E52" i="120" s="1"/>
  <c r="F23" i="122"/>
  <c r="E23" i="122" s="1"/>
  <c r="F38" i="118"/>
  <c r="E38" i="118" s="1"/>
  <c r="AH28" i="123"/>
  <c r="AH19" i="123" s="1"/>
  <c r="J28" i="117"/>
  <c r="AL28" i="124"/>
  <c r="AL19" i="124" s="1"/>
  <c r="P28" i="119"/>
  <c r="BC7" i="117"/>
  <c r="BC6" i="117" s="1"/>
  <c r="G7" i="123"/>
  <c r="G6" i="123" s="1"/>
  <c r="F9" i="123"/>
  <c r="E9" i="123" s="1"/>
  <c r="AA33" i="121"/>
  <c r="R33" i="121" s="1"/>
  <c r="AB28" i="118"/>
  <c r="AA30" i="118"/>
  <c r="AU7" i="127"/>
  <c r="AU6" i="127" s="1"/>
  <c r="J28" i="122"/>
  <c r="J19" i="122" s="1"/>
  <c r="F41" i="119"/>
  <c r="E41" i="119" s="1"/>
  <c r="K7" i="119"/>
  <c r="F43" i="123"/>
  <c r="E43" i="123" s="1"/>
  <c r="R26" i="118"/>
  <c r="BE28" i="122"/>
  <c r="BE19" i="122" s="1"/>
  <c r="AA44" i="117"/>
  <c r="R44" i="117" s="1"/>
  <c r="AK28" i="120"/>
  <c r="BD28" i="120"/>
  <c r="K7" i="118"/>
  <c r="BE28" i="119"/>
  <c r="BE19" i="119" s="1"/>
  <c r="AL28" i="119"/>
  <c r="AL19" i="119" s="1"/>
  <c r="AA46" i="122"/>
  <c r="R46" i="122" s="1"/>
  <c r="AR7" i="118"/>
  <c r="AR6" i="118" s="1"/>
  <c r="AA42" i="117"/>
  <c r="R42" i="117" s="1"/>
  <c r="AA50" i="117"/>
  <c r="R50" i="117" s="1"/>
  <c r="F16" i="118"/>
  <c r="E16" i="118" s="1"/>
  <c r="AE7" i="120"/>
  <c r="AE6" i="120" s="1"/>
  <c r="AA55" i="121"/>
  <c r="F30" i="120"/>
  <c r="E30" i="120" s="1"/>
  <c r="AU28" i="124"/>
  <c r="AU19" i="124" s="1"/>
  <c r="AW28" i="121"/>
  <c r="AW19" i="121" s="1"/>
  <c r="N7" i="122"/>
  <c r="N6" i="122" s="1"/>
  <c r="AV19" i="118"/>
  <c r="AA29" i="122"/>
  <c r="R29" i="122" s="1"/>
  <c r="AC28" i="122"/>
  <c r="AC19" i="122" s="1"/>
  <c r="AO28" i="117"/>
  <c r="AO19" i="117" s="1"/>
  <c r="M7" i="120"/>
  <c r="M6" i="120" s="1"/>
  <c r="AA17" i="123"/>
  <c r="F52" i="117"/>
  <c r="E52" i="117" s="1"/>
  <c r="BD28" i="123"/>
  <c r="BD19" i="123" s="1"/>
  <c r="W28" i="117"/>
  <c r="W19" i="117" s="1"/>
  <c r="F15" i="124"/>
  <c r="E15" i="124" s="1"/>
  <c r="F32" i="121"/>
  <c r="E32" i="121" s="1"/>
  <c r="F24" i="117"/>
  <c r="E24" i="117" s="1"/>
  <c r="BA7" i="121"/>
  <c r="BA6" i="121" s="1"/>
  <c r="F11" i="121"/>
  <c r="S28" i="126"/>
  <c r="AA23" i="122"/>
  <c r="AT28" i="119"/>
  <c r="AT19" i="119" s="1"/>
  <c r="AA42" i="121"/>
  <c r="R42" i="121" s="1"/>
  <c r="AA32" i="117"/>
  <c r="R32" i="117" s="1"/>
  <c r="AA46" i="123"/>
  <c r="BB7" i="119"/>
  <c r="BB6" i="119" s="1"/>
  <c r="F43" i="121"/>
  <c r="E43" i="121" s="1"/>
  <c r="AA50" i="118"/>
  <c r="R50" i="118" s="1"/>
  <c r="F21" i="118"/>
  <c r="E21" i="118" s="1"/>
  <c r="U28" i="123"/>
  <c r="U19" i="123" s="1"/>
  <c r="F15" i="120"/>
  <c r="E15" i="120" s="1"/>
  <c r="K7" i="117"/>
  <c r="Z28" i="117"/>
  <c r="Z19" i="117" s="1"/>
  <c r="AA42" i="124"/>
  <c r="R42" i="124" s="1"/>
  <c r="BF42" i="124" s="1"/>
  <c r="AO42" i="124" s="1"/>
  <c r="AC7" i="123"/>
  <c r="AC6" i="123" s="1"/>
  <c r="AQ28" i="118"/>
  <c r="AQ19" i="118" s="1"/>
  <c r="F39" i="118"/>
  <c r="E39" i="118" s="1"/>
  <c r="AH28" i="122"/>
  <c r="AQ28" i="119"/>
  <c r="AQ19" i="119" s="1"/>
  <c r="F23" i="119"/>
  <c r="E23" i="119" s="1"/>
  <c r="BB28" i="123"/>
  <c r="AR28" i="118"/>
  <c r="F14" i="117"/>
  <c r="E14" i="117" s="1"/>
  <c r="BB28" i="124"/>
  <c r="BB19" i="124" s="1"/>
  <c r="X28" i="119"/>
  <c r="X19" i="119" s="1"/>
  <c r="AT28" i="118"/>
  <c r="AA54" i="124"/>
  <c r="R54" i="124" s="1"/>
  <c r="F44" i="121"/>
  <c r="E44" i="121" s="1"/>
  <c r="M28" i="117"/>
  <c r="M19" i="117" s="1"/>
  <c r="AA32" i="122"/>
  <c r="R32" i="122" s="1"/>
  <c r="F9" i="121"/>
  <c r="E9" i="121" s="1"/>
  <c r="G7" i="121"/>
  <c r="G6" i="121" s="1"/>
  <c r="F58" i="117"/>
  <c r="AA31" i="122"/>
  <c r="R31" i="122" s="1"/>
  <c r="AE7" i="123"/>
  <c r="AE6" i="123" s="1"/>
  <c r="F40" i="117"/>
  <c r="E40" i="117" s="1"/>
  <c r="BA28" i="117"/>
  <c r="BA19" i="117" s="1"/>
  <c r="AG7" i="124"/>
  <c r="AG6" i="124" s="1"/>
  <c r="AA47" i="120"/>
  <c r="R47" i="120" s="1"/>
  <c r="AO7" i="119"/>
  <c r="AO6" i="119" s="1"/>
  <c r="F13" i="119"/>
  <c r="E13" i="119" s="1"/>
  <c r="AJ7" i="119"/>
  <c r="AJ6" i="119" s="1"/>
  <c r="F20" i="120"/>
  <c r="E20" i="120" s="1"/>
  <c r="F50" i="119"/>
  <c r="E50" i="119" s="1"/>
  <c r="P28" i="120"/>
  <c r="P19" i="120" s="1"/>
  <c r="F34" i="117"/>
  <c r="E34" i="117" s="1"/>
  <c r="F24" i="121"/>
  <c r="E24" i="121" s="1"/>
  <c r="J28" i="119"/>
  <c r="J19" i="119" s="1"/>
  <c r="AA21" i="122"/>
  <c r="AA39" i="120"/>
  <c r="R39" i="120" s="1"/>
  <c r="F53" i="122"/>
  <c r="E53" i="122" s="1"/>
  <c r="F15" i="118"/>
  <c r="E15" i="118" s="1"/>
  <c r="AA10" i="122"/>
  <c r="R10" i="122" s="1"/>
  <c r="F56" i="121"/>
  <c r="E56" i="121" s="1"/>
  <c r="AY28" i="119"/>
  <c r="AA49" i="126"/>
  <c r="AQ7" i="123"/>
  <c r="AQ6" i="123" s="1"/>
  <c r="AA18" i="122"/>
  <c r="R18" i="122" s="1"/>
  <c r="F20" i="124"/>
  <c r="E20" i="124" s="1"/>
  <c r="AP7" i="122"/>
  <c r="AP6" i="122" s="1"/>
  <c r="AG28" i="124"/>
  <c r="F42" i="122"/>
  <c r="E42" i="122" s="1"/>
  <c r="F34" i="119"/>
  <c r="E34" i="119" s="1"/>
  <c r="F27" i="118"/>
  <c r="E27" i="118" s="1"/>
  <c r="F15" i="121"/>
  <c r="E15" i="121" s="1"/>
  <c r="AO7" i="117"/>
  <c r="AO6" i="117" s="1"/>
  <c r="AA39" i="121"/>
  <c r="R39" i="121" s="1"/>
  <c r="AA13" i="122"/>
  <c r="R13" i="122" s="1"/>
  <c r="K7" i="121"/>
  <c r="W28" i="127"/>
  <c r="W19" i="127" s="1"/>
  <c r="AA25" i="123"/>
  <c r="R25" i="123" s="1"/>
  <c r="AA47" i="128"/>
  <c r="AX7" i="124"/>
  <c r="AX6" i="124" s="1"/>
  <c r="AA32" i="131"/>
  <c r="AA47" i="119"/>
  <c r="R47" i="119" s="1"/>
  <c r="F29" i="119"/>
  <c r="E29" i="119" s="1"/>
  <c r="G28" i="119"/>
  <c r="P28" i="124"/>
  <c r="R21" i="122"/>
  <c r="AA16" i="120"/>
  <c r="AZ7" i="117"/>
  <c r="AZ6" i="117" s="1"/>
  <c r="AY28" i="124"/>
  <c r="AY19" i="124" s="1"/>
  <c r="AA32" i="119"/>
  <c r="R32" i="119" s="1"/>
  <c r="AG7" i="117"/>
  <c r="AG6" i="117" s="1"/>
  <c r="F26" i="121"/>
  <c r="E26" i="121" s="1"/>
  <c r="AL7" i="117"/>
  <c r="AL6" i="117" s="1"/>
  <c r="AA42" i="118"/>
  <c r="R42" i="118" s="1"/>
  <c r="AW7" i="117"/>
  <c r="AW6" i="117" s="1"/>
  <c r="AL28" i="118"/>
  <c r="AL19" i="118" s="1"/>
  <c r="AA32" i="120"/>
  <c r="R32" i="120" s="1"/>
  <c r="AI7" i="123"/>
  <c r="AI6" i="123" s="1"/>
  <c r="S28" i="124"/>
  <c r="AS28" i="117"/>
  <c r="AS19" i="117" s="1"/>
  <c r="AA15" i="122"/>
  <c r="R15" i="122" s="1"/>
  <c r="F49" i="124"/>
  <c r="E49" i="124" s="1"/>
  <c r="F45" i="117"/>
  <c r="E45" i="117" s="1"/>
  <c r="AZ7" i="124"/>
  <c r="AZ6" i="124" s="1"/>
  <c r="AI7" i="120"/>
  <c r="AI6" i="120" s="1"/>
  <c r="AA50" i="122"/>
  <c r="AA57" i="119"/>
  <c r="R57" i="119" s="1"/>
  <c r="AA33" i="120"/>
  <c r="BA28" i="127"/>
  <c r="BA19" i="127" s="1"/>
  <c r="R51" i="117"/>
  <c r="BC7" i="123"/>
  <c r="BC6" i="123" s="1"/>
  <c r="F12" i="117"/>
  <c r="E12" i="117" s="1"/>
  <c r="O28" i="120"/>
  <c r="O19" i="120" s="1"/>
  <c r="T7" i="123"/>
  <c r="T6" i="123" s="1"/>
  <c r="AX28" i="120"/>
  <c r="AX19" i="120" s="1"/>
  <c r="F46" i="118"/>
  <c r="E46" i="118" s="1"/>
  <c r="AI28" i="118"/>
  <c r="AI19" i="118" s="1"/>
  <c r="AA25" i="118"/>
  <c r="AE7" i="119"/>
  <c r="AE6" i="119" s="1"/>
  <c r="BE7" i="121"/>
  <c r="BE6" i="121" s="1"/>
  <c r="F30" i="124"/>
  <c r="E30" i="124" s="1"/>
  <c r="AD28" i="123"/>
  <c r="AD19" i="123" s="1"/>
  <c r="AA35" i="123"/>
  <c r="R35" i="123" s="1"/>
  <c r="AN28" i="118"/>
  <c r="F30" i="118"/>
  <c r="E30" i="118" s="1"/>
  <c r="AA31" i="119"/>
  <c r="R31" i="119" s="1"/>
  <c r="AK28" i="118"/>
  <c r="AK19" i="118" s="1"/>
  <c r="AA37" i="117"/>
  <c r="AA14" i="120"/>
  <c r="R14" i="120" s="1"/>
  <c r="AA9" i="120"/>
  <c r="R9" i="120" s="1"/>
  <c r="F40" i="120"/>
  <c r="E40" i="120" s="1"/>
  <c r="AO7" i="120"/>
  <c r="AO6" i="120" s="1"/>
  <c r="AP28" i="124"/>
  <c r="AA48" i="118"/>
  <c r="F56" i="123"/>
  <c r="E56" i="123" s="1"/>
  <c r="P28" i="117"/>
  <c r="AA12" i="117"/>
  <c r="F38" i="120"/>
  <c r="E38" i="120" s="1"/>
  <c r="AA38" i="117"/>
  <c r="AA34" i="117"/>
  <c r="R34" i="117" s="1"/>
  <c r="AD28" i="118"/>
  <c r="AD19" i="118" s="1"/>
  <c r="J19" i="120"/>
  <c r="O28" i="122"/>
  <c r="O19" i="122" s="1"/>
  <c r="U7" i="124"/>
  <c r="U6" i="124" s="1"/>
  <c r="AA47" i="124"/>
  <c r="R47" i="124" s="1"/>
  <c r="AA36" i="127"/>
  <c r="AA31" i="123"/>
  <c r="AA56" i="117"/>
  <c r="AA36" i="120"/>
  <c r="R36" i="120" s="1"/>
  <c r="AA39" i="123"/>
  <c r="AA53" i="117"/>
  <c r="R53" i="117" s="1"/>
  <c r="AL7" i="120"/>
  <c r="AL6" i="120" s="1"/>
  <c r="L7" i="117"/>
  <c r="AA58" i="119"/>
  <c r="F26" i="122"/>
  <c r="E26" i="122" s="1"/>
  <c r="U28" i="121"/>
  <c r="U19" i="121" s="1"/>
  <c r="AN7" i="127"/>
  <c r="AN6" i="127" s="1"/>
  <c r="F33" i="122"/>
  <c r="E33" i="122" s="1"/>
  <c r="N28" i="119"/>
  <c r="N19" i="119" s="1"/>
  <c r="F57" i="122"/>
  <c r="E57" i="122" s="1"/>
  <c r="AA38" i="119"/>
  <c r="R38" i="119" s="1"/>
  <c r="BF38" i="119" s="1"/>
  <c r="AK38" i="119" s="1"/>
  <c r="AE7" i="118"/>
  <c r="AE6" i="118" s="1"/>
  <c r="AU7" i="118"/>
  <c r="AU6" i="118" s="1"/>
  <c r="F47" i="121"/>
  <c r="E47" i="121" s="1"/>
  <c r="F10" i="119"/>
  <c r="E10" i="119" s="1"/>
  <c r="V7" i="119"/>
  <c r="V6" i="119" s="1"/>
  <c r="AA16" i="119"/>
  <c r="R16" i="119" s="1"/>
  <c r="R54" i="117"/>
  <c r="BD28" i="118"/>
  <c r="BD19" i="118" s="1"/>
  <c r="F22" i="117"/>
  <c r="E22" i="117" s="1"/>
  <c r="M28" i="120"/>
  <c r="M19" i="120" s="1"/>
  <c r="AA36" i="118"/>
  <c r="R36" i="118" s="1"/>
  <c r="F56" i="118"/>
  <c r="E56" i="118" s="1"/>
  <c r="F13" i="118"/>
  <c r="E13" i="118" s="1"/>
  <c r="AL28" i="120"/>
  <c r="AL19" i="120"/>
  <c r="AL7" i="124"/>
  <c r="AL6" i="124" s="1"/>
  <c r="AA26" i="119"/>
  <c r="F39" i="121"/>
  <c r="E39" i="121" s="1"/>
  <c r="AS7" i="121"/>
  <c r="AS6" i="121" s="1"/>
  <c r="AF28" i="124"/>
  <c r="AF19" i="124" s="1"/>
  <c r="AA22" i="120"/>
  <c r="AF7" i="118"/>
  <c r="AF6" i="118" s="1"/>
  <c r="BD7" i="117"/>
  <c r="BD6" i="117" s="1"/>
  <c r="AA29" i="120"/>
  <c r="AC28" i="120"/>
  <c r="AC19" i="120" s="1"/>
  <c r="F21" i="123"/>
  <c r="E21" i="123" s="1"/>
  <c r="AA46" i="121"/>
  <c r="R46" i="121" s="1"/>
  <c r="F26" i="117"/>
  <c r="E26" i="117" s="1"/>
  <c r="AA50" i="121"/>
  <c r="AA39" i="122"/>
  <c r="R39" i="122" s="1"/>
  <c r="BF39" i="122" s="1"/>
  <c r="AL39" i="122" s="1"/>
  <c r="AK7" i="117"/>
  <c r="AK6" i="117" s="1"/>
  <c r="AD7" i="121"/>
  <c r="AD6" i="121" s="1"/>
  <c r="AU7" i="120"/>
  <c r="AU6" i="120" s="1"/>
  <c r="AN7" i="117"/>
  <c r="AN6" i="117" s="1"/>
  <c r="S28" i="118"/>
  <c r="F52" i="124"/>
  <c r="E52" i="124" s="1"/>
  <c r="AA22" i="121"/>
  <c r="Y28" i="118"/>
  <c r="Y19" i="118" s="1"/>
  <c r="F8" i="119"/>
  <c r="E8" i="119" s="1"/>
  <c r="H7" i="119"/>
  <c r="H6" i="119" s="1"/>
  <c r="F50" i="120"/>
  <c r="E50" i="120" s="1"/>
  <c r="T7" i="118"/>
  <c r="T6" i="118" s="1"/>
  <c r="AA11" i="120"/>
  <c r="R11" i="120" s="1"/>
  <c r="AM7" i="122"/>
  <c r="AM6" i="122" s="1"/>
  <c r="W7" i="121"/>
  <c r="W6" i="121" s="1"/>
  <c r="AA24" i="125"/>
  <c r="R24" i="125" s="1"/>
  <c r="AA54" i="120"/>
  <c r="R54" i="120" s="1"/>
  <c r="AV28" i="121"/>
  <c r="AV19" i="121" s="1"/>
  <c r="AD28" i="121"/>
  <c r="AD19" i="121" s="1"/>
  <c r="AA15" i="123"/>
  <c r="R15" i="123" s="1"/>
  <c r="AA32" i="118"/>
  <c r="AA55" i="118"/>
  <c r="R55" i="118" s="1"/>
  <c r="AR7" i="122"/>
  <c r="AR6" i="122" s="1"/>
  <c r="BB28" i="118"/>
  <c r="AA16" i="117"/>
  <c r="R16" i="117" s="1"/>
  <c r="AY7" i="117"/>
  <c r="AY6" i="117" s="1"/>
  <c r="AA11" i="119"/>
  <c r="R11" i="119" s="1"/>
  <c r="AA57" i="123"/>
  <c r="AP28" i="120"/>
  <c r="AQ7" i="119"/>
  <c r="AQ6" i="119" s="1"/>
  <c r="P28" i="128"/>
  <c r="P19" i="128" s="1"/>
  <c r="AA9" i="123"/>
  <c r="AA20" i="120"/>
  <c r="R20" i="120" s="1"/>
  <c r="AA53" i="123"/>
  <c r="R53" i="123" s="1"/>
  <c r="V7" i="122"/>
  <c r="V6" i="122" s="1"/>
  <c r="F36" i="121"/>
  <c r="E36" i="121" s="1"/>
  <c r="F46" i="120"/>
  <c r="E46" i="120" s="1"/>
  <c r="AV7" i="118"/>
  <c r="AV6" i="118" s="1"/>
  <c r="U7" i="120"/>
  <c r="U6" i="120" s="1"/>
  <c r="AA21" i="117"/>
  <c r="R21" i="117" s="1"/>
  <c r="AA36" i="122"/>
  <c r="J19" i="117"/>
  <c r="BD28" i="121"/>
  <c r="BD19" i="121" s="1"/>
  <c r="AA20" i="119"/>
  <c r="BC28" i="120"/>
  <c r="BC19" i="120" s="1"/>
  <c r="F11" i="118"/>
  <c r="E11" i="118" s="1"/>
  <c r="BF11" i="118" s="1"/>
  <c r="J11" i="118" s="1"/>
  <c r="AN28" i="122"/>
  <c r="AN19" i="122" s="1"/>
  <c r="AA11" i="118"/>
  <c r="R11" i="118" s="1"/>
  <c r="AA21" i="120"/>
  <c r="R21" i="120" s="1"/>
  <c r="BF21" i="120" s="1"/>
  <c r="T21" i="120" s="1"/>
  <c r="AM7" i="118"/>
  <c r="AM6" i="118" s="1"/>
  <c r="F53" i="121"/>
  <c r="E53" i="121" s="1"/>
  <c r="AA51" i="124"/>
  <c r="R51" i="124" s="1"/>
  <c r="AA24" i="124"/>
  <c r="W28" i="118"/>
  <c r="F42" i="121"/>
  <c r="E42" i="121" s="1"/>
  <c r="T28" i="120"/>
  <c r="T19" i="120" s="1"/>
  <c r="F36" i="120"/>
  <c r="E36" i="120" s="1"/>
  <c r="V28" i="119"/>
  <c r="V19" i="119" s="1"/>
  <c r="AW28" i="118"/>
  <c r="AW19" i="118" s="1"/>
  <c r="K7" i="122"/>
  <c r="AK7" i="121"/>
  <c r="AK6" i="121" s="1"/>
  <c r="P7" i="117"/>
  <c r="AH28" i="117"/>
  <c r="AH19" i="117" s="1"/>
  <c r="X7" i="122"/>
  <c r="X6" i="122" s="1"/>
  <c r="AA27" i="118"/>
  <c r="R27" i="118" s="1"/>
  <c r="AA54" i="119"/>
  <c r="R54" i="119" s="1"/>
  <c r="AA44" i="123"/>
  <c r="F17" i="123"/>
  <c r="E17" i="123" s="1"/>
  <c r="AA43" i="119"/>
  <c r="F25" i="122"/>
  <c r="E25" i="122" s="1"/>
  <c r="AA20" i="124"/>
  <c r="AX28" i="119"/>
  <c r="AX19" i="119" s="1"/>
  <c r="F48" i="119"/>
  <c r="E48" i="119" s="1"/>
  <c r="Q7" i="118"/>
  <c r="Q6" i="118" s="1"/>
  <c r="BA7" i="117"/>
  <c r="BA6" i="117" s="1"/>
  <c r="F47" i="123"/>
  <c r="E47" i="123" s="1"/>
  <c r="AA17" i="121"/>
  <c r="R17" i="121" s="1"/>
  <c r="AH7" i="118"/>
  <c r="AH6" i="118" s="1"/>
  <c r="AU7" i="123"/>
  <c r="AU6" i="123" s="1"/>
  <c r="AY7" i="120"/>
  <c r="AY6" i="120" s="1"/>
  <c r="AA36" i="123"/>
  <c r="R36" i="123" s="1"/>
  <c r="V7" i="124"/>
  <c r="V6" i="124" s="1"/>
  <c r="AX28" i="123"/>
  <c r="AX19" i="123" s="1"/>
  <c r="Z7" i="117"/>
  <c r="Z6" i="117" s="1"/>
  <c r="F40" i="122"/>
  <c r="E40" i="122" s="1"/>
  <c r="AM28" i="117"/>
  <c r="AM19" i="117" s="1"/>
  <c r="R25" i="118"/>
  <c r="AY28" i="120"/>
  <c r="AY19" i="120" s="1"/>
  <c r="F36" i="122"/>
  <c r="E36" i="122" s="1"/>
  <c r="F55" i="117"/>
  <c r="E55" i="117" s="1"/>
  <c r="N28" i="117"/>
  <c r="N19" i="117" s="1"/>
  <c r="N59" i="117" s="1"/>
  <c r="F45" i="124"/>
  <c r="E45" i="124" s="1"/>
  <c r="J28" i="121"/>
  <c r="J19" i="121" s="1"/>
  <c r="F20" i="118"/>
  <c r="E20" i="118" s="1"/>
  <c r="AA58" i="120"/>
  <c r="R58" i="120" s="1"/>
  <c r="X28" i="121"/>
  <c r="X19" i="121" s="1"/>
  <c r="AA16" i="121"/>
  <c r="R16" i="121" s="1"/>
  <c r="F40" i="119"/>
  <c r="E40" i="119" s="1"/>
  <c r="AJ7" i="123"/>
  <c r="AJ6" i="123" s="1"/>
  <c r="F18" i="119"/>
  <c r="E18" i="119" s="1"/>
  <c r="BB7" i="125"/>
  <c r="BB6" i="125" s="1"/>
  <c r="AA58" i="124"/>
  <c r="BD28" i="117"/>
  <c r="Z7" i="118"/>
  <c r="Z6" i="118" s="1"/>
  <c r="AA34" i="122"/>
  <c r="W28" i="123"/>
  <c r="W19" i="123" s="1"/>
  <c r="F18" i="118"/>
  <c r="E18" i="118" s="1"/>
  <c r="AQ28" i="120"/>
  <c r="AG7" i="119"/>
  <c r="AG6" i="119" s="1"/>
  <c r="V28" i="120"/>
  <c r="AY28" i="122"/>
  <c r="AY19" i="122" s="1"/>
  <c r="F51" i="121"/>
  <c r="E51" i="121" s="1"/>
  <c r="AX7" i="117"/>
  <c r="AX6" i="117" s="1"/>
  <c r="F20" i="122"/>
  <c r="E20" i="122" s="1"/>
  <c r="AA12" i="121"/>
  <c r="R12" i="121" s="1"/>
  <c r="AI7" i="117"/>
  <c r="AI6" i="117" s="1"/>
  <c r="F38" i="117"/>
  <c r="E38" i="117" s="1"/>
  <c r="F26" i="119"/>
  <c r="E26" i="119" s="1"/>
  <c r="AA26" i="120"/>
  <c r="AV19" i="120"/>
  <c r="O28" i="117"/>
  <c r="O19" i="117" s="1"/>
  <c r="F24" i="123"/>
  <c r="E24" i="123" s="1"/>
  <c r="R48" i="118"/>
  <c r="K28" i="121"/>
  <c r="AT7" i="122"/>
  <c r="AT6" i="122" s="1"/>
  <c r="BB28" i="125"/>
  <c r="AA45" i="125"/>
  <c r="R45" i="125" s="1"/>
  <c r="F47" i="118"/>
  <c r="E47" i="118" s="1"/>
  <c r="F31" i="118"/>
  <c r="E31" i="118" s="1"/>
  <c r="R26" i="128"/>
  <c r="K28" i="128"/>
  <c r="AP7" i="124"/>
  <c r="AP6" i="124" s="1"/>
  <c r="BD7" i="122"/>
  <c r="BD6" i="122" s="1"/>
  <c r="AB28" i="122"/>
  <c r="AB19" i="122" s="1"/>
  <c r="AA30" i="122"/>
  <c r="R30" i="122" s="1"/>
  <c r="F21" i="122"/>
  <c r="E21" i="122" s="1"/>
  <c r="AT7" i="121"/>
  <c r="AT6" i="121" s="1"/>
  <c r="AA16" i="118"/>
  <c r="AE28" i="122"/>
  <c r="AY28" i="118"/>
  <c r="F35" i="118"/>
  <c r="E35" i="118" s="1"/>
  <c r="R30" i="118"/>
  <c r="BF30" i="118" s="1"/>
  <c r="AC30" i="118" s="1"/>
  <c r="F56" i="119"/>
  <c r="E56" i="119" s="1"/>
  <c r="BB7" i="124"/>
  <c r="BB6" i="124" s="1"/>
  <c r="L7" i="128"/>
  <c r="L6" i="128" s="1"/>
  <c r="U28" i="124"/>
  <c r="U19" i="124" s="1"/>
  <c r="AZ7" i="118"/>
  <c r="AZ6" i="118" s="1"/>
  <c r="AA53" i="122"/>
  <c r="R53" i="122" s="1"/>
  <c r="AA20" i="117"/>
  <c r="BE7" i="117"/>
  <c r="BE6" i="117" s="1"/>
  <c r="F58" i="123"/>
  <c r="W7" i="119"/>
  <c r="W6" i="119" s="1"/>
  <c r="AA15" i="120"/>
  <c r="BD19" i="122"/>
  <c r="J7" i="122"/>
  <c r="J6" i="122" s="1"/>
  <c r="J59" i="122" s="1"/>
  <c r="F17" i="124"/>
  <c r="E17" i="124" s="1"/>
  <c r="F50" i="122"/>
  <c r="E50" i="122" s="1"/>
  <c r="AA29" i="118"/>
  <c r="R29" i="118" s="1"/>
  <c r="AC28" i="118"/>
  <c r="AC19" i="118" s="1"/>
  <c r="AA57" i="128"/>
  <c r="F55" i="121"/>
  <c r="E55" i="121" s="1"/>
  <c r="Y7" i="123"/>
  <c r="Y6" i="123" s="1"/>
  <c r="F58" i="124"/>
  <c r="M7" i="122"/>
  <c r="AA34" i="120"/>
  <c r="R34" i="120" s="1"/>
  <c r="BF34" i="120" s="1"/>
  <c r="AG34" i="120" s="1"/>
  <c r="F33" i="118"/>
  <c r="E33" i="118" s="1"/>
  <c r="AE7" i="121"/>
  <c r="AE6" i="121" s="1"/>
  <c r="M28" i="124"/>
  <c r="M19" i="124" s="1"/>
  <c r="I28" i="124"/>
  <c r="I19" i="124" s="1"/>
  <c r="AT7" i="120"/>
  <c r="AT6" i="120" s="1"/>
  <c r="AC7" i="117"/>
  <c r="AC6" i="117" s="1"/>
  <c r="F17" i="122"/>
  <c r="E17" i="122" s="1"/>
  <c r="F49" i="123"/>
  <c r="E49" i="123" s="1"/>
  <c r="F10" i="118"/>
  <c r="E10" i="118" s="1"/>
  <c r="X28" i="120"/>
  <c r="F44" i="122"/>
  <c r="E44" i="122" s="1"/>
  <c r="AA44" i="121"/>
  <c r="R44" i="121" s="1"/>
  <c r="BF44" i="121" s="1"/>
  <c r="AQ44" i="121" s="1"/>
  <c r="F39" i="122"/>
  <c r="E39" i="122" s="1"/>
  <c r="AC7" i="120"/>
  <c r="AC6" i="120" s="1"/>
  <c r="AS28" i="123"/>
  <c r="F50" i="123"/>
  <c r="E50" i="123" s="1"/>
  <c r="F16" i="122"/>
  <c r="E16" i="122" s="1"/>
  <c r="AA44" i="130"/>
  <c r="AR7" i="121"/>
  <c r="AR6" i="121" s="1"/>
  <c r="AT7" i="119"/>
  <c r="AT6" i="119" s="1"/>
  <c r="Y7" i="119"/>
  <c r="Y6" i="119" s="1"/>
  <c r="L28" i="117"/>
  <c r="L19" i="117" s="1"/>
  <c r="F31" i="121"/>
  <c r="AA34" i="121"/>
  <c r="AR7" i="117"/>
  <c r="AR6" i="117" s="1"/>
  <c r="AR28" i="122"/>
  <c r="AR19" i="122" s="1"/>
  <c r="AR59" i="122" s="1"/>
  <c r="AA31" i="120"/>
  <c r="R31" i="120" s="1"/>
  <c r="F13" i="124"/>
  <c r="E13" i="124" s="1"/>
  <c r="BC7" i="120"/>
  <c r="BC6" i="120" s="1"/>
  <c r="AP7" i="121"/>
  <c r="AP6" i="121" s="1"/>
  <c r="AF28" i="119"/>
  <c r="AF19" i="119" s="1"/>
  <c r="V28" i="122"/>
  <c r="V19" i="122" s="1"/>
  <c r="BA7" i="120"/>
  <c r="BA6" i="120" s="1"/>
  <c r="R26" i="123"/>
  <c r="BE28" i="123"/>
  <c r="BE19" i="123" s="1"/>
  <c r="AD7" i="118"/>
  <c r="AD6" i="118" s="1"/>
  <c r="X28" i="118"/>
  <c r="X19" i="118" s="1"/>
  <c r="AW7" i="122"/>
  <c r="AW6" i="122" s="1"/>
  <c r="F18" i="124"/>
  <c r="E18" i="124" s="1"/>
  <c r="AF7" i="119"/>
  <c r="AI7" i="121"/>
  <c r="AI6" i="121" s="1"/>
  <c r="AR28" i="124"/>
  <c r="AR19" i="124" s="1"/>
  <c r="AK7" i="119"/>
  <c r="AK6" i="119" s="1"/>
  <c r="BB7" i="118"/>
  <c r="BB6" i="118" s="1"/>
  <c r="BB28" i="131"/>
  <c r="F55" i="123"/>
  <c r="E55" i="123" s="1"/>
  <c r="F53" i="125"/>
  <c r="E53" i="125" s="1"/>
  <c r="H7" i="126"/>
  <c r="H6" i="126" s="1"/>
  <c r="F8" i="126"/>
  <c r="E8" i="126" s="1"/>
  <c r="AS19" i="122"/>
  <c r="G28" i="122"/>
  <c r="F29" i="122"/>
  <c r="T7" i="122"/>
  <c r="T6" i="122" s="1"/>
  <c r="V7" i="118"/>
  <c r="V6" i="118" s="1"/>
  <c r="AA12" i="118"/>
  <c r="R12" i="118" s="1"/>
  <c r="AA17" i="124"/>
  <c r="R17" i="124" s="1"/>
  <c r="AQ28" i="124"/>
  <c r="AQ19" i="124" s="1"/>
  <c r="Y7" i="122"/>
  <c r="Y6" i="122" s="1"/>
  <c r="AA56" i="118"/>
  <c r="R56" i="118" s="1"/>
  <c r="BF56" i="118" s="1"/>
  <c r="BC56" i="118" s="1"/>
  <c r="AS7" i="117"/>
  <c r="AS6" i="117" s="1"/>
  <c r="AC7" i="118"/>
  <c r="AC6" i="118" s="1"/>
  <c r="AW7" i="120"/>
  <c r="AW6" i="120" s="1"/>
  <c r="AB28" i="124"/>
  <c r="AB19" i="124" s="1"/>
  <c r="AA30" i="124"/>
  <c r="AA36" i="117"/>
  <c r="R36" i="117" s="1"/>
  <c r="AX7" i="122"/>
  <c r="AX6" i="122" s="1"/>
  <c r="F44" i="123"/>
  <c r="E44" i="123" s="1"/>
  <c r="K28" i="119"/>
  <c r="K19" i="119" s="1"/>
  <c r="AA25" i="119"/>
  <c r="AA18" i="124"/>
  <c r="R18" i="124" s="1"/>
  <c r="F21" i="124"/>
  <c r="E21" i="124" s="1"/>
  <c r="AK7" i="120"/>
  <c r="AK6" i="120" s="1"/>
  <c r="AF7" i="123"/>
  <c r="AF6" i="123" s="1"/>
  <c r="U7" i="117"/>
  <c r="U6" i="117" s="1"/>
  <c r="F53" i="118"/>
  <c r="E53" i="118" s="1"/>
  <c r="F14" i="121"/>
  <c r="AA48" i="123"/>
  <c r="AD28" i="120"/>
  <c r="AD19" i="120" s="1"/>
  <c r="V28" i="123"/>
  <c r="V19" i="123" s="1"/>
  <c r="F14" i="127"/>
  <c r="E14" i="127" s="1"/>
  <c r="AL28" i="122"/>
  <c r="F29" i="124"/>
  <c r="E29" i="124" s="1"/>
  <c r="G28" i="124"/>
  <c r="Q28" i="119"/>
  <c r="Q19" i="119" s="1"/>
  <c r="F39" i="120"/>
  <c r="E39" i="120" s="1"/>
  <c r="W7" i="118"/>
  <c r="W6" i="118" s="1"/>
  <c r="AA21" i="118"/>
  <c r="AA51" i="120"/>
  <c r="R51" i="120" s="1"/>
  <c r="F47" i="124"/>
  <c r="E47" i="124" s="1"/>
  <c r="Z28" i="118"/>
  <c r="Z19" i="118" s="1"/>
  <c r="AS7" i="122"/>
  <c r="AS6" i="122" s="1"/>
  <c r="AA26" i="123"/>
  <c r="AA55" i="124"/>
  <c r="R55" i="124" s="1"/>
  <c r="S7" i="124"/>
  <c r="AI28" i="117"/>
  <c r="AI19" i="117" s="1"/>
  <c r="F57" i="119"/>
  <c r="E57" i="119" s="1"/>
  <c r="AT7" i="117"/>
  <c r="AT6" i="117" s="1"/>
  <c r="F16" i="117"/>
  <c r="E16" i="117" s="1"/>
  <c r="AL28" i="123"/>
  <c r="AI28" i="121"/>
  <c r="AI19" i="121" s="1"/>
  <c r="BB7" i="121"/>
  <c r="BB6" i="121" s="1"/>
  <c r="AI28" i="120"/>
  <c r="AI19" i="120" s="1"/>
  <c r="AA26" i="118"/>
  <c r="AL7" i="123"/>
  <c r="AL6" i="123" s="1"/>
  <c r="AA53" i="119"/>
  <c r="R53" i="119" s="1"/>
  <c r="BF53" i="119" s="1"/>
  <c r="BC28" i="119"/>
  <c r="AA33" i="118"/>
  <c r="BC28" i="123"/>
  <c r="BC19" i="123" s="1"/>
  <c r="AI28" i="126"/>
  <c r="AS7" i="118"/>
  <c r="AS6" i="118" s="1"/>
  <c r="AK7" i="122"/>
  <c r="F13" i="117"/>
  <c r="E13" i="117" s="1"/>
  <c r="AA43" i="122"/>
  <c r="R43" i="122" s="1"/>
  <c r="AS28" i="120"/>
  <c r="AP28" i="121"/>
  <c r="F8" i="122"/>
  <c r="E8" i="122" s="1"/>
  <c r="H7" i="122"/>
  <c r="H6" i="122" s="1"/>
  <c r="AA35" i="122"/>
  <c r="R35" i="122" s="1"/>
  <c r="F10" i="122"/>
  <c r="E10" i="122" s="1"/>
  <c r="F33" i="121"/>
  <c r="E33" i="121" s="1"/>
  <c r="F40" i="118"/>
  <c r="E40" i="118" s="1"/>
  <c r="AA11" i="125"/>
  <c r="R11" i="125" s="1"/>
  <c r="AA26" i="122"/>
  <c r="AW28" i="120"/>
  <c r="AW19" i="120" s="1"/>
  <c r="Z7" i="124"/>
  <c r="Z6" i="124" s="1"/>
  <c r="K28" i="124"/>
  <c r="S7" i="118"/>
  <c r="S6" i="118" s="1"/>
  <c r="AG19" i="122"/>
  <c r="Z7" i="121"/>
  <c r="Z6" i="121" s="1"/>
  <c r="AY28" i="117"/>
  <c r="AH28" i="119"/>
  <c r="AH19" i="119" s="1"/>
  <c r="AA36" i="124"/>
  <c r="R36" i="124" s="1"/>
  <c r="BF36" i="124" s="1"/>
  <c r="AI36" i="124" s="1"/>
  <c r="AA58" i="118"/>
  <c r="AF7" i="120"/>
  <c r="AF6" i="120" s="1"/>
  <c r="AB28" i="117"/>
  <c r="AB19" i="117" s="1"/>
  <c r="AA30" i="117"/>
  <c r="R30" i="117" s="1"/>
  <c r="F49" i="120"/>
  <c r="E49" i="120" s="1"/>
  <c r="AY7" i="119"/>
  <c r="AY6" i="119" s="1"/>
  <c r="AQ7" i="118"/>
  <c r="AQ6" i="118" s="1"/>
  <c r="AQ59" i="118" s="1"/>
  <c r="AP7" i="119"/>
  <c r="AP6" i="119" s="1"/>
  <c r="AH7" i="123"/>
  <c r="AH6" i="123" s="1"/>
  <c r="T28" i="122"/>
  <c r="T19" i="122" s="1"/>
  <c r="T59" i="122" s="1"/>
  <c r="BG21" i="122" s="1"/>
  <c r="BH21" i="122" s="1"/>
  <c r="BK21" i="122" s="1"/>
  <c r="F32" i="118"/>
  <c r="E32" i="118" s="1"/>
  <c r="F26" i="124"/>
  <c r="E26" i="124" s="1"/>
  <c r="AA10" i="120"/>
  <c r="AZ28" i="120"/>
  <c r="AT7" i="123"/>
  <c r="AT6" i="123" s="1"/>
  <c r="AZ28" i="119"/>
  <c r="AZ19" i="119" s="1"/>
  <c r="U28" i="122"/>
  <c r="U19" i="122" s="1"/>
  <c r="AF7" i="117"/>
  <c r="AF6" i="117" s="1"/>
  <c r="F41" i="117"/>
  <c r="E41" i="117" s="1"/>
  <c r="N28" i="121"/>
  <c r="F10" i="120"/>
  <c r="E10" i="120" s="1"/>
  <c r="F58" i="118"/>
  <c r="AO7" i="122"/>
  <c r="AO6" i="122" s="1"/>
  <c r="AA51" i="118"/>
  <c r="R51" i="118" s="1"/>
  <c r="BF51" i="118" s="1"/>
  <c r="F44" i="117"/>
  <c r="E44" i="117" s="1"/>
  <c r="AP7" i="118"/>
  <c r="AP6" i="118" s="1"/>
  <c r="AE28" i="121"/>
  <c r="M7" i="118"/>
  <c r="M6" i="118" s="1"/>
  <c r="AB7" i="118"/>
  <c r="AB6" i="118" s="1"/>
  <c r="AA8" i="118"/>
  <c r="R8" i="118" s="1"/>
  <c r="F22" i="121"/>
  <c r="E22" i="121" s="1"/>
  <c r="AA55" i="117"/>
  <c r="R55" i="117" s="1"/>
  <c r="BF55" i="117" s="1"/>
  <c r="BB55" i="117" s="1"/>
  <c r="F24" i="118"/>
  <c r="E24" i="118" s="1"/>
  <c r="AB28" i="119"/>
  <c r="AB19" i="119" s="1"/>
  <c r="AA30" i="119"/>
  <c r="R30" i="119" s="1"/>
  <c r="AD7" i="123"/>
  <c r="AD6" i="123" s="1"/>
  <c r="M7" i="123"/>
  <c r="M6" i="123" s="1"/>
  <c r="AU28" i="119"/>
  <c r="AU19" i="119" s="1"/>
  <c r="F38" i="123"/>
  <c r="E38" i="123" s="1"/>
  <c r="R20" i="117"/>
  <c r="AL7" i="128"/>
  <c r="AL6" i="128" s="1"/>
  <c r="AO7" i="118"/>
  <c r="AO6" i="118" s="1"/>
  <c r="M7" i="119"/>
  <c r="M6" i="119" s="1"/>
  <c r="L28" i="122"/>
  <c r="L19" i="122" s="1"/>
  <c r="L59" i="122" s="1"/>
  <c r="AX7" i="119"/>
  <c r="AX6" i="119" s="1"/>
  <c r="AA42" i="120"/>
  <c r="AK28" i="121"/>
  <c r="W28" i="120"/>
  <c r="W19" i="120" s="1"/>
  <c r="R16" i="120"/>
  <c r="F48" i="117"/>
  <c r="E48" i="117" s="1"/>
  <c r="F31" i="123"/>
  <c r="E31" i="123" s="1"/>
  <c r="AG28" i="121"/>
  <c r="AG19" i="121" s="1"/>
  <c r="W7" i="117"/>
  <c r="W6" i="117" s="1"/>
  <c r="R26" i="119"/>
  <c r="AR28" i="121"/>
  <c r="AR19" i="121" s="1"/>
  <c r="Z28" i="121"/>
  <c r="Z19" i="121" s="1"/>
  <c r="Z59" i="121" s="1"/>
  <c r="AZ7" i="123"/>
  <c r="AZ6" i="123" s="1"/>
  <c r="F35" i="117"/>
  <c r="E35" i="117" s="1"/>
  <c r="F22" i="124"/>
  <c r="E22" i="124" s="1"/>
  <c r="AA37" i="126"/>
  <c r="R37" i="126" s="1"/>
  <c r="AA27" i="124"/>
  <c r="R27" i="124" s="1"/>
  <c r="BF15" i="123"/>
  <c r="N15" i="123" s="1"/>
  <c r="F48" i="118"/>
  <c r="E48" i="118" s="1"/>
  <c r="AA43" i="117"/>
  <c r="R43" i="117" s="1"/>
  <c r="F21" i="117"/>
  <c r="E21" i="117" s="1"/>
  <c r="AA55" i="123"/>
  <c r="R55" i="123" s="1"/>
  <c r="AA17" i="122"/>
  <c r="AA29" i="117"/>
  <c r="R29" i="117" s="1"/>
  <c r="AC28" i="117"/>
  <c r="AC19" i="117" s="1"/>
  <c r="O7" i="117"/>
  <c r="I28" i="117"/>
  <c r="I19" i="117" s="1"/>
  <c r="F33" i="123"/>
  <c r="E33" i="123" s="1"/>
  <c r="F57" i="125"/>
  <c r="E57" i="125" s="1"/>
  <c r="AM7" i="119"/>
  <c r="AM6" i="119" s="1"/>
  <c r="F8" i="121"/>
  <c r="E8" i="121" s="1"/>
  <c r="H7" i="121"/>
  <c r="H6" i="121" s="1"/>
  <c r="F55" i="118"/>
  <c r="E55" i="118" s="1"/>
  <c r="AZ28" i="124"/>
  <c r="AZ19" i="124" s="1"/>
  <c r="AL7" i="119"/>
  <c r="AL6" i="119" s="1"/>
  <c r="F35" i="119"/>
  <c r="E35" i="119" s="1"/>
  <c r="AA56" i="124"/>
  <c r="R56" i="124" s="1"/>
  <c r="AA13" i="124"/>
  <c r="Y7" i="121"/>
  <c r="Y6" i="121" s="1"/>
  <c r="AU7" i="121"/>
  <c r="AU6" i="121" s="1"/>
  <c r="AA47" i="121"/>
  <c r="R47" i="121" s="1"/>
  <c r="BF47" i="121" s="1"/>
  <c r="AT47" i="121" s="1"/>
  <c r="AR7" i="120"/>
  <c r="AR6" i="120" s="1"/>
  <c r="F30" i="123"/>
  <c r="E30" i="123" s="1"/>
  <c r="F53" i="117"/>
  <c r="E53" i="117" s="1"/>
  <c r="F45" i="120"/>
  <c r="E45" i="120" s="1"/>
  <c r="BB28" i="119"/>
  <c r="BB19" i="119" s="1"/>
  <c r="BB59" i="119" s="1"/>
  <c r="F49" i="121"/>
  <c r="E49" i="121" s="1"/>
  <c r="AA34" i="124"/>
  <c r="R34" i="124" s="1"/>
  <c r="AA9" i="118"/>
  <c r="R9" i="118" s="1"/>
  <c r="F18" i="127"/>
  <c r="E18" i="127" s="1"/>
  <c r="AM28" i="118"/>
  <c r="AM19" i="118" s="1"/>
  <c r="AM59" i="118" s="1"/>
  <c r="F32" i="120"/>
  <c r="E32" i="120" s="1"/>
  <c r="Z28" i="119"/>
  <c r="Z19" i="119" s="1"/>
  <c r="BE28" i="118"/>
  <c r="BE19" i="118" s="1"/>
  <c r="AA38" i="122"/>
  <c r="F47" i="117"/>
  <c r="E47" i="117" s="1"/>
  <c r="F30" i="117"/>
  <c r="E30" i="117" s="1"/>
  <c r="AV7" i="121"/>
  <c r="AV6" i="121" s="1"/>
  <c r="AY19" i="119"/>
  <c r="AY59" i="119" s="1"/>
  <c r="F29" i="117"/>
  <c r="G28" i="117"/>
  <c r="AV28" i="117"/>
  <c r="AV19" i="117" s="1"/>
  <c r="AA52" i="122"/>
  <c r="M28" i="128"/>
  <c r="M19" i="128" s="1"/>
  <c r="F16" i="124"/>
  <c r="E16" i="124" s="1"/>
  <c r="F12" i="124"/>
  <c r="E12" i="124" s="1"/>
  <c r="J7" i="123"/>
  <c r="J6" i="123" s="1"/>
  <c r="I7" i="121"/>
  <c r="I6" i="121" s="1"/>
  <c r="AJ28" i="125"/>
  <c r="F8" i="123"/>
  <c r="E8" i="123" s="1"/>
  <c r="H7" i="123"/>
  <c r="H6" i="123" s="1"/>
  <c r="F12" i="129"/>
  <c r="O28" i="118"/>
  <c r="O19" i="118" s="1"/>
  <c r="AN19" i="118"/>
  <c r="AO28" i="123"/>
  <c r="AO19" i="123" s="1"/>
  <c r="L7" i="123"/>
  <c r="L6" i="123" s="1"/>
  <c r="AA48" i="130"/>
  <c r="AA29" i="124"/>
  <c r="R29" i="124" s="1"/>
  <c r="AC28" i="124"/>
  <c r="AC19" i="124" s="1"/>
  <c r="F30" i="119"/>
  <c r="E30" i="119" s="1"/>
  <c r="O7" i="130"/>
  <c r="O6" i="130" s="1"/>
  <c r="F22" i="118"/>
  <c r="E22" i="118" s="1"/>
  <c r="AR19" i="118"/>
  <c r="F34" i="118"/>
  <c r="E34" i="118" s="1"/>
  <c r="I28" i="118"/>
  <c r="F23" i="118"/>
  <c r="E23" i="118" s="1"/>
  <c r="AG19" i="124"/>
  <c r="AG59" i="124" s="1"/>
  <c r="AG28" i="123"/>
  <c r="AG19" i="123" s="1"/>
  <c r="AA38" i="125"/>
  <c r="P7" i="120"/>
  <c r="AB19" i="118"/>
  <c r="AA20" i="118"/>
  <c r="F8" i="117"/>
  <c r="E8" i="117" s="1"/>
  <c r="BF8" i="117" s="1"/>
  <c r="G8" i="117" s="1"/>
  <c r="H7" i="117"/>
  <c r="H6" i="117" s="1"/>
  <c r="AA23" i="117"/>
  <c r="R23" i="117" s="1"/>
  <c r="AA8" i="121"/>
  <c r="R8" i="121" s="1"/>
  <c r="AB7" i="121"/>
  <c r="AB6" i="121" s="1"/>
  <c r="AA8" i="120"/>
  <c r="R8" i="120" s="1"/>
  <c r="AB7" i="120"/>
  <c r="AB6" i="120" s="1"/>
  <c r="AB59" i="120" s="1"/>
  <c r="AA10" i="117"/>
  <c r="R10" i="117" s="1"/>
  <c r="BF10" i="117" s="1"/>
  <c r="AA12" i="128"/>
  <c r="AA35" i="117"/>
  <c r="R35" i="117" s="1"/>
  <c r="R13" i="124"/>
  <c r="AA52" i="124"/>
  <c r="R52" i="124" s="1"/>
  <c r="BF52" i="124" s="1"/>
  <c r="AY52" i="124" s="1"/>
  <c r="AI28" i="129"/>
  <c r="AA48" i="125"/>
  <c r="I7" i="123"/>
  <c r="I6" i="123" s="1"/>
  <c r="AH28" i="124"/>
  <c r="AH19" i="124" s="1"/>
  <c r="K28" i="120"/>
  <c r="K19" i="120" s="1"/>
  <c r="AO28" i="129"/>
  <c r="AO19" i="129" s="1"/>
  <c r="S28" i="121"/>
  <c r="AN7" i="128"/>
  <c r="AN6" i="128" s="1"/>
  <c r="F38" i="130"/>
  <c r="E38" i="130" s="1"/>
  <c r="BA28" i="125"/>
  <c r="BB7" i="120"/>
  <c r="BB6" i="120" s="1"/>
  <c r="AA43" i="131"/>
  <c r="AA43" i="121"/>
  <c r="R43" i="121" s="1"/>
  <c r="BF43" i="121" s="1"/>
  <c r="AP43" i="121" s="1"/>
  <c r="F37" i="131"/>
  <c r="E37" i="131" s="1"/>
  <c r="F52" i="127"/>
  <c r="E52" i="127" s="1"/>
  <c r="AI7" i="118"/>
  <c r="AI6" i="118" s="1"/>
  <c r="BC28" i="121"/>
  <c r="V7" i="117"/>
  <c r="V6" i="117" s="1"/>
  <c r="I7" i="119"/>
  <c r="I6" i="119" s="1"/>
  <c r="AQ28" i="123"/>
  <c r="AQ19" i="123" s="1"/>
  <c r="AA23" i="123"/>
  <c r="R23" i="123" s="1"/>
  <c r="F22" i="120"/>
  <c r="E22" i="120" s="1"/>
  <c r="N7" i="118"/>
  <c r="N6" i="118" s="1"/>
  <c r="AA11" i="121"/>
  <c r="R11" i="121" s="1"/>
  <c r="Y7" i="117"/>
  <c r="Y6" i="117" s="1"/>
  <c r="F41" i="118"/>
  <c r="E41" i="118" s="1"/>
  <c r="AM7" i="117"/>
  <c r="AM6" i="117" s="1"/>
  <c r="AJ28" i="119"/>
  <c r="AJ19" i="119" s="1"/>
  <c r="AJ59" i="119" s="1"/>
  <c r="AA41" i="117"/>
  <c r="R41" i="117" s="1"/>
  <c r="AA25" i="117"/>
  <c r="R25" i="117" s="1"/>
  <c r="AW7" i="121"/>
  <c r="AW6" i="121" s="1"/>
  <c r="F42" i="118"/>
  <c r="E42" i="118" s="1"/>
  <c r="R58" i="119"/>
  <c r="F14" i="122"/>
  <c r="E14" i="122" s="1"/>
  <c r="AW7" i="118"/>
  <c r="AW6" i="118" s="1"/>
  <c r="AN7" i="122"/>
  <c r="AN6" i="122" s="1"/>
  <c r="R23" i="122"/>
  <c r="BF23" i="122" s="1"/>
  <c r="V23" i="122" s="1"/>
  <c r="BA28" i="120"/>
  <c r="BA19" i="120" s="1"/>
  <c r="F45" i="122"/>
  <c r="E45" i="122" s="1"/>
  <c r="I7" i="118"/>
  <c r="I6" i="118" s="1"/>
  <c r="AH28" i="120"/>
  <c r="AH19" i="120" s="1"/>
  <c r="BB28" i="120"/>
  <c r="BB19" i="120" s="1"/>
  <c r="AF28" i="123"/>
  <c r="AF19" i="123" s="1"/>
  <c r="AF59" i="123" s="1"/>
  <c r="AU28" i="117"/>
  <c r="F31" i="119"/>
  <c r="E31" i="119" s="1"/>
  <c r="AA13" i="118"/>
  <c r="R13" i="118" s="1"/>
  <c r="AA45" i="123"/>
  <c r="R45" i="123" s="1"/>
  <c r="F23" i="132"/>
  <c r="E23" i="132" s="1"/>
  <c r="F13" i="128"/>
  <c r="E13" i="128" s="1"/>
  <c r="Z7" i="119"/>
  <c r="Z6" i="119" s="1"/>
  <c r="R50" i="121"/>
  <c r="AA45" i="117"/>
  <c r="R45" i="117" s="1"/>
  <c r="AA50" i="119"/>
  <c r="R50" i="119" s="1"/>
  <c r="BF50" i="119" s="1"/>
  <c r="AW50" i="119" s="1"/>
  <c r="AA42" i="119"/>
  <c r="R42" i="119" s="1"/>
  <c r="F20" i="117"/>
  <c r="E20" i="117" s="1"/>
  <c r="AA43" i="118"/>
  <c r="R43" i="118" s="1"/>
  <c r="F55" i="120"/>
  <c r="E55" i="120" s="1"/>
  <c r="AA23" i="119"/>
  <c r="R23" i="119" s="1"/>
  <c r="BF23" i="119" s="1"/>
  <c r="V23" i="119" s="1"/>
  <c r="AA46" i="119"/>
  <c r="R46" i="119" s="1"/>
  <c r="N7" i="123"/>
  <c r="N6" i="123" s="1"/>
  <c r="F44" i="126"/>
  <c r="E44" i="126" s="1"/>
  <c r="AM28" i="123"/>
  <c r="AM19" i="123" s="1"/>
  <c r="Q28" i="122"/>
  <c r="Q19" i="122" s="1"/>
  <c r="F17" i="128"/>
  <c r="E17" i="128" s="1"/>
  <c r="J28" i="129"/>
  <c r="J19" i="129" s="1"/>
  <c r="BD7" i="123"/>
  <c r="BD6" i="123" s="1"/>
  <c r="G28" i="120"/>
  <c r="F29" i="120"/>
  <c r="E29" i="120" s="1"/>
  <c r="AA55" i="120"/>
  <c r="R55" i="120" s="1"/>
  <c r="F9" i="118"/>
  <c r="E9" i="118" s="1"/>
  <c r="G7" i="118"/>
  <c r="G6" i="118" s="1"/>
  <c r="AA50" i="120"/>
  <c r="R50" i="120" s="1"/>
  <c r="BF50" i="120" s="1"/>
  <c r="AW50" i="120" s="1"/>
  <c r="AA57" i="120"/>
  <c r="R57" i="120" s="1"/>
  <c r="O7" i="123"/>
  <c r="R9" i="123"/>
  <c r="V28" i="121"/>
  <c r="V19" i="121" s="1"/>
  <c r="R26" i="121"/>
  <c r="BF26" i="121" s="1"/>
  <c r="Y26" i="121" s="1"/>
  <c r="AA55" i="119"/>
  <c r="R55" i="119" s="1"/>
  <c r="AA21" i="121"/>
  <c r="R21" i="121" s="1"/>
  <c r="L28" i="125"/>
  <c r="AL28" i="117"/>
  <c r="AL19" i="117" s="1"/>
  <c r="N7" i="121"/>
  <c r="N6" i="121" s="1"/>
  <c r="T7" i="128"/>
  <c r="T6" i="128" s="1"/>
  <c r="F37" i="122"/>
  <c r="E37" i="122" s="1"/>
  <c r="M28" i="123"/>
  <c r="M19" i="123" s="1"/>
  <c r="M59" i="123" s="1"/>
  <c r="F26" i="120"/>
  <c r="E26" i="120" s="1"/>
  <c r="BF26" i="120" s="1"/>
  <c r="Y26" i="120" s="1"/>
  <c r="AA23" i="120"/>
  <c r="R23" i="120" s="1"/>
  <c r="S7" i="126"/>
  <c r="S6" i="126" s="1"/>
  <c r="AA49" i="121"/>
  <c r="AE28" i="119"/>
  <c r="AE19" i="119" s="1"/>
  <c r="BC28" i="128"/>
  <c r="AA46" i="117"/>
  <c r="R46" i="117" s="1"/>
  <c r="Y7" i="124"/>
  <c r="Y6" i="124" s="1"/>
  <c r="F41" i="122"/>
  <c r="E41" i="122" s="1"/>
  <c r="F42" i="120"/>
  <c r="E42" i="120" s="1"/>
  <c r="AA13" i="120"/>
  <c r="R13" i="120" s="1"/>
  <c r="BF13" i="120" s="1"/>
  <c r="L13" i="120" s="1"/>
  <c r="F18" i="120"/>
  <c r="E18" i="120" s="1"/>
  <c r="AS19" i="120"/>
  <c r="AF7" i="122"/>
  <c r="AF6" i="122" s="1"/>
  <c r="N28" i="122"/>
  <c r="N19" i="122" s="1"/>
  <c r="N59" i="122" s="1"/>
  <c r="F51" i="117"/>
  <c r="E51" i="117" s="1"/>
  <c r="AO19" i="120"/>
  <c r="AA12" i="123"/>
  <c r="R12" i="123" s="1"/>
  <c r="AA37" i="118"/>
  <c r="R37" i="118" s="1"/>
  <c r="AA18" i="126"/>
  <c r="P7" i="118"/>
  <c r="F45" i="118"/>
  <c r="E45" i="118" s="1"/>
  <c r="R24" i="124"/>
  <c r="AY7" i="123"/>
  <c r="AY6" i="123" s="1"/>
  <c r="AM7" i="120"/>
  <c r="AM6" i="120" s="1"/>
  <c r="AA42" i="122"/>
  <c r="R42" i="122" s="1"/>
  <c r="K7" i="120"/>
  <c r="BC28" i="117"/>
  <c r="BC19" i="117" s="1"/>
  <c r="BC59" i="117" s="1"/>
  <c r="AA32" i="121"/>
  <c r="R32" i="121" s="1"/>
  <c r="AA10" i="121"/>
  <c r="R10" i="121" s="1"/>
  <c r="F56" i="122"/>
  <c r="E56" i="122" s="1"/>
  <c r="W7" i="123"/>
  <c r="W6" i="123" s="1"/>
  <c r="I28" i="122"/>
  <c r="F25" i="124"/>
  <c r="E25" i="124" s="1"/>
  <c r="F16" i="125"/>
  <c r="E16" i="125" s="1"/>
  <c r="F8" i="120"/>
  <c r="E8" i="120" s="1"/>
  <c r="H7" i="120"/>
  <c r="H6" i="120" s="1"/>
  <c r="AA35" i="120"/>
  <c r="R35" i="120" s="1"/>
  <c r="R31" i="123"/>
  <c r="R30" i="124"/>
  <c r="AA40" i="123"/>
  <c r="R40" i="123" s="1"/>
  <c r="R43" i="119"/>
  <c r="AZ7" i="120"/>
  <c r="AZ6" i="120" s="1"/>
  <c r="AA24" i="120"/>
  <c r="R24" i="120" s="1"/>
  <c r="F25" i="117"/>
  <c r="E25" i="117" s="1"/>
  <c r="R11" i="117"/>
  <c r="AC7" i="128"/>
  <c r="AC6" i="128" s="1"/>
  <c r="AG7" i="127"/>
  <c r="AG6" i="127" s="1"/>
  <c r="AA57" i="117"/>
  <c r="R57" i="117" s="1"/>
  <c r="F26" i="123"/>
  <c r="E26" i="123" s="1"/>
  <c r="I7" i="120"/>
  <c r="I6" i="120" s="1"/>
  <c r="AP19" i="120"/>
  <c r="AN7" i="120"/>
  <c r="AN6" i="120" s="1"/>
  <c r="F13" i="127"/>
  <c r="E13" i="127" s="1"/>
  <c r="AI7" i="126"/>
  <c r="AI6" i="126" s="1"/>
  <c r="R22" i="121"/>
  <c r="AA44" i="120"/>
  <c r="R44" i="120" s="1"/>
  <c r="AH28" i="118"/>
  <c r="AA39" i="124"/>
  <c r="R39" i="124" s="1"/>
  <c r="AN7" i="118"/>
  <c r="AN6" i="118" s="1"/>
  <c r="R44" i="123"/>
  <c r="BF44" i="123" s="1"/>
  <c r="AQ44" i="123" s="1"/>
  <c r="AQ7" i="120"/>
  <c r="AQ6" i="120" s="1"/>
  <c r="F17" i="120"/>
  <c r="E17" i="120" s="1"/>
  <c r="F43" i="117"/>
  <c r="E43" i="117" s="1"/>
  <c r="N28" i="120"/>
  <c r="N19" i="120" s="1"/>
  <c r="W19" i="121"/>
  <c r="AB28" i="121"/>
  <c r="AB19" i="121" s="1"/>
  <c r="AA30" i="121"/>
  <c r="R30" i="121" s="1"/>
  <c r="J7" i="119"/>
  <c r="J6" i="119" s="1"/>
  <c r="J59" i="119" s="1"/>
  <c r="AC7" i="119"/>
  <c r="AC6" i="119" s="1"/>
  <c r="AA26" i="121"/>
  <c r="AH7" i="121"/>
  <c r="AH6" i="121" s="1"/>
  <c r="F22" i="119"/>
  <c r="E22" i="119" s="1"/>
  <c r="F12" i="120"/>
  <c r="E12" i="120" s="1"/>
  <c r="AA31" i="118"/>
  <c r="AT28" i="117"/>
  <c r="AT19" i="117" s="1"/>
  <c r="AT59" i="117" s="1"/>
  <c r="P7" i="127"/>
  <c r="AA25" i="121"/>
  <c r="R25" i="121" s="1"/>
  <c r="BA28" i="121"/>
  <c r="BA19" i="121" s="1"/>
  <c r="BA59" i="121" s="1"/>
  <c r="L28" i="121"/>
  <c r="L19" i="121" s="1"/>
  <c r="S19" i="121"/>
  <c r="AJ7" i="117"/>
  <c r="AJ6" i="117" s="1"/>
  <c r="AA58" i="117"/>
  <c r="R58" i="117" s="1"/>
  <c r="F25" i="119"/>
  <c r="E25" i="119" s="1"/>
  <c r="R38" i="117"/>
  <c r="BF38" i="117" s="1"/>
  <c r="AK38" i="117" s="1"/>
  <c r="AA27" i="117"/>
  <c r="R27" i="117" s="1"/>
  <c r="AC28" i="126"/>
  <c r="AC19" i="126" s="1"/>
  <c r="AA29" i="126"/>
  <c r="R29" i="126" s="1"/>
  <c r="R16" i="118"/>
  <c r="S28" i="119"/>
  <c r="S19" i="119" s="1"/>
  <c r="O28" i="119"/>
  <c r="O19" i="119" s="1"/>
  <c r="F11" i="127"/>
  <c r="G28" i="121"/>
  <c r="F29" i="121"/>
  <c r="E29" i="121" s="1"/>
  <c r="U7" i="122"/>
  <c r="U6" i="122" s="1"/>
  <c r="AA31" i="124"/>
  <c r="R31" i="124" s="1"/>
  <c r="F24" i="119"/>
  <c r="E24" i="119" s="1"/>
  <c r="AA15" i="124"/>
  <c r="R15" i="124" s="1"/>
  <c r="AV28" i="122"/>
  <c r="AV19" i="122" s="1"/>
  <c r="F57" i="121"/>
  <c r="E57" i="121" s="1"/>
  <c r="AA20" i="131"/>
  <c r="AA16" i="123"/>
  <c r="R16" i="123" s="1"/>
  <c r="F43" i="124"/>
  <c r="E43" i="124" s="1"/>
  <c r="AA25" i="124"/>
  <c r="R25" i="124" s="1"/>
  <c r="BF25" i="124" s="1"/>
  <c r="X25" i="124" s="1"/>
  <c r="AF28" i="118"/>
  <c r="AF19" i="118" s="1"/>
  <c r="AF59" i="118" s="1"/>
  <c r="V7" i="120"/>
  <c r="V6" i="120" s="1"/>
  <c r="AA15" i="119"/>
  <c r="R15" i="119" s="1"/>
  <c r="R25" i="119"/>
  <c r="P28" i="121"/>
  <c r="P19" i="121" s="1"/>
  <c r="AJ7" i="121"/>
  <c r="AJ6" i="121" s="1"/>
  <c r="AA51" i="121"/>
  <c r="AI28" i="128"/>
  <c r="AA47" i="131"/>
  <c r="AA40" i="119"/>
  <c r="R40" i="119" s="1"/>
  <c r="AG28" i="119"/>
  <c r="AG19" i="119" s="1"/>
  <c r="AA24" i="119"/>
  <c r="R24" i="119" s="1"/>
  <c r="AJ28" i="120"/>
  <c r="F50" i="124"/>
  <c r="E50" i="124" s="1"/>
  <c r="F45" i="123"/>
  <c r="E45" i="123" s="1"/>
  <c r="AA31" i="127"/>
  <c r="AX7" i="128"/>
  <c r="AX6" i="128" s="1"/>
  <c r="F50" i="117"/>
  <c r="E50" i="117" s="1"/>
  <c r="F33" i="127"/>
  <c r="E33" i="127" s="1"/>
  <c r="Z28" i="123"/>
  <c r="AA52" i="117"/>
  <c r="R52" i="117" s="1"/>
  <c r="BF52" i="117" s="1"/>
  <c r="AY52" i="117" s="1"/>
  <c r="AA53" i="118"/>
  <c r="R53" i="118" s="1"/>
  <c r="AA18" i="127"/>
  <c r="R18" i="127" s="1"/>
  <c r="S19" i="126"/>
  <c r="AA54" i="121"/>
  <c r="R54" i="121" s="1"/>
  <c r="AA51" i="128"/>
  <c r="R51" i="128" s="1"/>
  <c r="F23" i="120"/>
  <c r="E23" i="120" s="1"/>
  <c r="F30" i="122"/>
  <c r="E30" i="122" s="1"/>
  <c r="AA48" i="117"/>
  <c r="R48" i="117" s="1"/>
  <c r="K28" i="118"/>
  <c r="K19" i="118" s="1"/>
  <c r="AS7" i="120"/>
  <c r="AS6" i="120" s="1"/>
  <c r="F35" i="123"/>
  <c r="E35" i="123" s="1"/>
  <c r="F14" i="120"/>
  <c r="E14" i="120" s="1"/>
  <c r="F11" i="122"/>
  <c r="E11" i="122" s="1"/>
  <c r="AA14" i="119"/>
  <c r="R14" i="119" s="1"/>
  <c r="J7" i="117"/>
  <c r="K7" i="123"/>
  <c r="AF7" i="124"/>
  <c r="AF6" i="124" s="1"/>
  <c r="F12" i="122"/>
  <c r="E12" i="122" s="1"/>
  <c r="AA42" i="129"/>
  <c r="R42" i="129" s="1"/>
  <c r="J7" i="121"/>
  <c r="AW28" i="123"/>
  <c r="AW19" i="123" s="1"/>
  <c r="K28" i="122"/>
  <c r="K19" i="122" s="1"/>
  <c r="F14" i="124"/>
  <c r="E14" i="124" s="1"/>
  <c r="AV7" i="123"/>
  <c r="AV6" i="123" s="1"/>
  <c r="AB28" i="123"/>
  <c r="AB19" i="123" s="1"/>
  <c r="AA30" i="123"/>
  <c r="R30" i="123" s="1"/>
  <c r="BF30" i="123" s="1"/>
  <c r="AC30" i="123" s="1"/>
  <c r="BF14" i="120"/>
  <c r="M14" i="120" s="1"/>
  <c r="F13" i="122"/>
  <c r="E13" i="122" s="1"/>
  <c r="T7" i="119"/>
  <c r="T6" i="119" s="1"/>
  <c r="AV7" i="117"/>
  <c r="AV6" i="117" s="1"/>
  <c r="AA11" i="124"/>
  <c r="R11" i="124" s="1"/>
  <c r="F58" i="122"/>
  <c r="F51" i="122"/>
  <c r="E51" i="122" s="1"/>
  <c r="AZ28" i="118"/>
  <c r="AJ7" i="118"/>
  <c r="AJ6" i="118" s="1"/>
  <c r="R33" i="118"/>
  <c r="BF33" i="118" s="1"/>
  <c r="AF33" i="118" s="1"/>
  <c r="X7" i="119"/>
  <c r="X6" i="119" s="1"/>
  <c r="AF28" i="125"/>
  <c r="AA20" i="126"/>
  <c r="R20" i="126" s="1"/>
  <c r="BA7" i="118"/>
  <c r="BA6" i="118" s="1"/>
  <c r="N7" i="124"/>
  <c r="N6" i="124" s="1"/>
  <c r="F8" i="124"/>
  <c r="E8" i="124" s="1"/>
  <c r="H7" i="124"/>
  <c r="H6" i="124" s="1"/>
  <c r="F43" i="122"/>
  <c r="E43" i="122" s="1"/>
  <c r="AR28" i="123"/>
  <c r="L7" i="121"/>
  <c r="L6" i="121" s="1"/>
  <c r="AA13" i="125"/>
  <c r="F24" i="124"/>
  <c r="E24" i="124" s="1"/>
  <c r="AA17" i="126"/>
  <c r="R17" i="126" s="1"/>
  <c r="AA45" i="118"/>
  <c r="R45" i="118" s="1"/>
  <c r="AA27" i="127"/>
  <c r="R27" i="127" s="1"/>
  <c r="AA24" i="122"/>
  <c r="R24" i="122" s="1"/>
  <c r="F55" i="126"/>
  <c r="E55" i="126" s="1"/>
  <c r="F58" i="120"/>
  <c r="AW28" i="119"/>
  <c r="AW19" i="119" s="1"/>
  <c r="P19" i="119"/>
  <c r="BE7" i="124"/>
  <c r="BE6" i="124" s="1"/>
  <c r="F51" i="124"/>
  <c r="E51" i="124" s="1"/>
  <c r="F17" i="119"/>
  <c r="E17" i="119" s="1"/>
  <c r="AJ7" i="124"/>
  <c r="AJ6" i="124" s="1"/>
  <c r="AA56" i="123"/>
  <c r="R56" i="123" s="1"/>
  <c r="BF56" i="123" s="1"/>
  <c r="BC56" i="123" s="1"/>
  <c r="AF19" i="121"/>
  <c r="AA38" i="123"/>
  <c r="R38" i="123" s="1"/>
  <c r="Y28" i="122"/>
  <c r="AO7" i="121"/>
  <c r="AO6" i="121" s="1"/>
  <c r="AG7" i="120"/>
  <c r="AG6" i="120" s="1"/>
  <c r="AF28" i="117"/>
  <c r="AF19" i="117" s="1"/>
  <c r="R25" i="120"/>
  <c r="BF25" i="120" s="1"/>
  <c r="X25" i="120" s="1"/>
  <c r="P7" i="121"/>
  <c r="F34" i="121"/>
  <c r="E34" i="121" s="1"/>
  <c r="AA43" i="123"/>
  <c r="BF13" i="118"/>
  <c r="F27" i="124"/>
  <c r="E27" i="124" s="1"/>
  <c r="W28" i="130"/>
  <c r="BD7" i="121"/>
  <c r="BD6" i="121" s="1"/>
  <c r="AF28" i="121"/>
  <c r="F57" i="120"/>
  <c r="E57" i="120" s="1"/>
  <c r="AA49" i="119"/>
  <c r="R49" i="119" s="1"/>
  <c r="AH19" i="118"/>
  <c r="AH59" i="118" s="1"/>
  <c r="H7" i="118"/>
  <c r="H6" i="118" s="1"/>
  <c r="F8" i="118"/>
  <c r="E8" i="118" s="1"/>
  <c r="AA24" i="130"/>
  <c r="R24" i="130" s="1"/>
  <c r="F57" i="118"/>
  <c r="E57" i="118" s="1"/>
  <c r="AA40" i="118"/>
  <c r="R40" i="118" s="1"/>
  <c r="BF40" i="118" s="1"/>
  <c r="AM40" i="118" s="1"/>
  <c r="AJ7" i="122"/>
  <c r="AJ6" i="122" s="1"/>
  <c r="BF16" i="118"/>
  <c r="O16" i="118" s="1"/>
  <c r="AA9" i="117"/>
  <c r="R9" i="117" s="1"/>
  <c r="AA37" i="121"/>
  <c r="R37" i="121" s="1"/>
  <c r="F22" i="125"/>
  <c r="E22" i="125" s="1"/>
  <c r="AA14" i="118"/>
  <c r="R14" i="118" s="1"/>
  <c r="L7" i="118"/>
  <c r="L6" i="118" s="1"/>
  <c r="AL28" i="121"/>
  <c r="AL19" i="121" s="1"/>
  <c r="AT28" i="121"/>
  <c r="M7" i="117"/>
  <c r="M6" i="117" s="1"/>
  <c r="AL7" i="121"/>
  <c r="AL6" i="121" s="1"/>
  <c r="AA44" i="131"/>
  <c r="AA15" i="117"/>
  <c r="R15" i="117" s="1"/>
  <c r="Q7" i="122"/>
  <c r="Q6" i="122" s="1"/>
  <c r="Q59" i="122" s="1"/>
  <c r="AI28" i="119"/>
  <c r="AI19" i="119" s="1"/>
  <c r="X28" i="123"/>
  <c r="X19" i="123" s="1"/>
  <c r="AA43" i="126"/>
  <c r="R43" i="126" s="1"/>
  <c r="X7" i="118"/>
  <c r="X6" i="118" s="1"/>
  <c r="AA37" i="120"/>
  <c r="R37" i="120" s="1"/>
  <c r="AO28" i="122"/>
  <c r="AO19" i="122" s="1"/>
  <c r="AO59" i="122" s="1"/>
  <c r="AA50" i="125"/>
  <c r="F36" i="123"/>
  <c r="E36" i="123" s="1"/>
  <c r="N7" i="120"/>
  <c r="N6" i="120" s="1"/>
  <c r="Q7" i="124"/>
  <c r="Q6" i="124" s="1"/>
  <c r="BD7" i="124"/>
  <c r="BD6" i="124" s="1"/>
  <c r="AN28" i="123"/>
  <c r="BB28" i="117"/>
  <c r="BB19" i="117" s="1"/>
  <c r="AN28" i="130"/>
  <c r="AO7" i="129"/>
  <c r="AO6" i="129" s="1"/>
  <c r="AQ19" i="120"/>
  <c r="AQ59" i="120" s="1"/>
  <c r="AA47" i="123"/>
  <c r="R47" i="123" s="1"/>
  <c r="X28" i="122"/>
  <c r="X19" i="122" s="1"/>
  <c r="F45" i="119"/>
  <c r="E45" i="119" s="1"/>
  <c r="F40" i="121"/>
  <c r="E40" i="121" s="1"/>
  <c r="AA54" i="122"/>
  <c r="R54" i="122" s="1"/>
  <c r="AA40" i="124"/>
  <c r="O7" i="121"/>
  <c r="AA27" i="126"/>
  <c r="F32" i="119"/>
  <c r="E32" i="119" s="1"/>
  <c r="BA7" i="124"/>
  <c r="BA6" i="124" s="1"/>
  <c r="F43" i="118"/>
  <c r="E43" i="118" s="1"/>
  <c r="AA53" i="124"/>
  <c r="AM7" i="123"/>
  <c r="K19" i="124"/>
  <c r="S7" i="117"/>
  <c r="S6" i="117" s="1"/>
  <c r="AX28" i="118"/>
  <c r="AZ7" i="122"/>
  <c r="AZ6" i="122" s="1"/>
  <c r="F12" i="121"/>
  <c r="W7" i="122"/>
  <c r="W6" i="122" s="1"/>
  <c r="AA57" i="118"/>
  <c r="R57" i="118" s="1"/>
  <c r="N28" i="124"/>
  <c r="N19" i="124" s="1"/>
  <c r="T28" i="119"/>
  <c r="BD28" i="119"/>
  <c r="BD19" i="119" s="1"/>
  <c r="AA22" i="123"/>
  <c r="R22" i="123" s="1"/>
  <c r="O7" i="120"/>
  <c r="F33" i="119"/>
  <c r="E33" i="119" s="1"/>
  <c r="AX7" i="118"/>
  <c r="AX6" i="118" s="1"/>
  <c r="F13" i="123"/>
  <c r="E13" i="123" s="1"/>
  <c r="AA14" i="117"/>
  <c r="R14" i="117" s="1"/>
  <c r="F10" i="123"/>
  <c r="E10" i="123" s="1"/>
  <c r="F49" i="131"/>
  <c r="E49" i="131" s="1"/>
  <c r="H28" i="117"/>
  <c r="H19" i="117" s="1"/>
  <c r="AA49" i="118"/>
  <c r="R49" i="118" s="1"/>
  <c r="S7" i="120"/>
  <c r="S6" i="120" s="1"/>
  <c r="F35" i="122"/>
  <c r="E35" i="122" s="1"/>
  <c r="AA10" i="119"/>
  <c r="R10" i="119" s="1"/>
  <c r="F18" i="121"/>
  <c r="E18" i="121" s="1"/>
  <c r="F53" i="120"/>
  <c r="E53" i="120" s="1"/>
  <c r="BC28" i="122"/>
  <c r="BC19" i="122" s="1"/>
  <c r="AY28" i="121"/>
  <c r="AY19" i="121" s="1"/>
  <c r="F20" i="121"/>
  <c r="E20" i="121" s="1"/>
  <c r="G19" i="121"/>
  <c r="AA14" i="122"/>
  <c r="R14" i="122" s="1"/>
  <c r="R15" i="120"/>
  <c r="Y28" i="130"/>
  <c r="R20" i="121"/>
  <c r="AA41" i="124"/>
  <c r="R41" i="124" s="1"/>
  <c r="BE28" i="117"/>
  <c r="BE19" i="117" s="1"/>
  <c r="AU28" i="120"/>
  <c r="AK28" i="119"/>
  <c r="AK19" i="119" s="1"/>
  <c r="AK59" i="119" s="1"/>
  <c r="Q7" i="123"/>
  <c r="Q6" i="123" s="1"/>
  <c r="F42" i="123"/>
  <c r="E42" i="123" s="1"/>
  <c r="H28" i="127"/>
  <c r="AA20" i="123"/>
  <c r="AU7" i="117"/>
  <c r="AU6" i="117" s="1"/>
  <c r="R52" i="122"/>
  <c r="F32" i="122"/>
  <c r="E32" i="122" s="1"/>
  <c r="AA41" i="123"/>
  <c r="F42" i="119"/>
  <c r="E42" i="119" s="1"/>
  <c r="O7" i="124"/>
  <c r="AV28" i="127"/>
  <c r="AV19" i="127" s="1"/>
  <c r="AV59" i="127" s="1"/>
  <c r="AS28" i="118"/>
  <c r="AQ28" i="125"/>
  <c r="AA49" i="129"/>
  <c r="R49" i="129" s="1"/>
  <c r="AF28" i="120"/>
  <c r="AF19" i="120" s="1"/>
  <c r="AF59" i="120" s="1"/>
  <c r="F15" i="117"/>
  <c r="E15" i="117" s="1"/>
  <c r="AX7" i="121"/>
  <c r="AX6" i="121" s="1"/>
  <c r="AA14" i="121"/>
  <c r="AA34" i="123"/>
  <c r="R34" i="123" s="1"/>
  <c r="F35" i="128"/>
  <c r="E35" i="128" s="1"/>
  <c r="AA50" i="124"/>
  <c r="R50" i="124" s="1"/>
  <c r="AF7" i="125"/>
  <c r="AF6" i="125" s="1"/>
  <c r="AV7" i="122"/>
  <c r="AV6" i="122" s="1"/>
  <c r="AV7" i="127"/>
  <c r="AV6" i="127" s="1"/>
  <c r="Y28" i="128"/>
  <c r="AG7" i="123"/>
  <c r="AG6" i="123" s="1"/>
  <c r="AT7" i="127"/>
  <c r="AT6" i="127" s="1"/>
  <c r="AA8" i="122"/>
  <c r="R8" i="122" s="1"/>
  <c r="AB7" i="122"/>
  <c r="AB6" i="122" s="1"/>
  <c r="AB59" i="122" s="1"/>
  <c r="AD28" i="119"/>
  <c r="AD19" i="119" s="1"/>
  <c r="Q28" i="117"/>
  <c r="Q19" i="117" s="1"/>
  <c r="F25" i="123"/>
  <c r="E25" i="123" s="1"/>
  <c r="S7" i="121"/>
  <c r="S6" i="121" s="1"/>
  <c r="AA52" i="121"/>
  <c r="R52" i="121" s="1"/>
  <c r="AK7" i="118"/>
  <c r="AK6" i="118" s="1"/>
  <c r="F17" i="118"/>
  <c r="E17" i="118" s="1"/>
  <c r="T28" i="121"/>
  <c r="T19" i="121" s="1"/>
  <c r="AP7" i="117"/>
  <c r="AP6" i="117" s="1"/>
  <c r="AA26" i="117"/>
  <c r="AR7" i="123"/>
  <c r="AR6" i="123" s="1"/>
  <c r="O28" i="125"/>
  <c r="AC7" i="127"/>
  <c r="AC6" i="127" s="1"/>
  <c r="F26" i="118"/>
  <c r="E26" i="118" s="1"/>
  <c r="AA52" i="118"/>
  <c r="R52" i="118" s="1"/>
  <c r="AG28" i="118"/>
  <c r="AA51" i="123"/>
  <c r="W7" i="128"/>
  <c r="AN28" i="120"/>
  <c r="AN19" i="120" s="1"/>
  <c r="AP28" i="117"/>
  <c r="AP19" i="117" s="1"/>
  <c r="M7" i="125"/>
  <c r="M6" i="125" s="1"/>
  <c r="AY7" i="122"/>
  <c r="AY6" i="122" s="1"/>
  <c r="W28" i="124"/>
  <c r="W19" i="124" s="1"/>
  <c r="W59" i="124" s="1"/>
  <c r="AR7" i="119"/>
  <c r="AR6" i="119" s="1"/>
  <c r="AV7" i="124"/>
  <c r="AV6" i="124" s="1"/>
  <c r="AA36" i="119"/>
  <c r="R36" i="119" s="1"/>
  <c r="AE28" i="123"/>
  <c r="AE19" i="123" s="1"/>
  <c r="AE59" i="123" s="1"/>
  <c r="F25" i="118"/>
  <c r="E25" i="118" s="1"/>
  <c r="O7" i="119"/>
  <c r="AN28" i="124"/>
  <c r="AA23" i="124"/>
  <c r="R23" i="124" s="1"/>
  <c r="AO28" i="121"/>
  <c r="AO19" i="121" s="1"/>
  <c r="F16" i="121"/>
  <c r="E16" i="121" s="1"/>
  <c r="BF16" i="121" s="1"/>
  <c r="O16" i="121" s="1"/>
  <c r="AA18" i="119"/>
  <c r="R18" i="119" s="1"/>
  <c r="R34" i="122"/>
  <c r="F58" i="121"/>
  <c r="L7" i="120"/>
  <c r="L6" i="120" s="1"/>
  <c r="F53" i="124"/>
  <c r="E53" i="124" s="1"/>
  <c r="P7" i="123"/>
  <c r="AS28" i="127"/>
  <c r="AS19" i="127" s="1"/>
  <c r="F45" i="121"/>
  <c r="E45" i="121" s="1"/>
  <c r="BC7" i="122"/>
  <c r="BC6" i="122" s="1"/>
  <c r="BE28" i="120"/>
  <c r="BE19" i="120" s="1"/>
  <c r="BE59" i="120" s="1"/>
  <c r="AS59" i="122"/>
  <c r="F49" i="127"/>
  <c r="E49" i="127" s="1"/>
  <c r="F40" i="123"/>
  <c r="E40" i="123" s="1"/>
  <c r="X19" i="120"/>
  <c r="O28" i="123"/>
  <c r="F18" i="117"/>
  <c r="E18" i="117" s="1"/>
  <c r="F24" i="120"/>
  <c r="E24" i="120" s="1"/>
  <c r="AX7" i="129"/>
  <c r="AX6" i="129" s="1"/>
  <c r="AA51" i="122"/>
  <c r="R51" i="122" s="1"/>
  <c r="AI7" i="124"/>
  <c r="AI6" i="124" s="1"/>
  <c r="BA28" i="118"/>
  <c r="BA19" i="118" s="1"/>
  <c r="BA59" i="118" s="1"/>
  <c r="F46" i="128"/>
  <c r="E46" i="128" s="1"/>
  <c r="AA9" i="122"/>
  <c r="R9" i="122" s="1"/>
  <c r="L7" i="122"/>
  <c r="L6" i="122" s="1"/>
  <c r="AR28" i="119"/>
  <c r="AR19" i="119" s="1"/>
  <c r="AR59" i="119" s="1"/>
  <c r="AA58" i="122"/>
  <c r="R58" i="122" s="1"/>
  <c r="AW28" i="124"/>
  <c r="H28" i="122"/>
  <c r="U28" i="119"/>
  <c r="U19" i="119" s="1"/>
  <c r="U28" i="118"/>
  <c r="U19" i="118" s="1"/>
  <c r="P7" i="124"/>
  <c r="BA7" i="122"/>
  <c r="BA6" i="122" s="1"/>
  <c r="AY19" i="117"/>
  <c r="M28" i="121"/>
  <c r="M19" i="121" s="1"/>
  <c r="P19" i="117"/>
  <c r="X28" i="117"/>
  <c r="X19" i="117" s="1"/>
  <c r="U7" i="125"/>
  <c r="U6" i="125" s="1"/>
  <c r="T28" i="117"/>
  <c r="T19" i="117" s="1"/>
  <c r="F48" i="120"/>
  <c r="E48" i="120" s="1"/>
  <c r="F23" i="117"/>
  <c r="E23" i="117" s="1"/>
  <c r="AK28" i="122"/>
  <c r="AA33" i="117"/>
  <c r="R33" i="117" s="1"/>
  <c r="AW28" i="117"/>
  <c r="AW19" i="117" s="1"/>
  <c r="F17" i="117"/>
  <c r="E17" i="117" s="1"/>
  <c r="AA40" i="121"/>
  <c r="R40" i="121" s="1"/>
  <c r="AA22" i="122"/>
  <c r="AA13" i="128"/>
  <c r="R13" i="128" s="1"/>
  <c r="F31" i="117"/>
  <c r="E31" i="117" s="1"/>
  <c r="AX7" i="123"/>
  <c r="AX6" i="123" s="1"/>
  <c r="L28" i="124"/>
  <c r="L19" i="124" s="1"/>
  <c r="BB7" i="117"/>
  <c r="BB6" i="117" s="1"/>
  <c r="AA57" i="122"/>
  <c r="R57" i="122" s="1"/>
  <c r="AS28" i="125"/>
  <c r="AS19" i="125" s="1"/>
  <c r="AF7" i="128"/>
  <c r="AO7" i="124"/>
  <c r="AO6" i="124" s="1"/>
  <c r="AY28" i="123"/>
  <c r="F46" i="123"/>
  <c r="E46" i="123" s="1"/>
  <c r="AA23" i="118"/>
  <c r="R23" i="118" s="1"/>
  <c r="BF23" i="118" s="1"/>
  <c r="AA24" i="123"/>
  <c r="R24" i="123" s="1"/>
  <c r="BF24" i="123" s="1"/>
  <c r="AQ7" i="121"/>
  <c r="AQ6" i="121" s="1"/>
  <c r="AA16" i="124"/>
  <c r="R16" i="124" s="1"/>
  <c r="Q7" i="119"/>
  <c r="Q6" i="119" s="1"/>
  <c r="BE7" i="119"/>
  <c r="BE6" i="119" s="1"/>
  <c r="F46" i="119"/>
  <c r="E46" i="119" s="1"/>
  <c r="S28" i="117"/>
  <c r="S19" i="117" s="1"/>
  <c r="S59" i="117" s="1"/>
  <c r="BG20" i="117" s="1"/>
  <c r="BH20" i="117" s="1"/>
  <c r="F11" i="119"/>
  <c r="AP28" i="119"/>
  <c r="AP19" i="119" s="1"/>
  <c r="AP59" i="119" s="1"/>
  <c r="AA45" i="124"/>
  <c r="AL19" i="123"/>
  <c r="AL59" i="123" s="1"/>
  <c r="AE28" i="120"/>
  <c r="AE19" i="120" s="1"/>
  <c r="F12" i="118"/>
  <c r="E12" i="118" s="1"/>
  <c r="AH28" i="127"/>
  <c r="R46" i="123"/>
  <c r="W7" i="120"/>
  <c r="W6" i="120" s="1"/>
  <c r="AZ7" i="121"/>
  <c r="AZ6" i="121" s="1"/>
  <c r="AD28" i="122"/>
  <c r="AD19" i="122" s="1"/>
  <c r="BD19" i="120"/>
  <c r="R51" i="123"/>
  <c r="AA17" i="117"/>
  <c r="R17" i="117" s="1"/>
  <c r="F46" i="122"/>
  <c r="E46" i="122" s="1"/>
  <c r="F22" i="122"/>
  <c r="E22" i="122" s="1"/>
  <c r="AA31" i="121"/>
  <c r="R31" i="121" s="1"/>
  <c r="AJ28" i="121"/>
  <c r="AJ19" i="121" s="1"/>
  <c r="AX28" i="125"/>
  <c r="F23" i="121"/>
  <c r="E23" i="121" s="1"/>
  <c r="AE28" i="117"/>
  <c r="AE19" i="117" s="1"/>
  <c r="AP28" i="122"/>
  <c r="AP19" i="122" s="1"/>
  <c r="AL7" i="125"/>
  <c r="AL6" i="125" s="1"/>
  <c r="E11" i="121"/>
  <c r="BF11" i="121" s="1"/>
  <c r="J11" i="121" s="1"/>
  <c r="U7" i="118"/>
  <c r="U6" i="118" s="1"/>
  <c r="AX7" i="125"/>
  <c r="AX6" i="125" s="1"/>
  <c r="AT19" i="118"/>
  <c r="AT59" i="118" s="1"/>
  <c r="F53" i="126"/>
  <c r="E53" i="126" s="1"/>
  <c r="K28" i="123"/>
  <c r="K19" i="123" s="1"/>
  <c r="AH19" i="122"/>
  <c r="F16" i="120"/>
  <c r="E16" i="120" s="1"/>
  <c r="AT7" i="124"/>
  <c r="AT6" i="124" s="1"/>
  <c r="AA47" i="122"/>
  <c r="R47" i="122" s="1"/>
  <c r="Y7" i="118"/>
  <c r="Y6" i="118" s="1"/>
  <c r="P28" i="123"/>
  <c r="P19" i="123" s="1"/>
  <c r="AA42" i="123"/>
  <c r="R42" i="123" s="1"/>
  <c r="AA43" i="124"/>
  <c r="R43" i="124" s="1"/>
  <c r="AM7" i="121"/>
  <c r="AM6" i="121" s="1"/>
  <c r="Q28" i="118"/>
  <c r="Q19" i="118" s="1"/>
  <c r="Q59" i="118" s="1"/>
  <c r="S19" i="118"/>
  <c r="R21" i="118"/>
  <c r="T28" i="127"/>
  <c r="T19" i="127" s="1"/>
  <c r="AV28" i="124"/>
  <c r="AV19" i="124" s="1"/>
  <c r="AV59" i="124" s="1"/>
  <c r="I7" i="124"/>
  <c r="I6" i="124" s="1"/>
  <c r="BB7" i="123"/>
  <c r="BB6" i="123" s="1"/>
  <c r="AS28" i="119"/>
  <c r="AS19" i="119" s="1"/>
  <c r="F39" i="119"/>
  <c r="E39" i="119" s="1"/>
  <c r="F14" i="119"/>
  <c r="E14" i="119" s="1"/>
  <c r="J7" i="120"/>
  <c r="J6" i="120" s="1"/>
  <c r="AU28" i="123"/>
  <c r="AU19" i="123" s="1"/>
  <c r="AU59" i="123" s="1"/>
  <c r="F23" i="124"/>
  <c r="E23" i="124" s="1"/>
  <c r="AA46" i="128"/>
  <c r="R46" i="128" s="1"/>
  <c r="I28" i="121"/>
  <c r="I19" i="121" s="1"/>
  <c r="I59" i="121" s="1"/>
  <c r="BE7" i="123"/>
  <c r="BE6" i="123" s="1"/>
  <c r="BE59" i="123" s="1"/>
  <c r="AA11" i="123"/>
  <c r="R11" i="123" s="1"/>
  <c r="AE28" i="118"/>
  <c r="AE19" i="118" s="1"/>
  <c r="AE59" i="118" s="1"/>
  <c r="AA14" i="124"/>
  <c r="R14" i="124" s="1"/>
  <c r="F33" i="124"/>
  <c r="E33" i="124" s="1"/>
  <c r="AU28" i="129"/>
  <c r="F24" i="122"/>
  <c r="E24" i="122" s="1"/>
  <c r="H28" i="118"/>
  <c r="H19" i="118" s="1"/>
  <c r="F10" i="121"/>
  <c r="E10" i="121" s="1"/>
  <c r="AA35" i="121"/>
  <c r="R35" i="121" s="1"/>
  <c r="BF35" i="121" s="1"/>
  <c r="AH35" i="121" s="1"/>
  <c r="AO7" i="123"/>
  <c r="AO6" i="123" s="1"/>
  <c r="AR7" i="125"/>
  <c r="AR6" i="125" s="1"/>
  <c r="BE7" i="129"/>
  <c r="BE6" i="129" s="1"/>
  <c r="S7" i="128"/>
  <c r="S6" i="128" s="1"/>
  <c r="R50" i="122"/>
  <c r="F50" i="125"/>
  <c r="E50" i="125" s="1"/>
  <c r="F55" i="119"/>
  <c r="E55" i="119" s="1"/>
  <c r="AA48" i="124"/>
  <c r="AT28" i="126"/>
  <c r="N28" i="123"/>
  <c r="N19" i="123" s="1"/>
  <c r="AA35" i="118"/>
  <c r="R35" i="118" s="1"/>
  <c r="BF35" i="118" s="1"/>
  <c r="AH35" i="118" s="1"/>
  <c r="AS7" i="119"/>
  <c r="AS6" i="119" s="1"/>
  <c r="I7" i="117"/>
  <c r="I6" i="117" s="1"/>
  <c r="T7" i="121"/>
  <c r="T6" i="121" s="1"/>
  <c r="H28" i="124"/>
  <c r="AH7" i="119"/>
  <c r="AH6" i="119" s="1"/>
  <c r="F11" i="123"/>
  <c r="E11" i="123" s="1"/>
  <c r="AF7" i="126"/>
  <c r="AF6" i="126" s="1"/>
  <c r="S28" i="122"/>
  <c r="S19" i="122" s="1"/>
  <c r="AV19" i="119"/>
  <c r="AU7" i="119"/>
  <c r="AU6" i="119" s="1"/>
  <c r="AA24" i="121"/>
  <c r="R24" i="121" s="1"/>
  <c r="BF24" i="121" s="1"/>
  <c r="F16" i="119"/>
  <c r="F53" i="119"/>
  <c r="E53" i="119" s="1"/>
  <c r="AZ7" i="119"/>
  <c r="AZ6" i="119" s="1"/>
  <c r="AA29" i="119"/>
  <c r="R29" i="119" s="1"/>
  <c r="AC28" i="119"/>
  <c r="AC19" i="119" s="1"/>
  <c r="F41" i="121"/>
  <c r="E41" i="121" s="1"/>
  <c r="AE19" i="121"/>
  <c r="AE59" i="121" s="1"/>
  <c r="Q28" i="121"/>
  <c r="Q19" i="121" s="1"/>
  <c r="Q59" i="121" s="1"/>
  <c r="AA8" i="119"/>
  <c r="R8" i="119" s="1"/>
  <c r="AB7" i="119"/>
  <c r="AB6" i="119" s="1"/>
  <c r="AP7" i="120"/>
  <c r="AP6" i="120" s="1"/>
  <c r="BE28" i="125"/>
  <c r="V7" i="123"/>
  <c r="V6" i="123" s="1"/>
  <c r="AU7" i="122"/>
  <c r="AU6" i="122" s="1"/>
  <c r="R33" i="120"/>
  <c r="F33" i="117"/>
  <c r="E33" i="117" s="1"/>
  <c r="Z7" i="120"/>
  <c r="Z6" i="120" s="1"/>
  <c r="R48" i="123"/>
  <c r="BF48" i="123" s="1"/>
  <c r="AU48" i="123" s="1"/>
  <c r="AZ28" i="123"/>
  <c r="AZ19" i="123" s="1"/>
  <c r="Q7" i="121"/>
  <c r="Q6" i="121" s="1"/>
  <c r="R36" i="122"/>
  <c r="BF36" i="122" s="1"/>
  <c r="AI36" i="122" s="1"/>
  <c r="AA27" i="123"/>
  <c r="R27" i="123" s="1"/>
  <c r="BF27" i="123" s="1"/>
  <c r="Z27" i="123" s="1"/>
  <c r="O7" i="122"/>
  <c r="AK28" i="125"/>
  <c r="AA48" i="122"/>
  <c r="AA20" i="122"/>
  <c r="AF19" i="122"/>
  <c r="AA43" i="120"/>
  <c r="R43" i="120" s="1"/>
  <c r="AA31" i="126"/>
  <c r="R31" i="126" s="1"/>
  <c r="X7" i="124"/>
  <c r="X6" i="124" s="1"/>
  <c r="T7" i="124"/>
  <c r="T6" i="124" s="1"/>
  <c r="F48" i="123"/>
  <c r="E48" i="123" s="1"/>
  <c r="AO28" i="118"/>
  <c r="AO19" i="118" s="1"/>
  <c r="AO59" i="118" s="1"/>
  <c r="F12" i="119"/>
  <c r="E12" i="119" s="1"/>
  <c r="F44" i="119"/>
  <c r="E44" i="119" s="1"/>
  <c r="AV28" i="123"/>
  <c r="AV19" i="123" s="1"/>
  <c r="AJ28" i="122"/>
  <c r="AJ19" i="122" s="1"/>
  <c r="AA8" i="124"/>
  <c r="R8" i="124" s="1"/>
  <c r="AB7" i="124"/>
  <c r="AB6" i="124" s="1"/>
  <c r="AB28" i="128"/>
  <c r="AA30" i="128"/>
  <c r="R30" i="128" s="1"/>
  <c r="F22" i="126"/>
  <c r="E22" i="126" s="1"/>
  <c r="R57" i="123"/>
  <c r="AM28" i="120"/>
  <c r="AM19" i="120" s="1"/>
  <c r="F20" i="125"/>
  <c r="E20" i="125" s="1"/>
  <c r="AP7" i="123"/>
  <c r="AP6" i="123" s="1"/>
  <c r="AA9" i="124"/>
  <c r="R9" i="124" s="1"/>
  <c r="S7" i="119"/>
  <c r="S6" i="119" s="1"/>
  <c r="AE28" i="127"/>
  <c r="AS7" i="123"/>
  <c r="AS6" i="123" s="1"/>
  <c r="Z7" i="123"/>
  <c r="Z6" i="123" s="1"/>
  <c r="AG28" i="129"/>
  <c r="AA38" i="124"/>
  <c r="R38" i="124" s="1"/>
  <c r="AQ7" i="128"/>
  <c r="AQ6" i="128" s="1"/>
  <c r="AA17" i="120"/>
  <c r="R17" i="120" s="1"/>
  <c r="AJ7" i="120"/>
  <c r="AJ6" i="120" s="1"/>
  <c r="N7" i="119"/>
  <c r="R49" i="121"/>
  <c r="O28" i="121"/>
  <c r="K19" i="121"/>
  <c r="AI28" i="123"/>
  <c r="AI19" i="123" s="1"/>
  <c r="AI59" i="123" s="1"/>
  <c r="BE28" i="128"/>
  <c r="AA27" i="119"/>
  <c r="R27" i="119" s="1"/>
  <c r="BC7" i="119"/>
  <c r="BC6" i="119" s="1"/>
  <c r="V28" i="124"/>
  <c r="V19" i="124" s="1"/>
  <c r="V59" i="124" s="1"/>
  <c r="AA29" i="121"/>
  <c r="R29" i="121" s="1"/>
  <c r="AC28" i="121"/>
  <c r="AC19" i="121" s="1"/>
  <c r="AA15" i="121"/>
  <c r="R15" i="121" s="1"/>
  <c r="AA13" i="119"/>
  <c r="R13" i="119" s="1"/>
  <c r="AI7" i="119"/>
  <c r="AI6" i="119" s="1"/>
  <c r="Y28" i="121"/>
  <c r="Y19" i="121" s="1"/>
  <c r="Y59" i="121" s="1"/>
  <c r="F27" i="121"/>
  <c r="E27" i="121" s="1"/>
  <c r="O28" i="124"/>
  <c r="O19" i="124" s="1"/>
  <c r="AP19" i="124"/>
  <c r="AH7" i="120"/>
  <c r="AH6" i="120" s="1"/>
  <c r="AZ28" i="117"/>
  <c r="AZ19" i="117" s="1"/>
  <c r="AZ59" i="117" s="1"/>
  <c r="K28" i="117"/>
  <c r="K19" i="117" s="1"/>
  <c r="AD28" i="124"/>
  <c r="AD19" i="124" s="1"/>
  <c r="AB28" i="127"/>
  <c r="AA30" i="127"/>
  <c r="R30" i="127" s="1"/>
  <c r="G7" i="117"/>
  <c r="G6" i="117" s="1"/>
  <c r="F9" i="117"/>
  <c r="E9" i="117" s="1"/>
  <c r="J7" i="126"/>
  <c r="J6" i="126" s="1"/>
  <c r="BD7" i="118"/>
  <c r="BD6" i="118" s="1"/>
  <c r="AN19" i="123"/>
  <c r="U7" i="119"/>
  <c r="U6" i="119" s="1"/>
  <c r="L28" i="119"/>
  <c r="L19" i="119" s="1"/>
  <c r="AA22" i="119"/>
  <c r="R22" i="119" s="1"/>
  <c r="F34" i="127"/>
  <c r="E34" i="127" s="1"/>
  <c r="AD28" i="125"/>
  <c r="AD19" i="125" s="1"/>
  <c r="F15" i="122"/>
  <c r="E15" i="122" s="1"/>
  <c r="F57" i="130"/>
  <c r="E57" i="130" s="1"/>
  <c r="F10" i="125"/>
  <c r="Z7" i="127"/>
  <c r="Z6" i="127" s="1"/>
  <c r="AA10" i="123"/>
  <c r="R10" i="123" s="1"/>
  <c r="AB7" i="131"/>
  <c r="AB6" i="131" s="1"/>
  <c r="AA8" i="131"/>
  <c r="R8" i="131" s="1"/>
  <c r="F41" i="124"/>
  <c r="E41" i="124" s="1"/>
  <c r="T7" i="117"/>
  <c r="T6" i="117" s="1"/>
  <c r="R12" i="117"/>
  <c r="AA22" i="117"/>
  <c r="R22" i="117" s="1"/>
  <c r="AA16" i="125"/>
  <c r="R16" i="125" s="1"/>
  <c r="J7" i="118"/>
  <c r="J6" i="118" s="1"/>
  <c r="R12" i="128"/>
  <c r="AA56" i="121"/>
  <c r="R56" i="121" s="1"/>
  <c r="F50" i="121"/>
  <c r="E50" i="121" s="1"/>
  <c r="F13" i="121"/>
  <c r="E13" i="121" s="1"/>
  <c r="F42" i="131"/>
  <c r="E42" i="131" s="1"/>
  <c r="F38" i="124"/>
  <c r="E38" i="124" s="1"/>
  <c r="AA16" i="122"/>
  <c r="R16" i="122" s="1"/>
  <c r="BF21" i="122"/>
  <c r="T21" i="122" s="1"/>
  <c r="AA40" i="126"/>
  <c r="R40" i="126" s="1"/>
  <c r="AA22" i="118"/>
  <c r="R22" i="118" s="1"/>
  <c r="AA18" i="125"/>
  <c r="AZ28" i="126"/>
  <c r="AZ19" i="126" s="1"/>
  <c r="AA51" i="126"/>
  <c r="P7" i="125"/>
  <c r="R26" i="126"/>
  <c r="V28" i="126"/>
  <c r="F32" i="117"/>
  <c r="E32" i="117" s="1"/>
  <c r="U28" i="117"/>
  <c r="U19" i="117" s="1"/>
  <c r="R42" i="120"/>
  <c r="R41" i="123"/>
  <c r="F14" i="123"/>
  <c r="E14" i="123" s="1"/>
  <c r="F34" i="130"/>
  <c r="E34" i="130" s="1"/>
  <c r="AI28" i="127"/>
  <c r="BB28" i="130"/>
  <c r="AL7" i="122"/>
  <c r="AL6" i="122" s="1"/>
  <c r="AI7" i="125"/>
  <c r="AI6" i="125" s="1"/>
  <c r="F33" i="126"/>
  <c r="E33" i="126" s="1"/>
  <c r="X7" i="128"/>
  <c r="X6" i="128" s="1"/>
  <c r="BE7" i="126"/>
  <c r="BE6" i="126" s="1"/>
  <c r="AZ7" i="126"/>
  <c r="AZ6" i="126" s="1"/>
  <c r="AB28" i="131"/>
  <c r="AB19" i="131" s="1"/>
  <c r="AA30" i="131"/>
  <c r="R30" i="131" s="1"/>
  <c r="F47" i="127"/>
  <c r="E47" i="127" s="1"/>
  <c r="AR28" i="117"/>
  <c r="AR19" i="117" s="1"/>
  <c r="AR59" i="117" s="1"/>
  <c r="AA50" i="123"/>
  <c r="R50" i="123" s="1"/>
  <c r="BF50" i="123" s="1"/>
  <c r="AW50" i="123" s="1"/>
  <c r="F55" i="128"/>
  <c r="E55" i="128" s="1"/>
  <c r="AA10" i="124"/>
  <c r="R10" i="124" s="1"/>
  <c r="F11" i="128"/>
  <c r="E11" i="128" s="1"/>
  <c r="BF11" i="128" s="1"/>
  <c r="J11" i="128" s="1"/>
  <c r="AA39" i="130"/>
  <c r="R39" i="130" s="1"/>
  <c r="W28" i="125"/>
  <c r="W19" i="125" s="1"/>
  <c r="AA49" i="131"/>
  <c r="N28" i="118"/>
  <c r="N19" i="118" s="1"/>
  <c r="AV7" i="128"/>
  <c r="AV6" i="128" s="1"/>
  <c r="L7" i="130"/>
  <c r="L6" i="130" s="1"/>
  <c r="AA25" i="129"/>
  <c r="R25" i="129" s="1"/>
  <c r="F27" i="129"/>
  <c r="E27" i="129" s="1"/>
  <c r="AC7" i="130"/>
  <c r="X28" i="125"/>
  <c r="X19" i="125" s="1"/>
  <c r="AH59" i="123"/>
  <c r="AN28" i="129"/>
  <c r="AA20" i="128"/>
  <c r="AB19" i="128"/>
  <c r="T19" i="118"/>
  <c r="T59" i="118" s="1"/>
  <c r="R20" i="118"/>
  <c r="AA18" i="129"/>
  <c r="F16" i="131"/>
  <c r="E16" i="131" s="1"/>
  <c r="AA15" i="125"/>
  <c r="R15" i="125" s="1"/>
  <c r="F26" i="128"/>
  <c r="E26" i="128" s="1"/>
  <c r="AE7" i="124"/>
  <c r="AE6" i="124" s="1"/>
  <c r="AH28" i="121"/>
  <c r="AH19" i="121" s="1"/>
  <c r="AH59" i="121" s="1"/>
  <c r="AA18" i="117"/>
  <c r="R18" i="117" s="1"/>
  <c r="AU19" i="117"/>
  <c r="AA13" i="117"/>
  <c r="R13" i="117" s="1"/>
  <c r="X7" i="117"/>
  <c r="X6" i="117" s="1"/>
  <c r="AX7" i="127"/>
  <c r="AX6" i="127" s="1"/>
  <c r="AA18" i="121"/>
  <c r="R18" i="121" s="1"/>
  <c r="AA23" i="121"/>
  <c r="R23" i="121" s="1"/>
  <c r="BF23" i="121" s="1"/>
  <c r="V23" i="121" s="1"/>
  <c r="AA25" i="125"/>
  <c r="R25" i="125" s="1"/>
  <c r="AA17" i="125"/>
  <c r="R17" i="125" s="1"/>
  <c r="AG19" i="129"/>
  <c r="F20" i="126"/>
  <c r="E20" i="126" s="1"/>
  <c r="BB19" i="123"/>
  <c r="BB59" i="123" s="1"/>
  <c r="F41" i="126"/>
  <c r="E41" i="126" s="1"/>
  <c r="F46" i="124"/>
  <c r="E46" i="124" s="1"/>
  <c r="AA9" i="119"/>
  <c r="R9" i="119" s="1"/>
  <c r="AA58" i="123"/>
  <c r="R58" i="123" s="1"/>
  <c r="AA46" i="118"/>
  <c r="R46" i="118" s="1"/>
  <c r="BF46" i="118" s="1"/>
  <c r="AS46" i="118" s="1"/>
  <c r="AA32" i="123"/>
  <c r="R32" i="123" s="1"/>
  <c r="AA38" i="120"/>
  <c r="R38" i="120" s="1"/>
  <c r="Y28" i="117"/>
  <c r="Y19" i="117" s="1"/>
  <c r="Y59" i="117" s="1"/>
  <c r="F45" i="130"/>
  <c r="E45" i="130" s="1"/>
  <c r="F10" i="117"/>
  <c r="E10" i="117" s="1"/>
  <c r="F48" i="129"/>
  <c r="E48" i="129" s="1"/>
  <c r="F21" i="128"/>
  <c r="E21" i="128" s="1"/>
  <c r="AA44" i="129"/>
  <c r="R44" i="129" s="1"/>
  <c r="AJ28" i="127"/>
  <c r="AJ19" i="127" s="1"/>
  <c r="AA54" i="123"/>
  <c r="F23" i="123"/>
  <c r="E23" i="123" s="1"/>
  <c r="AA34" i="118"/>
  <c r="R34" i="118" s="1"/>
  <c r="AA49" i="122"/>
  <c r="R49" i="122" s="1"/>
  <c r="AC7" i="124"/>
  <c r="AC6" i="124" s="1"/>
  <c r="AQ28" i="117"/>
  <c r="AQ19" i="117" s="1"/>
  <c r="AG28" i="117"/>
  <c r="AG19" i="117" s="1"/>
  <c r="AG59" i="117" s="1"/>
  <c r="BA7" i="127"/>
  <c r="BA6" i="127" s="1"/>
  <c r="N28" i="125"/>
  <c r="N19" i="125" s="1"/>
  <c r="Y7" i="125"/>
  <c r="Y6" i="125" s="1"/>
  <c r="F17" i="125"/>
  <c r="E17" i="125" s="1"/>
  <c r="N7" i="130"/>
  <c r="N6" i="130" s="1"/>
  <c r="R26" i="125"/>
  <c r="L28" i="128"/>
  <c r="X7" i="127"/>
  <c r="X6" i="127" s="1"/>
  <c r="AA13" i="127"/>
  <c r="R13" i="127" s="1"/>
  <c r="AM28" i="124"/>
  <c r="AB7" i="123"/>
  <c r="AB6" i="123" s="1"/>
  <c r="AB59" i="123" s="1"/>
  <c r="AA8" i="123"/>
  <c r="R8" i="123" s="1"/>
  <c r="AA40" i="125"/>
  <c r="AA16" i="130"/>
  <c r="R16" i="130" s="1"/>
  <c r="Y19" i="122"/>
  <c r="Y59" i="122" s="1"/>
  <c r="H28" i="121"/>
  <c r="H19" i="121" s="1"/>
  <c r="H59" i="121" s="1"/>
  <c r="AJ28" i="117"/>
  <c r="AJ19" i="117" s="1"/>
  <c r="AA55" i="127"/>
  <c r="R55" i="127" s="1"/>
  <c r="AJ28" i="123"/>
  <c r="AJ19" i="123" s="1"/>
  <c r="AJ59" i="123" s="1"/>
  <c r="N7" i="127"/>
  <c r="N6" i="127" s="1"/>
  <c r="AK7" i="130"/>
  <c r="AK6" i="130" s="1"/>
  <c r="AA57" i="124"/>
  <c r="R57" i="124" s="1"/>
  <c r="AA35" i="124"/>
  <c r="R35" i="124" s="1"/>
  <c r="AA54" i="118"/>
  <c r="R54" i="118" s="1"/>
  <c r="AZ19" i="118"/>
  <c r="AZ59" i="118" s="1"/>
  <c r="AA31" i="130"/>
  <c r="R31" i="130" s="1"/>
  <c r="F52" i="128"/>
  <c r="E52" i="128" s="1"/>
  <c r="F29" i="123"/>
  <c r="G28" i="123"/>
  <c r="S28" i="125"/>
  <c r="S19" i="125" s="1"/>
  <c r="S59" i="125" s="1"/>
  <c r="F56" i="125"/>
  <c r="E56" i="125" s="1"/>
  <c r="AA42" i="128"/>
  <c r="R42" i="128" s="1"/>
  <c r="R55" i="121"/>
  <c r="BF55" i="121" s="1"/>
  <c r="BB55" i="121" s="1"/>
  <c r="AN7" i="121"/>
  <c r="AN6" i="121" s="1"/>
  <c r="Q28" i="124"/>
  <c r="F37" i="126"/>
  <c r="E37" i="126" s="1"/>
  <c r="BF16" i="117"/>
  <c r="O16" i="117" s="1"/>
  <c r="AA10" i="131"/>
  <c r="AA11" i="127"/>
  <c r="AR19" i="123"/>
  <c r="AG7" i="126"/>
  <c r="AG6" i="126" s="1"/>
  <c r="AN7" i="126"/>
  <c r="AN6" i="126" s="1"/>
  <c r="AR28" i="120"/>
  <c r="AR19" i="120" s="1"/>
  <c r="R29" i="120"/>
  <c r="S28" i="120"/>
  <c r="S19" i="120" s="1"/>
  <c r="S59" i="120" s="1"/>
  <c r="F32" i="128"/>
  <c r="E32" i="128" s="1"/>
  <c r="F41" i="127"/>
  <c r="E41" i="127" s="1"/>
  <c r="L28" i="127"/>
  <c r="L19" i="127" s="1"/>
  <c r="AA48" i="127"/>
  <c r="F23" i="131"/>
  <c r="E23" i="131" s="1"/>
  <c r="AA24" i="118"/>
  <c r="R24" i="118" s="1"/>
  <c r="AA21" i="127"/>
  <c r="R21" i="127" s="1"/>
  <c r="AA27" i="130"/>
  <c r="AA26" i="131"/>
  <c r="AA45" i="121"/>
  <c r="R45" i="121" s="1"/>
  <c r="BF45" i="121" s="1"/>
  <c r="AR45" i="121" s="1"/>
  <c r="R54" i="123"/>
  <c r="AA32" i="124"/>
  <c r="R32" i="124" s="1"/>
  <c r="R43" i="123"/>
  <c r="BF43" i="123" s="1"/>
  <c r="AP43" i="123" s="1"/>
  <c r="AA42" i="126"/>
  <c r="R42" i="126" s="1"/>
  <c r="F38" i="129"/>
  <c r="E38" i="129" s="1"/>
  <c r="BC7" i="124"/>
  <c r="BC6" i="124" s="1"/>
  <c r="F9" i="127"/>
  <c r="E9" i="127" s="1"/>
  <c r="G7" i="127"/>
  <c r="G6" i="127" s="1"/>
  <c r="AA47" i="126"/>
  <c r="R47" i="126" s="1"/>
  <c r="F38" i="125"/>
  <c r="E38" i="125" s="1"/>
  <c r="Q28" i="125"/>
  <c r="Q19" i="125" s="1"/>
  <c r="R26" i="131"/>
  <c r="R52" i="119"/>
  <c r="AX28" i="117"/>
  <c r="AX19" i="117" s="1"/>
  <c r="S7" i="129"/>
  <c r="S6" i="129" s="1"/>
  <c r="AC7" i="126"/>
  <c r="AC6" i="126" s="1"/>
  <c r="AQ7" i="126"/>
  <c r="AQ6" i="126" s="1"/>
  <c r="AA52" i="126"/>
  <c r="R52" i="126" s="1"/>
  <c r="BE28" i="126"/>
  <c r="BE19" i="126" s="1"/>
  <c r="BE59" i="126" s="1"/>
  <c r="F34" i="122"/>
  <c r="E34" i="122" s="1"/>
  <c r="AH28" i="125"/>
  <c r="F52" i="121"/>
  <c r="E52" i="121" s="1"/>
  <c r="S7" i="131"/>
  <c r="S6" i="131" s="1"/>
  <c r="F58" i="129"/>
  <c r="AA42" i="127"/>
  <c r="F46" i="129"/>
  <c r="E46" i="129" s="1"/>
  <c r="AA51" i="119"/>
  <c r="R51" i="119" s="1"/>
  <c r="R31" i="118"/>
  <c r="BF31" i="118" s="1"/>
  <c r="AD31" i="118" s="1"/>
  <c r="N19" i="121"/>
  <c r="N59" i="121" s="1"/>
  <c r="AG7" i="121"/>
  <c r="AG6" i="121" s="1"/>
  <c r="R34" i="121"/>
  <c r="AT28" i="124"/>
  <c r="AT19" i="124" s="1"/>
  <c r="AT59" i="124" s="1"/>
  <c r="BF8" i="122"/>
  <c r="G8" i="122" s="1"/>
  <c r="BE7" i="122"/>
  <c r="BE6" i="122" s="1"/>
  <c r="BE59" i="122" s="1"/>
  <c r="AQ7" i="122"/>
  <c r="AQ6" i="122" s="1"/>
  <c r="I7" i="128"/>
  <c r="I6" i="128" s="1"/>
  <c r="F39" i="123"/>
  <c r="E39" i="123" s="1"/>
  <c r="AA55" i="125"/>
  <c r="AK7" i="125"/>
  <c r="AK6" i="125" s="1"/>
  <c r="BA7" i="129"/>
  <c r="BA6" i="129" s="1"/>
  <c r="X7" i="121"/>
  <c r="X6" i="121" s="1"/>
  <c r="F55" i="124"/>
  <c r="E55" i="124" s="1"/>
  <c r="AD7" i="125"/>
  <c r="AD6" i="125" s="1"/>
  <c r="AG28" i="128"/>
  <c r="AB28" i="130"/>
  <c r="AA30" i="130"/>
  <c r="R30" i="130" s="1"/>
  <c r="AP59" i="120"/>
  <c r="F52" i="118"/>
  <c r="E52" i="118" s="1"/>
  <c r="F52" i="119"/>
  <c r="E52" i="119" s="1"/>
  <c r="Q28" i="120"/>
  <c r="Q19" i="120" s="1"/>
  <c r="K7" i="126"/>
  <c r="G28" i="127"/>
  <c r="F29" i="127"/>
  <c r="AB7" i="126"/>
  <c r="AA8" i="126"/>
  <c r="R8" i="126" s="1"/>
  <c r="G28" i="118"/>
  <c r="G19" i="118" s="1"/>
  <c r="G59" i="118" s="1"/>
  <c r="BG8" i="118" s="1"/>
  <c r="BH8" i="118" s="1"/>
  <c r="F29" i="118"/>
  <c r="E29" i="118" s="1"/>
  <c r="BF29" i="118" s="1"/>
  <c r="AB29" i="118" s="1"/>
  <c r="F35" i="124"/>
  <c r="E35" i="124" s="1"/>
  <c r="AP28" i="118"/>
  <c r="AP19" i="118" s="1"/>
  <c r="AI28" i="124"/>
  <c r="AI19" i="124" s="1"/>
  <c r="AQ7" i="117"/>
  <c r="AQ6" i="117" s="1"/>
  <c r="AA40" i="117"/>
  <c r="R40" i="117" s="1"/>
  <c r="BF40" i="117" s="1"/>
  <c r="AM40" i="117" s="1"/>
  <c r="AN7" i="123"/>
  <c r="AN6" i="123" s="1"/>
  <c r="AA44" i="124"/>
  <c r="R56" i="117"/>
  <c r="BF56" i="117" s="1"/>
  <c r="BC56" i="117" s="1"/>
  <c r="F42" i="117"/>
  <c r="E42" i="117" s="1"/>
  <c r="F43" i="120"/>
  <c r="E43" i="120" s="1"/>
  <c r="AY7" i="131"/>
  <c r="AY6" i="131" s="1"/>
  <c r="AA40" i="127"/>
  <c r="F46" i="117"/>
  <c r="E46" i="117" s="1"/>
  <c r="R47" i="117"/>
  <c r="BF47" i="117" s="1"/>
  <c r="AT47" i="117" s="1"/>
  <c r="AA16" i="127"/>
  <c r="AK28" i="117"/>
  <c r="AK19" i="117" s="1"/>
  <c r="AK59" i="117" s="1"/>
  <c r="AU28" i="118"/>
  <c r="AU19" i="118" s="1"/>
  <c r="F31" i="126"/>
  <c r="E31" i="126" s="1"/>
  <c r="F25" i="129"/>
  <c r="E25" i="129" s="1"/>
  <c r="AA11" i="122"/>
  <c r="R11" i="122" s="1"/>
  <c r="R38" i="125"/>
  <c r="G7" i="122"/>
  <c r="G6" i="122" s="1"/>
  <c r="F9" i="122"/>
  <c r="E9" i="122" s="1"/>
  <c r="F18" i="122"/>
  <c r="E18" i="122" s="1"/>
  <c r="I7" i="126"/>
  <c r="I6" i="126" s="1"/>
  <c r="AA10" i="125"/>
  <c r="F38" i="128"/>
  <c r="E38" i="128" s="1"/>
  <c r="AI19" i="128"/>
  <c r="AK19" i="120"/>
  <c r="AK59" i="120" s="1"/>
  <c r="AD7" i="120"/>
  <c r="AD6" i="120" s="1"/>
  <c r="F42" i="130"/>
  <c r="E42" i="130" s="1"/>
  <c r="AS7" i="126"/>
  <c r="AS6" i="126" s="1"/>
  <c r="BC7" i="121"/>
  <c r="BC6" i="121" s="1"/>
  <c r="F51" i="127"/>
  <c r="E51" i="127" s="1"/>
  <c r="Y7" i="130"/>
  <c r="Y6" i="130" s="1"/>
  <c r="AA48" i="126"/>
  <c r="F31" i="120"/>
  <c r="E31" i="120" s="1"/>
  <c r="AY7" i="130"/>
  <c r="AY6" i="130" s="1"/>
  <c r="AG19" i="118"/>
  <c r="AG59" i="118" s="1"/>
  <c r="L28" i="118"/>
  <c r="L19" i="118" s="1"/>
  <c r="L59" i="118" s="1"/>
  <c r="AA48" i="128"/>
  <c r="R22" i="122"/>
  <c r="L28" i="129"/>
  <c r="L19" i="129" s="1"/>
  <c r="F48" i="122"/>
  <c r="E48" i="122" s="1"/>
  <c r="AA14" i="129"/>
  <c r="R14" i="129" s="1"/>
  <c r="F40" i="127"/>
  <c r="E40" i="127" s="1"/>
  <c r="BA28" i="128"/>
  <c r="BA19" i="128" s="1"/>
  <c r="AC7" i="125"/>
  <c r="AC6" i="125" s="1"/>
  <c r="Z28" i="120"/>
  <c r="AV28" i="125"/>
  <c r="AV28" i="132"/>
  <c r="AA41" i="121"/>
  <c r="R41" i="121" s="1"/>
  <c r="F17" i="121"/>
  <c r="E17" i="121" s="1"/>
  <c r="BF17" i="121" s="1"/>
  <c r="P17" i="121" s="1"/>
  <c r="G28" i="128"/>
  <c r="F29" i="128"/>
  <c r="E29" i="128" s="1"/>
  <c r="M7" i="126"/>
  <c r="M6" i="126" s="1"/>
  <c r="BF17" i="120"/>
  <c r="P17" i="120" s="1"/>
  <c r="V19" i="120"/>
  <c r="V59" i="120" s="1"/>
  <c r="F41" i="125"/>
  <c r="E41" i="125" s="1"/>
  <c r="F45" i="129"/>
  <c r="E45" i="129" s="1"/>
  <c r="AU28" i="126"/>
  <c r="AU19" i="126" s="1"/>
  <c r="O19" i="121"/>
  <c r="BA7" i="128"/>
  <c r="BA6" i="128" s="1"/>
  <c r="F37" i="128"/>
  <c r="E37" i="128" s="1"/>
  <c r="AM28" i="127"/>
  <c r="AA47" i="127"/>
  <c r="R47" i="127" s="1"/>
  <c r="P28" i="130"/>
  <c r="AS19" i="123"/>
  <c r="AS59" i="123" s="1"/>
  <c r="AA25" i="122"/>
  <c r="R25" i="122" s="1"/>
  <c r="BF25" i="122" s="1"/>
  <c r="X25" i="122" s="1"/>
  <c r="I19" i="122"/>
  <c r="I59" i="122" s="1"/>
  <c r="R48" i="124"/>
  <c r="F21" i="119"/>
  <c r="E21" i="119" s="1"/>
  <c r="AE7" i="122"/>
  <c r="AE6" i="122" s="1"/>
  <c r="AE7" i="117"/>
  <c r="AE6" i="117" s="1"/>
  <c r="M28" i="118"/>
  <c r="M19" i="118" s="1"/>
  <c r="H28" i="123"/>
  <c r="H19" i="123" s="1"/>
  <c r="F56" i="124"/>
  <c r="E56" i="124" s="1"/>
  <c r="AA44" i="127"/>
  <c r="R44" i="127" s="1"/>
  <c r="F44" i="118"/>
  <c r="E44" i="118" s="1"/>
  <c r="X7" i="120"/>
  <c r="X6" i="120" s="1"/>
  <c r="X59" i="120" s="1"/>
  <c r="BG25" i="120" s="1"/>
  <c r="BH25" i="120" s="1"/>
  <c r="BK25" i="120" s="1"/>
  <c r="T28" i="123"/>
  <c r="T19" i="123" s="1"/>
  <c r="T59" i="123" s="1"/>
  <c r="F11" i="125"/>
  <c r="AE19" i="122"/>
  <c r="AA52" i="120"/>
  <c r="R52" i="120" s="1"/>
  <c r="F37" i="119"/>
  <c r="E37" i="119" s="1"/>
  <c r="F27" i="128"/>
  <c r="E27" i="128" s="1"/>
  <c r="F23" i="128"/>
  <c r="E23" i="128" s="1"/>
  <c r="AM28" i="128"/>
  <c r="AA37" i="124"/>
  <c r="R37" i="124" s="1"/>
  <c r="AA48" i="119"/>
  <c r="R48" i="119" s="1"/>
  <c r="BF48" i="119" s="1"/>
  <c r="AU48" i="119" s="1"/>
  <c r="AU7" i="124"/>
  <c r="AU6" i="124" s="1"/>
  <c r="Q7" i="117"/>
  <c r="Q6" i="117" s="1"/>
  <c r="AA56" i="120"/>
  <c r="R56" i="120" s="1"/>
  <c r="AA10" i="118"/>
  <c r="R10" i="118" s="1"/>
  <c r="BF10" i="118" s="1"/>
  <c r="I10" i="118" s="1"/>
  <c r="G7" i="124"/>
  <c r="G6" i="124" s="1"/>
  <c r="F9" i="124"/>
  <c r="E9" i="124" s="1"/>
  <c r="AK28" i="124"/>
  <c r="AK19" i="124" s="1"/>
  <c r="BE28" i="121"/>
  <c r="BE19" i="121" s="1"/>
  <c r="BC28" i="124"/>
  <c r="BC19" i="124" s="1"/>
  <c r="R32" i="118"/>
  <c r="BF32" i="118" s="1"/>
  <c r="AM28" i="130"/>
  <c r="AX28" i="121"/>
  <c r="AA12" i="126"/>
  <c r="R12" i="126" s="1"/>
  <c r="AA49" i="117"/>
  <c r="R49" i="117" s="1"/>
  <c r="BF49" i="117" s="1"/>
  <c r="AV49" i="117" s="1"/>
  <c r="AA48" i="120"/>
  <c r="R48" i="120" s="1"/>
  <c r="BF48" i="120" s="1"/>
  <c r="AU48" i="120" s="1"/>
  <c r="M28" i="122"/>
  <c r="M19" i="122" s="1"/>
  <c r="AH7" i="122"/>
  <c r="AH6" i="122" s="1"/>
  <c r="AH59" i="122" s="1"/>
  <c r="AG28" i="120"/>
  <c r="AG19" i="120" s="1"/>
  <c r="AG59" i="120" s="1"/>
  <c r="BG34" i="120" s="1"/>
  <c r="BH34" i="120" s="1"/>
  <c r="BK34" i="120" s="1"/>
  <c r="F49" i="122"/>
  <c r="E49" i="122" s="1"/>
  <c r="AA33" i="122"/>
  <c r="R33" i="122" s="1"/>
  <c r="BB28" i="121"/>
  <c r="BB19" i="121" s="1"/>
  <c r="F14" i="129"/>
  <c r="E14" i="129" s="1"/>
  <c r="AA17" i="127"/>
  <c r="R17" i="127" s="1"/>
  <c r="U28" i="120"/>
  <c r="U19" i="120" s="1"/>
  <c r="BF14" i="122"/>
  <c r="M14" i="122" s="1"/>
  <c r="AK28" i="129"/>
  <c r="BC28" i="118"/>
  <c r="BC19" i="118" s="1"/>
  <c r="BC7" i="125"/>
  <c r="BC6" i="125" s="1"/>
  <c r="M7" i="130"/>
  <c r="M6" i="130" s="1"/>
  <c r="AA12" i="124"/>
  <c r="R12" i="124" s="1"/>
  <c r="AF28" i="128"/>
  <c r="AF19" i="128" s="1"/>
  <c r="AZ19" i="120"/>
  <c r="AZ59" i="120" s="1"/>
  <c r="F48" i="131"/>
  <c r="E48" i="131" s="1"/>
  <c r="BB7" i="131"/>
  <c r="BB6" i="131" s="1"/>
  <c r="BF15" i="119"/>
  <c r="N15" i="119" s="1"/>
  <c r="F56" i="120"/>
  <c r="E56" i="120" s="1"/>
  <c r="BA7" i="123"/>
  <c r="BA6" i="123" s="1"/>
  <c r="F22" i="123"/>
  <c r="E22" i="123" s="1"/>
  <c r="F57" i="127"/>
  <c r="E57" i="127" s="1"/>
  <c r="AR28" i="128"/>
  <c r="AR19" i="128" s="1"/>
  <c r="AJ7" i="127"/>
  <c r="AJ6" i="127" s="1"/>
  <c r="R26" i="122"/>
  <c r="AS7" i="124"/>
  <c r="AS6" i="124" s="1"/>
  <c r="AA21" i="125"/>
  <c r="R21" i="125" s="1"/>
  <c r="F13" i="125"/>
  <c r="E13" i="125" s="1"/>
  <c r="AA37" i="129"/>
  <c r="F35" i="120"/>
  <c r="E35" i="120" s="1"/>
  <c r="V28" i="118"/>
  <c r="V19" i="118" s="1"/>
  <c r="V59" i="118" s="1"/>
  <c r="R26" i="117"/>
  <c r="AG7" i="129"/>
  <c r="AG6" i="129" s="1"/>
  <c r="AA12" i="129"/>
  <c r="R12" i="129" s="1"/>
  <c r="AU28" i="127"/>
  <c r="AU19" i="127" s="1"/>
  <c r="AU59" i="127" s="1"/>
  <c r="AW28" i="127"/>
  <c r="AW19" i="127" s="1"/>
  <c r="AW7" i="127"/>
  <c r="AW6" i="127" s="1"/>
  <c r="F38" i="122"/>
  <c r="E38" i="122" s="1"/>
  <c r="AA12" i="120"/>
  <c r="R12" i="120" s="1"/>
  <c r="G19" i="128"/>
  <c r="F20" i="128"/>
  <c r="E20" i="128" s="1"/>
  <c r="H19" i="122"/>
  <c r="AA49" i="125"/>
  <c r="R49" i="125" s="1"/>
  <c r="N28" i="129"/>
  <c r="M28" i="125"/>
  <c r="AA22" i="126"/>
  <c r="R22" i="126" s="1"/>
  <c r="BF22" i="126" s="1"/>
  <c r="U22" i="126" s="1"/>
  <c r="I7" i="129"/>
  <c r="I6" i="129" s="1"/>
  <c r="F34" i="131"/>
  <c r="E34" i="131" s="1"/>
  <c r="AX28" i="122"/>
  <c r="F29" i="125"/>
  <c r="E29" i="125" s="1"/>
  <c r="G28" i="125"/>
  <c r="G19" i="125" s="1"/>
  <c r="G59" i="125" s="1"/>
  <c r="AM28" i="122"/>
  <c r="AM19" i="122" s="1"/>
  <c r="AM59" i="122" s="1"/>
  <c r="F44" i="120"/>
  <c r="E44" i="120" s="1"/>
  <c r="M7" i="124"/>
  <c r="M6" i="124" s="1"/>
  <c r="AL7" i="126"/>
  <c r="AL6" i="126" s="1"/>
  <c r="T19" i="119"/>
  <c r="T59" i="119" s="1"/>
  <c r="R20" i="119"/>
  <c r="M7" i="121"/>
  <c r="M6" i="121" s="1"/>
  <c r="AA53" i="121"/>
  <c r="R53" i="121" s="1"/>
  <c r="BF53" i="121" s="1"/>
  <c r="AZ53" i="121" s="1"/>
  <c r="R44" i="130"/>
  <c r="AA12" i="119"/>
  <c r="R12" i="119" s="1"/>
  <c r="F52" i="122"/>
  <c r="E52" i="122" s="1"/>
  <c r="AE7" i="127"/>
  <c r="AE6" i="127" s="1"/>
  <c r="S7" i="122"/>
  <c r="S6" i="122" s="1"/>
  <c r="AM28" i="119"/>
  <c r="AM19" i="119" s="1"/>
  <c r="AA9" i="129"/>
  <c r="R9" i="129" s="1"/>
  <c r="T7" i="120"/>
  <c r="T6" i="120" s="1"/>
  <c r="AI28" i="130"/>
  <c r="AA34" i="130"/>
  <c r="R34" i="130" s="1"/>
  <c r="AL28" i="130"/>
  <c r="AA40" i="120"/>
  <c r="R40" i="120" s="1"/>
  <c r="AA38" i="121"/>
  <c r="R17" i="123"/>
  <c r="F13" i="120"/>
  <c r="E13" i="120" s="1"/>
  <c r="AA35" i="125"/>
  <c r="R35" i="125" s="1"/>
  <c r="F25" i="131"/>
  <c r="E25" i="131" s="1"/>
  <c r="R38" i="118"/>
  <c r="AA27" i="121"/>
  <c r="R27" i="121" s="1"/>
  <c r="AX19" i="118"/>
  <c r="AA52" i="128"/>
  <c r="AA23" i="129"/>
  <c r="AA55" i="126"/>
  <c r="R55" i="126" s="1"/>
  <c r="BF55" i="126" s="1"/>
  <c r="BB55" i="126" s="1"/>
  <c r="AA33" i="127"/>
  <c r="AD7" i="122"/>
  <c r="AD6" i="122" s="1"/>
  <c r="AD28" i="117"/>
  <c r="AD19" i="117" s="1"/>
  <c r="AA9" i="121"/>
  <c r="R9" i="121" s="1"/>
  <c r="AA9" i="126"/>
  <c r="F40" i="125"/>
  <c r="E40" i="125" s="1"/>
  <c r="L7" i="129"/>
  <c r="L6" i="129" s="1"/>
  <c r="BD28" i="131"/>
  <c r="AA58" i="126"/>
  <c r="R38" i="122"/>
  <c r="AY7" i="126"/>
  <c r="AY6" i="126" s="1"/>
  <c r="F45" i="125"/>
  <c r="E45" i="125" s="1"/>
  <c r="AO28" i="127"/>
  <c r="AO19" i="127" s="1"/>
  <c r="W19" i="118"/>
  <c r="AA34" i="126"/>
  <c r="R34" i="126" s="1"/>
  <c r="N28" i="126"/>
  <c r="F40" i="124"/>
  <c r="E40" i="124" s="1"/>
  <c r="AV7" i="119"/>
  <c r="AV6" i="119" s="1"/>
  <c r="W28" i="129"/>
  <c r="AO7" i="131"/>
  <c r="AO6" i="131" s="1"/>
  <c r="AO28" i="124"/>
  <c r="R38" i="121"/>
  <c r="R48" i="122"/>
  <c r="AA33" i="123"/>
  <c r="AA36" i="126"/>
  <c r="R36" i="126" s="1"/>
  <c r="F47" i="122"/>
  <c r="E47" i="122" s="1"/>
  <c r="AA31" i="129"/>
  <c r="R58" i="118"/>
  <c r="AN7" i="119"/>
  <c r="AN6" i="119" s="1"/>
  <c r="F29" i="131"/>
  <c r="E29" i="131" s="1"/>
  <c r="G28" i="131"/>
  <c r="G19" i="131" s="1"/>
  <c r="R48" i="125"/>
  <c r="AT7" i="130"/>
  <c r="AT6" i="130" s="1"/>
  <c r="E12" i="129"/>
  <c r="BF12" i="129" s="1"/>
  <c r="K12" i="129" s="1"/>
  <c r="AA44" i="122"/>
  <c r="R44" i="122" s="1"/>
  <c r="BF44" i="122" s="1"/>
  <c r="AQ44" i="122" s="1"/>
  <c r="AE7" i="130"/>
  <c r="AE6" i="130" s="1"/>
  <c r="AA18" i="131"/>
  <c r="F58" i="130"/>
  <c r="E58" i="130" s="1"/>
  <c r="BB19" i="125"/>
  <c r="BB59" i="125" s="1"/>
  <c r="AM28" i="121"/>
  <c r="AM19" i="121" s="1"/>
  <c r="AX28" i="124"/>
  <c r="AX19" i="124" s="1"/>
  <c r="F53" i="128"/>
  <c r="E53" i="128" s="1"/>
  <c r="AX59" i="118"/>
  <c r="F49" i="126"/>
  <c r="E49" i="126" s="1"/>
  <c r="L28" i="131"/>
  <c r="BA28" i="131"/>
  <c r="AE28" i="124"/>
  <c r="AE19" i="124" s="1"/>
  <c r="F22" i="129"/>
  <c r="E22" i="129" s="1"/>
  <c r="F24" i="129"/>
  <c r="E24" i="129" s="1"/>
  <c r="AQ28" i="122"/>
  <c r="AQ19" i="122" s="1"/>
  <c r="AH7" i="117"/>
  <c r="AH6" i="117" s="1"/>
  <c r="AU19" i="120"/>
  <c r="AU59" i="120" s="1"/>
  <c r="BG48" i="120" s="1"/>
  <c r="BH48" i="120" s="1"/>
  <c r="BK48" i="120" s="1"/>
  <c r="BD7" i="126"/>
  <c r="BD6" i="126" s="1"/>
  <c r="AA21" i="124"/>
  <c r="R21" i="124" s="1"/>
  <c r="BF21" i="124" s="1"/>
  <c r="T21" i="124" s="1"/>
  <c r="Q28" i="126"/>
  <c r="AH28" i="129"/>
  <c r="AH19" i="129" s="1"/>
  <c r="F15" i="126"/>
  <c r="E15" i="126" s="1"/>
  <c r="AA45" i="126"/>
  <c r="F39" i="128"/>
  <c r="E39" i="128" s="1"/>
  <c r="R33" i="127"/>
  <c r="BF33" i="127" s="1"/>
  <c r="AF33" i="127" s="1"/>
  <c r="F43" i="131"/>
  <c r="E43" i="131" s="1"/>
  <c r="F45" i="126"/>
  <c r="E45" i="126" s="1"/>
  <c r="AA58" i="131"/>
  <c r="R58" i="131" s="1"/>
  <c r="BF58" i="131" s="1"/>
  <c r="BE58" i="131" s="1"/>
  <c r="M28" i="126"/>
  <c r="F58" i="128"/>
  <c r="AI7" i="122"/>
  <c r="AI6" i="122" s="1"/>
  <c r="F49" i="118"/>
  <c r="E49" i="118" s="1"/>
  <c r="AA41" i="120"/>
  <c r="R41" i="120" s="1"/>
  <c r="AA50" i="128"/>
  <c r="R50" i="128" s="1"/>
  <c r="AY19" i="118"/>
  <c r="BB28" i="122"/>
  <c r="BB19" i="122" s="1"/>
  <c r="AA18" i="118"/>
  <c r="R18" i="118" s="1"/>
  <c r="AH7" i="126"/>
  <c r="AH6" i="126" s="1"/>
  <c r="K7" i="127"/>
  <c r="F32" i="129"/>
  <c r="E32" i="129" s="1"/>
  <c r="AN28" i="121"/>
  <c r="AN19" i="121" s="1"/>
  <c r="AA57" i="125"/>
  <c r="R57" i="125" s="1"/>
  <c r="BF57" i="125" s="1"/>
  <c r="BD57" i="125" s="1"/>
  <c r="AS28" i="121"/>
  <c r="AS19" i="121" s="1"/>
  <c r="AS59" i="121" s="1"/>
  <c r="F37" i="129"/>
  <c r="E37" i="129" s="1"/>
  <c r="AA18" i="120"/>
  <c r="R18" i="120" s="1"/>
  <c r="BA28" i="123"/>
  <c r="BA19" i="123" s="1"/>
  <c r="M28" i="119"/>
  <c r="M19" i="119" s="1"/>
  <c r="M59" i="119" s="1"/>
  <c r="AG7" i="122"/>
  <c r="AG6" i="122" s="1"/>
  <c r="F42" i="126"/>
  <c r="E42" i="126" s="1"/>
  <c r="F53" i="129"/>
  <c r="E53" i="129" s="1"/>
  <c r="AR7" i="129"/>
  <c r="AR6" i="129" s="1"/>
  <c r="F37" i="121"/>
  <c r="E37" i="121" s="1"/>
  <c r="AS28" i="131"/>
  <c r="AS19" i="131" s="1"/>
  <c r="L7" i="126"/>
  <c r="L6" i="126" s="1"/>
  <c r="R27" i="126"/>
  <c r="AA56" i="126"/>
  <c r="R56" i="126" s="1"/>
  <c r="AA50" i="131"/>
  <c r="R50" i="131" s="1"/>
  <c r="AA37" i="122"/>
  <c r="R37" i="122" s="1"/>
  <c r="Y28" i="124"/>
  <c r="Y19" i="124" s="1"/>
  <c r="AA53" i="120"/>
  <c r="R53" i="120" s="1"/>
  <c r="BF53" i="120" s="1"/>
  <c r="AZ53" i="120" s="1"/>
  <c r="AP7" i="130"/>
  <c r="AP6" i="130" s="1"/>
  <c r="AT28" i="122"/>
  <c r="AT19" i="122" s="1"/>
  <c r="AX7" i="120"/>
  <c r="AX6" i="120" s="1"/>
  <c r="F53" i="123"/>
  <c r="E53" i="123" s="1"/>
  <c r="AA48" i="121"/>
  <c r="R48" i="121" s="1"/>
  <c r="F16" i="126"/>
  <c r="E16" i="126" s="1"/>
  <c r="F21" i="126"/>
  <c r="E21" i="126" s="1"/>
  <c r="F41" i="123"/>
  <c r="E41" i="123" s="1"/>
  <c r="R49" i="126"/>
  <c r="Q28" i="123"/>
  <c r="Q19" i="123" s="1"/>
  <c r="H28" i="120"/>
  <c r="H19" i="120" s="1"/>
  <c r="R10" i="120"/>
  <c r="BF10" i="120" s="1"/>
  <c r="I10" i="120" s="1"/>
  <c r="F30" i="121"/>
  <c r="E30" i="121" s="1"/>
  <c r="AA39" i="125"/>
  <c r="R39" i="125" s="1"/>
  <c r="F46" i="125"/>
  <c r="E46" i="125" s="1"/>
  <c r="AA38" i="127"/>
  <c r="F26" i="129"/>
  <c r="E26" i="129" s="1"/>
  <c r="R22" i="120"/>
  <c r="G7" i="120"/>
  <c r="G6" i="120" s="1"/>
  <c r="F9" i="120"/>
  <c r="E9" i="120" s="1"/>
  <c r="AA32" i="130"/>
  <c r="R32" i="130" s="1"/>
  <c r="F50" i="118"/>
  <c r="E50" i="118" s="1"/>
  <c r="AP28" i="123"/>
  <c r="AP19" i="123" s="1"/>
  <c r="AC28" i="123"/>
  <c r="AC19" i="123" s="1"/>
  <c r="AC59" i="123" s="1"/>
  <c r="AA29" i="123"/>
  <c r="AA52" i="129"/>
  <c r="R52" i="129" s="1"/>
  <c r="BF52" i="129" s="1"/>
  <c r="AG19" i="128"/>
  <c r="V28" i="130"/>
  <c r="F52" i="123"/>
  <c r="E52" i="123" s="1"/>
  <c r="W28" i="132"/>
  <c r="F47" i="119"/>
  <c r="E47" i="119" s="1"/>
  <c r="F30" i="131"/>
  <c r="E30" i="131" s="1"/>
  <c r="Z19" i="123"/>
  <c r="Z59" i="123" s="1"/>
  <c r="BG27" i="123" s="1"/>
  <c r="BH27" i="123" s="1"/>
  <c r="BK27" i="123" s="1"/>
  <c r="F38" i="121"/>
  <c r="E38" i="121" s="1"/>
  <c r="F21" i="131"/>
  <c r="E21" i="131" s="1"/>
  <c r="AU19" i="129"/>
  <c r="BE19" i="128"/>
  <c r="AO7" i="126"/>
  <c r="AO6" i="126" s="1"/>
  <c r="N28" i="127"/>
  <c r="N19" i="127" s="1"/>
  <c r="N59" i="127" s="1"/>
  <c r="AT28" i="120"/>
  <c r="E12" i="121"/>
  <c r="AR28" i="131"/>
  <c r="O7" i="126"/>
  <c r="AA33" i="126"/>
  <c r="R33" i="126" s="1"/>
  <c r="BF33" i="126" s="1"/>
  <c r="AF33" i="126" s="1"/>
  <c r="AA37" i="123"/>
  <c r="R37" i="123" s="1"/>
  <c r="BF31" i="123"/>
  <c r="AD31" i="123" s="1"/>
  <c r="W28" i="126"/>
  <c r="W19" i="126" s="1"/>
  <c r="AA26" i="127"/>
  <c r="AA34" i="131"/>
  <c r="K7" i="125"/>
  <c r="R58" i="124"/>
  <c r="Z28" i="122"/>
  <c r="Z19" i="122" s="1"/>
  <c r="Z59" i="122" s="1"/>
  <c r="F36" i="119"/>
  <c r="E36" i="119" s="1"/>
  <c r="F48" i="128"/>
  <c r="E48" i="128" s="1"/>
  <c r="AN19" i="124"/>
  <c r="AN59" i="124" s="1"/>
  <c r="F55" i="130"/>
  <c r="E55" i="130" s="1"/>
  <c r="BA28" i="130"/>
  <c r="BA19" i="130" s="1"/>
  <c r="AA34" i="129"/>
  <c r="T28" i="126"/>
  <c r="T19" i="126" s="1"/>
  <c r="AE28" i="125"/>
  <c r="AE19" i="125" s="1"/>
  <c r="AA10" i="130"/>
  <c r="M7" i="129"/>
  <c r="M6" i="129" s="1"/>
  <c r="AY7" i="125"/>
  <c r="AY6" i="125" s="1"/>
  <c r="J28" i="125"/>
  <c r="J19" i="125" s="1"/>
  <c r="F43" i="119"/>
  <c r="E43" i="119" s="1"/>
  <c r="AA44" i="118"/>
  <c r="R44" i="118" s="1"/>
  <c r="F47" i="120"/>
  <c r="E47" i="120" s="1"/>
  <c r="AT28" i="123"/>
  <c r="AT19" i="123" s="1"/>
  <c r="AT59" i="123" s="1"/>
  <c r="AA41" i="118"/>
  <c r="R41" i="118" s="1"/>
  <c r="BF41" i="118" s="1"/>
  <c r="AN41" i="118" s="1"/>
  <c r="F31" i="124"/>
  <c r="E31" i="124" s="1"/>
  <c r="AA40" i="122"/>
  <c r="R40" i="122" s="1"/>
  <c r="BF40" i="122" s="1"/>
  <c r="AM40" i="122" s="1"/>
  <c r="AA47" i="125"/>
  <c r="R47" i="125" s="1"/>
  <c r="F34" i="123"/>
  <c r="E34" i="123" s="1"/>
  <c r="F37" i="124"/>
  <c r="AJ28" i="126"/>
  <c r="AJ19" i="126" s="1"/>
  <c r="W28" i="122"/>
  <c r="W19" i="122" s="1"/>
  <c r="W59" i="122" s="1"/>
  <c r="F31" i="129"/>
  <c r="E31" i="129" s="1"/>
  <c r="F55" i="127"/>
  <c r="E55" i="127" s="1"/>
  <c r="BA28" i="124"/>
  <c r="BA19" i="124" s="1"/>
  <c r="BA59" i="124" s="1"/>
  <c r="AM28" i="129"/>
  <c r="BB7" i="122"/>
  <c r="BB6" i="122" s="1"/>
  <c r="F34" i="129"/>
  <c r="E34" i="129" s="1"/>
  <c r="F36" i="118"/>
  <c r="E36" i="118" s="1"/>
  <c r="AA45" i="122"/>
  <c r="R45" i="122" s="1"/>
  <c r="AA41" i="122"/>
  <c r="R41" i="122" s="1"/>
  <c r="BF41" i="122" s="1"/>
  <c r="AN41" i="122" s="1"/>
  <c r="AA35" i="128"/>
  <c r="F37" i="118"/>
  <c r="E37" i="118" s="1"/>
  <c r="AZ28" i="121"/>
  <c r="AZ19" i="121" s="1"/>
  <c r="F57" i="123"/>
  <c r="E57" i="123" s="1"/>
  <c r="F11" i="124"/>
  <c r="E11" i="124" s="1"/>
  <c r="AA58" i="125"/>
  <c r="AN28" i="126"/>
  <c r="F31" i="122"/>
  <c r="E31" i="122" s="1"/>
  <c r="AM7" i="125"/>
  <c r="AM6" i="125" s="1"/>
  <c r="BD28" i="124"/>
  <c r="BD19" i="124" s="1"/>
  <c r="BD59" i="124" s="1"/>
  <c r="R26" i="124"/>
  <c r="BF26" i="124" s="1"/>
  <c r="Y26" i="124" s="1"/>
  <c r="F27" i="119"/>
  <c r="E27" i="119" s="1"/>
  <c r="AE28" i="130"/>
  <c r="AE19" i="130" s="1"/>
  <c r="AE59" i="130" s="1"/>
  <c r="BG32" i="130" s="1"/>
  <c r="BH32" i="130" s="1"/>
  <c r="BK32" i="130" s="1"/>
  <c r="AM7" i="126"/>
  <c r="AM6" i="126" s="1"/>
  <c r="AY19" i="123"/>
  <c r="AE28" i="129"/>
  <c r="W7" i="127"/>
  <c r="W6" i="127" s="1"/>
  <c r="F36" i="117"/>
  <c r="E36" i="117" s="1"/>
  <c r="U7" i="121"/>
  <c r="U6" i="121" s="1"/>
  <c r="AU28" i="122"/>
  <c r="AU19" i="122" s="1"/>
  <c r="AA54" i="126"/>
  <c r="R54" i="126" s="1"/>
  <c r="F44" i="131"/>
  <c r="E44" i="131" s="1"/>
  <c r="AL28" i="125"/>
  <c r="U59" i="124"/>
  <c r="J28" i="124"/>
  <c r="J19" i="124" s="1"/>
  <c r="E11" i="119"/>
  <c r="BF11" i="119" s="1"/>
  <c r="Y28" i="119"/>
  <c r="Y19" i="119" s="1"/>
  <c r="Y59" i="119" s="1"/>
  <c r="P7" i="122"/>
  <c r="I28" i="120"/>
  <c r="I19" i="120" s="1"/>
  <c r="I59" i="120" s="1"/>
  <c r="K28" i="130"/>
  <c r="K19" i="130" s="1"/>
  <c r="AN28" i="128"/>
  <c r="Y19" i="130"/>
  <c r="R45" i="124"/>
  <c r="BF45" i="124" s="1"/>
  <c r="AR45" i="124" s="1"/>
  <c r="I28" i="125"/>
  <c r="AA37" i="127"/>
  <c r="R37" i="127" s="1"/>
  <c r="F33" i="129"/>
  <c r="E33" i="129" s="1"/>
  <c r="AA24" i="117"/>
  <c r="R24" i="117" s="1"/>
  <c r="BF24" i="117" s="1"/>
  <c r="W24" i="117" s="1"/>
  <c r="F49" i="129"/>
  <c r="E49" i="129" s="1"/>
  <c r="AT7" i="125"/>
  <c r="AT6" i="125" s="1"/>
  <c r="AI28" i="122"/>
  <c r="AI19" i="122" s="1"/>
  <c r="AS7" i="125"/>
  <c r="AS6" i="125" s="1"/>
  <c r="AC28" i="125"/>
  <c r="AC19" i="125" s="1"/>
  <c r="AC59" i="125" s="1"/>
  <c r="AA29" i="125"/>
  <c r="R29" i="125" s="1"/>
  <c r="AA52" i="127"/>
  <c r="R52" i="127" s="1"/>
  <c r="BF52" i="127" s="1"/>
  <c r="AY52" i="127" s="1"/>
  <c r="BA7" i="126"/>
  <c r="BA6" i="126" s="1"/>
  <c r="AO28" i="119"/>
  <c r="AO19" i="119" s="1"/>
  <c r="AW28" i="122"/>
  <c r="AW19" i="122" s="1"/>
  <c r="AA24" i="129"/>
  <c r="AA38" i="131"/>
  <c r="R38" i="131" s="1"/>
  <c r="R39" i="123"/>
  <c r="BF39" i="123" s="1"/>
  <c r="AL39" i="123" s="1"/>
  <c r="BB19" i="130"/>
  <c r="AD7" i="128"/>
  <c r="AD6" i="128" s="1"/>
  <c r="P19" i="124"/>
  <c r="R36" i="127"/>
  <c r="AK7" i="123"/>
  <c r="AK6" i="123" s="1"/>
  <c r="F49" i="125"/>
  <c r="E49" i="125" s="1"/>
  <c r="X28" i="128"/>
  <c r="AA57" i="121"/>
  <c r="R57" i="121" s="1"/>
  <c r="AA50" i="129"/>
  <c r="F27" i="126"/>
  <c r="E27" i="126" s="1"/>
  <c r="F26" i="126"/>
  <c r="E26" i="126" s="1"/>
  <c r="BF26" i="126" s="1"/>
  <c r="Y26" i="126" s="1"/>
  <c r="V7" i="126"/>
  <c r="V6" i="126" s="1"/>
  <c r="O28" i="126"/>
  <c r="O19" i="126" s="1"/>
  <c r="AL28" i="126"/>
  <c r="AL19" i="126" s="1"/>
  <c r="AL59" i="126" s="1"/>
  <c r="R37" i="117"/>
  <c r="BF37" i="117" s="1"/>
  <c r="AJ37" i="117" s="1"/>
  <c r="F31" i="127"/>
  <c r="E31" i="127" s="1"/>
  <c r="AA48" i="129"/>
  <c r="AA42" i="125"/>
  <c r="R42" i="125" s="1"/>
  <c r="F30" i="128"/>
  <c r="E30" i="128" s="1"/>
  <c r="AA45" i="120"/>
  <c r="R45" i="120" s="1"/>
  <c r="F35" i="131"/>
  <c r="E35" i="131" s="1"/>
  <c r="AY7" i="118"/>
  <c r="AY6" i="118" s="1"/>
  <c r="AY59" i="118" s="1"/>
  <c r="BF14" i="119"/>
  <c r="AB28" i="129"/>
  <c r="AB19" i="129" s="1"/>
  <c r="AA30" i="129"/>
  <c r="AD7" i="117"/>
  <c r="AA22" i="130"/>
  <c r="F27" i="120"/>
  <c r="E27" i="120" s="1"/>
  <c r="R17" i="122"/>
  <c r="F34" i="128"/>
  <c r="E34" i="128" s="1"/>
  <c r="AH28" i="128"/>
  <c r="Y28" i="120"/>
  <c r="Y19" i="120" s="1"/>
  <c r="Y59" i="120" s="1"/>
  <c r="BG26" i="120" s="1"/>
  <c r="BH26" i="120" s="1"/>
  <c r="BK26" i="120" s="1"/>
  <c r="F24" i="125"/>
  <c r="E24" i="125" s="1"/>
  <c r="AR7" i="124"/>
  <c r="AR6" i="124" s="1"/>
  <c r="F10" i="124"/>
  <c r="E10" i="124" s="1"/>
  <c r="V28" i="117"/>
  <c r="V19" i="117" s="1"/>
  <c r="AA49" i="130"/>
  <c r="R49" i="130" s="1"/>
  <c r="F57" i="129"/>
  <c r="E57" i="129" s="1"/>
  <c r="F16" i="123"/>
  <c r="E16" i="123" s="1"/>
  <c r="J7" i="132"/>
  <c r="J6" i="132" s="1"/>
  <c r="F39" i="124"/>
  <c r="E39" i="124" s="1"/>
  <c r="AY7" i="124"/>
  <c r="AY6" i="124" s="1"/>
  <c r="AY7" i="128"/>
  <c r="AY6" i="128" s="1"/>
  <c r="F21" i="121"/>
  <c r="E21" i="121" s="1"/>
  <c r="R26" i="129"/>
  <c r="AA21" i="123"/>
  <c r="R21" i="123" s="1"/>
  <c r="F41" i="120"/>
  <c r="E41" i="120" s="1"/>
  <c r="F32" i="123"/>
  <c r="E32" i="123" s="1"/>
  <c r="Y28" i="123"/>
  <c r="Y19" i="123" s="1"/>
  <c r="Y59" i="123" s="1"/>
  <c r="S7" i="123"/>
  <c r="S6" i="123" s="1"/>
  <c r="AA50" i="126"/>
  <c r="F20" i="123"/>
  <c r="E20" i="123" s="1"/>
  <c r="G19" i="123"/>
  <c r="G59" i="123" s="1"/>
  <c r="AH28" i="126"/>
  <c r="F20" i="119"/>
  <c r="E20" i="119" s="1"/>
  <c r="F12" i="126"/>
  <c r="AC7" i="122"/>
  <c r="AC6" i="122" s="1"/>
  <c r="F34" i="124"/>
  <c r="E34" i="124" s="1"/>
  <c r="BD7" i="119"/>
  <c r="BD6" i="119" s="1"/>
  <c r="F55" i="122"/>
  <c r="E55" i="122" s="1"/>
  <c r="F44" i="124"/>
  <c r="E44" i="124" s="1"/>
  <c r="AN28" i="117"/>
  <c r="AN19" i="117" s="1"/>
  <c r="AZ28" i="122"/>
  <c r="AZ19" i="122" s="1"/>
  <c r="AZ59" i="122" s="1"/>
  <c r="BF8" i="118"/>
  <c r="G8" i="118" s="1"/>
  <c r="BE7" i="118"/>
  <c r="BE6" i="118" s="1"/>
  <c r="BA28" i="119"/>
  <c r="BA19" i="119" s="1"/>
  <c r="BA59" i="119" s="1"/>
  <c r="AA35" i="129"/>
  <c r="P19" i="122"/>
  <c r="BC28" i="125"/>
  <c r="F57" i="124"/>
  <c r="E57" i="124" s="1"/>
  <c r="J28" i="123"/>
  <c r="J19" i="123" s="1"/>
  <c r="AA27" i="120"/>
  <c r="R27" i="120" s="1"/>
  <c r="F46" i="121"/>
  <c r="E46" i="121" s="1"/>
  <c r="AF7" i="121"/>
  <c r="AF6" i="121" s="1"/>
  <c r="AA24" i="127"/>
  <c r="F16" i="130"/>
  <c r="E16" i="130" s="1"/>
  <c r="AI19" i="126"/>
  <c r="AD28" i="127"/>
  <c r="AT19" i="126"/>
  <c r="F11" i="126"/>
  <c r="F16" i="128"/>
  <c r="E16" i="128" s="1"/>
  <c r="AZ7" i="129"/>
  <c r="AZ6" i="129" s="1"/>
  <c r="AA29" i="130"/>
  <c r="R29" i="130" s="1"/>
  <c r="AC28" i="130"/>
  <c r="AC19" i="130" s="1"/>
  <c r="I28" i="127"/>
  <c r="I19" i="127" s="1"/>
  <c r="AA55" i="129"/>
  <c r="R55" i="129" s="1"/>
  <c r="AK28" i="123"/>
  <c r="AK19" i="123" s="1"/>
  <c r="W7" i="124"/>
  <c r="W6" i="124" s="1"/>
  <c r="F16" i="129"/>
  <c r="E16" i="129" s="1"/>
  <c r="AA39" i="131"/>
  <c r="R39" i="131" s="1"/>
  <c r="AA40" i="128"/>
  <c r="O19" i="123"/>
  <c r="BA7" i="125"/>
  <c r="BA6" i="125" s="1"/>
  <c r="F34" i="125"/>
  <c r="E34" i="125" s="1"/>
  <c r="AA46" i="130"/>
  <c r="R46" i="130" s="1"/>
  <c r="F50" i="126"/>
  <c r="E50" i="126" s="1"/>
  <c r="AF28" i="131"/>
  <c r="AF19" i="131" s="1"/>
  <c r="AA29" i="128"/>
  <c r="R29" i="128" s="1"/>
  <c r="AC28" i="128"/>
  <c r="N19" i="129"/>
  <c r="F20" i="129"/>
  <c r="E20" i="129" s="1"/>
  <c r="AA32" i="129"/>
  <c r="F32" i="127"/>
  <c r="E32" i="127" s="1"/>
  <c r="AA39" i="117"/>
  <c r="R39" i="117" s="1"/>
  <c r="J7" i="125"/>
  <c r="F24" i="126"/>
  <c r="E24" i="126" s="1"/>
  <c r="F46" i="127"/>
  <c r="E46" i="127" s="1"/>
  <c r="V7" i="130"/>
  <c r="V6" i="130" s="1"/>
  <c r="Y28" i="126"/>
  <c r="AT28" i="128"/>
  <c r="AA52" i="125"/>
  <c r="F36" i="126"/>
  <c r="E36" i="126" s="1"/>
  <c r="AA17" i="119"/>
  <c r="R17" i="119" s="1"/>
  <c r="AN7" i="130"/>
  <c r="AN6" i="130" s="1"/>
  <c r="AJ28" i="128"/>
  <c r="AA49" i="120"/>
  <c r="R49" i="120" s="1"/>
  <c r="BF49" i="120" s="1"/>
  <c r="AV49" i="120" s="1"/>
  <c r="F39" i="117"/>
  <c r="E39" i="117" s="1"/>
  <c r="AB7" i="130"/>
  <c r="AB6" i="130" s="1"/>
  <c r="AA8" i="130"/>
  <c r="R8" i="130" s="1"/>
  <c r="AP28" i="126"/>
  <c r="AP19" i="126" s="1"/>
  <c r="BC19" i="121"/>
  <c r="AK19" i="121"/>
  <c r="AZ7" i="131"/>
  <c r="AZ6" i="131" s="1"/>
  <c r="AY7" i="121"/>
  <c r="AY6" i="121" s="1"/>
  <c r="AM28" i="126"/>
  <c r="AM19" i="126" s="1"/>
  <c r="AM59" i="126" s="1"/>
  <c r="Z28" i="125"/>
  <c r="Z19" i="125" s="1"/>
  <c r="Q28" i="128"/>
  <c r="Q19" i="128" s="1"/>
  <c r="AU7" i="128"/>
  <c r="AU6" i="128" s="1"/>
  <c r="AA21" i="126"/>
  <c r="R21" i="126" s="1"/>
  <c r="BF21" i="126" s="1"/>
  <c r="T21" i="126" s="1"/>
  <c r="R58" i="126"/>
  <c r="X28" i="127"/>
  <c r="AA9" i="127"/>
  <c r="R9" i="127" s="1"/>
  <c r="AM28" i="131"/>
  <c r="BA28" i="122"/>
  <c r="BA19" i="122" s="1"/>
  <c r="BA59" i="122" s="1"/>
  <c r="R18" i="125"/>
  <c r="BB28" i="127"/>
  <c r="AA58" i="130"/>
  <c r="R58" i="130" s="1"/>
  <c r="AV28" i="129"/>
  <c r="AV19" i="129" s="1"/>
  <c r="U7" i="131"/>
  <c r="U6" i="131" s="1"/>
  <c r="R35" i="128"/>
  <c r="BF35" i="128" s="1"/>
  <c r="AH35" i="128" s="1"/>
  <c r="Y28" i="131"/>
  <c r="BD19" i="131"/>
  <c r="AW19" i="124"/>
  <c r="AW59" i="124" s="1"/>
  <c r="AA22" i="124"/>
  <c r="R22" i="124" s="1"/>
  <c r="BF22" i="124" s="1"/>
  <c r="U22" i="124" s="1"/>
  <c r="AA52" i="130"/>
  <c r="R52" i="130" s="1"/>
  <c r="AY28" i="126"/>
  <c r="AY19" i="126" s="1"/>
  <c r="AY59" i="126" s="1"/>
  <c r="X7" i="123"/>
  <c r="X6" i="123" s="1"/>
  <c r="X28" i="129"/>
  <c r="X19" i="129" s="1"/>
  <c r="F18" i="123"/>
  <c r="E18" i="123" s="1"/>
  <c r="F36" i="130"/>
  <c r="E36" i="130" s="1"/>
  <c r="AC19" i="128"/>
  <c r="AR28" i="127"/>
  <c r="AR19" i="127" s="1"/>
  <c r="AR59" i="127" s="1"/>
  <c r="BE28" i="131"/>
  <c r="K28" i="131"/>
  <c r="AA53" i="126"/>
  <c r="R53" i="126" s="1"/>
  <c r="BF53" i="126" s="1"/>
  <c r="AZ53" i="126" s="1"/>
  <c r="AK7" i="126"/>
  <c r="AK6" i="126" s="1"/>
  <c r="AA10" i="129"/>
  <c r="R10" i="129" s="1"/>
  <c r="AO28" i="126"/>
  <c r="AO19" i="126" s="1"/>
  <c r="AO59" i="126" s="1"/>
  <c r="AA49" i="127"/>
  <c r="R49" i="127" s="1"/>
  <c r="BF49" i="127" s="1"/>
  <c r="AV49" i="127" s="1"/>
  <c r="R35" i="129"/>
  <c r="AD7" i="124"/>
  <c r="AD6" i="124" s="1"/>
  <c r="AA12" i="125"/>
  <c r="R12" i="125" s="1"/>
  <c r="F58" i="119"/>
  <c r="AD7" i="119"/>
  <c r="AD6" i="119" s="1"/>
  <c r="AK28" i="128"/>
  <c r="AM7" i="124"/>
  <c r="AM6" i="124" s="1"/>
  <c r="R20" i="124"/>
  <c r="AA18" i="123"/>
  <c r="R18" i="123" s="1"/>
  <c r="AA47" i="130"/>
  <c r="R47" i="130" s="1"/>
  <c r="R18" i="126"/>
  <c r="AA37" i="130"/>
  <c r="R37" i="130" s="1"/>
  <c r="F15" i="130"/>
  <c r="E15" i="130" s="1"/>
  <c r="K7" i="128"/>
  <c r="R38" i="127"/>
  <c r="AW7" i="123"/>
  <c r="AW6" i="123" s="1"/>
  <c r="AA49" i="123"/>
  <c r="R49" i="123" s="1"/>
  <c r="BF49" i="123" s="1"/>
  <c r="AV49" i="123" s="1"/>
  <c r="AA13" i="130"/>
  <c r="R13" i="130" s="1"/>
  <c r="AA18" i="128"/>
  <c r="R18" i="128" s="1"/>
  <c r="AA23" i="127"/>
  <c r="R23" i="127" s="1"/>
  <c r="AA53" i="125"/>
  <c r="AG7" i="125"/>
  <c r="AG6" i="125" s="1"/>
  <c r="X7" i="125"/>
  <c r="X6" i="125" s="1"/>
  <c r="S28" i="123"/>
  <c r="S19" i="123" s="1"/>
  <c r="S59" i="123" s="1"/>
  <c r="R29" i="123"/>
  <c r="Z28" i="124"/>
  <c r="Z19" i="124" s="1"/>
  <c r="F46" i="131"/>
  <c r="E46" i="131" s="1"/>
  <c r="Q7" i="127"/>
  <c r="Q6" i="127" s="1"/>
  <c r="Q28" i="129"/>
  <c r="Q19" i="129" s="1"/>
  <c r="AJ7" i="126"/>
  <c r="AJ6" i="126" s="1"/>
  <c r="S28" i="129"/>
  <c r="S19" i="129" s="1"/>
  <c r="S59" i="129" s="1"/>
  <c r="AF28" i="129"/>
  <c r="AF19" i="129" s="1"/>
  <c r="F26" i="131"/>
  <c r="E26" i="131" s="1"/>
  <c r="AL7" i="127"/>
  <c r="AL6" i="127" s="1"/>
  <c r="F48" i="124"/>
  <c r="E48" i="124" s="1"/>
  <c r="BF48" i="124" s="1"/>
  <c r="AU48" i="124" s="1"/>
  <c r="F32" i="124"/>
  <c r="E32" i="124" s="1"/>
  <c r="AA46" i="124"/>
  <c r="R46" i="124" s="1"/>
  <c r="BF46" i="124" s="1"/>
  <c r="AS46" i="124" s="1"/>
  <c r="R22" i="130"/>
  <c r="O28" i="131"/>
  <c r="AA26" i="130"/>
  <c r="O7" i="125"/>
  <c r="T28" i="124"/>
  <c r="T19" i="124" s="1"/>
  <c r="T59" i="124" s="1"/>
  <c r="AA44" i="125"/>
  <c r="AA32" i="128"/>
  <c r="R32" i="128" s="1"/>
  <c r="R24" i="127"/>
  <c r="R50" i="129"/>
  <c r="BD28" i="129"/>
  <c r="BD19" i="129" s="1"/>
  <c r="AA15" i="127"/>
  <c r="S7" i="125"/>
  <c r="S6" i="125" s="1"/>
  <c r="AA13" i="131"/>
  <c r="AD28" i="129"/>
  <c r="AD19" i="129" s="1"/>
  <c r="F45" i="128"/>
  <c r="E45" i="128" s="1"/>
  <c r="L19" i="125"/>
  <c r="AA34" i="119"/>
  <c r="R34" i="119" s="1"/>
  <c r="AX19" i="122"/>
  <c r="AX59" i="122" s="1"/>
  <c r="F37" i="123"/>
  <c r="E37" i="123" s="1"/>
  <c r="AN19" i="130"/>
  <c r="AN59" i="130" s="1"/>
  <c r="F12" i="123"/>
  <c r="E12" i="123" s="1"/>
  <c r="AA56" i="119"/>
  <c r="R56" i="119" s="1"/>
  <c r="BF56" i="119" s="1"/>
  <c r="BC56" i="119" s="1"/>
  <c r="BC19" i="119"/>
  <c r="BC59" i="119" s="1"/>
  <c r="M28" i="130"/>
  <c r="M19" i="130" s="1"/>
  <c r="M59" i="130" s="1"/>
  <c r="R20" i="128"/>
  <c r="R27" i="130"/>
  <c r="BC7" i="126"/>
  <c r="BC6" i="126" s="1"/>
  <c r="R53" i="125"/>
  <c r="AA17" i="130"/>
  <c r="R17" i="130" s="1"/>
  <c r="AA51" i="125"/>
  <c r="R51" i="125" s="1"/>
  <c r="AW28" i="129"/>
  <c r="AW19" i="129" s="1"/>
  <c r="K28" i="127"/>
  <c r="K19" i="127" s="1"/>
  <c r="AA34" i="125"/>
  <c r="R34" i="125" s="1"/>
  <c r="BF34" i="125" s="1"/>
  <c r="AG34" i="125" s="1"/>
  <c r="AQ19" i="125"/>
  <c r="F18" i="125"/>
  <c r="E18" i="125" s="1"/>
  <c r="N7" i="125"/>
  <c r="N6" i="125" s="1"/>
  <c r="BB7" i="129"/>
  <c r="BB6" i="129" s="1"/>
  <c r="F23" i="129"/>
  <c r="E23" i="129" s="1"/>
  <c r="AD28" i="126"/>
  <c r="AD19" i="126" s="1"/>
  <c r="AA23" i="126"/>
  <c r="R23" i="126" s="1"/>
  <c r="AP28" i="127"/>
  <c r="AP19" i="127" s="1"/>
  <c r="AZ7" i="127"/>
  <c r="AZ6" i="127" s="1"/>
  <c r="F50" i="129"/>
  <c r="E50" i="129" s="1"/>
  <c r="AA31" i="131"/>
  <c r="R31" i="131" s="1"/>
  <c r="AR7" i="127"/>
  <c r="AR6" i="127" s="1"/>
  <c r="AS7" i="131"/>
  <c r="AS6" i="131" s="1"/>
  <c r="R10" i="130"/>
  <c r="R57" i="128"/>
  <c r="R48" i="126"/>
  <c r="X7" i="126"/>
  <c r="X6" i="126" s="1"/>
  <c r="AA41" i="127"/>
  <c r="AA48" i="131"/>
  <c r="R48" i="131" s="1"/>
  <c r="BF48" i="131" s="1"/>
  <c r="AU48" i="131" s="1"/>
  <c r="AA33" i="128"/>
  <c r="R33" i="128" s="1"/>
  <c r="Q7" i="125"/>
  <c r="Q6" i="125" s="1"/>
  <c r="AP7" i="126"/>
  <c r="AP6" i="126" s="1"/>
  <c r="R9" i="126"/>
  <c r="AA10" i="127"/>
  <c r="R10" i="127" s="1"/>
  <c r="BA19" i="125"/>
  <c r="BA59" i="125" s="1"/>
  <c r="N28" i="131"/>
  <c r="F44" i="128"/>
  <c r="E44" i="128" s="1"/>
  <c r="Z7" i="129"/>
  <c r="Z6" i="129" s="1"/>
  <c r="F22" i="127"/>
  <c r="E22" i="127" s="1"/>
  <c r="F20" i="127"/>
  <c r="G19" i="127"/>
  <c r="G59" i="127" s="1"/>
  <c r="AH7" i="130"/>
  <c r="AH6" i="130" s="1"/>
  <c r="F27" i="122"/>
  <c r="E27" i="122" s="1"/>
  <c r="AM7" i="129"/>
  <c r="AM6" i="129" s="1"/>
  <c r="F43" i="130"/>
  <c r="E43" i="130" s="1"/>
  <c r="F24" i="127"/>
  <c r="E24" i="127" s="1"/>
  <c r="AA21" i="119"/>
  <c r="R21" i="119" s="1"/>
  <c r="BF21" i="119" s="1"/>
  <c r="T21" i="119" s="1"/>
  <c r="AA41" i="125"/>
  <c r="R41" i="125" s="1"/>
  <c r="P28" i="125"/>
  <c r="P19" i="125" s="1"/>
  <c r="R32" i="129"/>
  <c r="BF32" i="129" s="1"/>
  <c r="AE32" i="129" s="1"/>
  <c r="F18" i="126"/>
  <c r="E18" i="126" s="1"/>
  <c r="E11" i="127"/>
  <c r="AL28" i="131"/>
  <c r="BD28" i="125"/>
  <c r="BD19" i="125" s="1"/>
  <c r="AA16" i="131"/>
  <c r="F57" i="128"/>
  <c r="E57" i="128" s="1"/>
  <c r="R48" i="128"/>
  <c r="R52" i="125"/>
  <c r="F14" i="126"/>
  <c r="E14" i="126" s="1"/>
  <c r="AA46" i="127"/>
  <c r="R46" i="127" s="1"/>
  <c r="BF46" i="127" s="1"/>
  <c r="AS46" i="127" s="1"/>
  <c r="AD19" i="127"/>
  <c r="AA58" i="127"/>
  <c r="R58" i="127" s="1"/>
  <c r="AO7" i="128"/>
  <c r="AO6" i="128" s="1"/>
  <c r="AP7" i="125"/>
  <c r="AP6" i="125" s="1"/>
  <c r="AN28" i="125"/>
  <c r="AN19" i="125" s="1"/>
  <c r="F48" i="127"/>
  <c r="E48" i="127" s="1"/>
  <c r="AS7" i="128"/>
  <c r="AS6" i="128" s="1"/>
  <c r="AA56" i="125"/>
  <c r="F50" i="127"/>
  <c r="E50" i="127" s="1"/>
  <c r="U7" i="127"/>
  <c r="U6" i="127" s="1"/>
  <c r="BC28" i="127"/>
  <c r="BC19" i="127" s="1"/>
  <c r="F15" i="129"/>
  <c r="E15" i="129" s="1"/>
  <c r="Q7" i="129"/>
  <c r="Q6" i="129" s="1"/>
  <c r="AP28" i="130"/>
  <c r="AP19" i="130" s="1"/>
  <c r="F30" i="130"/>
  <c r="E30" i="130" s="1"/>
  <c r="F13" i="130"/>
  <c r="E13" i="130" s="1"/>
  <c r="BE7" i="131"/>
  <c r="BE6" i="131" s="1"/>
  <c r="AN19" i="126"/>
  <c r="AA16" i="126"/>
  <c r="R16" i="126" s="1"/>
  <c r="F37" i="132"/>
  <c r="E37" i="132" s="1"/>
  <c r="F13" i="131"/>
  <c r="E13" i="131" s="1"/>
  <c r="AA55" i="128"/>
  <c r="R55" i="128" s="1"/>
  <c r="BF55" i="128" s="1"/>
  <c r="BB55" i="128" s="1"/>
  <c r="F39" i="126"/>
  <c r="E39" i="126" s="1"/>
  <c r="AU7" i="131"/>
  <c r="AU6" i="131" s="1"/>
  <c r="AZ28" i="128"/>
  <c r="AZ19" i="128" s="1"/>
  <c r="AY28" i="130"/>
  <c r="AY19" i="130" s="1"/>
  <c r="AE7" i="126"/>
  <c r="AE6" i="126" s="1"/>
  <c r="BD28" i="128"/>
  <c r="BD19" i="128" s="1"/>
  <c r="F42" i="129"/>
  <c r="E42" i="129" s="1"/>
  <c r="AD7" i="129"/>
  <c r="AD6" i="129" s="1"/>
  <c r="AJ28" i="118"/>
  <c r="AJ19" i="118" s="1"/>
  <c r="AJ59" i="118" s="1"/>
  <c r="AA41" i="131"/>
  <c r="R41" i="131" s="1"/>
  <c r="Q28" i="127"/>
  <c r="Q19" i="127" s="1"/>
  <c r="U28" i="129"/>
  <c r="U19" i="129" s="1"/>
  <c r="AR28" i="129"/>
  <c r="AR19" i="129" s="1"/>
  <c r="AE28" i="128"/>
  <c r="AE19" i="128" s="1"/>
  <c r="T7" i="129"/>
  <c r="T6" i="129" s="1"/>
  <c r="AI7" i="128"/>
  <c r="AI6" i="128" s="1"/>
  <c r="N7" i="126"/>
  <c r="N6" i="126" s="1"/>
  <c r="F56" i="128"/>
  <c r="E56" i="128" s="1"/>
  <c r="AA31" i="128"/>
  <c r="AA25" i="128"/>
  <c r="R25" i="128" s="1"/>
  <c r="AJ7" i="125"/>
  <c r="AJ6" i="125" s="1"/>
  <c r="S7" i="130"/>
  <c r="S6" i="130" s="1"/>
  <c r="F12" i="128"/>
  <c r="E12" i="128" s="1"/>
  <c r="BF12" i="128" s="1"/>
  <c r="K12" i="128" s="1"/>
  <c r="AT28" i="129"/>
  <c r="AT19" i="129" s="1"/>
  <c r="AA34" i="127"/>
  <c r="R34" i="127" s="1"/>
  <c r="AD7" i="130"/>
  <c r="AD6" i="130" s="1"/>
  <c r="AM28" i="125"/>
  <c r="AM19" i="125" s="1"/>
  <c r="AM59" i="125" s="1"/>
  <c r="AQ7" i="124"/>
  <c r="AQ6" i="124" s="1"/>
  <c r="AQ59" i="124" s="1"/>
  <c r="BG44" i="124" s="1"/>
  <c r="BH44" i="124" s="1"/>
  <c r="BK44" i="124" s="1"/>
  <c r="AA57" i="129"/>
  <c r="R57" i="129" s="1"/>
  <c r="BF57" i="129" s="1"/>
  <c r="BD57" i="129" s="1"/>
  <c r="BC7" i="118"/>
  <c r="BC6" i="118" s="1"/>
  <c r="Z7" i="125"/>
  <c r="Z6" i="125" s="1"/>
  <c r="F46" i="130"/>
  <c r="E46" i="130" s="1"/>
  <c r="F10" i="127"/>
  <c r="Y19" i="126"/>
  <c r="K7" i="129"/>
  <c r="F27" i="131"/>
  <c r="E27" i="131" s="1"/>
  <c r="BD19" i="117"/>
  <c r="BD59" i="117" s="1"/>
  <c r="F42" i="128"/>
  <c r="E42" i="128" s="1"/>
  <c r="AT28" i="125"/>
  <c r="AT19" i="125" s="1"/>
  <c r="AA23" i="131"/>
  <c r="R23" i="131" s="1"/>
  <c r="BF23" i="131" s="1"/>
  <c r="V23" i="131" s="1"/>
  <c r="AA15" i="126"/>
  <c r="R15" i="126" s="1"/>
  <c r="AH19" i="127"/>
  <c r="F37" i="130"/>
  <c r="E37" i="130" s="1"/>
  <c r="F55" i="132"/>
  <c r="E55" i="132" s="1"/>
  <c r="AD28" i="130"/>
  <c r="AD19" i="130" s="1"/>
  <c r="F24" i="128"/>
  <c r="E24" i="128" s="1"/>
  <c r="AL19" i="125"/>
  <c r="AL59" i="125" s="1"/>
  <c r="AA36" i="128"/>
  <c r="R36" i="128" s="1"/>
  <c r="N7" i="128"/>
  <c r="N6" i="128" s="1"/>
  <c r="AA53" i="127"/>
  <c r="AZ28" i="129"/>
  <c r="AZ19" i="129" s="1"/>
  <c r="AZ59" i="129" s="1"/>
  <c r="R18" i="129"/>
  <c r="AA13" i="129"/>
  <c r="R13" i="129" s="1"/>
  <c r="R51" i="121"/>
  <c r="BF51" i="121" s="1"/>
  <c r="AX51" i="121" s="1"/>
  <c r="AA38" i="129"/>
  <c r="R38" i="129" s="1"/>
  <c r="AA24" i="128"/>
  <c r="R24" i="128" s="1"/>
  <c r="M7" i="128"/>
  <c r="M6" i="128" s="1"/>
  <c r="AK28" i="126"/>
  <c r="AK19" i="126" s="1"/>
  <c r="F30" i="125"/>
  <c r="E30" i="125" s="1"/>
  <c r="R48" i="130"/>
  <c r="AA10" i="126"/>
  <c r="R10" i="126" s="1"/>
  <c r="AB28" i="125"/>
  <c r="AB19" i="125" s="1"/>
  <c r="AA30" i="125"/>
  <c r="R30" i="125" s="1"/>
  <c r="AF28" i="127"/>
  <c r="AF19" i="127" s="1"/>
  <c r="AF59" i="127" s="1"/>
  <c r="BG33" i="127" s="1"/>
  <c r="BH33" i="127" s="1"/>
  <c r="BK33" i="127" s="1"/>
  <c r="J28" i="118"/>
  <c r="J19" i="118" s="1"/>
  <c r="F14" i="118"/>
  <c r="E14" i="118" s="1"/>
  <c r="U28" i="127"/>
  <c r="U19" i="127" s="1"/>
  <c r="P28" i="129"/>
  <c r="P19" i="129" s="1"/>
  <c r="AZ7" i="130"/>
  <c r="AZ6" i="130" s="1"/>
  <c r="AP7" i="129"/>
  <c r="AP6" i="129" s="1"/>
  <c r="AJ19" i="120"/>
  <c r="AJ59" i="120" s="1"/>
  <c r="AW7" i="130"/>
  <c r="AW6" i="130" s="1"/>
  <c r="AS7" i="129"/>
  <c r="AS6" i="129" s="1"/>
  <c r="BF33" i="119"/>
  <c r="AF33" i="119" s="1"/>
  <c r="F32" i="126"/>
  <c r="E32" i="126" s="1"/>
  <c r="F30" i="126"/>
  <c r="E30" i="126" s="1"/>
  <c r="R16" i="127"/>
  <c r="M28" i="127"/>
  <c r="AA25" i="130"/>
  <c r="F39" i="125"/>
  <c r="E39" i="125" s="1"/>
  <c r="AU7" i="129"/>
  <c r="AU6" i="129" s="1"/>
  <c r="AA41" i="128"/>
  <c r="R41" i="128" s="1"/>
  <c r="AA56" i="131"/>
  <c r="R56" i="131" s="1"/>
  <c r="R10" i="131"/>
  <c r="R32" i="131"/>
  <c r="Z7" i="126"/>
  <c r="Z6" i="126" s="1"/>
  <c r="AO28" i="130"/>
  <c r="AO19" i="130" s="1"/>
  <c r="F51" i="125"/>
  <c r="E51" i="125" s="1"/>
  <c r="T28" i="130"/>
  <c r="T19" i="130" s="1"/>
  <c r="AL7" i="131"/>
  <c r="AL6" i="131" s="1"/>
  <c r="AR7" i="126"/>
  <c r="AR6" i="126" s="1"/>
  <c r="F33" i="125"/>
  <c r="E33" i="125" s="1"/>
  <c r="J28" i="128"/>
  <c r="AA34" i="128"/>
  <c r="R34" i="128" s="1"/>
  <c r="I28" i="123"/>
  <c r="I19" i="123" s="1"/>
  <c r="I59" i="123" s="1"/>
  <c r="AA43" i="130"/>
  <c r="R43" i="130" s="1"/>
  <c r="F12" i="130"/>
  <c r="F10" i="130"/>
  <c r="E10" i="130" s="1"/>
  <c r="F35" i="130"/>
  <c r="E35" i="130" s="1"/>
  <c r="L7" i="119"/>
  <c r="L6" i="119" s="1"/>
  <c r="AR7" i="130"/>
  <c r="AR6" i="130" s="1"/>
  <c r="K28" i="125"/>
  <c r="K19" i="125" s="1"/>
  <c r="V19" i="126"/>
  <c r="BC19" i="125"/>
  <c r="AA36" i="132"/>
  <c r="AG28" i="125"/>
  <c r="AG19" i="125" s="1"/>
  <c r="Y28" i="127"/>
  <c r="Y19" i="127" s="1"/>
  <c r="F43" i="126"/>
  <c r="E43" i="126" s="1"/>
  <c r="AA51" i="129"/>
  <c r="R51" i="129" s="1"/>
  <c r="AA17" i="118"/>
  <c r="R17" i="118" s="1"/>
  <c r="I19" i="118"/>
  <c r="I59" i="118" s="1"/>
  <c r="BG10" i="118" s="1"/>
  <c r="BH10" i="118" s="1"/>
  <c r="F32" i="125"/>
  <c r="E32" i="125" s="1"/>
  <c r="BB7" i="127"/>
  <c r="BB6" i="127" s="1"/>
  <c r="AL19" i="122"/>
  <c r="M28" i="129"/>
  <c r="M19" i="129" s="1"/>
  <c r="M59" i="129" s="1"/>
  <c r="AT7" i="126"/>
  <c r="AT6" i="126" s="1"/>
  <c r="AT59" i="126" s="1"/>
  <c r="F26" i="125"/>
  <c r="E26" i="125" s="1"/>
  <c r="BF26" i="125" s="1"/>
  <c r="Y26" i="125" s="1"/>
  <c r="F44" i="130"/>
  <c r="E44" i="130" s="1"/>
  <c r="BF44" i="130" s="1"/>
  <c r="AQ44" i="130" s="1"/>
  <c r="AD7" i="131"/>
  <c r="AD6" i="131" s="1"/>
  <c r="I28" i="130"/>
  <c r="BF38" i="121"/>
  <c r="AK38" i="121" s="1"/>
  <c r="AQ28" i="121"/>
  <c r="AQ19" i="121" s="1"/>
  <c r="P7" i="126"/>
  <c r="AA50" i="130"/>
  <c r="F10" i="128"/>
  <c r="F48" i="126"/>
  <c r="E48" i="126" s="1"/>
  <c r="AA35" i="131"/>
  <c r="R35" i="131" s="1"/>
  <c r="BF35" i="131" s="1"/>
  <c r="AH35" i="131" s="1"/>
  <c r="AA54" i="127"/>
  <c r="R54" i="127" s="1"/>
  <c r="AA57" i="126"/>
  <c r="R57" i="126" s="1"/>
  <c r="I28" i="126"/>
  <c r="I28" i="119"/>
  <c r="I19" i="119" s="1"/>
  <c r="L7" i="125"/>
  <c r="L6" i="125" s="1"/>
  <c r="U7" i="123"/>
  <c r="U6" i="123" s="1"/>
  <c r="AS28" i="129"/>
  <c r="AS19" i="129" s="1"/>
  <c r="AS59" i="129" s="1"/>
  <c r="AQ28" i="126"/>
  <c r="AQ19" i="126" s="1"/>
  <c r="R40" i="124"/>
  <c r="BF40" i="124" s="1"/>
  <c r="AM40" i="124" s="1"/>
  <c r="O7" i="128"/>
  <c r="AY7" i="129"/>
  <c r="AY6" i="129" s="1"/>
  <c r="AA21" i="131"/>
  <c r="AS28" i="124"/>
  <c r="AS19" i="124" s="1"/>
  <c r="AS59" i="124" s="1"/>
  <c r="AV28" i="126"/>
  <c r="AV19" i="126" s="1"/>
  <c r="AL19" i="130"/>
  <c r="P19" i="130"/>
  <c r="G28" i="126"/>
  <c r="G19" i="126" s="1"/>
  <c r="F29" i="126"/>
  <c r="E29" i="126" s="1"/>
  <c r="BF29" i="126" s="1"/>
  <c r="AB29" i="126" s="1"/>
  <c r="AW7" i="126"/>
  <c r="AW6" i="126" s="1"/>
  <c r="O7" i="118"/>
  <c r="AA21" i="128"/>
  <c r="R21" i="128" s="1"/>
  <c r="F58" i="125"/>
  <c r="AW7" i="119"/>
  <c r="AW6" i="119" s="1"/>
  <c r="AX28" i="127"/>
  <c r="AX19" i="127" s="1"/>
  <c r="AX59" i="127" s="1"/>
  <c r="AA39" i="126"/>
  <c r="R39" i="126" s="1"/>
  <c r="AA14" i="125"/>
  <c r="R14" i="125" s="1"/>
  <c r="AX7" i="130"/>
  <c r="AX6" i="130" s="1"/>
  <c r="F36" i="125"/>
  <c r="E36" i="125" s="1"/>
  <c r="AA58" i="121"/>
  <c r="R58" i="121" s="1"/>
  <c r="F51" i="119"/>
  <c r="E51" i="119" s="1"/>
  <c r="AA22" i="127"/>
  <c r="R22" i="127" s="1"/>
  <c r="BF22" i="127" s="1"/>
  <c r="U22" i="127" s="1"/>
  <c r="F42" i="127"/>
  <c r="E42" i="127" s="1"/>
  <c r="F37" i="120"/>
  <c r="E37" i="120" s="1"/>
  <c r="AF7" i="127"/>
  <c r="AF6" i="127" s="1"/>
  <c r="W7" i="126"/>
  <c r="W6" i="126" s="1"/>
  <c r="V28" i="131"/>
  <c r="V19" i="131" s="1"/>
  <c r="AA46" i="131"/>
  <c r="R46" i="131" s="1"/>
  <c r="R53" i="124"/>
  <c r="F15" i="127"/>
  <c r="E15" i="127" s="1"/>
  <c r="F41" i="128"/>
  <c r="E41" i="128" s="1"/>
  <c r="AW28" i="128"/>
  <c r="R30" i="129"/>
  <c r="AA12" i="122"/>
  <c r="R12" i="122" s="1"/>
  <c r="AA14" i="126"/>
  <c r="R14" i="126" s="1"/>
  <c r="AA52" i="123"/>
  <c r="R52" i="123" s="1"/>
  <c r="R47" i="128"/>
  <c r="H28" i="126"/>
  <c r="H19" i="126" s="1"/>
  <c r="H59" i="126" s="1"/>
  <c r="AN7" i="131"/>
  <c r="AN6" i="131" s="1"/>
  <c r="F25" i="121"/>
  <c r="E25" i="121" s="1"/>
  <c r="F22" i="130"/>
  <c r="E22" i="130" s="1"/>
  <c r="BF22" i="130" s="1"/>
  <c r="U22" i="130" s="1"/>
  <c r="L28" i="123"/>
  <c r="L19" i="123" s="1"/>
  <c r="L59" i="123" s="1"/>
  <c r="R33" i="123"/>
  <c r="BF33" i="123" s="1"/>
  <c r="AF33" i="123" s="1"/>
  <c r="F9" i="126"/>
  <c r="E9" i="126" s="1"/>
  <c r="BF9" i="126" s="1"/>
  <c r="G7" i="126"/>
  <c r="G6" i="126" s="1"/>
  <c r="F42" i="125"/>
  <c r="E42" i="125" s="1"/>
  <c r="AX19" i="121"/>
  <c r="AX59" i="121" s="1"/>
  <c r="Y7" i="132"/>
  <c r="Y6" i="132" s="1"/>
  <c r="AR7" i="131"/>
  <c r="AR6" i="131" s="1"/>
  <c r="W7" i="125"/>
  <c r="W6" i="125" s="1"/>
  <c r="Y19" i="131"/>
  <c r="R10" i="125"/>
  <c r="BF26" i="122"/>
  <c r="Y26" i="122" s="1"/>
  <c r="AS19" i="118"/>
  <c r="AE7" i="129"/>
  <c r="AE6" i="129" s="1"/>
  <c r="AA32" i="125"/>
  <c r="R32" i="125" s="1"/>
  <c r="S28" i="127"/>
  <c r="S19" i="127" s="1"/>
  <c r="S59" i="127" s="1"/>
  <c r="R29" i="127"/>
  <c r="H28" i="128"/>
  <c r="F25" i="130"/>
  <c r="E25" i="130" s="1"/>
  <c r="F17" i="129"/>
  <c r="E17" i="129" s="1"/>
  <c r="AA31" i="117"/>
  <c r="R31" i="117" s="1"/>
  <c r="BF31" i="117" s="1"/>
  <c r="AA22" i="125"/>
  <c r="F58" i="131"/>
  <c r="E58" i="131" s="1"/>
  <c r="F56" i="127"/>
  <c r="E56" i="127" s="1"/>
  <c r="M7" i="127"/>
  <c r="M6" i="127" s="1"/>
  <c r="W28" i="119"/>
  <c r="W19" i="119" s="1"/>
  <c r="W59" i="119" s="1"/>
  <c r="I28" i="131"/>
  <c r="I19" i="131" s="1"/>
  <c r="AI7" i="129"/>
  <c r="AI6" i="129" s="1"/>
  <c r="X7" i="129"/>
  <c r="BD7" i="120"/>
  <c r="BD6" i="120" s="1"/>
  <c r="AV7" i="120"/>
  <c r="AV6" i="120" s="1"/>
  <c r="AV59" i="120" s="1"/>
  <c r="M19" i="127"/>
  <c r="AK7" i="128"/>
  <c r="AK6" i="128" s="1"/>
  <c r="AA12" i="130"/>
  <c r="R12" i="130" s="1"/>
  <c r="AJ7" i="131"/>
  <c r="AJ6" i="131" s="1"/>
  <c r="AA26" i="124"/>
  <c r="AR28" i="126"/>
  <c r="AR19" i="126" s="1"/>
  <c r="BB7" i="130"/>
  <c r="BB6" i="130" s="1"/>
  <c r="N28" i="130"/>
  <c r="BC28" i="129"/>
  <c r="BC19" i="129" s="1"/>
  <c r="AP7" i="127"/>
  <c r="AP6" i="127" s="1"/>
  <c r="R31" i="127"/>
  <c r="BF31" i="127" s="1"/>
  <c r="AD31" i="127" s="1"/>
  <c r="AA29" i="127"/>
  <c r="AC28" i="127"/>
  <c r="AC19" i="127" s="1"/>
  <c r="AC59" i="127" s="1"/>
  <c r="BB28" i="129"/>
  <c r="BB19" i="129" s="1"/>
  <c r="AN19" i="128"/>
  <c r="AN59" i="128" s="1"/>
  <c r="S7" i="132"/>
  <c r="S6" i="132" s="1"/>
  <c r="W19" i="129"/>
  <c r="AA21" i="129"/>
  <c r="R21" i="129" s="1"/>
  <c r="F9" i="125"/>
  <c r="E9" i="125" s="1"/>
  <c r="G7" i="125"/>
  <c r="G6" i="125" s="1"/>
  <c r="AA11" i="126"/>
  <c r="O19" i="131"/>
  <c r="BE28" i="124"/>
  <c r="BE19" i="124" s="1"/>
  <c r="BA59" i="127"/>
  <c r="BD28" i="126"/>
  <c r="BD19" i="126" s="1"/>
  <c r="BD59" i="126" s="1"/>
  <c r="AP28" i="125"/>
  <c r="Q7" i="126"/>
  <c r="Q6" i="126" s="1"/>
  <c r="AA56" i="128"/>
  <c r="R56" i="128" s="1"/>
  <c r="AB7" i="132"/>
  <c r="AB6" i="132" s="1"/>
  <c r="AA8" i="132"/>
  <c r="R8" i="132" s="1"/>
  <c r="R26" i="130"/>
  <c r="BD7" i="125"/>
  <c r="BD6" i="125" s="1"/>
  <c r="F49" i="119"/>
  <c r="E49" i="119" s="1"/>
  <c r="R37" i="119"/>
  <c r="BF37" i="119" s="1"/>
  <c r="N19" i="126"/>
  <c r="AT28" i="131"/>
  <c r="AT19" i="131" s="1"/>
  <c r="AA44" i="119"/>
  <c r="R44" i="119" s="1"/>
  <c r="BF44" i="119" s="1"/>
  <c r="AQ44" i="119" s="1"/>
  <c r="F36" i="127"/>
  <c r="E36" i="127" s="1"/>
  <c r="AX7" i="126"/>
  <c r="AX6" i="126" s="1"/>
  <c r="F40" i="126"/>
  <c r="E40" i="126" s="1"/>
  <c r="F14" i="130"/>
  <c r="E14" i="130" s="1"/>
  <c r="P7" i="130"/>
  <c r="P6" i="130" s="1"/>
  <c r="P59" i="130" s="1"/>
  <c r="L7" i="127"/>
  <c r="L6" i="127" s="1"/>
  <c r="BA19" i="131"/>
  <c r="AW28" i="126"/>
  <c r="AW19" i="126" s="1"/>
  <c r="AW59" i="126" s="1"/>
  <c r="AT19" i="120"/>
  <c r="AV7" i="126"/>
  <c r="AV6" i="126" s="1"/>
  <c r="F23" i="125"/>
  <c r="E23" i="125" s="1"/>
  <c r="AJ28" i="129"/>
  <c r="AJ19" i="129" s="1"/>
  <c r="AA22" i="129"/>
  <c r="AA27" i="122"/>
  <c r="R27" i="122" s="1"/>
  <c r="BF27" i="122" s="1"/>
  <c r="Z27" i="122" s="1"/>
  <c r="AA56" i="122"/>
  <c r="R56" i="122" s="1"/>
  <c r="BF56" i="122" s="1"/>
  <c r="BC56" i="122" s="1"/>
  <c r="F46" i="126"/>
  <c r="E46" i="126" s="1"/>
  <c r="F25" i="125"/>
  <c r="E25" i="125" s="1"/>
  <c r="AK19" i="122"/>
  <c r="AA30" i="126"/>
  <c r="R30" i="126" s="1"/>
  <c r="BF30" i="126" s="1"/>
  <c r="AC30" i="126" s="1"/>
  <c r="AB28" i="126"/>
  <c r="AB19" i="126" s="1"/>
  <c r="AH19" i="126"/>
  <c r="AH59" i="126" s="1"/>
  <c r="F52" i="126"/>
  <c r="E52" i="126" s="1"/>
  <c r="F30" i="129"/>
  <c r="E30" i="129" s="1"/>
  <c r="AA56" i="129"/>
  <c r="R56" i="129" s="1"/>
  <c r="S28" i="130"/>
  <c r="S19" i="130" s="1"/>
  <c r="S59" i="130" s="1"/>
  <c r="J19" i="128"/>
  <c r="AG28" i="126"/>
  <c r="AG19" i="126" s="1"/>
  <c r="AG59" i="126" s="1"/>
  <c r="AA15" i="128"/>
  <c r="R15" i="128" s="1"/>
  <c r="AI7" i="131"/>
  <c r="AI6" i="131" s="1"/>
  <c r="AA17" i="131"/>
  <c r="R17" i="131" s="1"/>
  <c r="AJ28" i="131"/>
  <c r="BC28" i="132"/>
  <c r="V7" i="128"/>
  <c r="V6" i="128" s="1"/>
  <c r="AA27" i="125"/>
  <c r="R27" i="125" s="1"/>
  <c r="AA26" i="125"/>
  <c r="F40" i="130"/>
  <c r="E40" i="130" s="1"/>
  <c r="AA39" i="127"/>
  <c r="R39" i="127" s="1"/>
  <c r="K28" i="132"/>
  <c r="X28" i="124"/>
  <c r="X19" i="124" s="1"/>
  <c r="X59" i="124" s="1"/>
  <c r="BG25" i="124" s="1"/>
  <c r="BH25" i="124" s="1"/>
  <c r="BK25" i="124" s="1"/>
  <c r="S28" i="128"/>
  <c r="S19" i="128" s="1"/>
  <c r="R44" i="125"/>
  <c r="AI28" i="131"/>
  <c r="AI19" i="131" s="1"/>
  <c r="AI59" i="131" s="1"/>
  <c r="F55" i="125"/>
  <c r="E55" i="125" s="1"/>
  <c r="AA40" i="130"/>
  <c r="R40" i="130" s="1"/>
  <c r="I7" i="127"/>
  <c r="I6" i="127" s="1"/>
  <c r="F35" i="125"/>
  <c r="E35" i="125" s="1"/>
  <c r="P28" i="126"/>
  <c r="P19" i="126" s="1"/>
  <c r="AA15" i="129"/>
  <c r="R15" i="129" s="1"/>
  <c r="AV7" i="125"/>
  <c r="AV6" i="125" s="1"/>
  <c r="AA33" i="124"/>
  <c r="R33" i="124" s="1"/>
  <c r="BF33" i="124" s="1"/>
  <c r="AF33" i="124" s="1"/>
  <c r="R50" i="125"/>
  <c r="BF50" i="125" s="1"/>
  <c r="AW50" i="125" s="1"/>
  <c r="F44" i="125"/>
  <c r="E44" i="125" s="1"/>
  <c r="BD7" i="129"/>
  <c r="BD6" i="129" s="1"/>
  <c r="AO28" i="131"/>
  <c r="H19" i="128"/>
  <c r="BC7" i="131"/>
  <c r="BC6" i="131" s="1"/>
  <c r="AL7" i="129"/>
  <c r="AL6" i="129" s="1"/>
  <c r="L28" i="120"/>
  <c r="L19" i="120" s="1"/>
  <c r="I19" i="125"/>
  <c r="AA46" i="125"/>
  <c r="R46" i="125" s="1"/>
  <c r="BF46" i="125" s="1"/>
  <c r="AS46" i="125" s="1"/>
  <c r="AZ7" i="128"/>
  <c r="AZ6" i="128" s="1"/>
  <c r="AA13" i="126"/>
  <c r="R13" i="126" s="1"/>
  <c r="E12" i="126"/>
  <c r="BF12" i="126" s="1"/>
  <c r="K12" i="126" s="1"/>
  <c r="T7" i="125"/>
  <c r="AR28" i="125"/>
  <c r="AK7" i="129"/>
  <c r="AK6" i="129" s="1"/>
  <c r="P7" i="129"/>
  <c r="I28" i="129"/>
  <c r="I19" i="129" s="1"/>
  <c r="I59" i="129" s="1"/>
  <c r="F11" i="131"/>
  <c r="E11" i="131" s="1"/>
  <c r="BD7" i="127"/>
  <c r="BD6" i="127" s="1"/>
  <c r="F14" i="128"/>
  <c r="E14" i="128" s="1"/>
  <c r="H19" i="127"/>
  <c r="AA25" i="127"/>
  <c r="Z28" i="131"/>
  <c r="Z19" i="131" s="1"/>
  <c r="AU28" i="125"/>
  <c r="AU19" i="125" s="1"/>
  <c r="H19" i="124"/>
  <c r="H59" i="124" s="1"/>
  <c r="V7" i="129"/>
  <c r="V6" i="129" s="1"/>
  <c r="AA25" i="126"/>
  <c r="R25" i="126" s="1"/>
  <c r="O28" i="127"/>
  <c r="O19" i="127" s="1"/>
  <c r="BC7" i="128"/>
  <c r="BC6" i="128" s="1"/>
  <c r="AA15" i="131"/>
  <c r="R15" i="131" s="1"/>
  <c r="F25" i="128"/>
  <c r="E25" i="128" s="1"/>
  <c r="AG7" i="130"/>
  <c r="AG6" i="130" s="1"/>
  <c r="F20" i="131"/>
  <c r="E20" i="131" s="1"/>
  <c r="I7" i="125"/>
  <c r="I6" i="125" s="1"/>
  <c r="AA31" i="125"/>
  <c r="R31" i="125" s="1"/>
  <c r="R56" i="125"/>
  <c r="BF56" i="125" s="1"/>
  <c r="BC56" i="125" s="1"/>
  <c r="AV28" i="130"/>
  <c r="AV19" i="130" s="1"/>
  <c r="AQ7" i="130"/>
  <c r="AQ6" i="130" s="1"/>
  <c r="H28" i="125"/>
  <c r="H19" i="125" s="1"/>
  <c r="AA20" i="129"/>
  <c r="R20" i="129" s="1"/>
  <c r="BF20" i="129" s="1"/>
  <c r="S20" i="129" s="1"/>
  <c r="AS28" i="130"/>
  <c r="AS19" i="130" s="1"/>
  <c r="AA27" i="131"/>
  <c r="R27" i="131" s="1"/>
  <c r="BF27" i="131" s="1"/>
  <c r="Z27" i="131" s="1"/>
  <c r="BC19" i="132"/>
  <c r="X19" i="127"/>
  <c r="AY28" i="127"/>
  <c r="AY19" i="127" s="1"/>
  <c r="F58" i="127"/>
  <c r="AA14" i="127"/>
  <c r="R14" i="127" s="1"/>
  <c r="F35" i="127"/>
  <c r="E35" i="127" s="1"/>
  <c r="AM7" i="128"/>
  <c r="AM6" i="128" s="1"/>
  <c r="AA9" i="128"/>
  <c r="R9" i="128" s="1"/>
  <c r="AA46" i="129"/>
  <c r="R46" i="129" s="1"/>
  <c r="BF46" i="129" s="1"/>
  <c r="AS46" i="129" s="1"/>
  <c r="O7" i="131"/>
  <c r="O6" i="131" s="1"/>
  <c r="O59" i="131" s="1"/>
  <c r="R42" i="127"/>
  <c r="F21" i="125"/>
  <c r="E21" i="125" s="1"/>
  <c r="AQ7" i="129"/>
  <c r="AQ6" i="129" s="1"/>
  <c r="V28" i="127"/>
  <c r="V19" i="127" s="1"/>
  <c r="AD7" i="127"/>
  <c r="AD6" i="127" s="1"/>
  <c r="AT7" i="132"/>
  <c r="AT6" i="132" s="1"/>
  <c r="AR59" i="123"/>
  <c r="AA13" i="123"/>
  <c r="R13" i="123" s="1"/>
  <c r="F41" i="130"/>
  <c r="E41" i="130" s="1"/>
  <c r="Q19" i="124"/>
  <c r="Q59" i="124" s="1"/>
  <c r="BF14" i="129"/>
  <c r="M14" i="129" s="1"/>
  <c r="AA14" i="128"/>
  <c r="R14" i="128" s="1"/>
  <c r="AU28" i="128"/>
  <c r="AU19" i="128" s="1"/>
  <c r="AU59" i="128" s="1"/>
  <c r="BG48" i="128" s="1"/>
  <c r="BH48" i="128" s="1"/>
  <c r="BK48" i="128" s="1"/>
  <c r="R44" i="124"/>
  <c r="AA45" i="128"/>
  <c r="R45" i="128" s="1"/>
  <c r="BF45" i="128" s="1"/>
  <c r="AR45" i="128" s="1"/>
  <c r="R25" i="127"/>
  <c r="AZ7" i="125"/>
  <c r="AZ6" i="125" s="1"/>
  <c r="AA20" i="125"/>
  <c r="R20" i="125" s="1"/>
  <c r="BF20" i="125" s="1"/>
  <c r="S20" i="125" s="1"/>
  <c r="T7" i="126"/>
  <c r="T6" i="126" s="1"/>
  <c r="AY28" i="131"/>
  <c r="AY19" i="131" s="1"/>
  <c r="AY59" i="131" s="1"/>
  <c r="J7" i="129"/>
  <c r="AT28" i="130"/>
  <c r="AT19" i="130" s="1"/>
  <c r="Y28" i="129"/>
  <c r="Y19" i="129" s="1"/>
  <c r="U7" i="129"/>
  <c r="U6" i="129" s="1"/>
  <c r="AU7" i="126"/>
  <c r="AU6" i="126" s="1"/>
  <c r="F8" i="131"/>
  <c r="E8" i="131" s="1"/>
  <c r="H7" i="131"/>
  <c r="H6" i="131" s="1"/>
  <c r="X7" i="131"/>
  <c r="X6" i="131" s="1"/>
  <c r="F32" i="131"/>
  <c r="E32" i="131" s="1"/>
  <c r="R47" i="131"/>
  <c r="F43" i="127"/>
  <c r="E43" i="127" s="1"/>
  <c r="AA33" i="125"/>
  <c r="R33" i="125" s="1"/>
  <c r="BF33" i="125" s="1"/>
  <c r="AF33" i="125" s="1"/>
  <c r="AM7" i="127"/>
  <c r="AM6" i="127" s="1"/>
  <c r="F43" i="129"/>
  <c r="E43" i="129" s="1"/>
  <c r="AA36" i="125"/>
  <c r="R36" i="125" s="1"/>
  <c r="R11" i="127"/>
  <c r="F56" i="131"/>
  <c r="E56" i="131" s="1"/>
  <c r="O19" i="125"/>
  <c r="BD7" i="128"/>
  <c r="BD6" i="128" s="1"/>
  <c r="T7" i="127"/>
  <c r="T6" i="127" s="1"/>
  <c r="AN7" i="125"/>
  <c r="AN6" i="125" s="1"/>
  <c r="AF7" i="131"/>
  <c r="AF6" i="131" s="1"/>
  <c r="V7" i="131"/>
  <c r="V6" i="131" s="1"/>
  <c r="AR19" i="125"/>
  <c r="AL28" i="128"/>
  <c r="AL19" i="128" s="1"/>
  <c r="K28" i="126"/>
  <c r="K19" i="126" s="1"/>
  <c r="F31" i="125"/>
  <c r="E31" i="125" s="1"/>
  <c r="AJ19" i="125"/>
  <c r="AJ59" i="125" s="1"/>
  <c r="F43" i="125"/>
  <c r="E43" i="125" s="1"/>
  <c r="R22" i="125"/>
  <c r="BF22" i="125" s="1"/>
  <c r="U22" i="125" s="1"/>
  <c r="R48" i="129"/>
  <c r="BF48" i="129" s="1"/>
  <c r="AU48" i="129" s="1"/>
  <c r="AP28" i="129"/>
  <c r="AP19" i="129" s="1"/>
  <c r="L28" i="130"/>
  <c r="L19" i="130" s="1"/>
  <c r="L59" i="130" s="1"/>
  <c r="Y7" i="126"/>
  <c r="Y6" i="126" s="1"/>
  <c r="Y59" i="126" s="1"/>
  <c r="BG26" i="126" s="1"/>
  <c r="BH26" i="126" s="1"/>
  <c r="BK26" i="126" s="1"/>
  <c r="Q19" i="126"/>
  <c r="AA9" i="125"/>
  <c r="R9" i="125" s="1"/>
  <c r="AU28" i="131"/>
  <c r="AU19" i="131" s="1"/>
  <c r="AU59" i="131" s="1"/>
  <c r="BG48" i="131" s="1"/>
  <c r="BH48" i="131" s="1"/>
  <c r="BK48" i="131" s="1"/>
  <c r="E11" i="125"/>
  <c r="AW7" i="128"/>
  <c r="AW6" i="128" s="1"/>
  <c r="AA54" i="129"/>
  <c r="R54" i="129" s="1"/>
  <c r="AG7" i="128"/>
  <c r="AG6" i="128" s="1"/>
  <c r="J7" i="127"/>
  <c r="AK7" i="124"/>
  <c r="AK6" i="124" s="1"/>
  <c r="T28" i="129"/>
  <c r="T19" i="129" s="1"/>
  <c r="F9" i="129"/>
  <c r="E9" i="129" s="1"/>
  <c r="G7" i="129"/>
  <c r="G6" i="129" s="1"/>
  <c r="AA40" i="129"/>
  <c r="R55" i="125"/>
  <c r="J28" i="126"/>
  <c r="AA53" i="130"/>
  <c r="R53" i="130" s="1"/>
  <c r="AA44" i="126"/>
  <c r="R44" i="126" s="1"/>
  <c r="AK28" i="131"/>
  <c r="AK19" i="131" s="1"/>
  <c r="AH28" i="131"/>
  <c r="AH19" i="131" s="1"/>
  <c r="AA53" i="128"/>
  <c r="R44" i="131"/>
  <c r="K7" i="124"/>
  <c r="O28" i="129"/>
  <c r="AA16" i="129"/>
  <c r="R16" i="129" s="1"/>
  <c r="BE19" i="125"/>
  <c r="AO19" i="124"/>
  <c r="F48" i="125"/>
  <c r="E48" i="125" s="1"/>
  <c r="H28" i="130"/>
  <c r="H19" i="130" s="1"/>
  <c r="G7" i="128"/>
  <c r="G6" i="128" s="1"/>
  <c r="F9" i="128"/>
  <c r="E9" i="128" s="1"/>
  <c r="AJ28" i="124"/>
  <c r="AJ19" i="124" s="1"/>
  <c r="AJ59" i="124" s="1"/>
  <c r="F20" i="130"/>
  <c r="E20" i="130" s="1"/>
  <c r="AQ28" i="129"/>
  <c r="AQ19" i="129" s="1"/>
  <c r="AA9" i="130"/>
  <c r="R9" i="130" s="1"/>
  <c r="AA22" i="131"/>
  <c r="R25" i="130"/>
  <c r="BE7" i="127"/>
  <c r="BE6" i="127" s="1"/>
  <c r="M7" i="132"/>
  <c r="M6" i="132" s="1"/>
  <c r="F36" i="129"/>
  <c r="E36" i="129" s="1"/>
  <c r="I28" i="128"/>
  <c r="I19" i="128" s="1"/>
  <c r="K19" i="128"/>
  <c r="AA58" i="132"/>
  <c r="R58" i="132" s="1"/>
  <c r="AW19" i="128"/>
  <c r="AA49" i="128"/>
  <c r="R49" i="128" s="1"/>
  <c r="R41" i="127"/>
  <c r="BF41" i="127" s="1"/>
  <c r="AN41" i="127" s="1"/>
  <c r="AA47" i="129"/>
  <c r="R47" i="129" s="1"/>
  <c r="AO7" i="127"/>
  <c r="AO6" i="127" s="1"/>
  <c r="BC28" i="130"/>
  <c r="BC19" i="130" s="1"/>
  <c r="F20" i="132"/>
  <c r="E20" i="132" s="1"/>
  <c r="AQ28" i="127"/>
  <c r="AQ19" i="127" s="1"/>
  <c r="AH7" i="129"/>
  <c r="AH6" i="129" s="1"/>
  <c r="R24" i="129"/>
  <c r="AA54" i="125"/>
  <c r="R54" i="125" s="1"/>
  <c r="AI28" i="132"/>
  <c r="AI19" i="132" s="1"/>
  <c r="Z7" i="128"/>
  <c r="Z6" i="128" s="1"/>
  <c r="J7" i="124"/>
  <c r="J6" i="124" s="1"/>
  <c r="J59" i="124" s="1"/>
  <c r="F18" i="131"/>
  <c r="E18" i="131" s="1"/>
  <c r="AA57" i="127"/>
  <c r="R57" i="127" s="1"/>
  <c r="AL7" i="130"/>
  <c r="AL6" i="130" s="1"/>
  <c r="AK19" i="128"/>
  <c r="Q7" i="128"/>
  <c r="Q6" i="128" s="1"/>
  <c r="F39" i="129"/>
  <c r="E39" i="129" s="1"/>
  <c r="AA58" i="129"/>
  <c r="W28" i="131"/>
  <c r="R52" i="128"/>
  <c r="BF52" i="128" s="1"/>
  <c r="AY52" i="128" s="1"/>
  <c r="T28" i="125"/>
  <c r="T19" i="125" s="1"/>
  <c r="BC7" i="127"/>
  <c r="BC6" i="127" s="1"/>
  <c r="R40" i="125"/>
  <c r="BF40" i="125" s="1"/>
  <c r="AM40" i="125" s="1"/>
  <c r="S7" i="127"/>
  <c r="S6" i="127" s="1"/>
  <c r="AA36" i="129"/>
  <c r="R36" i="129" s="1"/>
  <c r="AE7" i="125"/>
  <c r="AE6" i="125" s="1"/>
  <c r="F57" i="126"/>
  <c r="E57" i="126" s="1"/>
  <c r="AI7" i="130"/>
  <c r="AI6" i="130" s="1"/>
  <c r="AA43" i="128"/>
  <c r="R43" i="128" s="1"/>
  <c r="BF43" i="128" s="1"/>
  <c r="AP43" i="128" s="1"/>
  <c r="AE28" i="131"/>
  <c r="AE19" i="131" s="1"/>
  <c r="AA39" i="119"/>
  <c r="R39" i="119" s="1"/>
  <c r="F56" i="126"/>
  <c r="E56" i="126" s="1"/>
  <c r="BF56" i="126" s="1"/>
  <c r="BC56" i="126" s="1"/>
  <c r="AH7" i="124"/>
  <c r="AH6" i="124" s="1"/>
  <c r="F9" i="119"/>
  <c r="E9" i="119" s="1"/>
  <c r="G7" i="119"/>
  <c r="G6" i="119" s="1"/>
  <c r="F31" i="130"/>
  <c r="E31" i="130" s="1"/>
  <c r="AP19" i="121"/>
  <c r="AP59" i="121" s="1"/>
  <c r="BG43" i="121" s="1"/>
  <c r="BH43" i="121" s="1"/>
  <c r="BK43" i="121" s="1"/>
  <c r="BB19" i="127"/>
  <c r="BB59" i="127" s="1"/>
  <c r="AA15" i="118"/>
  <c r="R15" i="118" s="1"/>
  <c r="BB7" i="128"/>
  <c r="BB6" i="128" s="1"/>
  <c r="F39" i="127"/>
  <c r="E39" i="127" s="1"/>
  <c r="AQ7" i="125"/>
  <c r="AQ6" i="125" s="1"/>
  <c r="AQ59" i="125" s="1"/>
  <c r="F39" i="131"/>
  <c r="E39" i="131" s="1"/>
  <c r="F50" i="128"/>
  <c r="E50" i="128" s="1"/>
  <c r="AW7" i="125"/>
  <c r="AW6" i="125" s="1"/>
  <c r="AA46" i="126"/>
  <c r="R46" i="126" s="1"/>
  <c r="BF46" i="126" s="1"/>
  <c r="AS46" i="126" s="1"/>
  <c r="N7" i="129"/>
  <c r="N6" i="129" s="1"/>
  <c r="R40" i="127"/>
  <c r="BF40" i="127" s="1"/>
  <c r="AM40" i="127" s="1"/>
  <c r="AV19" i="125"/>
  <c r="AW28" i="130"/>
  <c r="F27" i="127"/>
  <c r="E27" i="127" s="1"/>
  <c r="F15" i="125"/>
  <c r="E15" i="125" s="1"/>
  <c r="L28" i="126"/>
  <c r="L19" i="126" s="1"/>
  <c r="AZ28" i="125"/>
  <c r="AZ19" i="125" s="1"/>
  <c r="AZ59" i="125" s="1"/>
  <c r="AA47" i="132"/>
  <c r="R47" i="132" s="1"/>
  <c r="AA41" i="130"/>
  <c r="R41" i="130" s="1"/>
  <c r="O28" i="128"/>
  <c r="AU7" i="130"/>
  <c r="AU6" i="130" s="1"/>
  <c r="F25" i="127"/>
  <c r="E25" i="127" s="1"/>
  <c r="AW7" i="131"/>
  <c r="AW6" i="131" s="1"/>
  <c r="AA58" i="128"/>
  <c r="R58" i="128" s="1"/>
  <c r="AM7" i="130"/>
  <c r="AM6" i="130" s="1"/>
  <c r="AA26" i="129"/>
  <c r="BD28" i="130"/>
  <c r="BD19" i="130" s="1"/>
  <c r="AW28" i="125"/>
  <c r="AW19" i="125" s="1"/>
  <c r="BC19" i="128"/>
  <c r="U28" i="128"/>
  <c r="U19" i="128" s="1"/>
  <c r="AJ19" i="128"/>
  <c r="AA33" i="130"/>
  <c r="R33" i="130" s="1"/>
  <c r="J28" i="130"/>
  <c r="J19" i="130" s="1"/>
  <c r="U7" i="126"/>
  <c r="AA45" i="127"/>
  <c r="R45" i="127" s="1"/>
  <c r="K28" i="129"/>
  <c r="K19" i="129" s="1"/>
  <c r="M19" i="125"/>
  <c r="M59" i="125" s="1"/>
  <c r="BC28" i="131"/>
  <c r="BC19" i="131" s="1"/>
  <c r="F43" i="128"/>
  <c r="E43" i="128" s="1"/>
  <c r="AT19" i="128"/>
  <c r="AA35" i="132"/>
  <c r="AQ28" i="128"/>
  <c r="AQ19" i="128" s="1"/>
  <c r="AU28" i="121"/>
  <c r="AU19" i="121" s="1"/>
  <c r="AU59" i="121" s="1"/>
  <c r="AA13" i="121"/>
  <c r="R13" i="121" s="1"/>
  <c r="AF28" i="126"/>
  <c r="AA11" i="129"/>
  <c r="BB7" i="126"/>
  <c r="BB6" i="126" s="1"/>
  <c r="H7" i="127"/>
  <c r="H6" i="127" s="1"/>
  <c r="F8" i="127"/>
  <c r="E8" i="127" s="1"/>
  <c r="R14" i="121"/>
  <c r="BE7" i="125"/>
  <c r="BE6" i="125" s="1"/>
  <c r="BE59" i="125" s="1"/>
  <c r="AK19" i="125"/>
  <c r="AK59" i="125" s="1"/>
  <c r="F12" i="125"/>
  <c r="E12" i="125" s="1"/>
  <c r="AB19" i="130"/>
  <c r="AA20" i="130"/>
  <c r="R20" i="130" s="1"/>
  <c r="F34" i="126"/>
  <c r="E34" i="126" s="1"/>
  <c r="F40" i="128"/>
  <c r="E40" i="128" s="1"/>
  <c r="AA46" i="120"/>
  <c r="R46" i="120" s="1"/>
  <c r="BF46" i="120" s="1"/>
  <c r="AS46" i="120" s="1"/>
  <c r="F26" i="127"/>
  <c r="E26" i="127" s="1"/>
  <c r="X28" i="126"/>
  <c r="X19" i="126" s="1"/>
  <c r="AO28" i="128"/>
  <c r="AO19" i="128" s="1"/>
  <c r="AO59" i="128" s="1"/>
  <c r="AA41" i="126"/>
  <c r="R41" i="126" s="1"/>
  <c r="Z28" i="127"/>
  <c r="Z19" i="127" s="1"/>
  <c r="AA37" i="128"/>
  <c r="R37" i="128" s="1"/>
  <c r="AA26" i="126"/>
  <c r="AA37" i="131"/>
  <c r="R37" i="131" s="1"/>
  <c r="BF37" i="131" s="1"/>
  <c r="AJ37" i="131" s="1"/>
  <c r="AM19" i="124"/>
  <c r="AM59" i="124" s="1"/>
  <c r="BG40" i="124" s="1"/>
  <c r="BH40" i="124" s="1"/>
  <c r="BK40" i="124" s="1"/>
  <c r="AM19" i="129"/>
  <c r="F31" i="128"/>
  <c r="E31" i="128" s="1"/>
  <c r="Y7" i="127"/>
  <c r="Y6" i="127" s="1"/>
  <c r="F41" i="131"/>
  <c r="E41" i="131" s="1"/>
  <c r="P28" i="131"/>
  <c r="P19" i="131" s="1"/>
  <c r="AA16" i="128"/>
  <c r="R16" i="128" s="1"/>
  <c r="AL28" i="127"/>
  <c r="AL19" i="127" s="1"/>
  <c r="AL59" i="127" s="1"/>
  <c r="AA15" i="132"/>
  <c r="R15" i="132" s="1"/>
  <c r="AI19" i="129"/>
  <c r="AI59" i="129" s="1"/>
  <c r="F14" i="125"/>
  <c r="E14" i="125" s="1"/>
  <c r="AH7" i="125"/>
  <c r="AH6" i="125" s="1"/>
  <c r="AA49" i="124"/>
  <c r="R49" i="124" s="1"/>
  <c r="BF49" i="124" s="1"/>
  <c r="AV49" i="124" s="1"/>
  <c r="V28" i="125"/>
  <c r="V19" i="125" s="1"/>
  <c r="AA43" i="125"/>
  <c r="R43" i="125" s="1"/>
  <c r="F47" i="130"/>
  <c r="E47" i="130" s="1"/>
  <c r="F22" i="131"/>
  <c r="E22" i="131" s="1"/>
  <c r="AA42" i="131"/>
  <c r="R42" i="131" s="1"/>
  <c r="BF42" i="131" s="1"/>
  <c r="AO42" i="131" s="1"/>
  <c r="AE28" i="126"/>
  <c r="AE19" i="126" s="1"/>
  <c r="F35" i="126"/>
  <c r="E35" i="126" s="1"/>
  <c r="R18" i="131"/>
  <c r="BF18" i="131" s="1"/>
  <c r="Q18" i="131" s="1"/>
  <c r="Z28" i="130"/>
  <c r="Z19" i="130" s="1"/>
  <c r="AS28" i="126"/>
  <c r="AS19" i="126" s="1"/>
  <c r="V19" i="130"/>
  <c r="V59" i="130" s="1"/>
  <c r="AI19" i="127"/>
  <c r="AH7" i="131"/>
  <c r="AH6" i="131" s="1"/>
  <c r="AL28" i="129"/>
  <c r="AL19" i="129" s="1"/>
  <c r="AL59" i="129" s="1"/>
  <c r="AF28" i="130"/>
  <c r="AF19" i="130" s="1"/>
  <c r="AH28" i="132"/>
  <c r="AH19" i="132" s="1"/>
  <c r="F47" i="125"/>
  <c r="E47" i="125" s="1"/>
  <c r="T7" i="132"/>
  <c r="T6" i="132" s="1"/>
  <c r="AA36" i="131"/>
  <c r="R36" i="131" s="1"/>
  <c r="F44" i="127"/>
  <c r="E44" i="127" s="1"/>
  <c r="AA27" i="128"/>
  <c r="R27" i="128" s="1"/>
  <c r="BF27" i="128" s="1"/>
  <c r="Z27" i="128" s="1"/>
  <c r="F40" i="129"/>
  <c r="E40" i="129" s="1"/>
  <c r="AI7" i="127"/>
  <c r="AI6" i="127" s="1"/>
  <c r="AA33" i="129"/>
  <c r="R33" i="129" s="1"/>
  <c r="F9" i="130"/>
  <c r="E9" i="130" s="1"/>
  <c r="G7" i="130"/>
  <c r="G6" i="130" s="1"/>
  <c r="L19" i="128"/>
  <c r="O19" i="128"/>
  <c r="AP28" i="128"/>
  <c r="AP19" i="128" s="1"/>
  <c r="BA28" i="126"/>
  <c r="BA19" i="126" s="1"/>
  <c r="BA59" i="126" s="1"/>
  <c r="W28" i="128"/>
  <c r="W19" i="128" s="1"/>
  <c r="R45" i="126"/>
  <c r="BF45" i="126" s="1"/>
  <c r="AR45" i="126" s="1"/>
  <c r="E10" i="128"/>
  <c r="AD28" i="131"/>
  <c r="T7" i="131"/>
  <c r="T6" i="131" s="1"/>
  <c r="O19" i="129"/>
  <c r="F51" i="128"/>
  <c r="E51" i="128" s="1"/>
  <c r="F12" i="127"/>
  <c r="E12" i="127" s="1"/>
  <c r="Q28" i="132"/>
  <c r="Q19" i="132" s="1"/>
  <c r="AA44" i="128"/>
  <c r="R44" i="128" s="1"/>
  <c r="BF44" i="128" s="1"/>
  <c r="AQ44" i="128" s="1"/>
  <c r="AA43" i="132"/>
  <c r="R43" i="132" s="1"/>
  <c r="M28" i="132"/>
  <c r="M19" i="132" s="1"/>
  <c r="AQ28" i="132"/>
  <c r="AQ19" i="132" s="1"/>
  <c r="BB28" i="132"/>
  <c r="BB19" i="132" s="1"/>
  <c r="AA17" i="129"/>
  <c r="R17" i="129" s="1"/>
  <c r="R22" i="131"/>
  <c r="AA44" i="132"/>
  <c r="R44" i="132" s="1"/>
  <c r="AL28" i="132"/>
  <c r="AL19" i="132" s="1"/>
  <c r="AA46" i="132"/>
  <c r="AC7" i="129"/>
  <c r="AC6" i="129" s="1"/>
  <c r="AA21" i="132"/>
  <c r="R21" i="132" s="1"/>
  <c r="F45" i="127"/>
  <c r="E45" i="127" s="1"/>
  <c r="F53" i="127"/>
  <c r="E53" i="127" s="1"/>
  <c r="F21" i="129"/>
  <c r="E21" i="129" s="1"/>
  <c r="F12" i="131"/>
  <c r="E12" i="131" s="1"/>
  <c r="Q7" i="130"/>
  <c r="Q6" i="130" s="1"/>
  <c r="R37" i="129"/>
  <c r="BF37" i="129" s="1"/>
  <c r="AJ37" i="129" s="1"/>
  <c r="F50" i="131"/>
  <c r="E50" i="131" s="1"/>
  <c r="AV28" i="128"/>
  <c r="AA15" i="130"/>
  <c r="R15" i="130" s="1"/>
  <c r="E10" i="125"/>
  <c r="F14" i="131"/>
  <c r="E14" i="131" s="1"/>
  <c r="K7" i="130"/>
  <c r="K6" i="130" s="1"/>
  <c r="K59" i="130" s="1"/>
  <c r="AH19" i="128"/>
  <c r="AA24" i="126"/>
  <c r="R24" i="126" s="1"/>
  <c r="BF24" i="126" s="1"/>
  <c r="W24" i="126" s="1"/>
  <c r="AF7" i="132"/>
  <c r="AF6" i="132" s="1"/>
  <c r="F51" i="126"/>
  <c r="E51" i="126" s="1"/>
  <c r="F23" i="127"/>
  <c r="E23" i="127" s="1"/>
  <c r="AC28" i="131"/>
  <c r="AA29" i="131"/>
  <c r="R29" i="131" s="1"/>
  <c r="AA35" i="130"/>
  <c r="R35" i="130" s="1"/>
  <c r="F10" i="126"/>
  <c r="E10" i="126" s="1"/>
  <c r="BE7" i="128"/>
  <c r="BE6" i="128" s="1"/>
  <c r="AA27" i="129"/>
  <c r="R27" i="129" s="1"/>
  <c r="BF27" i="129" s="1"/>
  <c r="Z27" i="129" s="1"/>
  <c r="R34" i="129"/>
  <c r="AE19" i="127"/>
  <c r="AE59" i="127" s="1"/>
  <c r="F37" i="125"/>
  <c r="E37" i="125" s="1"/>
  <c r="E10" i="127"/>
  <c r="U28" i="131"/>
  <c r="U19" i="131" s="1"/>
  <c r="F40" i="131"/>
  <c r="E40" i="131" s="1"/>
  <c r="AA53" i="131"/>
  <c r="R53" i="131" s="1"/>
  <c r="AG28" i="130"/>
  <c r="AG19" i="130" s="1"/>
  <c r="AG59" i="130" s="1"/>
  <c r="AC7" i="131"/>
  <c r="AC6" i="131" s="1"/>
  <c r="AS7" i="132"/>
  <c r="AS6" i="132" s="1"/>
  <c r="F50" i="130"/>
  <c r="E50" i="130" s="1"/>
  <c r="AP7" i="128"/>
  <c r="AP6" i="128" s="1"/>
  <c r="AO19" i="131"/>
  <c r="AO59" i="131" s="1"/>
  <c r="Y28" i="132"/>
  <c r="Y19" i="132" s="1"/>
  <c r="Y59" i="132" s="1"/>
  <c r="AT28" i="127"/>
  <c r="AT19" i="127" s="1"/>
  <c r="AT59" i="127" s="1"/>
  <c r="AN19" i="129"/>
  <c r="F57" i="131"/>
  <c r="E57" i="131" s="1"/>
  <c r="W7" i="129"/>
  <c r="W6" i="129" s="1"/>
  <c r="AT28" i="132"/>
  <c r="AT19" i="132" s="1"/>
  <c r="AE7" i="132"/>
  <c r="AE6" i="132" s="1"/>
  <c r="AA36" i="130"/>
  <c r="R36" i="130" s="1"/>
  <c r="BF36" i="130" s="1"/>
  <c r="AI36" i="130" s="1"/>
  <c r="AA45" i="132"/>
  <c r="R45" i="132" s="1"/>
  <c r="AA13" i="132"/>
  <c r="R13" i="132" s="1"/>
  <c r="AD28" i="128"/>
  <c r="AD19" i="128" s="1"/>
  <c r="AD59" i="128" s="1"/>
  <c r="AQ7" i="131"/>
  <c r="AQ6" i="131" s="1"/>
  <c r="F33" i="132"/>
  <c r="E33" i="132" s="1"/>
  <c r="AK7" i="131"/>
  <c r="AK6" i="131" s="1"/>
  <c r="F9" i="131"/>
  <c r="E9" i="131" s="1"/>
  <c r="G7" i="131"/>
  <c r="G6" i="131" s="1"/>
  <c r="AV7" i="131"/>
  <c r="AV6" i="131" s="1"/>
  <c r="BE28" i="129"/>
  <c r="J19" i="126"/>
  <c r="N28" i="128"/>
  <c r="BC28" i="126"/>
  <c r="BC19" i="126" s="1"/>
  <c r="BC59" i="126" s="1"/>
  <c r="AA32" i="127"/>
  <c r="R32" i="127" s="1"/>
  <c r="BF32" i="127" s="1"/>
  <c r="AE32" i="127" s="1"/>
  <c r="AX28" i="128"/>
  <c r="AX19" i="128" s="1"/>
  <c r="AX59" i="128" s="1"/>
  <c r="F55" i="131"/>
  <c r="E55" i="131" s="1"/>
  <c r="O7" i="127"/>
  <c r="AY7" i="132"/>
  <c r="AY6" i="132" s="1"/>
  <c r="F47" i="126"/>
  <c r="E47" i="126" s="1"/>
  <c r="AN7" i="132"/>
  <c r="AN6" i="132" s="1"/>
  <c r="AA56" i="132"/>
  <c r="R56" i="132" s="1"/>
  <c r="AE7" i="128"/>
  <c r="AE6" i="128" s="1"/>
  <c r="F13" i="126"/>
  <c r="E13" i="126" s="1"/>
  <c r="I28" i="132"/>
  <c r="I19" i="132" s="1"/>
  <c r="AN28" i="131"/>
  <c r="H7" i="128"/>
  <c r="H6" i="128" s="1"/>
  <c r="F8" i="128"/>
  <c r="E8" i="128" s="1"/>
  <c r="AA8" i="127"/>
  <c r="R8" i="127" s="1"/>
  <c r="AB7" i="127"/>
  <c r="AB6" i="127" s="1"/>
  <c r="V7" i="125"/>
  <c r="V6" i="125" s="1"/>
  <c r="AA50" i="127"/>
  <c r="R50" i="127" s="1"/>
  <c r="BF50" i="127" s="1"/>
  <c r="AW50" i="127" s="1"/>
  <c r="Y28" i="125"/>
  <c r="Y19" i="125" s="1"/>
  <c r="Y59" i="125" s="1"/>
  <c r="BG26" i="125" s="1"/>
  <c r="BH26" i="125" s="1"/>
  <c r="BK26" i="125" s="1"/>
  <c r="AA45" i="130"/>
  <c r="R45" i="130" s="1"/>
  <c r="BF45" i="130" s="1"/>
  <c r="AR45" i="130" s="1"/>
  <c r="P7" i="128"/>
  <c r="F27" i="125"/>
  <c r="E27" i="125" s="1"/>
  <c r="P28" i="132"/>
  <c r="P19" i="132" s="1"/>
  <c r="BE28" i="130"/>
  <c r="BE19" i="130" s="1"/>
  <c r="AI7" i="132"/>
  <c r="AI6" i="132" s="1"/>
  <c r="BE7" i="130"/>
  <c r="BE6" i="130" s="1"/>
  <c r="BE59" i="130" s="1"/>
  <c r="BF45" i="125"/>
  <c r="AR45" i="125" s="1"/>
  <c r="AF19" i="125"/>
  <c r="AF59" i="125" s="1"/>
  <c r="AW19" i="130"/>
  <c r="AW59" i="130" s="1"/>
  <c r="F43" i="132"/>
  <c r="E43" i="132" s="1"/>
  <c r="F15" i="128"/>
  <c r="E15" i="128" s="1"/>
  <c r="AF28" i="132"/>
  <c r="AF19" i="132" s="1"/>
  <c r="V28" i="132"/>
  <c r="V19" i="132" s="1"/>
  <c r="AG28" i="131"/>
  <c r="AG19" i="131" s="1"/>
  <c r="Q28" i="131"/>
  <c r="Q19" i="131" s="1"/>
  <c r="F24" i="130"/>
  <c r="E24" i="130" s="1"/>
  <c r="F38" i="132"/>
  <c r="E38" i="132" s="1"/>
  <c r="F52" i="132"/>
  <c r="E52" i="132" s="1"/>
  <c r="AY28" i="129"/>
  <c r="AY19" i="129" s="1"/>
  <c r="AY59" i="129" s="1"/>
  <c r="F55" i="129"/>
  <c r="E55" i="129" s="1"/>
  <c r="AN28" i="127"/>
  <c r="AN19" i="127" s="1"/>
  <c r="AN59" i="127" s="1"/>
  <c r="F38" i="126"/>
  <c r="E38" i="126" s="1"/>
  <c r="F51" i="132"/>
  <c r="E51" i="132" s="1"/>
  <c r="AA43" i="129"/>
  <c r="R43" i="129" s="1"/>
  <c r="AH28" i="130"/>
  <c r="AH19" i="130" s="1"/>
  <c r="AH59" i="130" s="1"/>
  <c r="AZ7" i="132"/>
  <c r="AZ6" i="132" s="1"/>
  <c r="AJ28" i="130"/>
  <c r="AJ19" i="130" s="1"/>
  <c r="R23" i="129"/>
  <c r="BF23" i="129" s="1"/>
  <c r="V23" i="129" s="1"/>
  <c r="T28" i="128"/>
  <c r="T19" i="128" s="1"/>
  <c r="T59" i="128" s="1"/>
  <c r="F53" i="130"/>
  <c r="E53" i="130" s="1"/>
  <c r="AA55" i="131"/>
  <c r="R55" i="131" s="1"/>
  <c r="AH19" i="125"/>
  <c r="AA54" i="128"/>
  <c r="R54" i="128" s="1"/>
  <c r="F58" i="126"/>
  <c r="BF50" i="129"/>
  <c r="AW50" i="129" s="1"/>
  <c r="AA35" i="126"/>
  <c r="R35" i="126" s="1"/>
  <c r="R26" i="127"/>
  <c r="BF26" i="127" s="1"/>
  <c r="Y26" i="127" s="1"/>
  <c r="R51" i="126"/>
  <c r="BF51" i="126" s="1"/>
  <c r="AX51" i="126" s="1"/>
  <c r="AA51" i="127"/>
  <c r="R51" i="127" s="1"/>
  <c r="BF51" i="127" s="1"/>
  <c r="AX51" i="127" s="1"/>
  <c r="AT7" i="129"/>
  <c r="AT6" i="129" s="1"/>
  <c r="AB7" i="125"/>
  <c r="AA8" i="125"/>
  <c r="R8" i="125" s="1"/>
  <c r="R43" i="131"/>
  <c r="BF43" i="131" s="1"/>
  <c r="AP43" i="131" s="1"/>
  <c r="F16" i="132"/>
  <c r="E16" i="132" s="1"/>
  <c r="U7" i="132"/>
  <c r="U6" i="132" s="1"/>
  <c r="E12" i="130"/>
  <c r="J7" i="130"/>
  <c r="AC28" i="132"/>
  <c r="AC19" i="132" s="1"/>
  <c r="AA29" i="132"/>
  <c r="R29" i="132" s="1"/>
  <c r="BC7" i="130"/>
  <c r="BC6" i="130" s="1"/>
  <c r="F56" i="129"/>
  <c r="E56" i="129" s="1"/>
  <c r="AA21" i="130"/>
  <c r="R21" i="130" s="1"/>
  <c r="AK7" i="132"/>
  <c r="AK6" i="132" s="1"/>
  <c r="AZ28" i="130"/>
  <c r="AZ19" i="130" s="1"/>
  <c r="AZ59" i="130" s="1"/>
  <c r="AA26" i="132"/>
  <c r="R53" i="127"/>
  <c r="BF53" i="127" s="1"/>
  <c r="AZ53" i="127" s="1"/>
  <c r="AQ7" i="127"/>
  <c r="AQ6" i="127" s="1"/>
  <c r="AQ59" i="127" s="1"/>
  <c r="F44" i="132"/>
  <c r="E44" i="132" s="1"/>
  <c r="AA54" i="130"/>
  <c r="R54" i="130" s="1"/>
  <c r="F39" i="132"/>
  <c r="E39" i="132" s="1"/>
  <c r="F21" i="130"/>
  <c r="E21" i="130" s="1"/>
  <c r="AI19" i="130"/>
  <c r="AI59" i="130" s="1"/>
  <c r="BG36" i="130" s="1"/>
  <c r="BH36" i="130" s="1"/>
  <c r="BK36" i="130" s="1"/>
  <c r="R31" i="128"/>
  <c r="BF31" i="128" s="1"/>
  <c r="AD31" i="128" s="1"/>
  <c r="AY28" i="132"/>
  <c r="AY19" i="132" s="1"/>
  <c r="AY59" i="132" s="1"/>
  <c r="X7" i="130"/>
  <c r="X6" i="130" s="1"/>
  <c r="BE19" i="129"/>
  <c r="BB19" i="131"/>
  <c r="BB59" i="131" s="1"/>
  <c r="AX19" i="125"/>
  <c r="AX59" i="125" s="1"/>
  <c r="AV28" i="131"/>
  <c r="AV19" i="131" s="1"/>
  <c r="AA55" i="130"/>
  <c r="R55" i="130" s="1"/>
  <c r="I7" i="130"/>
  <c r="I6" i="130" s="1"/>
  <c r="F52" i="125"/>
  <c r="E52" i="125" s="1"/>
  <c r="U7" i="130"/>
  <c r="U6" i="130" s="1"/>
  <c r="U28" i="126"/>
  <c r="U19" i="126" s="1"/>
  <c r="AX28" i="126"/>
  <c r="AX19" i="126" s="1"/>
  <c r="AA43" i="127"/>
  <c r="R43" i="127" s="1"/>
  <c r="BF43" i="127" s="1"/>
  <c r="AP43" i="127" s="1"/>
  <c r="AA23" i="125"/>
  <c r="AV19" i="128"/>
  <c r="AV59" i="128" s="1"/>
  <c r="AA22" i="128"/>
  <c r="R22" i="128" s="1"/>
  <c r="AS28" i="128"/>
  <c r="AA38" i="126"/>
  <c r="R38" i="126" s="1"/>
  <c r="F27" i="130"/>
  <c r="E27" i="130" s="1"/>
  <c r="N19" i="128"/>
  <c r="V7" i="127"/>
  <c r="BF16" i="125"/>
  <c r="O16" i="125" s="1"/>
  <c r="AO7" i="125"/>
  <c r="AO6" i="125" s="1"/>
  <c r="F30" i="127"/>
  <c r="E30" i="127" s="1"/>
  <c r="F29" i="130"/>
  <c r="G28" i="130"/>
  <c r="F28" i="130" s="1"/>
  <c r="O7" i="132"/>
  <c r="AA25" i="131"/>
  <c r="R25" i="131" s="1"/>
  <c r="BF25" i="131" s="1"/>
  <c r="X25" i="131" s="1"/>
  <c r="AU7" i="132"/>
  <c r="AU6" i="132" s="1"/>
  <c r="F22" i="128"/>
  <c r="E22" i="128" s="1"/>
  <c r="F38" i="127"/>
  <c r="E38" i="127" s="1"/>
  <c r="I7" i="131"/>
  <c r="I6" i="131" s="1"/>
  <c r="AA37" i="132"/>
  <c r="R37" i="132" s="1"/>
  <c r="BF37" i="132" s="1"/>
  <c r="AJ37" i="132" s="1"/>
  <c r="AA20" i="127"/>
  <c r="R20" i="127" s="1"/>
  <c r="AB19" i="127"/>
  <c r="AA42" i="132"/>
  <c r="AZ28" i="127"/>
  <c r="AZ19" i="127" s="1"/>
  <c r="AZ59" i="127" s="1"/>
  <c r="BG53" i="127" s="1"/>
  <c r="BH53" i="127" s="1"/>
  <c r="BK53" i="127" s="1"/>
  <c r="R40" i="129"/>
  <c r="BF40" i="129" s="1"/>
  <c r="AM40" i="129" s="1"/>
  <c r="AR19" i="131"/>
  <c r="AR59" i="131" s="1"/>
  <c r="J7" i="131"/>
  <c r="J6" i="131" s="1"/>
  <c r="AW28" i="132"/>
  <c r="AU7" i="125"/>
  <c r="AU6" i="125" s="1"/>
  <c r="AM28" i="132"/>
  <c r="AM19" i="132" s="1"/>
  <c r="F18" i="128"/>
  <c r="E18" i="128" s="1"/>
  <c r="BF18" i="128" s="1"/>
  <c r="Q18" i="128" s="1"/>
  <c r="X19" i="128"/>
  <c r="X59" i="128" s="1"/>
  <c r="AA39" i="128"/>
  <c r="R39" i="128" s="1"/>
  <c r="BF39" i="128" s="1"/>
  <c r="AL39" i="128" s="1"/>
  <c r="R58" i="125"/>
  <c r="R31" i="129"/>
  <c r="BF31" i="129" s="1"/>
  <c r="AD31" i="129" s="1"/>
  <c r="S28" i="131"/>
  <c r="AS7" i="127"/>
  <c r="AS6" i="127" s="1"/>
  <c r="AA45" i="129"/>
  <c r="R45" i="129" s="1"/>
  <c r="BF45" i="129" s="1"/>
  <c r="AR45" i="129" s="1"/>
  <c r="U28" i="125"/>
  <c r="U19" i="125" s="1"/>
  <c r="U59" i="125" s="1"/>
  <c r="F8" i="129"/>
  <c r="E8" i="129" s="1"/>
  <c r="H7" i="129"/>
  <c r="H6" i="129" s="1"/>
  <c r="AA38" i="130"/>
  <c r="R38" i="130" s="1"/>
  <c r="BF38" i="130" s="1"/>
  <c r="AK38" i="130" s="1"/>
  <c r="AA23" i="130"/>
  <c r="R23" i="130" s="1"/>
  <c r="R50" i="126"/>
  <c r="BF50" i="126" s="1"/>
  <c r="AW50" i="126" s="1"/>
  <c r="F18" i="130"/>
  <c r="E18" i="130" s="1"/>
  <c r="Z7" i="131"/>
  <c r="N28" i="132"/>
  <c r="N19" i="132" s="1"/>
  <c r="F23" i="126"/>
  <c r="E23" i="126" s="1"/>
  <c r="AA51" i="130"/>
  <c r="R51" i="130" s="1"/>
  <c r="AP7" i="131"/>
  <c r="AP6" i="131" s="1"/>
  <c r="J28" i="131"/>
  <c r="J19" i="131" s="1"/>
  <c r="AJ7" i="129"/>
  <c r="AJ6" i="129" s="1"/>
  <c r="AA32" i="132"/>
  <c r="R32" i="132" s="1"/>
  <c r="AA41" i="129"/>
  <c r="R41" i="129" s="1"/>
  <c r="Q7" i="131"/>
  <c r="Q6" i="131" s="1"/>
  <c r="AA41" i="132"/>
  <c r="R41" i="132" s="1"/>
  <c r="AA16" i="132"/>
  <c r="AJ19" i="131"/>
  <c r="AJ59" i="131" s="1"/>
  <c r="AK19" i="129"/>
  <c r="AK59" i="129" s="1"/>
  <c r="F23" i="130"/>
  <c r="E23" i="130" s="1"/>
  <c r="AR28" i="132"/>
  <c r="AR19" i="132" s="1"/>
  <c r="AA51" i="131"/>
  <c r="R51" i="131" s="1"/>
  <c r="F56" i="132"/>
  <c r="E56" i="132" s="1"/>
  <c r="W19" i="132"/>
  <c r="AA34" i="132"/>
  <c r="R34" i="132" s="1"/>
  <c r="F41" i="132"/>
  <c r="E41" i="132" s="1"/>
  <c r="F26" i="130"/>
  <c r="E26" i="130" s="1"/>
  <c r="AP28" i="131"/>
  <c r="AP19" i="131" s="1"/>
  <c r="X28" i="130"/>
  <c r="X19" i="130" s="1"/>
  <c r="W19" i="130"/>
  <c r="AZ28" i="131"/>
  <c r="AZ19" i="131" s="1"/>
  <c r="AZ59" i="131" s="1"/>
  <c r="AC7" i="132"/>
  <c r="AC6" i="132" s="1"/>
  <c r="BA7" i="131"/>
  <c r="BA6" i="131" s="1"/>
  <c r="BA59" i="131" s="1"/>
  <c r="AW28" i="131"/>
  <c r="AW19" i="131" s="1"/>
  <c r="AW59" i="131" s="1"/>
  <c r="R11" i="126"/>
  <c r="K19" i="132"/>
  <c r="AA10" i="132"/>
  <c r="R10" i="132" s="1"/>
  <c r="F10" i="129"/>
  <c r="E10" i="129" s="1"/>
  <c r="BF26" i="129"/>
  <c r="Y26" i="129" s="1"/>
  <c r="AX28" i="129"/>
  <c r="AX19" i="129" s="1"/>
  <c r="AX59" i="129" s="1"/>
  <c r="AY7" i="127"/>
  <c r="AY6" i="127" s="1"/>
  <c r="BB28" i="126"/>
  <c r="BB19" i="126" s="1"/>
  <c r="BB59" i="126" s="1"/>
  <c r="BG55" i="126" s="1"/>
  <c r="BH55" i="126" s="1"/>
  <c r="M19" i="126"/>
  <c r="M59" i="126" s="1"/>
  <c r="AK28" i="127"/>
  <c r="AK19" i="127" s="1"/>
  <c r="R40" i="128"/>
  <c r="BF40" i="128" s="1"/>
  <c r="AM40" i="128" s="1"/>
  <c r="AA33" i="132"/>
  <c r="AJ7" i="130"/>
  <c r="AJ6" i="130" s="1"/>
  <c r="AO28" i="125"/>
  <c r="AO19" i="125" s="1"/>
  <c r="I19" i="130"/>
  <c r="AA11" i="128"/>
  <c r="R11" i="128" s="1"/>
  <c r="F39" i="130"/>
  <c r="E39" i="130" s="1"/>
  <c r="AA37" i="125"/>
  <c r="R37" i="125" s="1"/>
  <c r="F17" i="130"/>
  <c r="E17" i="130" s="1"/>
  <c r="BF17" i="130" s="1"/>
  <c r="P17" i="130" s="1"/>
  <c r="O28" i="130"/>
  <c r="O19" i="130" s="1"/>
  <c r="F49" i="128"/>
  <c r="E49" i="128" s="1"/>
  <c r="J28" i="127"/>
  <c r="J19" i="127" s="1"/>
  <c r="AA23" i="132"/>
  <c r="R23" i="132" s="1"/>
  <c r="BF23" i="132" s="1"/>
  <c r="V23" i="132" s="1"/>
  <c r="F25" i="126"/>
  <c r="E25" i="126" s="1"/>
  <c r="AU28" i="130"/>
  <c r="AU19" i="130" s="1"/>
  <c r="AU59" i="130" s="1"/>
  <c r="F53" i="131"/>
  <c r="E53" i="131" s="1"/>
  <c r="F51" i="130"/>
  <c r="E51" i="130" s="1"/>
  <c r="AA11" i="130"/>
  <c r="R11" i="130" s="1"/>
  <c r="F52" i="130"/>
  <c r="E52" i="130" s="1"/>
  <c r="AA56" i="127"/>
  <c r="R56" i="127" s="1"/>
  <c r="BF56" i="127" s="1"/>
  <c r="BC56" i="127" s="1"/>
  <c r="AG28" i="127"/>
  <c r="AG19" i="127" s="1"/>
  <c r="AG59" i="127" s="1"/>
  <c r="BC7" i="132"/>
  <c r="BC6" i="132" s="1"/>
  <c r="N19" i="130"/>
  <c r="N59" i="130" s="1"/>
  <c r="M28" i="131"/>
  <c r="M19" i="131" s="1"/>
  <c r="AI28" i="125"/>
  <c r="AI19" i="125" s="1"/>
  <c r="AA40" i="132"/>
  <c r="R40" i="132" s="1"/>
  <c r="Y7" i="129"/>
  <c r="Y6" i="129" s="1"/>
  <c r="R13" i="125"/>
  <c r="AE7" i="131"/>
  <c r="AE6" i="131" s="1"/>
  <c r="AH7" i="128"/>
  <c r="AH6" i="128" s="1"/>
  <c r="AK28" i="132"/>
  <c r="AR7" i="132"/>
  <c r="AR6" i="132" s="1"/>
  <c r="AA53" i="129"/>
  <c r="R53" i="129" s="1"/>
  <c r="AY28" i="128"/>
  <c r="AQ7" i="132"/>
  <c r="AQ6" i="132" s="1"/>
  <c r="J28" i="132"/>
  <c r="J19" i="132" s="1"/>
  <c r="AA38" i="128"/>
  <c r="R38" i="128" s="1"/>
  <c r="BF38" i="128" s="1"/>
  <c r="AK38" i="128" s="1"/>
  <c r="AV7" i="129"/>
  <c r="AV6" i="129" s="1"/>
  <c r="AM7" i="131"/>
  <c r="AM6" i="131" s="1"/>
  <c r="AS28" i="132"/>
  <c r="AS19" i="132" s="1"/>
  <c r="AS59" i="132" s="1"/>
  <c r="V7" i="132"/>
  <c r="V6" i="132" s="1"/>
  <c r="AE19" i="129"/>
  <c r="AE59" i="129" s="1"/>
  <c r="BG32" i="129" s="1"/>
  <c r="BH32" i="129" s="1"/>
  <c r="BK32" i="129" s="1"/>
  <c r="F11" i="130"/>
  <c r="E11" i="130" s="1"/>
  <c r="BF11" i="130" s="1"/>
  <c r="J11" i="130" s="1"/>
  <c r="AA54" i="131"/>
  <c r="R54" i="131" s="1"/>
  <c r="R21" i="131"/>
  <c r="BF21" i="131" s="1"/>
  <c r="T21" i="131" s="1"/>
  <c r="S19" i="131"/>
  <c r="AA30" i="132"/>
  <c r="AB28" i="132"/>
  <c r="AB19" i="132" s="1"/>
  <c r="AA11" i="131"/>
  <c r="R11" i="131" s="1"/>
  <c r="BF11" i="131" s="1"/>
  <c r="J11" i="131" s="1"/>
  <c r="F31" i="132"/>
  <c r="E31" i="132" s="1"/>
  <c r="AA56" i="130"/>
  <c r="R56" i="130" s="1"/>
  <c r="AA23" i="128"/>
  <c r="R23" i="128" s="1"/>
  <c r="AV7" i="132"/>
  <c r="AV6" i="132" s="1"/>
  <c r="U7" i="128"/>
  <c r="U6" i="128" s="1"/>
  <c r="F45" i="131"/>
  <c r="E45" i="131" s="1"/>
  <c r="AH7" i="127"/>
  <c r="AH6" i="127" s="1"/>
  <c r="F41" i="129"/>
  <c r="E41" i="129" s="1"/>
  <c r="AM19" i="127"/>
  <c r="AM59" i="127" s="1"/>
  <c r="BC7" i="129"/>
  <c r="BC6" i="129" s="1"/>
  <c r="V28" i="128"/>
  <c r="V19" i="128" s="1"/>
  <c r="V59" i="128" s="1"/>
  <c r="F33" i="130"/>
  <c r="E33" i="130" s="1"/>
  <c r="AY28" i="125"/>
  <c r="AY19" i="125" s="1"/>
  <c r="AY59" i="125" s="1"/>
  <c r="X28" i="131"/>
  <c r="X19" i="131" s="1"/>
  <c r="X59" i="131" s="1"/>
  <c r="AA32" i="126"/>
  <c r="R32" i="126" s="1"/>
  <c r="BF32" i="126" s="1"/>
  <c r="AE32" i="126" s="1"/>
  <c r="BA7" i="130"/>
  <c r="BA6" i="130" s="1"/>
  <c r="F33" i="128"/>
  <c r="E33" i="128" s="1"/>
  <c r="F17" i="127"/>
  <c r="E17" i="127" s="1"/>
  <c r="AD7" i="126"/>
  <c r="AD6" i="126" s="1"/>
  <c r="I59" i="130"/>
  <c r="F13" i="129"/>
  <c r="E13" i="129" s="1"/>
  <c r="E11" i="126"/>
  <c r="R48" i="127"/>
  <c r="AA18" i="130"/>
  <c r="R18" i="130" s="1"/>
  <c r="AF19" i="126"/>
  <c r="AF59" i="126" s="1"/>
  <c r="BG33" i="126" s="1"/>
  <c r="BH33" i="126" s="1"/>
  <c r="BK33" i="126" s="1"/>
  <c r="Z28" i="126"/>
  <c r="Z19" i="126" s="1"/>
  <c r="Z59" i="126" s="1"/>
  <c r="F17" i="126"/>
  <c r="E17" i="126" s="1"/>
  <c r="BF17" i="126" s="1"/>
  <c r="P17" i="126" s="1"/>
  <c r="F36" i="131"/>
  <c r="E36" i="131" s="1"/>
  <c r="F53" i="132"/>
  <c r="E53" i="132" s="1"/>
  <c r="F32" i="132"/>
  <c r="E32" i="132" s="1"/>
  <c r="R15" i="127"/>
  <c r="AA50" i="132"/>
  <c r="R50" i="132" s="1"/>
  <c r="F38" i="131"/>
  <c r="E38" i="131" s="1"/>
  <c r="AA24" i="131"/>
  <c r="R24" i="131" s="1"/>
  <c r="AK28" i="130"/>
  <c r="AK19" i="130" s="1"/>
  <c r="AK59" i="130" s="1"/>
  <c r="BG38" i="130" s="1"/>
  <c r="BH38" i="130" s="1"/>
  <c r="BK38" i="130" s="1"/>
  <c r="F21" i="127"/>
  <c r="E21" i="127" s="1"/>
  <c r="R16" i="131"/>
  <c r="BF16" i="131" s="1"/>
  <c r="AQ28" i="131"/>
  <c r="AQ19" i="131" s="1"/>
  <c r="AB7" i="128"/>
  <c r="AB6" i="128" s="1"/>
  <c r="AB59" i="128" s="1"/>
  <c r="AA8" i="128"/>
  <c r="R8" i="128" s="1"/>
  <c r="Z7" i="132"/>
  <c r="Z6" i="132" s="1"/>
  <c r="BE19" i="131"/>
  <c r="AG7" i="131"/>
  <c r="AG6" i="131" s="1"/>
  <c r="AT7" i="131"/>
  <c r="AT6" i="131" s="1"/>
  <c r="Q28" i="130"/>
  <c r="Q19" i="130" s="1"/>
  <c r="Q59" i="130" s="1"/>
  <c r="F36" i="132"/>
  <c r="E36" i="132" s="1"/>
  <c r="AJ7" i="132"/>
  <c r="AJ6" i="132" s="1"/>
  <c r="F48" i="132"/>
  <c r="E48" i="132" s="1"/>
  <c r="AC28" i="129"/>
  <c r="AC19" i="129" s="1"/>
  <c r="AA29" i="129"/>
  <c r="R29" i="129" s="1"/>
  <c r="F17" i="131"/>
  <c r="O28" i="132"/>
  <c r="O19" i="132" s="1"/>
  <c r="AN7" i="129"/>
  <c r="AN6" i="129" s="1"/>
  <c r="AA38" i="132"/>
  <c r="R38" i="132" s="1"/>
  <c r="BF38" i="132" s="1"/>
  <c r="AK38" i="132" s="1"/>
  <c r="R53" i="128"/>
  <c r="BF53" i="128" s="1"/>
  <c r="AZ53" i="128" s="1"/>
  <c r="AA12" i="131"/>
  <c r="R12" i="131" s="1"/>
  <c r="BF12" i="131" s="1"/>
  <c r="K12" i="131" s="1"/>
  <c r="AA45" i="131"/>
  <c r="R45" i="131" s="1"/>
  <c r="AA18" i="132"/>
  <c r="R18" i="132" s="1"/>
  <c r="R13" i="131"/>
  <c r="BF13" i="131" s="1"/>
  <c r="L13" i="131" s="1"/>
  <c r="R58" i="129"/>
  <c r="L7" i="132"/>
  <c r="L6" i="132" s="1"/>
  <c r="N7" i="132"/>
  <c r="N6" i="132" s="1"/>
  <c r="F11" i="132"/>
  <c r="E11" i="132" s="1"/>
  <c r="BF11" i="132" s="1"/>
  <c r="J11" i="132" s="1"/>
  <c r="AW19" i="132"/>
  <c r="F35" i="132"/>
  <c r="E35" i="132" s="1"/>
  <c r="V28" i="129"/>
  <c r="V19" i="129" s="1"/>
  <c r="V59" i="129" s="1"/>
  <c r="BG23" i="129" s="1"/>
  <c r="BH23" i="129" s="1"/>
  <c r="F12" i="132"/>
  <c r="E12" i="132" s="1"/>
  <c r="W7" i="130"/>
  <c r="AA11" i="132"/>
  <c r="R11" i="132" s="1"/>
  <c r="R16" i="132"/>
  <c r="BD7" i="131"/>
  <c r="BD6" i="131" s="1"/>
  <c r="BD59" i="131" s="1"/>
  <c r="F58" i="132"/>
  <c r="E58" i="132" s="1"/>
  <c r="AJ7" i="128"/>
  <c r="AJ6" i="128" s="1"/>
  <c r="AM19" i="128"/>
  <c r="F57" i="132"/>
  <c r="E57" i="132" s="1"/>
  <c r="AS19" i="128"/>
  <c r="AS59" i="128" s="1"/>
  <c r="G28" i="132"/>
  <c r="G19" i="132" s="1"/>
  <c r="F29" i="132"/>
  <c r="E29" i="132" s="1"/>
  <c r="BF29" i="132" s="1"/>
  <c r="AB29" i="132" s="1"/>
  <c r="F52" i="129"/>
  <c r="E52" i="129" s="1"/>
  <c r="F47" i="128"/>
  <c r="E47" i="128" s="1"/>
  <c r="AG7" i="132"/>
  <c r="AG6" i="132" s="1"/>
  <c r="AA40" i="131"/>
  <c r="R40" i="131" s="1"/>
  <c r="AA25" i="132"/>
  <c r="R25" i="132" s="1"/>
  <c r="F42" i="132"/>
  <c r="E42" i="132" s="1"/>
  <c r="AP28" i="132"/>
  <c r="AP19" i="132" s="1"/>
  <c r="Z7" i="130"/>
  <c r="Z6" i="130" s="1"/>
  <c r="AZ28" i="132"/>
  <c r="F33" i="131"/>
  <c r="E33" i="131" s="1"/>
  <c r="F8" i="132"/>
  <c r="E8" i="132" s="1"/>
  <c r="H7" i="132"/>
  <c r="H6" i="132" s="1"/>
  <c r="F47" i="132"/>
  <c r="E47" i="132" s="1"/>
  <c r="AY19" i="128"/>
  <c r="AY59" i="128" s="1"/>
  <c r="J7" i="128"/>
  <c r="J6" i="128" s="1"/>
  <c r="AA24" i="132"/>
  <c r="R24" i="132" s="1"/>
  <c r="AR7" i="128"/>
  <c r="AR6" i="128" s="1"/>
  <c r="AA17" i="132"/>
  <c r="R17" i="132" s="1"/>
  <c r="F27" i="132"/>
  <c r="E27" i="132" s="1"/>
  <c r="M7" i="131"/>
  <c r="M6" i="131" s="1"/>
  <c r="F36" i="128"/>
  <c r="E36" i="128" s="1"/>
  <c r="AA54" i="132"/>
  <c r="R54" i="132" s="1"/>
  <c r="AA9" i="131"/>
  <c r="R9" i="131" s="1"/>
  <c r="Z28" i="129"/>
  <c r="Z19" i="129" s="1"/>
  <c r="AX28" i="132"/>
  <c r="AX19" i="132" s="1"/>
  <c r="AK19" i="132"/>
  <c r="AK59" i="132" s="1"/>
  <c r="R46" i="132"/>
  <c r="AA9" i="132"/>
  <c r="R9" i="132" s="1"/>
  <c r="BF9" i="132" s="1"/>
  <c r="H9" i="132" s="1"/>
  <c r="AA57" i="130"/>
  <c r="R57" i="130" s="1"/>
  <c r="BF57" i="130" s="1"/>
  <c r="BD57" i="130" s="1"/>
  <c r="AA53" i="132"/>
  <c r="F11" i="129"/>
  <c r="E11" i="129" s="1"/>
  <c r="AA12" i="127"/>
  <c r="R12" i="127" s="1"/>
  <c r="T28" i="132"/>
  <c r="T19" i="132" s="1"/>
  <c r="T59" i="132" s="1"/>
  <c r="BA7" i="132"/>
  <c r="BA6" i="132" s="1"/>
  <c r="AO7" i="132"/>
  <c r="AO6" i="132" s="1"/>
  <c r="AL7" i="132"/>
  <c r="AL6" i="132" s="1"/>
  <c r="R36" i="132"/>
  <c r="BF36" i="132" s="1"/>
  <c r="AI36" i="132" s="1"/>
  <c r="AD7" i="132"/>
  <c r="AD6" i="132" s="1"/>
  <c r="AA8" i="129"/>
  <c r="R8" i="129" s="1"/>
  <c r="AB7" i="129"/>
  <c r="AB6" i="129" s="1"/>
  <c r="AB59" i="129" s="1"/>
  <c r="F46" i="132"/>
  <c r="E46" i="132" s="1"/>
  <c r="R11" i="129"/>
  <c r="AA42" i="130"/>
  <c r="R42" i="130" s="1"/>
  <c r="AA27" i="132"/>
  <c r="R27" i="132" s="1"/>
  <c r="K7" i="132"/>
  <c r="K6" i="132" s="1"/>
  <c r="F32" i="130"/>
  <c r="E32" i="130" s="1"/>
  <c r="F9" i="132"/>
  <c r="E9" i="132" s="1"/>
  <c r="G7" i="132"/>
  <c r="G6" i="132" s="1"/>
  <c r="AA39" i="129"/>
  <c r="R39" i="129" s="1"/>
  <c r="BF39" i="129" s="1"/>
  <c r="AL39" i="129" s="1"/>
  <c r="AW7" i="132"/>
  <c r="AW6" i="132" s="1"/>
  <c r="AE28" i="132"/>
  <c r="AE19" i="132" s="1"/>
  <c r="AE59" i="132" s="1"/>
  <c r="W7" i="131"/>
  <c r="W6" i="131" s="1"/>
  <c r="AO28" i="132"/>
  <c r="AO19" i="132" s="1"/>
  <c r="L7" i="131"/>
  <c r="P28" i="127"/>
  <c r="P19" i="127" s="1"/>
  <c r="R42" i="132"/>
  <c r="AF7" i="129"/>
  <c r="AF6" i="129" s="1"/>
  <c r="BE28" i="132"/>
  <c r="BE19" i="132" s="1"/>
  <c r="AD28" i="132"/>
  <c r="AD19" i="132" s="1"/>
  <c r="AD19" i="131"/>
  <c r="AD59" i="131" s="1"/>
  <c r="F18" i="132"/>
  <c r="E18" i="132" s="1"/>
  <c r="F29" i="129"/>
  <c r="E29" i="129" s="1"/>
  <c r="G28" i="129"/>
  <c r="G19" i="129" s="1"/>
  <c r="G59" i="129" s="1"/>
  <c r="F16" i="127"/>
  <c r="E16" i="127" s="1"/>
  <c r="BD7" i="130"/>
  <c r="BD6" i="130" s="1"/>
  <c r="F48" i="130"/>
  <c r="E48" i="130" s="1"/>
  <c r="AQ28" i="130"/>
  <c r="AQ19" i="130" s="1"/>
  <c r="AQ59" i="130" s="1"/>
  <c r="BG44" i="130" s="1"/>
  <c r="BH44" i="130" s="1"/>
  <c r="BK44" i="130" s="1"/>
  <c r="W7" i="132"/>
  <c r="W6" i="132" s="1"/>
  <c r="F45" i="132"/>
  <c r="E45" i="132" s="1"/>
  <c r="F56" i="130"/>
  <c r="E56" i="130" s="1"/>
  <c r="BB28" i="128"/>
  <c r="BB19" i="128" s="1"/>
  <c r="R31" i="132"/>
  <c r="BF31" i="132" s="1"/>
  <c r="AD31" i="132" s="1"/>
  <c r="O7" i="129"/>
  <c r="AA57" i="131"/>
  <c r="R57" i="131" s="1"/>
  <c r="BF57" i="131" s="1"/>
  <c r="BD57" i="131" s="1"/>
  <c r="F51" i="129"/>
  <c r="E51" i="129" s="1"/>
  <c r="P7" i="131"/>
  <c r="P6" i="131" s="1"/>
  <c r="H28" i="131"/>
  <c r="H19" i="131" s="1"/>
  <c r="H59" i="131" s="1"/>
  <c r="AX7" i="132"/>
  <c r="AX6" i="132" s="1"/>
  <c r="AA14" i="131"/>
  <c r="R14" i="131" s="1"/>
  <c r="BF14" i="131" s="1"/>
  <c r="M14" i="131" s="1"/>
  <c r="F8" i="130"/>
  <c r="E8" i="130" s="1"/>
  <c r="H7" i="130"/>
  <c r="H6" i="130" s="1"/>
  <c r="F18" i="129"/>
  <c r="E18" i="129" s="1"/>
  <c r="Y7" i="128"/>
  <c r="Y6" i="128" s="1"/>
  <c r="F14" i="132"/>
  <c r="T7" i="130"/>
  <c r="T6" i="130" s="1"/>
  <c r="W19" i="131"/>
  <c r="AA14" i="132"/>
  <c r="R14" i="132" s="1"/>
  <c r="BA28" i="132"/>
  <c r="BA19" i="132" s="1"/>
  <c r="AX7" i="131"/>
  <c r="AX6" i="131" s="1"/>
  <c r="AA57" i="132"/>
  <c r="R57" i="132" s="1"/>
  <c r="BF57" i="132" s="1"/>
  <c r="BD57" i="132" s="1"/>
  <c r="AA55" i="132"/>
  <c r="R55" i="132" s="1"/>
  <c r="BF55" i="132" s="1"/>
  <c r="BB55" i="132" s="1"/>
  <c r="F44" i="129"/>
  <c r="E44" i="129" s="1"/>
  <c r="U28" i="130"/>
  <c r="U19" i="130" s="1"/>
  <c r="U59" i="130" s="1"/>
  <c r="X28" i="132"/>
  <c r="X19" i="132" s="1"/>
  <c r="AW7" i="129"/>
  <c r="AW6" i="129" s="1"/>
  <c r="AA31" i="132"/>
  <c r="F26" i="132"/>
  <c r="E26" i="132" s="1"/>
  <c r="AV19" i="132"/>
  <c r="F10" i="131"/>
  <c r="E10" i="131" s="1"/>
  <c r="BF10" i="131" s="1"/>
  <c r="I10" i="131" s="1"/>
  <c r="U28" i="132"/>
  <c r="U19" i="132" s="1"/>
  <c r="F30" i="132"/>
  <c r="E30" i="132" s="1"/>
  <c r="F52" i="131"/>
  <c r="E52" i="131" s="1"/>
  <c r="AZ19" i="132"/>
  <c r="AZ59" i="132" s="1"/>
  <c r="N7" i="131"/>
  <c r="N6" i="131" s="1"/>
  <c r="AH7" i="132"/>
  <c r="AH6" i="132" s="1"/>
  <c r="I7" i="132"/>
  <c r="I6" i="132" s="1"/>
  <c r="AT7" i="128"/>
  <c r="AT6" i="128" s="1"/>
  <c r="AP7" i="132"/>
  <c r="AP6" i="132" s="1"/>
  <c r="Y7" i="131"/>
  <c r="Y6" i="131" s="1"/>
  <c r="L19" i="131"/>
  <c r="AA51" i="132"/>
  <c r="R51" i="132" s="1"/>
  <c r="BF51" i="132" s="1"/>
  <c r="AX51" i="132" s="1"/>
  <c r="BE7" i="132"/>
  <c r="BE6" i="132" s="1"/>
  <c r="R26" i="132"/>
  <c r="BF26" i="132" s="1"/>
  <c r="Y26" i="132" s="1"/>
  <c r="AA52" i="131"/>
  <c r="R52" i="131" s="1"/>
  <c r="AC19" i="131"/>
  <c r="K7" i="131"/>
  <c r="K6" i="131" s="1"/>
  <c r="K59" i="131" s="1"/>
  <c r="BG12" i="131" s="1"/>
  <c r="BH12" i="131" s="1"/>
  <c r="H28" i="129"/>
  <c r="H19" i="129" s="1"/>
  <c r="F37" i="127"/>
  <c r="E37" i="127" s="1"/>
  <c r="S28" i="132"/>
  <c r="S19" i="132" s="1"/>
  <c r="BB7" i="132"/>
  <c r="BB6" i="132" s="1"/>
  <c r="AA26" i="128"/>
  <c r="Z28" i="128"/>
  <c r="Z19" i="128" s="1"/>
  <c r="AA52" i="132"/>
  <c r="R49" i="131"/>
  <c r="BF49" i="131" s="1"/>
  <c r="AV49" i="131" s="1"/>
  <c r="BE28" i="127"/>
  <c r="BE19" i="127" s="1"/>
  <c r="F31" i="131"/>
  <c r="E31" i="131" s="1"/>
  <c r="R34" i="131"/>
  <c r="BF34" i="131" s="1"/>
  <c r="AG34" i="131" s="1"/>
  <c r="BD7" i="132"/>
  <c r="BD6" i="132" s="1"/>
  <c r="F25" i="132"/>
  <c r="E25" i="132" s="1"/>
  <c r="AA12" i="132"/>
  <c r="R12" i="132" s="1"/>
  <c r="N19" i="131"/>
  <c r="AA48" i="132"/>
  <c r="R48" i="132" s="1"/>
  <c r="F22" i="132"/>
  <c r="E22" i="132" s="1"/>
  <c r="AR28" i="130"/>
  <c r="AR19" i="130" s="1"/>
  <c r="R53" i="132"/>
  <c r="F13" i="132"/>
  <c r="E13" i="132" s="1"/>
  <c r="BF13" i="132" s="1"/>
  <c r="Z28" i="132"/>
  <c r="Z19" i="132" s="1"/>
  <c r="F50" i="132"/>
  <c r="E50" i="132" s="1"/>
  <c r="AA17" i="128"/>
  <c r="R17" i="128" s="1"/>
  <c r="R50" i="130"/>
  <c r="AU28" i="132"/>
  <c r="AU19" i="132" s="1"/>
  <c r="AU59" i="132" s="1"/>
  <c r="F10" i="132"/>
  <c r="E10" i="132" s="1"/>
  <c r="F49" i="130"/>
  <c r="E49" i="130" s="1"/>
  <c r="BD28" i="127"/>
  <c r="BD19" i="127" s="1"/>
  <c r="AJ28" i="132"/>
  <c r="AJ19" i="132" s="1"/>
  <c r="AJ59" i="132" s="1"/>
  <c r="AX28" i="130"/>
  <c r="AX19" i="130" s="1"/>
  <c r="AX59" i="130" s="1"/>
  <c r="F15" i="132"/>
  <c r="E15" i="132" s="1"/>
  <c r="F49" i="132"/>
  <c r="E49" i="132" s="1"/>
  <c r="AM7" i="132"/>
  <c r="AM6" i="132" s="1"/>
  <c r="F21" i="132"/>
  <c r="E21" i="132" s="1"/>
  <c r="F47" i="129"/>
  <c r="E47" i="129" s="1"/>
  <c r="AS7" i="130"/>
  <c r="AS6" i="130" s="1"/>
  <c r="T28" i="131"/>
  <c r="T19" i="131" s="1"/>
  <c r="AN28" i="132"/>
  <c r="AN19" i="132" s="1"/>
  <c r="AA14" i="130"/>
  <c r="R14" i="130" s="1"/>
  <c r="BF14" i="130" s="1"/>
  <c r="Q7" i="132"/>
  <c r="Q6" i="132" s="1"/>
  <c r="BD28" i="132"/>
  <c r="BD19" i="132" s="1"/>
  <c r="AM19" i="131"/>
  <c r="BF44" i="131"/>
  <c r="AQ44" i="131" s="1"/>
  <c r="P7" i="132"/>
  <c r="P6" i="132" s="1"/>
  <c r="H59" i="127"/>
  <c r="F17" i="132"/>
  <c r="E17" i="132" s="1"/>
  <c r="BF17" i="132" s="1"/>
  <c r="P17" i="132" s="1"/>
  <c r="AM19" i="130"/>
  <c r="AM59" i="130" s="1"/>
  <c r="F40" i="132"/>
  <c r="E40" i="132" s="1"/>
  <c r="AA20" i="132"/>
  <c r="R20" i="132" s="1"/>
  <c r="BA28" i="129"/>
  <c r="BA19" i="129" s="1"/>
  <c r="BA59" i="129" s="1"/>
  <c r="R52" i="132"/>
  <c r="BF52" i="132" s="1"/>
  <c r="X7" i="132"/>
  <c r="X6" i="132" s="1"/>
  <c r="AO7" i="130"/>
  <c r="AO6" i="130" s="1"/>
  <c r="F24" i="132"/>
  <c r="E24" i="132" s="1"/>
  <c r="H28" i="132"/>
  <c r="H19" i="132" s="1"/>
  <c r="H59" i="132" s="1"/>
  <c r="F35" i="129"/>
  <c r="E35" i="129" s="1"/>
  <c r="BF35" i="129" s="1"/>
  <c r="AH35" i="129" s="1"/>
  <c r="AA49" i="132"/>
  <c r="R49" i="132" s="1"/>
  <c r="F34" i="132"/>
  <c r="E34" i="132" s="1"/>
  <c r="BB59" i="130"/>
  <c r="AA33" i="131"/>
  <c r="R33" i="131" s="1"/>
  <c r="AA22" i="132"/>
  <c r="R22" i="132" s="1"/>
  <c r="AC59" i="131"/>
  <c r="K19" i="131"/>
  <c r="AK7" i="127"/>
  <c r="AK6" i="127" s="1"/>
  <c r="R30" i="132"/>
  <c r="R33" i="132"/>
  <c r="AV7" i="130"/>
  <c r="AV6" i="130" s="1"/>
  <c r="F51" i="131"/>
  <c r="E51" i="131" s="1"/>
  <c r="AX28" i="131"/>
  <c r="AX19" i="131" s="1"/>
  <c r="AX59" i="131" s="1"/>
  <c r="AN19" i="131"/>
  <c r="AN59" i="131" s="1"/>
  <c r="F15" i="131"/>
  <c r="E15" i="131" s="1"/>
  <c r="F24" i="131"/>
  <c r="E24" i="131" s="1"/>
  <c r="AF7" i="130"/>
  <c r="AF6" i="130" s="1"/>
  <c r="AA35" i="127"/>
  <c r="R35" i="127" s="1"/>
  <c r="BF35" i="127" s="1"/>
  <c r="AH35" i="127" s="1"/>
  <c r="AA39" i="132"/>
  <c r="R39" i="132" s="1"/>
  <c r="L28" i="132"/>
  <c r="L19" i="132" s="1"/>
  <c r="L59" i="132" s="1"/>
  <c r="Y19" i="128"/>
  <c r="Y59" i="128" s="1"/>
  <c r="R35" i="132"/>
  <c r="BF35" i="132" s="1"/>
  <c r="AH35" i="132" s="1"/>
  <c r="F47" i="131"/>
  <c r="E47" i="131" s="1"/>
  <c r="BF47" i="131" s="1"/>
  <c r="AT47" i="131" s="1"/>
  <c r="AL19" i="131"/>
  <c r="AL59" i="131" s="1"/>
  <c r="AG28" i="132"/>
  <c r="AG19" i="132" s="1"/>
  <c r="D19" i="123"/>
  <c r="D19" i="121"/>
  <c r="D19" i="127"/>
  <c r="D5" i="122"/>
  <c r="AX51" i="118"/>
  <c r="BG51" i="118"/>
  <c r="BH51" i="118" s="1"/>
  <c r="BK51" i="118" s="1"/>
  <c r="BF15" i="122"/>
  <c r="N15" i="122" s="1"/>
  <c r="W6" i="130"/>
  <c r="BF16" i="129"/>
  <c r="O16" i="129" s="1"/>
  <c r="AF6" i="119"/>
  <c r="AA7" i="119"/>
  <c r="AA6" i="119" s="1"/>
  <c r="S19" i="124"/>
  <c r="R28" i="124"/>
  <c r="E14" i="121"/>
  <c r="F6" i="121"/>
  <c r="AT19" i="121"/>
  <c r="AT59" i="121" s="1"/>
  <c r="BG47" i="121" s="1"/>
  <c r="BH47" i="121" s="1"/>
  <c r="R28" i="121"/>
  <c r="BF17" i="124"/>
  <c r="P17" i="124" s="1"/>
  <c r="AK6" i="122"/>
  <c r="AA7" i="122"/>
  <c r="AA6" i="122" s="1"/>
  <c r="F6" i="122"/>
  <c r="BF12" i="118"/>
  <c r="K12" i="118" s="1"/>
  <c r="F54" i="129"/>
  <c r="E54" i="129" s="1"/>
  <c r="BF54" i="129" s="1"/>
  <c r="BA54" i="129" s="1"/>
  <c r="BF18" i="122"/>
  <c r="Q18" i="122" s="1"/>
  <c r="AA7" i="120"/>
  <c r="AA6" i="120" s="1"/>
  <c r="G59" i="121"/>
  <c r="F6" i="117"/>
  <c r="AA7" i="127"/>
  <c r="AA6" i="127" s="1"/>
  <c r="AA19" i="128"/>
  <c r="AB59" i="119"/>
  <c r="L13" i="118"/>
  <c r="BG13" i="118"/>
  <c r="BH13" i="118" s="1"/>
  <c r="E17" i="131"/>
  <c r="BF17" i="131" s="1"/>
  <c r="P17" i="131" s="1"/>
  <c r="F6" i="131"/>
  <c r="BF14" i="125"/>
  <c r="M14" i="125" s="1"/>
  <c r="BF8" i="132"/>
  <c r="G8" i="132" s="1"/>
  <c r="BF13" i="121"/>
  <c r="L13" i="121" s="1"/>
  <c r="Z19" i="120"/>
  <c r="Z59" i="120" s="1"/>
  <c r="R28" i="120"/>
  <c r="AO59" i="127"/>
  <c r="AC6" i="130"/>
  <c r="AC59" i="130" s="1"/>
  <c r="AA7" i="130"/>
  <c r="R7" i="130" s="1"/>
  <c r="E16" i="119"/>
  <c r="BF16" i="119" s="1"/>
  <c r="F6" i="119"/>
  <c r="E31" i="121"/>
  <c r="F54" i="121"/>
  <c r="E54" i="121" s="1"/>
  <c r="E33" i="120"/>
  <c r="BF33" i="120" s="1"/>
  <c r="AF33" i="120" s="1"/>
  <c r="F54" i="120"/>
  <c r="E54" i="120" s="1"/>
  <c r="P6" i="119"/>
  <c r="P59" i="119" s="1"/>
  <c r="E7" i="119"/>
  <c r="AA7" i="124"/>
  <c r="AA6" i="124" s="1"/>
  <c r="F6" i="123"/>
  <c r="AY52" i="132"/>
  <c r="BG52" i="132"/>
  <c r="BH52" i="132" s="1"/>
  <c r="BK52" i="132" s="1"/>
  <c r="BG42" i="131"/>
  <c r="BH42" i="131" s="1"/>
  <c r="BF51" i="128"/>
  <c r="Z6" i="131"/>
  <c r="Z59" i="131" s="1"/>
  <c r="BG27" i="131" s="1"/>
  <c r="BH27" i="131" s="1"/>
  <c r="BK27" i="131" s="1"/>
  <c r="AJ37" i="119"/>
  <c r="BG37" i="119"/>
  <c r="BH37" i="119" s="1"/>
  <c r="BK37" i="119" s="1"/>
  <c r="BF50" i="131"/>
  <c r="AW50" i="131" s="1"/>
  <c r="BF15" i="124"/>
  <c r="N15" i="124" s="1"/>
  <c r="AF6" i="128"/>
  <c r="AF59" i="128" s="1"/>
  <c r="AA7" i="128"/>
  <c r="AD6" i="117"/>
  <c r="AA7" i="117"/>
  <c r="AA6" i="117" s="1"/>
  <c r="BF13" i="119"/>
  <c r="L13" i="119" s="1"/>
  <c r="R20" i="131"/>
  <c r="BF20" i="131" s="1"/>
  <c r="S20" i="131" s="1"/>
  <c r="AA19" i="131"/>
  <c r="BF10" i="121"/>
  <c r="I10" i="121" s="1"/>
  <c r="AM6" i="123"/>
  <c r="AA7" i="123"/>
  <c r="AA6" i="123" s="1"/>
  <c r="X59" i="122"/>
  <c r="BF47" i="123"/>
  <c r="AT47" i="123" s="1"/>
  <c r="E14" i="132"/>
  <c r="F6" i="132"/>
  <c r="R23" i="125"/>
  <c r="BF23" i="125" s="1"/>
  <c r="V23" i="125" s="1"/>
  <c r="AA19" i="125"/>
  <c r="BG25" i="131"/>
  <c r="BH25" i="131" s="1"/>
  <c r="BK25" i="131" s="1"/>
  <c r="E58" i="126"/>
  <c r="M6" i="122"/>
  <c r="E7" i="122"/>
  <c r="BF12" i="121"/>
  <c r="K12" i="121" s="1"/>
  <c r="AA19" i="121"/>
  <c r="R28" i="132"/>
  <c r="R28" i="129"/>
  <c r="L6" i="131"/>
  <c r="E7" i="131"/>
  <c r="AP19" i="125"/>
  <c r="R28" i="125"/>
  <c r="R22" i="129"/>
  <c r="BF22" i="129" s="1"/>
  <c r="U22" i="129" s="1"/>
  <c r="AA19" i="129"/>
  <c r="BF14" i="128"/>
  <c r="M14" i="128" s="1"/>
  <c r="I19" i="126"/>
  <c r="F28" i="126"/>
  <c r="E28" i="126" s="1"/>
  <c r="BF14" i="118"/>
  <c r="M14" i="118" s="1"/>
  <c r="BB19" i="118"/>
  <c r="BB59" i="118" s="1"/>
  <c r="E37" i="124"/>
  <c r="E54" i="124" s="1"/>
  <c r="F54" i="124"/>
  <c r="AE32" i="118"/>
  <c r="BG32" i="118"/>
  <c r="BH32" i="118" s="1"/>
  <c r="BK32" i="118" s="1"/>
  <c r="K59" i="132"/>
  <c r="BF42" i="130"/>
  <c r="AO42" i="130" s="1"/>
  <c r="BF10" i="132"/>
  <c r="I10" i="132" s="1"/>
  <c r="BF39" i="132"/>
  <c r="AL39" i="132" s="1"/>
  <c r="BF30" i="132"/>
  <c r="AC30" i="132" s="1"/>
  <c r="BF48" i="132"/>
  <c r="AU48" i="132" s="1"/>
  <c r="Z59" i="129"/>
  <c r="F6" i="129"/>
  <c r="BF32" i="130"/>
  <c r="AE32" i="130" s="1"/>
  <c r="E7" i="132"/>
  <c r="AQ59" i="131"/>
  <c r="BG44" i="131" s="1"/>
  <c r="BH44" i="131" s="1"/>
  <c r="BK44" i="131" s="1"/>
  <c r="BF16" i="132"/>
  <c r="O16" i="132" s="1"/>
  <c r="Q59" i="126"/>
  <c r="AW59" i="128"/>
  <c r="BF43" i="129"/>
  <c r="AP43" i="129" s="1"/>
  <c r="I59" i="125"/>
  <c r="AR59" i="129"/>
  <c r="BF44" i="124"/>
  <c r="AQ44" i="124" s="1"/>
  <c r="AK59" i="122"/>
  <c r="BF57" i="127"/>
  <c r="BD57" i="127" s="1"/>
  <c r="N59" i="118"/>
  <c r="BF42" i="126"/>
  <c r="AO42" i="126" s="1"/>
  <c r="BF36" i="126"/>
  <c r="AI36" i="126" s="1"/>
  <c r="AJ59" i="127"/>
  <c r="BF51" i="123"/>
  <c r="AX51" i="123" s="1"/>
  <c r="BF30" i="128"/>
  <c r="AC30" i="128" s="1"/>
  <c r="J59" i="131"/>
  <c r="P59" i="131"/>
  <c r="BD59" i="127"/>
  <c r="L59" i="131"/>
  <c r="BG13" i="131" s="1"/>
  <c r="BH13" i="131" s="1"/>
  <c r="BF46" i="132"/>
  <c r="AS46" i="132" s="1"/>
  <c r="BF40" i="131"/>
  <c r="AM40" i="131" s="1"/>
  <c r="X59" i="130"/>
  <c r="F54" i="132"/>
  <c r="E54" i="132" s="1"/>
  <c r="BF54" i="132" s="1"/>
  <c r="BF8" i="128"/>
  <c r="G8" i="128" s="1"/>
  <c r="N59" i="128"/>
  <c r="BF55" i="131"/>
  <c r="X59" i="127"/>
  <c r="BF13" i="117"/>
  <c r="L13" i="117" s="1"/>
  <c r="BF53" i="118"/>
  <c r="AZ53" i="118" s="1"/>
  <c r="W59" i="127"/>
  <c r="AB59" i="132"/>
  <c r="BG29" i="132" s="1"/>
  <c r="BH29" i="132" s="1"/>
  <c r="BK29" i="132" s="1"/>
  <c r="J59" i="120"/>
  <c r="AD59" i="132"/>
  <c r="W59" i="132"/>
  <c r="AX59" i="132"/>
  <c r="BG51" i="132" s="1"/>
  <c r="BH51" i="132" s="1"/>
  <c r="BK51" i="132" s="1"/>
  <c r="BF9" i="131"/>
  <c r="H9" i="131" s="1"/>
  <c r="H59" i="129"/>
  <c r="AP59" i="131"/>
  <c r="BG43" i="131" s="1"/>
  <c r="BH43" i="131" s="1"/>
  <c r="BK43" i="131" s="1"/>
  <c r="Z59" i="128"/>
  <c r="BG27" i="128" s="1"/>
  <c r="BH27" i="128" s="1"/>
  <c r="BK27" i="128" s="1"/>
  <c r="BF22" i="131"/>
  <c r="U22" i="131" s="1"/>
  <c r="AI59" i="125"/>
  <c r="BF39" i="130"/>
  <c r="AL39" i="130" s="1"/>
  <c r="BG56" i="126"/>
  <c r="BH56" i="126" s="1"/>
  <c r="BF47" i="126"/>
  <c r="AP59" i="129"/>
  <c r="AS59" i="118"/>
  <c r="BG46" i="118" s="1"/>
  <c r="BH46" i="118" s="1"/>
  <c r="BK46" i="118" s="1"/>
  <c r="BF12" i="130"/>
  <c r="K12" i="130" s="1"/>
  <c r="AT59" i="130"/>
  <c r="V59" i="126"/>
  <c r="AV59" i="129"/>
  <c r="AG59" i="122"/>
  <c r="AS59" i="127"/>
  <c r="BG46" i="127" s="1"/>
  <c r="BH46" i="127" s="1"/>
  <c r="BK46" i="127" s="1"/>
  <c r="BF21" i="128"/>
  <c r="T21" i="128" s="1"/>
  <c r="AX59" i="124"/>
  <c r="H59" i="122"/>
  <c r="AM59" i="121"/>
  <c r="BF41" i="121"/>
  <c r="AN41" i="121" s="1"/>
  <c r="BF45" i="120"/>
  <c r="AR45" i="120" s="1"/>
  <c r="BF26" i="128"/>
  <c r="Y26" i="128" s="1"/>
  <c r="BF24" i="118"/>
  <c r="W24" i="118" s="1"/>
  <c r="AI59" i="124"/>
  <c r="BG36" i="124" s="1"/>
  <c r="BH36" i="124" s="1"/>
  <c r="BK36" i="124" s="1"/>
  <c r="AY59" i="123"/>
  <c r="BF37" i="122"/>
  <c r="AJ37" i="122" s="1"/>
  <c r="BF27" i="120"/>
  <c r="Z27" i="120" s="1"/>
  <c r="BF21" i="123"/>
  <c r="T21" i="123" s="1"/>
  <c r="BF50" i="124"/>
  <c r="AW50" i="124" s="1"/>
  <c r="BF22" i="119"/>
  <c r="U22" i="119" s="1"/>
  <c r="BF34" i="121"/>
  <c r="AG34" i="121" s="1"/>
  <c r="AY59" i="117"/>
  <c r="BG52" i="117" s="1"/>
  <c r="BH52" i="117" s="1"/>
  <c r="BK52" i="117" s="1"/>
  <c r="BF40" i="119"/>
  <c r="AM40" i="119" s="1"/>
  <c r="BF22" i="121"/>
  <c r="U22" i="121" s="1"/>
  <c r="Z59" i="117"/>
  <c r="BF42" i="118"/>
  <c r="AO42" i="118" s="1"/>
  <c r="AD59" i="123"/>
  <c r="BF39" i="120"/>
  <c r="Y59" i="118"/>
  <c r="AO59" i="119"/>
  <c r="AD59" i="117"/>
  <c r="U59" i="117"/>
  <c r="AZ59" i="121"/>
  <c r="BG53" i="121" s="1"/>
  <c r="BH53" i="121" s="1"/>
  <c r="BK53" i="121" s="1"/>
  <c r="AS59" i="131"/>
  <c r="H59" i="123"/>
  <c r="R28" i="130"/>
  <c r="AO59" i="120"/>
  <c r="BF16" i="120"/>
  <c r="O16" i="120" s="1"/>
  <c r="N59" i="124"/>
  <c r="M59" i="124"/>
  <c r="V59" i="123"/>
  <c r="BF48" i="117"/>
  <c r="AU48" i="117" s="1"/>
  <c r="BC59" i="120"/>
  <c r="AZ59" i="119"/>
  <c r="X59" i="118"/>
  <c r="AD59" i="118"/>
  <c r="BG31" i="118" s="1"/>
  <c r="BH31" i="118" s="1"/>
  <c r="BK31" i="118" s="1"/>
  <c r="BF32" i="122"/>
  <c r="AE32" i="122" s="1"/>
  <c r="AU59" i="119"/>
  <c r="BG48" i="119" s="1"/>
  <c r="BH48" i="119" s="1"/>
  <c r="BK48" i="119" s="1"/>
  <c r="BF50" i="122"/>
  <c r="AW50" i="122" s="1"/>
  <c r="BF36" i="121"/>
  <c r="AI36" i="121" s="1"/>
  <c r="BB59" i="124"/>
  <c r="BF11" i="117"/>
  <c r="J11" i="117" s="1"/>
  <c r="BF8" i="131"/>
  <c r="G8" i="131" s="1"/>
  <c r="L59" i="125"/>
  <c r="BB59" i="129"/>
  <c r="BF39" i="127"/>
  <c r="AL39" i="127" s="1"/>
  <c r="AO59" i="124"/>
  <c r="BG42" i="124" s="1"/>
  <c r="BH42" i="124" s="1"/>
  <c r="BF32" i="131"/>
  <c r="AE32" i="131" s="1"/>
  <c r="BG21" i="124"/>
  <c r="BH21" i="124" s="1"/>
  <c r="BK21" i="124" s="1"/>
  <c r="AY59" i="130"/>
  <c r="Q59" i="127"/>
  <c r="X59" i="123"/>
  <c r="BF57" i="128"/>
  <c r="BD57" i="128" s="1"/>
  <c r="AT59" i="125"/>
  <c r="BF52" i="123"/>
  <c r="AY52" i="123" s="1"/>
  <c r="L59" i="129"/>
  <c r="BF22" i="122"/>
  <c r="U22" i="122" s="1"/>
  <c r="BF38" i="129"/>
  <c r="AK38" i="129" s="1"/>
  <c r="BF48" i="128"/>
  <c r="AU48" i="128" s="1"/>
  <c r="BF34" i="128"/>
  <c r="AG34" i="128" s="1"/>
  <c r="AR59" i="120"/>
  <c r="BG45" i="120" s="1"/>
  <c r="BH45" i="120" s="1"/>
  <c r="BK45" i="120" s="1"/>
  <c r="AW59" i="122"/>
  <c r="F28" i="118"/>
  <c r="AP59" i="123"/>
  <c r="M59" i="122"/>
  <c r="AE59" i="122"/>
  <c r="BG32" i="122" s="1"/>
  <c r="BH32" i="122" s="1"/>
  <c r="BK32" i="122" s="1"/>
  <c r="AK59" i="124"/>
  <c r="BF10" i="123"/>
  <c r="I10" i="123" s="1"/>
  <c r="AG59" i="123"/>
  <c r="BF38" i="120"/>
  <c r="AK38" i="120" s="1"/>
  <c r="BF40" i="121"/>
  <c r="AM40" i="121" s="1"/>
  <c r="AW59" i="117"/>
  <c r="T59" i="127"/>
  <c r="BF57" i="117"/>
  <c r="BD57" i="117" s="1"/>
  <c r="T59" i="121"/>
  <c r="AC59" i="119"/>
  <c r="I59" i="117"/>
  <c r="BF24" i="125"/>
  <c r="W24" i="125" s="1"/>
  <c r="BF41" i="117"/>
  <c r="AN41" i="117" s="1"/>
  <c r="BF55" i="123"/>
  <c r="BF27" i="118"/>
  <c r="Z27" i="118" s="1"/>
  <c r="BF13" i="129"/>
  <c r="F54" i="119"/>
  <c r="E54" i="119" s="1"/>
  <c r="F6" i="128"/>
  <c r="F28" i="131"/>
  <c r="E28" i="131" s="1"/>
  <c r="R28" i="131"/>
  <c r="O6" i="132"/>
  <c r="O59" i="132" s="1"/>
  <c r="BG16" i="132" s="1"/>
  <c r="BH16" i="132" s="1"/>
  <c r="BG37" i="132"/>
  <c r="BH37" i="132" s="1"/>
  <c r="BK37" i="132" s="1"/>
  <c r="BF15" i="130"/>
  <c r="N15" i="130" s="1"/>
  <c r="BF44" i="126"/>
  <c r="AQ44" i="126" s="1"/>
  <c r="R28" i="119"/>
  <c r="F28" i="132"/>
  <c r="E28" i="132" s="1"/>
  <c r="BF28" i="132" s="1"/>
  <c r="AA28" i="132" s="1"/>
  <c r="E7" i="128"/>
  <c r="R28" i="126"/>
  <c r="BF28" i="126" s="1"/>
  <c r="AA28" i="126" s="1"/>
  <c r="AA19" i="126"/>
  <c r="R28" i="128"/>
  <c r="BF15" i="132"/>
  <c r="N15" i="132" s="1"/>
  <c r="P59" i="132"/>
  <c r="BG17" i="132" s="1"/>
  <c r="BH17" i="132" s="1"/>
  <c r="S59" i="132"/>
  <c r="R28" i="117"/>
  <c r="F54" i="118"/>
  <c r="G19" i="130"/>
  <c r="G59" i="130" s="1"/>
  <c r="E7" i="120"/>
  <c r="AA19" i="120"/>
  <c r="AA59" i="120" s="1"/>
  <c r="F54" i="126"/>
  <c r="E54" i="126" s="1"/>
  <c r="BF54" i="126" s="1"/>
  <c r="BG54" i="126" s="1"/>
  <c r="BH54" i="126" s="1"/>
  <c r="BK54" i="126" s="1"/>
  <c r="BG14" i="125"/>
  <c r="BH14" i="125" s="1"/>
  <c r="AQ59" i="121"/>
  <c r="BG44" i="121" s="1"/>
  <c r="BH44" i="121" s="1"/>
  <c r="BK44" i="121" s="1"/>
  <c r="BG26" i="132"/>
  <c r="BH26" i="132" s="1"/>
  <c r="BK26" i="132" s="1"/>
  <c r="BF32" i="132"/>
  <c r="AE32" i="132" s="1"/>
  <c r="BF40" i="126"/>
  <c r="AE59" i="131"/>
  <c r="BG32" i="131" s="1"/>
  <c r="BH32" i="131" s="1"/>
  <c r="BK32" i="131" s="1"/>
  <c r="BF41" i="128"/>
  <c r="BF53" i="125"/>
  <c r="AZ53" i="125" s="1"/>
  <c r="BF12" i="132"/>
  <c r="K12" i="132" s="1"/>
  <c r="AA7" i="132"/>
  <c r="R7" i="132" s="1"/>
  <c r="BG17" i="131"/>
  <c r="BH17" i="131" s="1"/>
  <c r="BF15" i="128"/>
  <c r="N15" i="128" s="1"/>
  <c r="AT59" i="132"/>
  <c r="AD31" i="117"/>
  <c r="BG31" i="117"/>
  <c r="BH31" i="117" s="1"/>
  <c r="BK31" i="117" s="1"/>
  <c r="BF37" i="130"/>
  <c r="AJ37" i="130" s="1"/>
  <c r="BF14" i="123"/>
  <c r="M14" i="123" s="1"/>
  <c r="BF39" i="118"/>
  <c r="AL39" i="118" s="1"/>
  <c r="R28" i="122"/>
  <c r="E7" i="124"/>
  <c r="BF18" i="132"/>
  <c r="Q18" i="132" s="1"/>
  <c r="J59" i="128"/>
  <c r="AA19" i="132"/>
  <c r="F54" i="131"/>
  <c r="E54" i="131" s="1"/>
  <c r="BF54" i="131" s="1"/>
  <c r="AA19" i="118"/>
  <c r="F6" i="124"/>
  <c r="E7" i="118"/>
  <c r="AA19" i="117"/>
  <c r="AA59" i="117" s="1"/>
  <c r="AA19" i="130"/>
  <c r="R28" i="127"/>
  <c r="AA7" i="129"/>
  <c r="AA6" i="129" s="1"/>
  <c r="AA59" i="129" s="1"/>
  <c r="F6" i="118"/>
  <c r="E28" i="118"/>
  <c r="AA6" i="130"/>
  <c r="F54" i="125"/>
  <c r="AA7" i="118"/>
  <c r="AA6" i="118" s="1"/>
  <c r="E7" i="126"/>
  <c r="AA7" i="131"/>
  <c r="AA6" i="131" s="1"/>
  <c r="AA59" i="131" s="1"/>
  <c r="AA7" i="121"/>
  <c r="AA6" i="121" s="1"/>
  <c r="F54" i="128"/>
  <c r="E54" i="128" s="1"/>
  <c r="BF54" i="128" s="1"/>
  <c r="BF17" i="127"/>
  <c r="P17" i="127" s="1"/>
  <c r="M14" i="119"/>
  <c r="BG14" i="119"/>
  <c r="BH14" i="119" s="1"/>
  <c r="AM59" i="131"/>
  <c r="BF53" i="132"/>
  <c r="AZ53" i="132" s="1"/>
  <c r="BF50" i="130"/>
  <c r="F28" i="129"/>
  <c r="E28" i="129" s="1"/>
  <c r="BF28" i="129" s="1"/>
  <c r="AA28" i="129" s="1"/>
  <c r="BG53" i="132"/>
  <c r="BH53" i="132" s="1"/>
  <c r="BK53" i="132" s="1"/>
  <c r="AR59" i="130"/>
  <c r="BG45" i="130" s="1"/>
  <c r="BH45" i="130" s="1"/>
  <c r="BK45" i="130" s="1"/>
  <c r="BF48" i="130"/>
  <c r="AC59" i="129"/>
  <c r="BF30" i="125"/>
  <c r="BF41" i="130"/>
  <c r="AN41" i="130" s="1"/>
  <c r="BF14" i="124"/>
  <c r="M14" i="124" s="1"/>
  <c r="AQ59" i="129"/>
  <c r="BF15" i="126"/>
  <c r="N15" i="126" s="1"/>
  <c r="BF18" i="123"/>
  <c r="Q18" i="123" s="1"/>
  <c r="AR59" i="118"/>
  <c r="BF43" i="132"/>
  <c r="AP43" i="132" s="1"/>
  <c r="AM59" i="128"/>
  <c r="BG40" i="128" s="1"/>
  <c r="BH40" i="128" s="1"/>
  <c r="BK40" i="128" s="1"/>
  <c r="BB59" i="128"/>
  <c r="BG55" i="128" s="1"/>
  <c r="BH55" i="128" s="1"/>
  <c r="AT59" i="128"/>
  <c r="U59" i="132"/>
  <c r="M59" i="132"/>
  <c r="F6" i="130"/>
  <c r="BF45" i="131"/>
  <c r="AR45" i="131" s="1"/>
  <c r="AN59" i="129"/>
  <c r="G59" i="132"/>
  <c r="BG8" i="132" s="1"/>
  <c r="BH8" i="132" s="1"/>
  <c r="BG37" i="131"/>
  <c r="BH37" i="131" s="1"/>
  <c r="BK37" i="131" s="1"/>
  <c r="AA19" i="127"/>
  <c r="AA59" i="127" s="1"/>
  <c r="BG38" i="129"/>
  <c r="BH38" i="129" s="1"/>
  <c r="BK38" i="129" s="1"/>
  <c r="BF56" i="128"/>
  <c r="BC56" i="128" s="1"/>
  <c r="AR59" i="125"/>
  <c r="BG45" i="125" s="1"/>
  <c r="BH45" i="125" s="1"/>
  <c r="BK45" i="125" s="1"/>
  <c r="H59" i="125"/>
  <c r="AE59" i="126"/>
  <c r="BF32" i="128"/>
  <c r="AE32" i="128" s="1"/>
  <c r="AG59" i="125"/>
  <c r="BF57" i="121"/>
  <c r="BD57" i="121" s="1"/>
  <c r="BF52" i="120"/>
  <c r="AP59" i="124"/>
  <c r="AW59" i="120"/>
  <c r="BG50" i="120" s="1"/>
  <c r="BH50" i="120" s="1"/>
  <c r="AC59" i="118"/>
  <c r="AC59" i="120"/>
  <c r="AG59" i="132"/>
  <c r="BF33" i="131"/>
  <c r="AF33" i="131" s="1"/>
  <c r="Z59" i="132"/>
  <c r="T59" i="131"/>
  <c r="BG21" i="131" s="1"/>
  <c r="BH21" i="131" s="1"/>
  <c r="BK21" i="131" s="1"/>
  <c r="AN59" i="132"/>
  <c r="BG38" i="132"/>
  <c r="BH38" i="132" s="1"/>
  <c r="BK38" i="132" s="1"/>
  <c r="AV59" i="132"/>
  <c r="BG22" i="130"/>
  <c r="BH22" i="130" s="1"/>
  <c r="BK22" i="130" s="1"/>
  <c r="BG27" i="129"/>
  <c r="BH27" i="129" s="1"/>
  <c r="BK27" i="129" s="1"/>
  <c r="BF8" i="130"/>
  <c r="G8" i="130" s="1"/>
  <c r="AR59" i="132"/>
  <c r="BF53" i="129"/>
  <c r="AZ53" i="129" s="1"/>
  <c r="BG33" i="125"/>
  <c r="BH33" i="125" s="1"/>
  <c r="BK33" i="125" s="1"/>
  <c r="AH59" i="125"/>
  <c r="BF44" i="127"/>
  <c r="AQ44" i="127" s="1"/>
  <c r="AM59" i="129"/>
  <c r="BF9" i="127"/>
  <c r="H9" i="127" s="1"/>
  <c r="BF53" i="124"/>
  <c r="AZ53" i="124" s="1"/>
  <c r="BA59" i="128"/>
  <c r="AU59" i="117"/>
  <c r="BG48" i="117" s="1"/>
  <c r="BH48" i="117" s="1"/>
  <c r="BK48" i="117" s="1"/>
  <c r="Q59" i="123"/>
  <c r="AD59" i="125"/>
  <c r="BG53" i="118"/>
  <c r="BH53" i="118" s="1"/>
  <c r="BK53" i="118" s="1"/>
  <c r="AL59" i="118"/>
  <c r="AZ59" i="123"/>
  <c r="U59" i="131"/>
  <c r="BG22" i="131" s="1"/>
  <c r="BH22" i="131" s="1"/>
  <c r="BK22" i="131" s="1"/>
  <c r="BG22" i="125"/>
  <c r="BH22" i="125" s="1"/>
  <c r="BK22" i="125" s="1"/>
  <c r="BF34" i="129"/>
  <c r="AG34" i="129" s="1"/>
  <c r="BF11" i="126"/>
  <c r="J11" i="126" s="1"/>
  <c r="BF9" i="128"/>
  <c r="H9" i="128" s="1"/>
  <c r="AH59" i="129"/>
  <c r="BG35" i="129" s="1"/>
  <c r="BH35" i="129" s="1"/>
  <c r="BK35" i="129" s="1"/>
  <c r="BF55" i="130"/>
  <c r="AP59" i="125"/>
  <c r="BF37" i="128"/>
  <c r="AJ37" i="128" s="1"/>
  <c r="Z59" i="127"/>
  <c r="L59" i="126"/>
  <c r="BG46" i="124"/>
  <c r="BH46" i="124" s="1"/>
  <c r="BK46" i="124" s="1"/>
  <c r="BF25" i="130"/>
  <c r="X25" i="130" s="1"/>
  <c r="X59" i="126"/>
  <c r="BG49" i="120"/>
  <c r="BH49" i="120" s="1"/>
  <c r="BK49" i="120" s="1"/>
  <c r="BG10" i="120"/>
  <c r="BH10" i="120" s="1"/>
  <c r="BF34" i="119"/>
  <c r="AG34" i="119" s="1"/>
  <c r="BF34" i="127"/>
  <c r="AG34" i="127" s="1"/>
  <c r="L59" i="120"/>
  <c r="AC59" i="128"/>
  <c r="R28" i="123"/>
  <c r="AL59" i="122"/>
  <c r="AK59" i="121"/>
  <c r="BG35" i="121"/>
  <c r="BH35" i="121" s="1"/>
  <c r="BK35" i="121" s="1"/>
  <c r="BF23" i="120"/>
  <c r="BF40" i="120"/>
  <c r="AM40" i="120" s="1"/>
  <c r="U59" i="120"/>
  <c r="AM59" i="119"/>
  <c r="BG40" i="119" s="1"/>
  <c r="BH40" i="119" s="1"/>
  <c r="BK40" i="119" s="1"/>
  <c r="BF27" i="121"/>
  <c r="Y59" i="124"/>
  <c r="BF22" i="118"/>
  <c r="U22" i="118" s="1"/>
  <c r="AF59" i="117"/>
  <c r="BF49" i="121"/>
  <c r="AV49" i="121" s="1"/>
  <c r="BF46" i="119"/>
  <c r="AS46" i="119" s="1"/>
  <c r="BF41" i="119"/>
  <c r="AN41" i="119" s="1"/>
  <c r="BF33" i="129"/>
  <c r="AF33" i="129" s="1"/>
  <c r="BF48" i="127"/>
  <c r="BF38" i="126"/>
  <c r="AK38" i="126" s="1"/>
  <c r="BF35" i="130"/>
  <c r="AH35" i="130" s="1"/>
  <c r="BF35" i="126"/>
  <c r="AH35" i="126" s="1"/>
  <c r="AX59" i="126"/>
  <c r="BG51" i="126" s="1"/>
  <c r="BH51" i="126" s="1"/>
  <c r="BK51" i="126" s="1"/>
  <c r="BG41" i="127"/>
  <c r="BH41" i="127" s="1"/>
  <c r="BF24" i="129"/>
  <c r="W24" i="129" s="1"/>
  <c r="BF43" i="125"/>
  <c r="AP43" i="125" s="1"/>
  <c r="BF23" i="128"/>
  <c r="V23" i="128" s="1"/>
  <c r="N59" i="129"/>
  <c r="AL59" i="128"/>
  <c r="BG39" i="128" s="1"/>
  <c r="BH39" i="128" s="1"/>
  <c r="BK39" i="128" s="1"/>
  <c r="BF41" i="126"/>
  <c r="AN41" i="126" s="1"/>
  <c r="AS59" i="126"/>
  <c r="BG46" i="126" s="1"/>
  <c r="BH46" i="126" s="1"/>
  <c r="BK46" i="126" s="1"/>
  <c r="BF42" i="127"/>
  <c r="AO42" i="127" s="1"/>
  <c r="BF11" i="125"/>
  <c r="J11" i="125" s="1"/>
  <c r="I59" i="128"/>
  <c r="AU59" i="126"/>
  <c r="M59" i="127"/>
  <c r="BF39" i="119"/>
  <c r="AL39" i="119" s="1"/>
  <c r="AL59" i="130"/>
  <c r="BF36" i="125"/>
  <c r="AI36" i="125" s="1"/>
  <c r="AT59" i="120"/>
  <c r="I59" i="119"/>
  <c r="I59" i="126"/>
  <c r="Z59" i="124"/>
  <c r="BF26" i="131"/>
  <c r="Y26" i="131" s="1"/>
  <c r="AN59" i="126"/>
  <c r="BG41" i="126" s="1"/>
  <c r="BH41" i="126" s="1"/>
  <c r="AP59" i="130"/>
  <c r="BG51" i="127"/>
  <c r="BH51" i="127" s="1"/>
  <c r="BK51" i="127" s="1"/>
  <c r="BF26" i="117"/>
  <c r="BF31" i="120"/>
  <c r="AD31" i="120" s="1"/>
  <c r="V59" i="117"/>
  <c r="AV59" i="122"/>
  <c r="L59" i="124"/>
  <c r="BD59" i="121"/>
  <c r="BF27" i="117"/>
  <c r="Z27" i="117" s="1"/>
  <c r="V59" i="121"/>
  <c r="BG23" i="121" s="1"/>
  <c r="BH23" i="121" s="1"/>
  <c r="AO59" i="123"/>
  <c r="BF48" i="118"/>
  <c r="AU48" i="118" s="1"/>
  <c r="BF31" i="119"/>
  <c r="AD31" i="119" s="1"/>
  <c r="BF18" i="124"/>
  <c r="Q18" i="124" s="1"/>
  <c r="V59" i="122"/>
  <c r="BG23" i="122" s="1"/>
  <c r="BH23" i="122" s="1"/>
  <c r="AF59" i="119"/>
  <c r="BG33" i="119" s="1"/>
  <c r="BH33" i="119" s="1"/>
  <c r="BK33" i="119" s="1"/>
  <c r="AX59" i="117"/>
  <c r="H59" i="120"/>
  <c r="AP59" i="118"/>
  <c r="BF34" i="130"/>
  <c r="AG34" i="130" s="1"/>
  <c r="AU59" i="118"/>
  <c r="AT59" i="122"/>
  <c r="BF38" i="118"/>
  <c r="AK38" i="118" s="1"/>
  <c r="BF22" i="117"/>
  <c r="BF51" i="122"/>
  <c r="AX51" i="122" s="1"/>
  <c r="AJ59" i="117"/>
  <c r="BG37" i="117" s="1"/>
  <c r="BH37" i="117" s="1"/>
  <c r="BK37" i="117" s="1"/>
  <c r="AN59" i="123"/>
  <c r="AN59" i="117"/>
  <c r="BG41" i="117" s="1"/>
  <c r="BH41" i="117" s="1"/>
  <c r="W59" i="118"/>
  <c r="BG24" i="118" s="1"/>
  <c r="BH24" i="118" s="1"/>
  <c r="AI59" i="118"/>
  <c r="AC59" i="121"/>
  <c r="BG38" i="119"/>
  <c r="BH38" i="119" s="1"/>
  <c r="BK38" i="119" s="1"/>
  <c r="BF35" i="117"/>
  <c r="AH35" i="117" s="1"/>
  <c r="AL59" i="117"/>
  <c r="AG59" i="119"/>
  <c r="AH59" i="119"/>
  <c r="AE59" i="120"/>
  <c r="BA59" i="120"/>
  <c r="AD59" i="121"/>
  <c r="AI59" i="117"/>
  <c r="BF51" i="120"/>
  <c r="AX51" i="120" s="1"/>
  <c r="BC59" i="123"/>
  <c r="BG56" i="123" s="1"/>
  <c r="BH56" i="123" s="1"/>
  <c r="AK59" i="123"/>
  <c r="BF47" i="127"/>
  <c r="AT47" i="127" s="1"/>
  <c r="BF34" i="118"/>
  <c r="AG34" i="118" s="1"/>
  <c r="BF48" i="121"/>
  <c r="AU48" i="121" s="1"/>
  <c r="BF56" i="121"/>
  <c r="BC56" i="121" s="1"/>
  <c r="BF45" i="122"/>
  <c r="AR45" i="122" s="1"/>
  <c r="BF10" i="119"/>
  <c r="I10" i="119" s="1"/>
  <c r="BF22" i="120"/>
  <c r="U22" i="120" s="1"/>
  <c r="BB59" i="121"/>
  <c r="BG55" i="121" s="1"/>
  <c r="BH55" i="121" s="1"/>
  <c r="Q59" i="120"/>
  <c r="BF33" i="122"/>
  <c r="AF33" i="122" s="1"/>
  <c r="BF9" i="121"/>
  <c r="H9" i="121" s="1"/>
  <c r="AU59" i="122"/>
  <c r="BF42" i="120"/>
  <c r="AO42" i="120" s="1"/>
  <c r="BF38" i="123"/>
  <c r="AK38" i="123" s="1"/>
  <c r="N59" i="123"/>
  <c r="BG15" i="123" s="1"/>
  <c r="BH15" i="123" s="1"/>
  <c r="BF57" i="122"/>
  <c r="BD57" i="122" s="1"/>
  <c r="BG33" i="120"/>
  <c r="BH33" i="120" s="1"/>
  <c r="BK33" i="120" s="1"/>
  <c r="BF25" i="119"/>
  <c r="X25" i="119" s="1"/>
  <c r="AE59" i="119"/>
  <c r="BF9" i="123"/>
  <c r="AM59" i="120"/>
  <c r="BG40" i="120" s="1"/>
  <c r="BH40" i="120" s="1"/>
  <c r="BK40" i="120" s="1"/>
  <c r="Z59" i="119"/>
  <c r="L59" i="121"/>
  <c r="BF45" i="117"/>
  <c r="AR45" i="117" s="1"/>
  <c r="BF21" i="118"/>
  <c r="T21" i="118" s="1"/>
  <c r="AI59" i="120"/>
  <c r="AP59" i="122"/>
  <c r="BF30" i="124"/>
  <c r="AC30" i="124" s="1"/>
  <c r="BF31" i="121"/>
  <c r="AD31" i="121" s="1"/>
  <c r="AI59" i="121"/>
  <c r="BG36" i="121" s="1"/>
  <c r="BH36" i="121" s="1"/>
  <c r="BK36" i="121" s="1"/>
  <c r="BF57" i="119"/>
  <c r="BD57" i="119" s="1"/>
  <c r="BF39" i="121"/>
  <c r="AL39" i="121" s="1"/>
  <c r="AL59" i="119"/>
  <c r="BG39" i="119" s="1"/>
  <c r="BH39" i="119" s="1"/>
  <c r="BK39" i="119" s="1"/>
  <c r="BF13" i="127"/>
  <c r="L13" i="127" s="1"/>
  <c r="BF22" i="132"/>
  <c r="U22" i="132" s="1"/>
  <c r="BG31" i="132"/>
  <c r="BH31" i="132" s="1"/>
  <c r="BK31" i="132" s="1"/>
  <c r="V59" i="132"/>
  <c r="BG23" i="132" s="1"/>
  <c r="BH23" i="132" s="1"/>
  <c r="AL59" i="132"/>
  <c r="BG39" i="132" s="1"/>
  <c r="BH39" i="132" s="1"/>
  <c r="BK39" i="132" s="1"/>
  <c r="BF56" i="132"/>
  <c r="BC56" i="132" s="1"/>
  <c r="Y59" i="129"/>
  <c r="BG26" i="129" s="1"/>
  <c r="BH26" i="129" s="1"/>
  <c r="BK26" i="129" s="1"/>
  <c r="BG35" i="126"/>
  <c r="BH35" i="126" s="1"/>
  <c r="BK35" i="126" s="1"/>
  <c r="AV59" i="126"/>
  <c r="BF41" i="131"/>
  <c r="AN41" i="131" s="1"/>
  <c r="BF46" i="130"/>
  <c r="AS46" i="130" s="1"/>
  <c r="BF56" i="120"/>
  <c r="BG56" i="120" s="1"/>
  <c r="BH56" i="120" s="1"/>
  <c r="BA59" i="123"/>
  <c r="AC59" i="126"/>
  <c r="BG30" i="126" s="1"/>
  <c r="BH30" i="126" s="1"/>
  <c r="BK30" i="126" s="1"/>
  <c r="BF23" i="123"/>
  <c r="V23" i="123" s="1"/>
  <c r="BF21" i="121"/>
  <c r="BG21" i="121" s="1"/>
  <c r="BH21" i="121" s="1"/>
  <c r="BK21" i="121" s="1"/>
  <c r="BF35" i="122"/>
  <c r="BG35" i="122" s="1"/>
  <c r="BH35" i="122" s="1"/>
  <c r="BK35" i="122" s="1"/>
  <c r="BF43" i="117"/>
  <c r="AP43" i="117" s="1"/>
  <c r="BF21" i="117"/>
  <c r="T21" i="117" s="1"/>
  <c r="AB59" i="117"/>
  <c r="BG14" i="122"/>
  <c r="BH14" i="122" s="1"/>
  <c r="BF21" i="132"/>
  <c r="T21" i="132" s="1"/>
  <c r="AG59" i="131"/>
  <c r="BG34" i="131" s="1"/>
  <c r="BH34" i="131" s="1"/>
  <c r="BK34" i="131" s="1"/>
  <c r="BG40" i="127"/>
  <c r="BH40" i="127" s="1"/>
  <c r="BK40" i="127" s="1"/>
  <c r="BF25" i="126"/>
  <c r="BG25" i="126" s="1"/>
  <c r="BH25" i="126" s="1"/>
  <c r="BK25" i="126" s="1"/>
  <c r="AE59" i="125"/>
  <c r="BF42" i="128"/>
  <c r="AO42" i="128" s="1"/>
  <c r="BF55" i="124"/>
  <c r="BG26" i="121"/>
  <c r="BH26" i="121" s="1"/>
  <c r="BK26" i="121" s="1"/>
  <c r="AL59" i="124"/>
  <c r="BF33" i="121"/>
  <c r="AF33" i="121" s="1"/>
  <c r="BG31" i="128"/>
  <c r="BH31" i="128" s="1"/>
  <c r="BK31" i="128" s="1"/>
  <c r="BF37" i="125"/>
  <c r="BG37" i="125" s="1"/>
  <c r="BH37" i="125" s="1"/>
  <c r="BK37" i="125" s="1"/>
  <c r="AV59" i="130"/>
  <c r="BF10" i="129"/>
  <c r="I10" i="129" s="1"/>
  <c r="BF31" i="125"/>
  <c r="AD31" i="125" s="1"/>
  <c r="L59" i="127"/>
  <c r="BF43" i="130"/>
  <c r="AP43" i="130" s="1"/>
  <c r="W59" i="126"/>
  <c r="BG24" i="126" s="1"/>
  <c r="BH24" i="126" s="1"/>
  <c r="G59" i="126"/>
  <c r="BF35" i="124"/>
  <c r="AH35" i="124" s="1"/>
  <c r="N59" i="125"/>
  <c r="BF32" i="120"/>
  <c r="AE32" i="120" s="1"/>
  <c r="BF42" i="122"/>
  <c r="AO42" i="122" s="1"/>
  <c r="BF24" i="130"/>
  <c r="W24" i="130" s="1"/>
  <c r="BF36" i="129"/>
  <c r="AI36" i="129" s="1"/>
  <c r="BF27" i="125"/>
  <c r="Z27" i="125" s="1"/>
  <c r="BF41" i="125"/>
  <c r="AN41" i="125" s="1"/>
  <c r="BF31" i="126"/>
  <c r="AD31" i="126" s="1"/>
  <c r="BG26" i="122"/>
  <c r="BH26" i="122" s="1"/>
  <c r="BK26" i="122" s="1"/>
  <c r="BF52" i="118"/>
  <c r="AY52" i="118" s="1"/>
  <c r="BF47" i="120"/>
  <c r="AT47" i="120" s="1"/>
  <c r="AC59" i="117"/>
  <c r="AO59" i="117"/>
  <c r="BF32" i="117"/>
  <c r="AE32" i="117" s="1"/>
  <c r="AD59" i="119"/>
  <c r="BF42" i="121"/>
  <c r="AO42" i="121" s="1"/>
  <c r="AT59" i="119"/>
  <c r="BF15" i="131"/>
  <c r="N15" i="131" s="1"/>
  <c r="AQ59" i="123"/>
  <c r="BG44" i="123" s="1"/>
  <c r="BH44" i="123" s="1"/>
  <c r="BK44" i="123" s="1"/>
  <c r="AQ59" i="132"/>
  <c r="BC56" i="120"/>
  <c r="BF16" i="122"/>
  <c r="O16" i="122" s="1"/>
  <c r="T21" i="121"/>
  <c r="BF13" i="130"/>
  <c r="L13" i="130" s="1"/>
  <c r="BF8" i="120"/>
  <c r="G8" i="120" s="1"/>
  <c r="BF17" i="117"/>
  <c r="P17" i="117" s="1"/>
  <c r="W24" i="123"/>
  <c r="BB55" i="130"/>
  <c r="BG55" i="130"/>
  <c r="BH55" i="130" s="1"/>
  <c r="AL39" i="120"/>
  <c r="BF13" i="128"/>
  <c r="L13" i="128" s="1"/>
  <c r="AQ59" i="128"/>
  <c r="BG44" i="128" s="1"/>
  <c r="BH44" i="128" s="1"/>
  <c r="BK44" i="128" s="1"/>
  <c r="U22" i="117"/>
  <c r="BG22" i="117"/>
  <c r="BH22" i="117" s="1"/>
  <c r="BK22" i="117" s="1"/>
  <c r="BF12" i="123"/>
  <c r="K12" i="123" s="1"/>
  <c r="BF18" i="127"/>
  <c r="Q18" i="127" s="1"/>
  <c r="AJ37" i="125"/>
  <c r="BF54" i="121"/>
  <c r="R7" i="122"/>
  <c r="BF7" i="122" s="1"/>
  <c r="F7" i="122" s="1"/>
  <c r="BG41" i="131"/>
  <c r="BH41" i="131" s="1"/>
  <c r="BF49" i="132"/>
  <c r="AV49" i="132" s="1"/>
  <c r="BF45" i="132"/>
  <c r="BF42" i="132"/>
  <c r="AO42" i="132" s="1"/>
  <c r="BF40" i="132"/>
  <c r="AM40" i="132" s="1"/>
  <c r="BG32" i="127"/>
  <c r="BH32" i="127" s="1"/>
  <c r="BK32" i="127" s="1"/>
  <c r="BF47" i="129"/>
  <c r="AT47" i="129" s="1"/>
  <c r="AV59" i="131"/>
  <c r="BG49" i="131" s="1"/>
  <c r="BH49" i="131" s="1"/>
  <c r="BK49" i="131" s="1"/>
  <c r="BF26" i="130"/>
  <c r="Y26" i="130" s="1"/>
  <c r="BG40" i="129"/>
  <c r="BH40" i="129" s="1"/>
  <c r="BK40" i="129" s="1"/>
  <c r="BG32" i="126"/>
  <c r="BH32" i="126" s="1"/>
  <c r="BK32" i="126" s="1"/>
  <c r="G59" i="131"/>
  <c r="AH59" i="131"/>
  <c r="BG35" i="131" s="1"/>
  <c r="BH35" i="131" s="1"/>
  <c r="BK35" i="131" s="1"/>
  <c r="AK59" i="131"/>
  <c r="BF10" i="125"/>
  <c r="I10" i="125" s="1"/>
  <c r="BG30" i="128"/>
  <c r="BH30" i="128" s="1"/>
  <c r="BK30" i="128" s="1"/>
  <c r="BF23" i="127"/>
  <c r="V23" i="127" s="1"/>
  <c r="BF51" i="125"/>
  <c r="AX51" i="125" s="1"/>
  <c r="BF27" i="130"/>
  <c r="Z27" i="130" s="1"/>
  <c r="I59" i="127"/>
  <c r="T59" i="126"/>
  <c r="BG21" i="126" s="1"/>
  <c r="BH21" i="126" s="1"/>
  <c r="BK21" i="126" s="1"/>
  <c r="AF59" i="131"/>
  <c r="BF24" i="128"/>
  <c r="W24" i="128" s="1"/>
  <c r="BF48" i="125"/>
  <c r="AU48" i="125" s="1"/>
  <c r="BF37" i="123"/>
  <c r="AJ37" i="123" s="1"/>
  <c r="BF10" i="124"/>
  <c r="I10" i="124" s="1"/>
  <c r="BG26" i="124"/>
  <c r="BH26" i="124" s="1"/>
  <c r="BK26" i="124" s="1"/>
  <c r="BG14" i="123"/>
  <c r="BH14" i="123" s="1"/>
  <c r="BF31" i="124"/>
  <c r="AD31" i="124" s="1"/>
  <c r="AX59" i="123"/>
  <c r="BG51" i="123" s="1"/>
  <c r="BH51" i="123" s="1"/>
  <c r="BK51" i="123" s="1"/>
  <c r="BF34" i="124"/>
  <c r="AG34" i="124" s="1"/>
  <c r="BF9" i="122"/>
  <c r="H9" i="122" s="1"/>
  <c r="BF30" i="127"/>
  <c r="AC30" i="127" s="1"/>
  <c r="BF55" i="119"/>
  <c r="BB55" i="119" s="1"/>
  <c r="BG34" i="119"/>
  <c r="BH34" i="119" s="1"/>
  <c r="BK34" i="119" s="1"/>
  <c r="BF9" i="117"/>
  <c r="H9" i="117" s="1"/>
  <c r="AS59" i="119"/>
  <c r="AC59" i="124"/>
  <c r="BG30" i="124" s="1"/>
  <c r="BH30" i="124" s="1"/>
  <c r="BK30" i="124" s="1"/>
  <c r="BF50" i="117"/>
  <c r="AW50" i="117" s="1"/>
  <c r="BF34" i="117"/>
  <c r="AG34" i="117" s="1"/>
  <c r="U59" i="123"/>
  <c r="BF53" i="117"/>
  <c r="AZ53" i="117" s="1"/>
  <c r="BF43" i="122"/>
  <c r="AP43" i="122" s="1"/>
  <c r="BF36" i="120"/>
  <c r="AI36" i="120" s="1"/>
  <c r="AY59" i="124"/>
  <c r="BG52" i="124" s="1"/>
  <c r="BH52" i="124" s="1"/>
  <c r="BK52" i="124" s="1"/>
  <c r="AK59" i="118"/>
  <c r="BD59" i="122"/>
  <c r="BF35" i="119"/>
  <c r="AH35" i="119" s="1"/>
  <c r="BF20" i="132"/>
  <c r="S20" i="132" s="1"/>
  <c r="BF29" i="121"/>
  <c r="AB29" i="121" s="1"/>
  <c r="BF54" i="120"/>
  <c r="BA54" i="120" s="1"/>
  <c r="W59" i="130"/>
  <c r="BF34" i="132"/>
  <c r="AG34" i="132" s="1"/>
  <c r="Q59" i="132"/>
  <c r="BF22" i="128"/>
  <c r="U22" i="128" s="1"/>
  <c r="BG39" i="129"/>
  <c r="BH39" i="129" s="1"/>
  <c r="BK39" i="129" s="1"/>
  <c r="BG51" i="125"/>
  <c r="BH51" i="125" s="1"/>
  <c r="BK51" i="125" s="1"/>
  <c r="BF33" i="128"/>
  <c r="AF33" i="128" s="1"/>
  <c r="BG36" i="129"/>
  <c r="BH36" i="129" s="1"/>
  <c r="BK36" i="129" s="1"/>
  <c r="BF45" i="127"/>
  <c r="I59" i="131"/>
  <c r="BG10" i="131" s="1"/>
  <c r="BH10" i="131" s="1"/>
  <c r="AW59" i="129"/>
  <c r="BG50" i="129" s="1"/>
  <c r="BH50" i="129" s="1"/>
  <c r="BG14" i="124"/>
  <c r="BH14" i="124" s="1"/>
  <c r="T59" i="129"/>
  <c r="BG51" i="121"/>
  <c r="BH51" i="121" s="1"/>
  <c r="BK51" i="121" s="1"/>
  <c r="AJ59" i="128"/>
  <c r="BF57" i="126"/>
  <c r="BD57" i="126" s="1"/>
  <c r="AH59" i="127"/>
  <c r="BG35" i="127" s="1"/>
  <c r="BH35" i="127" s="1"/>
  <c r="BK35" i="127" s="1"/>
  <c r="BF10" i="127"/>
  <c r="I10" i="127" s="1"/>
  <c r="BF30" i="129"/>
  <c r="AC30" i="129" s="1"/>
  <c r="AF59" i="129"/>
  <c r="BG33" i="129" s="1"/>
  <c r="BH33" i="129" s="1"/>
  <c r="BK33" i="129" s="1"/>
  <c r="BF37" i="127"/>
  <c r="BF30" i="130"/>
  <c r="AC30" i="130" s="1"/>
  <c r="BF25" i="128"/>
  <c r="X25" i="128" s="1"/>
  <c r="BG9" i="122"/>
  <c r="BH9" i="122" s="1"/>
  <c r="BF21" i="125"/>
  <c r="T21" i="125" s="1"/>
  <c r="AE59" i="124"/>
  <c r="BF39" i="125"/>
  <c r="BB59" i="122"/>
  <c r="BG42" i="120"/>
  <c r="BH42" i="120" s="1"/>
  <c r="BF53" i="123"/>
  <c r="M59" i="121"/>
  <c r="BF49" i="119"/>
  <c r="BF38" i="124"/>
  <c r="AK38" i="124" s="1"/>
  <c r="BF27" i="119"/>
  <c r="AH59" i="124"/>
  <c r="BG55" i="119"/>
  <c r="BH55" i="119" s="1"/>
  <c r="BF50" i="121"/>
  <c r="AW50" i="121" s="1"/>
  <c r="BG40" i="118"/>
  <c r="BH40" i="118" s="1"/>
  <c r="BK40" i="118" s="1"/>
  <c r="AM59" i="123"/>
  <c r="BF23" i="124"/>
  <c r="V23" i="124" s="1"/>
  <c r="BF24" i="120"/>
  <c r="W24" i="120" s="1"/>
  <c r="BF43" i="119"/>
  <c r="BF42" i="123"/>
  <c r="AO42" i="123" s="1"/>
  <c r="BF9" i="118"/>
  <c r="H9" i="118" s="1"/>
  <c r="AN59" i="122"/>
  <c r="BG41" i="122" s="1"/>
  <c r="BH41" i="122" s="1"/>
  <c r="W59" i="120"/>
  <c r="BF46" i="122"/>
  <c r="AR59" i="124"/>
  <c r="BG45" i="124" s="1"/>
  <c r="BH45" i="124" s="1"/>
  <c r="BK45" i="124" s="1"/>
  <c r="BF25" i="118"/>
  <c r="X25" i="118" s="1"/>
  <c r="BF36" i="118"/>
  <c r="AI36" i="118" s="1"/>
  <c r="M59" i="120"/>
  <c r="BG14" i="120" s="1"/>
  <c r="BH14" i="120" s="1"/>
  <c r="BF46" i="121"/>
  <c r="AS46" i="121" s="1"/>
  <c r="BF37" i="126"/>
  <c r="AJ37" i="126" s="1"/>
  <c r="AZ59" i="124"/>
  <c r="BG53" i="124" s="1"/>
  <c r="BH53" i="124" s="1"/>
  <c r="BK53" i="124" s="1"/>
  <c r="BF55" i="118"/>
  <c r="BB55" i="118" s="1"/>
  <c r="BF26" i="119"/>
  <c r="Y26" i="119" s="1"/>
  <c r="H59" i="119"/>
  <c r="R7" i="119"/>
  <c r="BF7" i="119" s="1"/>
  <c r="F7" i="119" s="1"/>
  <c r="AP59" i="132"/>
  <c r="AH59" i="132"/>
  <c r="BG35" i="132" s="1"/>
  <c r="BH35" i="132" s="1"/>
  <c r="BK35" i="132" s="1"/>
  <c r="BF33" i="132"/>
  <c r="BF49" i="130"/>
  <c r="AV49" i="130" s="1"/>
  <c r="AT59" i="131"/>
  <c r="BG47" i="131" s="1"/>
  <c r="BH47" i="131" s="1"/>
  <c r="BF15" i="127"/>
  <c r="N15" i="127" s="1"/>
  <c r="AM59" i="132"/>
  <c r="BG40" i="132" s="1"/>
  <c r="BH40" i="132" s="1"/>
  <c r="BK40" i="132" s="1"/>
  <c r="BF44" i="125"/>
  <c r="AQ44" i="125" s="1"/>
  <c r="AI59" i="127"/>
  <c r="BF21" i="129"/>
  <c r="T21" i="129" s="1"/>
  <c r="W59" i="129"/>
  <c r="BG24" i="129" s="1"/>
  <c r="BH24" i="129" s="1"/>
  <c r="BG50" i="126"/>
  <c r="BH50" i="126" s="1"/>
  <c r="BF31" i="131"/>
  <c r="AD31" i="131" s="1"/>
  <c r="BF51" i="129"/>
  <c r="AX51" i="129" s="1"/>
  <c r="BF23" i="126"/>
  <c r="BF49" i="129"/>
  <c r="BG27" i="122"/>
  <c r="BH27" i="122" s="1"/>
  <c r="BK27" i="122" s="1"/>
  <c r="BF32" i="124"/>
  <c r="AE32" i="124" s="1"/>
  <c r="AG59" i="128"/>
  <c r="BG34" i="128" s="1"/>
  <c r="BH34" i="128" s="1"/>
  <c r="BK34" i="128" s="1"/>
  <c r="BF21" i="127"/>
  <c r="T21" i="127" s="1"/>
  <c r="BF9" i="129"/>
  <c r="H9" i="129" s="1"/>
  <c r="BC59" i="124"/>
  <c r="BF55" i="122"/>
  <c r="BB55" i="122" s="1"/>
  <c r="AD59" i="122"/>
  <c r="BF37" i="124"/>
  <c r="AJ37" i="124" s="1"/>
  <c r="BF16" i="130"/>
  <c r="O16" i="130" s="1"/>
  <c r="BF41" i="123"/>
  <c r="AN41" i="123" s="1"/>
  <c r="T59" i="117"/>
  <c r="BG21" i="117" s="1"/>
  <c r="BH21" i="117" s="1"/>
  <c r="BK21" i="117" s="1"/>
  <c r="BG47" i="123"/>
  <c r="BH47" i="123" s="1"/>
  <c r="X59" i="117"/>
  <c r="BG49" i="127"/>
  <c r="BH49" i="127" s="1"/>
  <c r="BK49" i="127" s="1"/>
  <c r="AY59" i="121"/>
  <c r="BF52" i="122"/>
  <c r="AY52" i="122" s="1"/>
  <c r="BF43" i="118"/>
  <c r="BF51" i="124"/>
  <c r="AX51" i="124" s="1"/>
  <c r="BD59" i="119"/>
  <c r="AW59" i="123"/>
  <c r="BG50" i="123" s="1"/>
  <c r="BH50" i="123" s="1"/>
  <c r="BF25" i="121"/>
  <c r="X25" i="121" s="1"/>
  <c r="BF35" i="120"/>
  <c r="AH35" i="120" s="1"/>
  <c r="AY59" i="122"/>
  <c r="AI59" i="119"/>
  <c r="S59" i="119"/>
  <c r="R7" i="118"/>
  <c r="BG21" i="132"/>
  <c r="BH21" i="132" s="1"/>
  <c r="BK21" i="132" s="1"/>
  <c r="N59" i="131"/>
  <c r="AW59" i="132"/>
  <c r="BG52" i="128"/>
  <c r="BH52" i="128" s="1"/>
  <c r="BK52" i="128" s="1"/>
  <c r="BF24" i="132"/>
  <c r="W24" i="132" s="1"/>
  <c r="BG45" i="131"/>
  <c r="BH45" i="131" s="1"/>
  <c r="BK45" i="131" s="1"/>
  <c r="BF21" i="130"/>
  <c r="T21" i="130" s="1"/>
  <c r="BG46" i="132"/>
  <c r="BH46" i="132" s="1"/>
  <c r="BK46" i="132" s="1"/>
  <c r="AC59" i="132"/>
  <c r="BG30" i="132" s="1"/>
  <c r="BH30" i="132" s="1"/>
  <c r="BK30" i="132" s="1"/>
  <c r="BF50" i="132"/>
  <c r="AW50" i="132" s="1"/>
  <c r="AJ59" i="130"/>
  <c r="BG37" i="130" s="1"/>
  <c r="BH37" i="130" s="1"/>
  <c r="BK37" i="130" s="1"/>
  <c r="BF49" i="128"/>
  <c r="AV49" i="128" s="1"/>
  <c r="BC59" i="129"/>
  <c r="Z59" i="130"/>
  <c r="BG43" i="129"/>
  <c r="BH43" i="129" s="1"/>
  <c r="BK43" i="129" s="1"/>
  <c r="AY59" i="127"/>
  <c r="BG52" i="127" s="1"/>
  <c r="BH52" i="127" s="1"/>
  <c r="BK52" i="127" s="1"/>
  <c r="AD59" i="126"/>
  <c r="BG31" i="126" s="1"/>
  <c r="BH31" i="126" s="1"/>
  <c r="BK31" i="126" s="1"/>
  <c r="AR59" i="126"/>
  <c r="BG45" i="126" s="1"/>
  <c r="BH45" i="126" s="1"/>
  <c r="BK45" i="126" s="1"/>
  <c r="H59" i="130"/>
  <c r="BF55" i="125"/>
  <c r="N59" i="126"/>
  <c r="BF39" i="126"/>
  <c r="AD59" i="127"/>
  <c r="BG31" i="127" s="1"/>
  <c r="BH31" i="127" s="1"/>
  <c r="BK31" i="127" s="1"/>
  <c r="U59" i="127"/>
  <c r="BG22" i="127" s="1"/>
  <c r="BH22" i="127" s="1"/>
  <c r="BK22" i="127" s="1"/>
  <c r="AR59" i="128"/>
  <c r="BG45" i="128" s="1"/>
  <c r="BH45" i="128" s="1"/>
  <c r="BK45" i="128" s="1"/>
  <c r="BF25" i="125"/>
  <c r="BF51" i="119"/>
  <c r="AX51" i="119" s="1"/>
  <c r="BG52" i="118"/>
  <c r="BH52" i="118" s="1"/>
  <c r="BK52" i="118" s="1"/>
  <c r="AW59" i="127"/>
  <c r="BG50" i="127" s="1"/>
  <c r="BH50" i="127" s="1"/>
  <c r="BF55" i="129"/>
  <c r="BB55" i="129" s="1"/>
  <c r="Q59" i="117"/>
  <c r="BF57" i="124"/>
  <c r="BG43" i="123"/>
  <c r="BH43" i="123" s="1"/>
  <c r="BK43" i="123" s="1"/>
  <c r="BF50" i="118"/>
  <c r="AW50" i="118" s="1"/>
  <c r="BF47" i="125"/>
  <c r="AT47" i="125" s="1"/>
  <c r="AN59" i="121"/>
  <c r="BG41" i="121" s="1"/>
  <c r="BH41" i="121" s="1"/>
  <c r="BF31" i="122"/>
  <c r="AD31" i="122" s="1"/>
  <c r="BF27" i="124"/>
  <c r="Z27" i="124" s="1"/>
  <c r="L59" i="119"/>
  <c r="BG13" i="119" s="1"/>
  <c r="BH13" i="119" s="1"/>
  <c r="H59" i="117"/>
  <c r="BG9" i="117" s="1"/>
  <c r="BH9" i="117" s="1"/>
  <c r="BF41" i="120"/>
  <c r="AN41" i="120" s="1"/>
  <c r="BF46" i="117"/>
  <c r="AS46" i="117" s="1"/>
  <c r="BF24" i="119"/>
  <c r="W24" i="119" s="1"/>
  <c r="BD59" i="120"/>
  <c r="AO59" i="121"/>
  <c r="BG42" i="121" s="1"/>
  <c r="BH42" i="121" s="1"/>
  <c r="BF43" i="126"/>
  <c r="AP43" i="126" s="1"/>
  <c r="BF36" i="119"/>
  <c r="AI36" i="119" s="1"/>
  <c r="AE59" i="117"/>
  <c r="BG32" i="117" s="1"/>
  <c r="BH32" i="117" s="1"/>
  <c r="BK32" i="117" s="1"/>
  <c r="BF25" i="117"/>
  <c r="X25" i="117" s="1"/>
  <c r="U59" i="122"/>
  <c r="AL59" i="121"/>
  <c r="BG39" i="121" s="1"/>
  <c r="BH39" i="121" s="1"/>
  <c r="BK39" i="121" s="1"/>
  <c r="BD59" i="118"/>
  <c r="BF56" i="124"/>
  <c r="BC56" i="124" s="1"/>
  <c r="BF26" i="123"/>
  <c r="BG18" i="122"/>
  <c r="BH18" i="122" s="1"/>
  <c r="O59" i="130"/>
  <c r="BG20" i="132"/>
  <c r="BH20" i="132" s="1"/>
  <c r="BK20" i="132" s="1"/>
  <c r="BF25" i="132"/>
  <c r="X25" i="132" s="1"/>
  <c r="BF27" i="132"/>
  <c r="AO59" i="125"/>
  <c r="BF23" i="130"/>
  <c r="BG39" i="127"/>
  <c r="BH39" i="127" s="1"/>
  <c r="BK39" i="127" s="1"/>
  <c r="AH59" i="128"/>
  <c r="BG35" i="128" s="1"/>
  <c r="BH35" i="128" s="1"/>
  <c r="BK35" i="128" s="1"/>
  <c r="AI59" i="132"/>
  <c r="BG36" i="132" s="1"/>
  <c r="BH36" i="132" s="1"/>
  <c r="BK36" i="132" s="1"/>
  <c r="BG51" i="129"/>
  <c r="BH51" i="129" s="1"/>
  <c r="BK51" i="129" s="1"/>
  <c r="H59" i="128"/>
  <c r="AV59" i="125"/>
  <c r="BF56" i="129"/>
  <c r="BC56" i="129" s="1"/>
  <c r="U59" i="129"/>
  <c r="BG22" i="129" s="1"/>
  <c r="BH22" i="129" s="1"/>
  <c r="BK22" i="129" s="1"/>
  <c r="AE59" i="128"/>
  <c r="BD59" i="130"/>
  <c r="BG57" i="130" s="1"/>
  <c r="BH57" i="130" s="1"/>
  <c r="BK57" i="130" s="1"/>
  <c r="BF53" i="130"/>
  <c r="AZ53" i="130" s="1"/>
  <c r="BD59" i="128"/>
  <c r="Y59" i="131"/>
  <c r="BG26" i="131" s="1"/>
  <c r="BH26" i="131" s="1"/>
  <c r="BK26" i="131" s="1"/>
  <c r="BC59" i="128"/>
  <c r="BF52" i="125"/>
  <c r="AY52" i="125" s="1"/>
  <c r="BF52" i="130"/>
  <c r="AP59" i="126"/>
  <c r="BG43" i="126" s="1"/>
  <c r="BH43" i="126" s="1"/>
  <c r="BK43" i="126" s="1"/>
  <c r="AU59" i="129"/>
  <c r="BG48" i="129" s="1"/>
  <c r="BH48" i="129" s="1"/>
  <c r="BK48" i="129" s="1"/>
  <c r="BA59" i="130"/>
  <c r="BF36" i="127"/>
  <c r="AI36" i="127" s="1"/>
  <c r="AZ59" i="126"/>
  <c r="BG53" i="126" s="1"/>
  <c r="BH53" i="126" s="1"/>
  <c r="BK53" i="126" s="1"/>
  <c r="BG38" i="117"/>
  <c r="BH38" i="117" s="1"/>
  <c r="BK38" i="117" s="1"/>
  <c r="BG34" i="117"/>
  <c r="BH34" i="117" s="1"/>
  <c r="BK34" i="117" s="1"/>
  <c r="BF11" i="124"/>
  <c r="J11" i="124" s="1"/>
  <c r="AF59" i="121"/>
  <c r="BF37" i="121"/>
  <c r="AJ37" i="121" s="1"/>
  <c r="BF57" i="123"/>
  <c r="BD57" i="123" s="1"/>
  <c r="BF34" i="122"/>
  <c r="AG34" i="122" s="1"/>
  <c r="BF46" i="123"/>
  <c r="AS46" i="123" s="1"/>
  <c r="AF59" i="122"/>
  <c r="BG33" i="122" s="1"/>
  <c r="BH33" i="122" s="1"/>
  <c r="BK33" i="122" s="1"/>
  <c r="BF42" i="129"/>
  <c r="AO42" i="129" s="1"/>
  <c r="AN59" i="120"/>
  <c r="BG41" i="120" s="1"/>
  <c r="BH41" i="120" s="1"/>
  <c r="AV59" i="123"/>
  <c r="BG49" i="123" s="1"/>
  <c r="BH49" i="123" s="1"/>
  <c r="BK49" i="123" s="1"/>
  <c r="AF59" i="124"/>
  <c r="BG33" i="124" s="1"/>
  <c r="BH33" i="124" s="1"/>
  <c r="BK33" i="124" s="1"/>
  <c r="U59" i="121"/>
  <c r="BG22" i="121" s="1"/>
  <c r="BH22" i="121" s="1"/>
  <c r="BK22" i="121" s="1"/>
  <c r="I59" i="124"/>
  <c r="BG10" i="124" s="1"/>
  <c r="BH10" i="124" s="1"/>
  <c r="AC59" i="122"/>
  <c r="AG59" i="121"/>
  <c r="BG34" i="121" s="1"/>
  <c r="BH34" i="121" s="1"/>
  <c r="BK34" i="121" s="1"/>
  <c r="W59" i="117"/>
  <c r="BG24" i="117" s="1"/>
  <c r="BH24" i="117" s="1"/>
  <c r="AU59" i="124"/>
  <c r="BG48" i="124" s="1"/>
  <c r="BH48" i="124" s="1"/>
  <c r="BK48" i="124" s="1"/>
  <c r="BF47" i="118"/>
  <c r="AT47" i="118" s="1"/>
  <c r="AW59" i="118"/>
  <c r="BG50" i="118" s="1"/>
  <c r="BH50" i="118" s="1"/>
  <c r="BF26" i="118"/>
  <c r="Y26" i="118" s="1"/>
  <c r="AB59" i="124"/>
  <c r="W59" i="131"/>
  <c r="BB59" i="132"/>
  <c r="BF24" i="131"/>
  <c r="W24" i="131" s="1"/>
  <c r="BF47" i="132"/>
  <c r="AT47" i="132" s="1"/>
  <c r="BF56" i="130"/>
  <c r="BC56" i="130" s="1"/>
  <c r="T59" i="130"/>
  <c r="BC59" i="130"/>
  <c r="BF9" i="130"/>
  <c r="H9" i="130" s="1"/>
  <c r="AO59" i="130"/>
  <c r="BG42" i="130" s="1"/>
  <c r="BH42" i="130" s="1"/>
  <c r="BF34" i="126"/>
  <c r="AT59" i="129"/>
  <c r="BG47" i="129" s="1"/>
  <c r="BH47" i="129" s="1"/>
  <c r="BF47" i="128"/>
  <c r="AT47" i="128" s="1"/>
  <c r="Q59" i="128"/>
  <c r="Z59" i="125"/>
  <c r="BG27" i="125" s="1"/>
  <c r="BH27" i="125" s="1"/>
  <c r="BK27" i="125" s="1"/>
  <c r="BF52" i="126"/>
  <c r="AY52" i="126" s="1"/>
  <c r="BF38" i="131"/>
  <c r="AK38" i="131" s="1"/>
  <c r="BG56" i="119"/>
  <c r="BH56" i="119" s="1"/>
  <c r="AI59" i="128"/>
  <c r="Q59" i="125"/>
  <c r="BG30" i="123"/>
  <c r="BH30" i="123" s="1"/>
  <c r="BK30" i="123" s="1"/>
  <c r="BF37" i="120"/>
  <c r="AJ37" i="120" s="1"/>
  <c r="BF35" i="125"/>
  <c r="AH35" i="125" s="1"/>
  <c r="BF37" i="118"/>
  <c r="AJ37" i="118" s="1"/>
  <c r="AW59" i="119"/>
  <c r="BG50" i="119" s="1"/>
  <c r="BH50" i="119" s="1"/>
  <c r="BF27" i="127"/>
  <c r="BF22" i="123"/>
  <c r="U22" i="123" s="1"/>
  <c r="BF13" i="122"/>
  <c r="L13" i="122" s="1"/>
  <c r="BF45" i="118"/>
  <c r="BF57" i="118"/>
  <c r="BD57" i="118" s="1"/>
  <c r="AJ59" i="122"/>
  <c r="BG37" i="122" s="1"/>
  <c r="BH37" i="122" s="1"/>
  <c r="BK37" i="122" s="1"/>
  <c r="BF45" i="123"/>
  <c r="BF39" i="124"/>
  <c r="AL39" i="124" s="1"/>
  <c r="BF44" i="120"/>
  <c r="AQ44" i="120" s="1"/>
  <c r="AJ59" i="121"/>
  <c r="BG37" i="121" s="1"/>
  <c r="BH37" i="121" s="1"/>
  <c r="BK37" i="121" s="1"/>
  <c r="AD59" i="120"/>
  <c r="BG31" i="120" s="1"/>
  <c r="BH31" i="120" s="1"/>
  <c r="BK31" i="120" s="1"/>
  <c r="AH59" i="117"/>
  <c r="BG35" i="117" s="1"/>
  <c r="BH35" i="117" s="1"/>
  <c r="BK35" i="117" s="1"/>
  <c r="X59" i="132"/>
  <c r="BG25" i="132" s="1"/>
  <c r="BH25" i="132" s="1"/>
  <c r="BK25" i="132" s="1"/>
  <c r="BF52" i="131"/>
  <c r="N59" i="132"/>
  <c r="V59" i="125"/>
  <c r="AF59" i="130"/>
  <c r="AS59" i="130"/>
  <c r="BF9" i="125"/>
  <c r="H9" i="125" s="1"/>
  <c r="BF36" i="128"/>
  <c r="AI36" i="128" s="1"/>
  <c r="AJ59" i="129"/>
  <c r="BG37" i="129" s="1"/>
  <c r="BH37" i="129" s="1"/>
  <c r="BK37" i="129" s="1"/>
  <c r="AU59" i="125"/>
  <c r="AW59" i="125"/>
  <c r="BG50" i="125" s="1"/>
  <c r="BH50" i="125" s="1"/>
  <c r="U59" i="128"/>
  <c r="BF24" i="127"/>
  <c r="W24" i="127" s="1"/>
  <c r="V59" i="131"/>
  <c r="BG23" i="131" s="1"/>
  <c r="BH23" i="131" s="1"/>
  <c r="BF48" i="126"/>
  <c r="AU48" i="126" s="1"/>
  <c r="BF46" i="131"/>
  <c r="AS46" i="131" s="1"/>
  <c r="BF48" i="122"/>
  <c r="AI59" i="122"/>
  <c r="BG36" i="122" s="1"/>
  <c r="BH36" i="122" s="1"/>
  <c r="BK36" i="122" s="1"/>
  <c r="AJ59" i="126"/>
  <c r="BG37" i="126" s="1"/>
  <c r="BH37" i="126" s="1"/>
  <c r="BK37" i="126" s="1"/>
  <c r="BF36" i="117"/>
  <c r="AI36" i="117" s="1"/>
  <c r="BF44" i="118"/>
  <c r="AQ44" i="118" s="1"/>
  <c r="AD59" i="124"/>
  <c r="BG31" i="124" s="1"/>
  <c r="BH31" i="124" s="1"/>
  <c r="BK31" i="124" s="1"/>
  <c r="BF47" i="122"/>
  <c r="AT47" i="122" s="1"/>
  <c r="BG25" i="122"/>
  <c r="BH25" i="122" s="1"/>
  <c r="BK25" i="122" s="1"/>
  <c r="BF42" i="119"/>
  <c r="AO42" i="119" s="1"/>
  <c r="BF47" i="119"/>
  <c r="AT47" i="119" s="1"/>
  <c r="BF40" i="123"/>
  <c r="AM40" i="123" s="1"/>
  <c r="AV59" i="121"/>
  <c r="BF32" i="121"/>
  <c r="AE32" i="121" s="1"/>
  <c r="BF9" i="120"/>
  <c r="H9" i="120" s="1"/>
  <c r="AX59" i="120"/>
  <c r="BG51" i="120" s="1"/>
  <c r="BH51" i="120" s="1"/>
  <c r="BK51" i="120" s="1"/>
  <c r="V59" i="119"/>
  <c r="BG23" i="119" s="1"/>
  <c r="BH23" i="119" s="1"/>
  <c r="BF44" i="117"/>
  <c r="AQ44" i="117" s="1"/>
  <c r="Q59" i="119"/>
  <c r="S59" i="122"/>
  <c r="AO59" i="132"/>
  <c r="BA59" i="132"/>
  <c r="BG30" i="129"/>
  <c r="BH30" i="129" s="1"/>
  <c r="BK30" i="129" s="1"/>
  <c r="BF41" i="132"/>
  <c r="AN41" i="132" s="1"/>
  <c r="BF51" i="131"/>
  <c r="AX51" i="131" s="1"/>
  <c r="I59" i="132"/>
  <c r="BG10" i="132" s="1"/>
  <c r="BH10" i="132" s="1"/>
  <c r="AP59" i="128"/>
  <c r="BC59" i="132"/>
  <c r="BG56" i="132" s="1"/>
  <c r="BH56" i="132" s="1"/>
  <c r="AK59" i="127"/>
  <c r="BG30" i="127"/>
  <c r="BH30" i="127" s="1"/>
  <c r="BK30" i="127" s="1"/>
  <c r="BC59" i="131"/>
  <c r="BG45" i="129"/>
  <c r="BH45" i="129" s="1"/>
  <c r="BK45" i="129" s="1"/>
  <c r="BG24" i="119"/>
  <c r="BH24" i="119" s="1"/>
  <c r="BD59" i="129"/>
  <c r="BG57" i="129" s="1"/>
  <c r="BH57" i="129" s="1"/>
  <c r="BK57" i="129" s="1"/>
  <c r="AP59" i="127"/>
  <c r="BG43" i="127" s="1"/>
  <c r="BH43" i="127" s="1"/>
  <c r="BK43" i="127" s="1"/>
  <c r="BF10" i="126"/>
  <c r="I10" i="126" s="1"/>
  <c r="BC59" i="127"/>
  <c r="BG56" i="127" s="1"/>
  <c r="BH56" i="127" s="1"/>
  <c r="BF38" i="127"/>
  <c r="AK38" i="127" s="1"/>
  <c r="AN59" i="125"/>
  <c r="BF10" i="130"/>
  <c r="AK59" i="126"/>
  <c r="BD59" i="125"/>
  <c r="BG57" i="125" s="1"/>
  <c r="BH57" i="125" s="1"/>
  <c r="BK57" i="125" s="1"/>
  <c r="AG59" i="129"/>
  <c r="BG34" i="129" s="1"/>
  <c r="BH34" i="129" s="1"/>
  <c r="BK34" i="129" s="1"/>
  <c r="BF42" i="125"/>
  <c r="AO42" i="125" s="1"/>
  <c r="BG38" i="121"/>
  <c r="BH38" i="121" s="1"/>
  <c r="BK38" i="121" s="1"/>
  <c r="BF47" i="130"/>
  <c r="AT47" i="130" s="1"/>
  <c r="BC59" i="121"/>
  <c r="W59" i="125"/>
  <c r="BF9" i="119"/>
  <c r="H9" i="119" s="1"/>
  <c r="BF39" i="117"/>
  <c r="BF38" i="125"/>
  <c r="BF27" i="126"/>
  <c r="Z27" i="126" s="1"/>
  <c r="BC59" i="118"/>
  <c r="BG56" i="118" s="1"/>
  <c r="BH56" i="118" s="1"/>
  <c r="BF38" i="122"/>
  <c r="AK38" i="122" s="1"/>
  <c r="BG31" i="125"/>
  <c r="BH31" i="125" s="1"/>
  <c r="BK31" i="125" s="1"/>
  <c r="BF44" i="129"/>
  <c r="AQ44" i="129" s="1"/>
  <c r="BF42" i="117"/>
  <c r="AO42" i="117" s="1"/>
  <c r="BF31" i="130"/>
  <c r="AD31" i="130" s="1"/>
  <c r="BF50" i="128"/>
  <c r="AW50" i="128" s="1"/>
  <c r="BF32" i="123"/>
  <c r="AE32" i="123" s="1"/>
  <c r="H59" i="118"/>
  <c r="BF41" i="124"/>
  <c r="AN41" i="124" s="1"/>
  <c r="BB59" i="120"/>
  <c r="BB59" i="117"/>
  <c r="BF24" i="122"/>
  <c r="BF43" i="120"/>
  <c r="BF30" i="121"/>
  <c r="AH59" i="120"/>
  <c r="BF43" i="124"/>
  <c r="AP43" i="124" s="1"/>
  <c r="T59" i="120"/>
  <c r="BG21" i="120" s="1"/>
  <c r="BH21" i="120" s="1"/>
  <c r="BK21" i="120" s="1"/>
  <c r="BF45" i="119"/>
  <c r="BF52" i="121"/>
  <c r="AY52" i="121" s="1"/>
  <c r="AM59" i="117"/>
  <c r="BG40" i="117" s="1"/>
  <c r="BH40" i="117" s="1"/>
  <c r="BK40" i="117" s="1"/>
  <c r="AW59" i="121"/>
  <c r="X59" i="121"/>
  <c r="BG25" i="121" s="1"/>
  <c r="BH25" i="121" s="1"/>
  <c r="BK25" i="121" s="1"/>
  <c r="BG31" i="123"/>
  <c r="BH31" i="123" s="1"/>
  <c r="BK31" i="123" s="1"/>
  <c r="BF47" i="124"/>
  <c r="AT47" i="124" s="1"/>
  <c r="BF51" i="117"/>
  <c r="AX51" i="117" s="1"/>
  <c r="AR59" i="121"/>
  <c r="BG45" i="121" s="1"/>
  <c r="BH45" i="121" s="1"/>
  <c r="BK45" i="121" s="1"/>
  <c r="BF30" i="119"/>
  <c r="AC30" i="119" s="1"/>
  <c r="D5" i="123"/>
  <c r="D5" i="125"/>
  <c r="D5" i="128"/>
  <c r="D5" i="119"/>
  <c r="D5" i="129"/>
  <c r="D5" i="124"/>
  <c r="D5" i="117"/>
  <c r="BA54" i="132"/>
  <c r="BG54" i="132"/>
  <c r="BH54" i="132" s="1"/>
  <c r="BK54" i="132" s="1"/>
  <c r="BA54" i="121"/>
  <c r="BG54" i="121"/>
  <c r="BH54" i="121" s="1"/>
  <c r="BK54" i="121" s="1"/>
  <c r="BA54" i="126"/>
  <c r="BG54" i="129"/>
  <c r="BH54" i="129" s="1"/>
  <c r="BK54" i="129" s="1"/>
  <c r="BA54" i="131"/>
  <c r="BG54" i="131"/>
  <c r="BH54" i="131" s="1"/>
  <c r="BK54" i="131" s="1"/>
  <c r="BA54" i="128"/>
  <c r="D5" i="132"/>
  <c r="R7" i="124"/>
  <c r="R7" i="120"/>
  <c r="AA6" i="132"/>
  <c r="BF20" i="117"/>
  <c r="S20" i="117" s="1"/>
  <c r="BF29" i="124"/>
  <c r="AB29" i="124" s="1"/>
  <c r="BG18" i="128"/>
  <c r="BH18" i="128" s="1"/>
  <c r="BG18" i="132"/>
  <c r="BH18" i="132" s="1"/>
  <c r="E19" i="131"/>
  <c r="BF19" i="131" s="1"/>
  <c r="R19" i="131" s="1"/>
  <c r="R7" i="127"/>
  <c r="BF58" i="126"/>
  <c r="BE58" i="126" s="1"/>
  <c r="D5" i="127"/>
  <c r="BF20" i="121"/>
  <c r="S20" i="121" s="1"/>
  <c r="BG15" i="131"/>
  <c r="BH15" i="131" s="1"/>
  <c r="BG15" i="124"/>
  <c r="BH15" i="124" s="1"/>
  <c r="BF20" i="119"/>
  <c r="S20" i="119" s="1"/>
  <c r="BG15" i="122"/>
  <c r="BH15" i="122" s="1"/>
  <c r="F19" i="131"/>
  <c r="R6" i="119"/>
  <c r="BF6" i="119" s="1"/>
  <c r="E6" i="119" s="1"/>
  <c r="BG18" i="127"/>
  <c r="BH18" i="127" s="1"/>
  <c r="BF20" i="128"/>
  <c r="S20" i="128" s="1"/>
  <c r="BG14" i="129"/>
  <c r="BH14" i="129" s="1"/>
  <c r="BG29" i="124"/>
  <c r="BH29" i="124" s="1"/>
  <c r="BK29" i="124" s="1"/>
  <c r="BE59" i="119"/>
  <c r="BG10" i="123"/>
  <c r="BH10" i="123" s="1"/>
  <c r="BE59" i="132"/>
  <c r="BF58" i="130"/>
  <c r="BE58" i="130" s="1"/>
  <c r="BF20" i="120"/>
  <c r="S20" i="120" s="1"/>
  <c r="BE59" i="118"/>
  <c r="BG13" i="130"/>
  <c r="BH13" i="130" s="1"/>
  <c r="BE59" i="129"/>
  <c r="R59" i="119"/>
  <c r="BG15" i="132"/>
  <c r="BH15" i="132" s="1"/>
  <c r="BE59" i="124"/>
  <c r="BF20" i="126"/>
  <c r="S20" i="126" s="1"/>
  <c r="BF20" i="118"/>
  <c r="S20" i="118" s="1"/>
  <c r="BF58" i="132"/>
  <c r="BE58" i="132" s="1"/>
  <c r="BG10" i="121"/>
  <c r="BH10" i="121" s="1"/>
  <c r="BE59" i="127"/>
  <c r="BE59" i="131"/>
  <c r="BF20" i="124"/>
  <c r="S20" i="124" s="1"/>
  <c r="BF20" i="130"/>
  <c r="S20" i="130" s="1"/>
  <c r="L13" i="132" l="1"/>
  <c r="BG13" i="132"/>
  <c r="BH13" i="132" s="1"/>
  <c r="I10" i="117"/>
  <c r="BG10" i="117"/>
  <c r="BH10" i="117" s="1"/>
  <c r="AQ59" i="119"/>
  <c r="BG44" i="119" s="1"/>
  <c r="BH44" i="119" s="1"/>
  <c r="BK44" i="119" s="1"/>
  <c r="O16" i="131"/>
  <c r="BG16" i="131"/>
  <c r="BH16" i="131" s="1"/>
  <c r="BF15" i="117"/>
  <c r="M14" i="130"/>
  <c r="BG14" i="130"/>
  <c r="BH14" i="130" s="1"/>
  <c r="H9" i="126"/>
  <c r="BG9" i="126"/>
  <c r="BH9" i="126" s="1"/>
  <c r="BG8" i="129"/>
  <c r="BH8" i="129" s="1"/>
  <c r="J11" i="119"/>
  <c r="BG11" i="119"/>
  <c r="BH11" i="119" s="1"/>
  <c r="V23" i="118"/>
  <c r="BG23" i="118"/>
  <c r="BH23" i="118" s="1"/>
  <c r="BE59" i="121"/>
  <c r="BG58" i="131"/>
  <c r="BH58" i="131" s="1"/>
  <c r="BG39" i="122"/>
  <c r="BH39" i="122" s="1"/>
  <c r="BK39" i="122" s="1"/>
  <c r="AA59" i="118"/>
  <c r="BF8" i="129"/>
  <c r="G8" i="129" s="1"/>
  <c r="BG57" i="131"/>
  <c r="BH57" i="131" s="1"/>
  <c r="BK57" i="131" s="1"/>
  <c r="O6" i="127"/>
  <c r="O59" i="127" s="1"/>
  <c r="BF33" i="130"/>
  <c r="AF33" i="130" s="1"/>
  <c r="T6" i="125"/>
  <c r="T59" i="125" s="1"/>
  <c r="BG21" i="125" s="1"/>
  <c r="BH21" i="125" s="1"/>
  <c r="BK21" i="125" s="1"/>
  <c r="BF11" i="129"/>
  <c r="J11" i="129" s="1"/>
  <c r="BF32" i="125"/>
  <c r="AE32" i="125" s="1"/>
  <c r="AD59" i="130"/>
  <c r="AZ59" i="128"/>
  <c r="BG53" i="128" s="1"/>
  <c r="BH53" i="128" s="1"/>
  <c r="BK53" i="128" s="1"/>
  <c r="J6" i="125"/>
  <c r="J59" i="125" s="1"/>
  <c r="E7" i="125"/>
  <c r="BG22" i="124"/>
  <c r="BH22" i="124" s="1"/>
  <c r="BK22" i="124" s="1"/>
  <c r="BF18" i="126"/>
  <c r="F28" i="128"/>
  <c r="F28" i="127"/>
  <c r="E28" i="127" s="1"/>
  <c r="E29" i="123"/>
  <c r="BF29" i="123" s="1"/>
  <c r="F54" i="123"/>
  <c r="E54" i="123" s="1"/>
  <c r="BF54" i="123" s="1"/>
  <c r="BA54" i="123" s="1"/>
  <c r="BG39" i="123"/>
  <c r="BH39" i="123" s="1"/>
  <c r="BK39" i="123" s="1"/>
  <c r="BF8" i="119"/>
  <c r="G8" i="119" s="1"/>
  <c r="E58" i="121"/>
  <c r="BF58" i="121" s="1"/>
  <c r="O6" i="119"/>
  <c r="O59" i="119" s="1"/>
  <c r="P6" i="118"/>
  <c r="P59" i="118" s="1"/>
  <c r="S59" i="126"/>
  <c r="BF29" i="120"/>
  <c r="BF17" i="125"/>
  <c r="P17" i="125" s="1"/>
  <c r="O6" i="117"/>
  <c r="O59" i="117" s="1"/>
  <c r="BG16" i="117" s="1"/>
  <c r="BH16" i="117" s="1"/>
  <c r="AQ59" i="117"/>
  <c r="F54" i="122"/>
  <c r="E54" i="122" s="1"/>
  <c r="BF54" i="122" s="1"/>
  <c r="E29" i="122"/>
  <c r="BF29" i="122" s="1"/>
  <c r="W59" i="123"/>
  <c r="BG24" i="123" s="1"/>
  <c r="BH24" i="123" s="1"/>
  <c r="BF17" i="123"/>
  <c r="P17" i="123" s="1"/>
  <c r="BF15" i="121"/>
  <c r="BG47" i="125"/>
  <c r="BH47" i="125" s="1"/>
  <c r="BG22" i="132"/>
  <c r="BH22" i="132" s="1"/>
  <c r="BK22" i="132" s="1"/>
  <c r="BG32" i="125"/>
  <c r="BH32" i="125" s="1"/>
  <c r="BK32" i="125" s="1"/>
  <c r="BF51" i="130"/>
  <c r="AX51" i="130" s="1"/>
  <c r="AF59" i="132"/>
  <c r="O6" i="118"/>
  <c r="O59" i="118" s="1"/>
  <c r="BG16" i="118" s="1"/>
  <c r="BH16" i="118" s="1"/>
  <c r="AD59" i="129"/>
  <c r="BG31" i="129" s="1"/>
  <c r="BH31" i="129" s="1"/>
  <c r="BK31" i="129" s="1"/>
  <c r="Q59" i="129"/>
  <c r="K6" i="128"/>
  <c r="K59" i="128" s="1"/>
  <c r="BG12" i="128" s="1"/>
  <c r="BH12" i="128" s="1"/>
  <c r="BF39" i="131"/>
  <c r="Y59" i="130"/>
  <c r="K6" i="126"/>
  <c r="K59" i="126" s="1"/>
  <c r="BG12" i="126" s="1"/>
  <c r="BH12" i="126" s="1"/>
  <c r="BF8" i="126"/>
  <c r="G8" i="126" s="1"/>
  <c r="J59" i="126"/>
  <c r="AV59" i="119"/>
  <c r="BF46" i="128"/>
  <c r="BF17" i="122"/>
  <c r="P17" i="122" s="1"/>
  <c r="N59" i="120"/>
  <c r="AS59" i="120"/>
  <c r="BG46" i="120" s="1"/>
  <c r="BH46" i="120" s="1"/>
  <c r="BK46" i="120" s="1"/>
  <c r="E7" i="123"/>
  <c r="O6" i="123"/>
  <c r="O59" i="123" s="1"/>
  <c r="F28" i="120"/>
  <c r="AO59" i="129"/>
  <c r="AV59" i="117"/>
  <c r="BG49" i="117" s="1"/>
  <c r="BH49" i="117" s="1"/>
  <c r="BK49" i="117" s="1"/>
  <c r="BF12" i="125"/>
  <c r="K12" i="125" s="1"/>
  <c r="M59" i="118"/>
  <c r="BG14" i="118" s="1"/>
  <c r="BH14" i="118" s="1"/>
  <c r="E58" i="118"/>
  <c r="BF58" i="118" s="1"/>
  <c r="BE58" i="118" s="1"/>
  <c r="S59" i="118"/>
  <c r="BF15" i="118"/>
  <c r="G19" i="124"/>
  <c r="G59" i="124" s="1"/>
  <c r="F28" i="124"/>
  <c r="G19" i="122"/>
  <c r="G59" i="122" s="1"/>
  <c r="BG8" i="122" s="1"/>
  <c r="BH8" i="122" s="1"/>
  <c r="F28" i="122"/>
  <c r="BE59" i="117"/>
  <c r="AY59" i="120"/>
  <c r="BF36" i="123"/>
  <c r="R28" i="118"/>
  <c r="BF53" i="122"/>
  <c r="X59" i="119"/>
  <c r="BG33" i="130"/>
  <c r="BH33" i="130" s="1"/>
  <c r="BK33" i="130" s="1"/>
  <c r="BG48" i="118"/>
  <c r="BH48" i="118" s="1"/>
  <c r="BK48" i="118" s="1"/>
  <c r="BG43" i="130"/>
  <c r="BH43" i="130" s="1"/>
  <c r="BK43" i="130" s="1"/>
  <c r="BG35" i="125"/>
  <c r="BH35" i="125" s="1"/>
  <c r="BK35" i="125" s="1"/>
  <c r="BG49" i="132"/>
  <c r="BH49" i="132" s="1"/>
  <c r="BK49" i="132" s="1"/>
  <c r="BG34" i="125"/>
  <c r="BH34" i="125" s="1"/>
  <c r="BK34" i="125" s="1"/>
  <c r="BF28" i="118"/>
  <c r="AA28" i="118" s="1"/>
  <c r="BF54" i="119"/>
  <c r="BG51" i="130"/>
  <c r="BH51" i="130" s="1"/>
  <c r="BK51" i="130" s="1"/>
  <c r="BF8" i="125"/>
  <c r="G8" i="125" s="1"/>
  <c r="BF8" i="127"/>
  <c r="BF25" i="127"/>
  <c r="X25" i="127" s="1"/>
  <c r="P6" i="126"/>
  <c r="P59" i="126" s="1"/>
  <c r="BG17" i="126" s="1"/>
  <c r="BH17" i="126" s="1"/>
  <c r="J59" i="132"/>
  <c r="BG11" i="132" s="1"/>
  <c r="BH11" i="132" s="1"/>
  <c r="K6" i="127"/>
  <c r="K59" i="127" s="1"/>
  <c r="G59" i="128"/>
  <c r="BG8" i="128" s="1"/>
  <c r="BH8" i="128" s="1"/>
  <c r="BF18" i="125"/>
  <c r="Q18" i="125" s="1"/>
  <c r="BF25" i="129"/>
  <c r="X25" i="129" s="1"/>
  <c r="AB59" i="131"/>
  <c r="BF9" i="124"/>
  <c r="H9" i="124" s="1"/>
  <c r="BF12" i="119"/>
  <c r="K12" i="119" s="1"/>
  <c r="BF11" i="122"/>
  <c r="J11" i="122" s="1"/>
  <c r="P6" i="124"/>
  <c r="P59" i="124" s="1"/>
  <c r="BG35" i="118"/>
  <c r="BH35" i="118" s="1"/>
  <c r="BK35" i="118" s="1"/>
  <c r="E58" i="120"/>
  <c r="BF58" i="120" s="1"/>
  <c r="BE58" i="120" s="1"/>
  <c r="BF15" i="125"/>
  <c r="N15" i="125" s="1"/>
  <c r="BF16" i="127"/>
  <c r="O16" i="127" s="1"/>
  <c r="P6" i="127"/>
  <c r="P59" i="127" s="1"/>
  <c r="BF18" i="120"/>
  <c r="Q18" i="120" s="1"/>
  <c r="BF57" i="120"/>
  <c r="BD57" i="120" s="1"/>
  <c r="BG33" i="123"/>
  <c r="BH33" i="123" s="1"/>
  <c r="BK33" i="123" s="1"/>
  <c r="BF17" i="129"/>
  <c r="P17" i="129" s="1"/>
  <c r="G19" i="117"/>
  <c r="G59" i="117" s="1"/>
  <c r="BG8" i="117" s="1"/>
  <c r="BH8" i="117" s="1"/>
  <c r="F28" i="117"/>
  <c r="L59" i="128"/>
  <c r="BF16" i="123"/>
  <c r="O16" i="123" s="1"/>
  <c r="Z59" i="118"/>
  <c r="K6" i="122"/>
  <c r="K59" i="122" s="1"/>
  <c r="M59" i="117"/>
  <c r="K6" i="117"/>
  <c r="K59" i="117" s="1"/>
  <c r="K6" i="119"/>
  <c r="K59" i="119" s="1"/>
  <c r="BG12" i="119" s="1"/>
  <c r="BH12" i="119" s="1"/>
  <c r="AN59" i="119"/>
  <c r="BG13" i="120"/>
  <c r="BH13" i="120" s="1"/>
  <c r="BD59" i="132"/>
  <c r="BG57" i="132" s="1"/>
  <c r="BH57" i="132" s="1"/>
  <c r="BK57" i="132" s="1"/>
  <c r="BF13" i="125"/>
  <c r="AB59" i="127"/>
  <c r="BF36" i="131"/>
  <c r="K6" i="124"/>
  <c r="K59" i="124" s="1"/>
  <c r="BF13" i="126"/>
  <c r="O6" i="128"/>
  <c r="O59" i="128" s="1"/>
  <c r="K6" i="129"/>
  <c r="K59" i="129" s="1"/>
  <c r="BG12" i="129" s="1"/>
  <c r="BH12" i="129" s="1"/>
  <c r="F6" i="126"/>
  <c r="BG8" i="123"/>
  <c r="BH8" i="123" s="1"/>
  <c r="P6" i="122"/>
  <c r="P59" i="122" s="1"/>
  <c r="BG17" i="122" s="1"/>
  <c r="BH17" i="122" s="1"/>
  <c r="BF14" i="126"/>
  <c r="BE59" i="128"/>
  <c r="BF52" i="119"/>
  <c r="BF8" i="123"/>
  <c r="G8" i="123" s="1"/>
  <c r="BF49" i="122"/>
  <c r="AV49" i="122" s="1"/>
  <c r="P6" i="125"/>
  <c r="P59" i="125" s="1"/>
  <c r="BG17" i="125" s="1"/>
  <c r="BH17" i="125" s="1"/>
  <c r="J59" i="118"/>
  <c r="BG11" i="118" s="1"/>
  <c r="BH11" i="118" s="1"/>
  <c r="AA19" i="122"/>
  <c r="AA59" i="122" s="1"/>
  <c r="BG49" i="124"/>
  <c r="BH49" i="124" s="1"/>
  <c r="BK49" i="124" s="1"/>
  <c r="AS59" i="125"/>
  <c r="BG46" i="125" s="1"/>
  <c r="BH46" i="125" s="1"/>
  <c r="BK46" i="125" s="1"/>
  <c r="BG47" i="117"/>
  <c r="BH47" i="117" s="1"/>
  <c r="BF18" i="121"/>
  <c r="BF13" i="124"/>
  <c r="L13" i="124" s="1"/>
  <c r="BF15" i="120"/>
  <c r="N15" i="120" s="1"/>
  <c r="P6" i="120"/>
  <c r="P59" i="120" s="1"/>
  <c r="BG17" i="120" s="1"/>
  <c r="BH17" i="120" s="1"/>
  <c r="E29" i="117"/>
  <c r="BF29" i="117" s="1"/>
  <c r="AB29" i="117" s="1"/>
  <c r="F54" i="117"/>
  <c r="E54" i="117" s="1"/>
  <c r="BF54" i="117" s="1"/>
  <c r="BA54" i="117" s="1"/>
  <c r="BF12" i="124"/>
  <c r="K12" i="124" s="1"/>
  <c r="AX59" i="119"/>
  <c r="BG51" i="119" s="1"/>
  <c r="BH51" i="119" s="1"/>
  <c r="BK51" i="119" s="1"/>
  <c r="L6" i="117"/>
  <c r="L59" i="117" s="1"/>
  <c r="G19" i="120"/>
  <c r="G59" i="120" s="1"/>
  <c r="BG8" i="120" s="1"/>
  <c r="BH8" i="120" s="1"/>
  <c r="E58" i="117"/>
  <c r="BF58" i="117" s="1"/>
  <c r="K6" i="118"/>
  <c r="K59" i="118" s="1"/>
  <c r="BG12" i="118" s="1"/>
  <c r="BH12" i="118" s="1"/>
  <c r="BG55" i="117"/>
  <c r="BH55" i="117" s="1"/>
  <c r="BG43" i="128"/>
  <c r="BH43" i="128" s="1"/>
  <c r="BK43" i="128" s="1"/>
  <c r="BG55" i="132"/>
  <c r="BH55" i="132" s="1"/>
  <c r="BG18" i="120"/>
  <c r="BH18" i="120" s="1"/>
  <c r="BG13" i="124"/>
  <c r="BH13" i="124" s="1"/>
  <c r="BF41" i="129"/>
  <c r="AN41" i="129" s="1"/>
  <c r="AB6" i="125"/>
  <c r="AB59" i="125" s="1"/>
  <c r="AA7" i="125"/>
  <c r="BF12" i="127"/>
  <c r="K12" i="127" s="1"/>
  <c r="BF17" i="128"/>
  <c r="P17" i="128" s="1"/>
  <c r="P6" i="129"/>
  <c r="P59" i="129" s="1"/>
  <c r="BG17" i="129" s="1"/>
  <c r="BH17" i="129" s="1"/>
  <c r="BF40" i="130"/>
  <c r="O6" i="125"/>
  <c r="O59" i="125" s="1"/>
  <c r="BG16" i="125" s="1"/>
  <c r="BH16" i="125" s="1"/>
  <c r="K6" i="125"/>
  <c r="K59" i="125" s="1"/>
  <c r="BG12" i="125" s="1"/>
  <c r="BH12" i="125" s="1"/>
  <c r="O6" i="126"/>
  <c r="O59" i="126" s="1"/>
  <c r="BG40" i="122"/>
  <c r="BH40" i="122" s="1"/>
  <c r="BK40" i="122" s="1"/>
  <c r="BC59" i="125"/>
  <c r="BG56" i="125" s="1"/>
  <c r="BH56" i="125" s="1"/>
  <c r="AB6" i="126"/>
  <c r="AB59" i="126" s="1"/>
  <c r="BG29" i="126" s="1"/>
  <c r="BH29" i="126" s="1"/>
  <c r="BK29" i="126" s="1"/>
  <c r="AA7" i="126"/>
  <c r="E58" i="129"/>
  <c r="BF58" i="129" s="1"/>
  <c r="BE58" i="129" s="1"/>
  <c r="BG48" i="123"/>
  <c r="BH48" i="123" s="1"/>
  <c r="BK48" i="123" s="1"/>
  <c r="U59" i="118"/>
  <c r="BG22" i="118" s="1"/>
  <c r="BH22" i="118" s="1"/>
  <c r="BK22" i="118" s="1"/>
  <c r="P6" i="123"/>
  <c r="P59" i="123" s="1"/>
  <c r="BG17" i="123" s="1"/>
  <c r="BH17" i="123" s="1"/>
  <c r="AP59" i="117"/>
  <c r="BG43" i="117" s="1"/>
  <c r="BH43" i="117" s="1"/>
  <c r="BK43" i="117" s="1"/>
  <c r="R20" i="123"/>
  <c r="BF20" i="123" s="1"/>
  <c r="S20" i="123" s="1"/>
  <c r="AA19" i="123"/>
  <c r="AA59" i="123" s="1"/>
  <c r="BF49" i="118"/>
  <c r="AV49" i="118" s="1"/>
  <c r="BF8" i="124"/>
  <c r="G8" i="124" s="1"/>
  <c r="K6" i="123"/>
  <c r="K59" i="123" s="1"/>
  <c r="AB59" i="121"/>
  <c r="AN59" i="118"/>
  <c r="BG41" i="118" s="1"/>
  <c r="BH41" i="118" s="1"/>
  <c r="J59" i="123"/>
  <c r="BF16" i="124"/>
  <c r="O16" i="124" s="1"/>
  <c r="BF30" i="117"/>
  <c r="AC30" i="117" s="1"/>
  <c r="AQ59" i="122"/>
  <c r="BG44" i="122" s="1"/>
  <c r="BH44" i="122" s="1"/>
  <c r="BK44" i="122" s="1"/>
  <c r="W59" i="121"/>
  <c r="BF8" i="121"/>
  <c r="G8" i="121" s="1"/>
  <c r="BF32" i="119"/>
  <c r="AE32" i="119" s="1"/>
  <c r="G19" i="119"/>
  <c r="G59" i="119" s="1"/>
  <c r="BG8" i="119" s="1"/>
  <c r="BH8" i="119" s="1"/>
  <c r="F28" i="119"/>
  <c r="BF25" i="123"/>
  <c r="BF14" i="117"/>
  <c r="M14" i="117" s="1"/>
  <c r="R20" i="122"/>
  <c r="BF20" i="122" s="1"/>
  <c r="S20" i="122" s="1"/>
  <c r="BG38" i="123"/>
  <c r="BH38" i="123" s="1"/>
  <c r="BK38" i="123" s="1"/>
  <c r="BG49" i="122"/>
  <c r="BH49" i="122" s="1"/>
  <c r="BK49" i="122" s="1"/>
  <c r="BG54" i="128"/>
  <c r="BH54" i="128" s="1"/>
  <c r="BK54" i="128" s="1"/>
  <c r="BG30" i="118"/>
  <c r="BH30" i="118" s="1"/>
  <c r="BK30" i="118" s="1"/>
  <c r="D5" i="126"/>
  <c r="O6" i="129"/>
  <c r="O59" i="129" s="1"/>
  <c r="BG16" i="129" s="1"/>
  <c r="BH16" i="129" s="1"/>
  <c r="BF29" i="129"/>
  <c r="Q59" i="131"/>
  <c r="BG18" i="131" s="1"/>
  <c r="BH18" i="131" s="1"/>
  <c r="U6" i="126"/>
  <c r="U59" i="126" s="1"/>
  <c r="BG22" i="126" s="1"/>
  <c r="BH22" i="126" s="1"/>
  <c r="BK22" i="126" s="1"/>
  <c r="E7" i="129"/>
  <c r="J6" i="129"/>
  <c r="J59" i="129" s="1"/>
  <c r="BG11" i="129" s="1"/>
  <c r="BH11" i="129" s="1"/>
  <c r="BF14" i="127"/>
  <c r="M14" i="127" s="1"/>
  <c r="Y59" i="127"/>
  <c r="BG26" i="127" s="1"/>
  <c r="BH26" i="127" s="1"/>
  <c r="BK26" i="127" s="1"/>
  <c r="E58" i="119"/>
  <c r="BF58" i="119" s="1"/>
  <c r="BE58" i="119" s="1"/>
  <c r="BF18" i="129"/>
  <c r="Q18" i="129" s="1"/>
  <c r="E58" i="128"/>
  <c r="BF58" i="128" s="1"/>
  <c r="BE58" i="128" s="1"/>
  <c r="BF29" i="131"/>
  <c r="AB29" i="131" s="1"/>
  <c r="F28" i="125"/>
  <c r="E28" i="125" s="1"/>
  <c r="BF12" i="120"/>
  <c r="K12" i="120" s="1"/>
  <c r="BF55" i="127"/>
  <c r="X59" i="125"/>
  <c r="BF30" i="131"/>
  <c r="AC30" i="131" s="1"/>
  <c r="U59" i="119"/>
  <c r="BF34" i="123"/>
  <c r="BC59" i="122"/>
  <c r="BG56" i="122" s="1"/>
  <c r="BH56" i="122" s="1"/>
  <c r="O6" i="120"/>
  <c r="O59" i="120" s="1"/>
  <c r="BG16" i="120" s="1"/>
  <c r="BH16" i="120" s="1"/>
  <c r="O6" i="121"/>
  <c r="O59" i="121" s="1"/>
  <c r="BG16" i="121" s="1"/>
  <c r="BH16" i="121" s="1"/>
  <c r="J6" i="117"/>
  <c r="J59" i="117" s="1"/>
  <c r="BG11" i="117" s="1"/>
  <c r="BH11" i="117" s="1"/>
  <c r="E7" i="117"/>
  <c r="F28" i="121"/>
  <c r="S59" i="121"/>
  <c r="BG20" i="121" s="1"/>
  <c r="BH20" i="121" s="1"/>
  <c r="BK20" i="121" s="1"/>
  <c r="BG56" i="117"/>
  <c r="BH56" i="117" s="1"/>
  <c r="BF12" i="117"/>
  <c r="K12" i="117" s="1"/>
  <c r="E58" i="124"/>
  <c r="BF58" i="124" s="1"/>
  <c r="BE58" i="124" s="1"/>
  <c r="AA19" i="124"/>
  <c r="AA59" i="124" s="1"/>
  <c r="AL59" i="120"/>
  <c r="BF29" i="119"/>
  <c r="BF17" i="119"/>
  <c r="P17" i="119" s="1"/>
  <c r="BF18" i="119"/>
  <c r="Q18" i="119" s="1"/>
  <c r="BF10" i="122"/>
  <c r="BA59" i="117"/>
  <c r="BG54" i="117" s="1"/>
  <c r="BH54" i="117" s="1"/>
  <c r="BK54" i="117" s="1"/>
  <c r="BD59" i="123"/>
  <c r="AV59" i="118"/>
  <c r="BG49" i="118" s="1"/>
  <c r="BH49" i="118" s="1"/>
  <c r="BK49" i="118" s="1"/>
  <c r="BF30" i="120"/>
  <c r="AC30" i="120" s="1"/>
  <c r="BG30" i="117"/>
  <c r="BH30" i="117" s="1"/>
  <c r="BK30" i="117" s="1"/>
  <c r="BG15" i="125"/>
  <c r="BH15" i="125" s="1"/>
  <c r="BG28" i="129"/>
  <c r="BH28" i="129" s="1"/>
  <c r="BG39" i="120"/>
  <c r="BH39" i="120" s="1"/>
  <c r="BK39" i="120" s="1"/>
  <c r="BG11" i="131"/>
  <c r="BH11" i="131" s="1"/>
  <c r="BG30" i="131"/>
  <c r="BH30" i="131" s="1"/>
  <c r="BK30" i="131" s="1"/>
  <c r="E28" i="130"/>
  <c r="V6" i="127"/>
  <c r="V59" i="127" s="1"/>
  <c r="J6" i="130"/>
  <c r="J59" i="130" s="1"/>
  <c r="BG11" i="130" s="1"/>
  <c r="BH11" i="130" s="1"/>
  <c r="E7" i="130"/>
  <c r="P6" i="128"/>
  <c r="P59" i="128" s="1"/>
  <c r="BG17" i="128" s="1"/>
  <c r="BH17" i="128" s="1"/>
  <c r="BF53" i="131"/>
  <c r="BF16" i="128"/>
  <c r="O16" i="128" s="1"/>
  <c r="X6" i="129"/>
  <c r="X59" i="129" s="1"/>
  <c r="BG25" i="129" s="1"/>
  <c r="BH25" i="129" s="1"/>
  <c r="BK25" i="129" s="1"/>
  <c r="E58" i="125"/>
  <c r="BF58" i="125" s="1"/>
  <c r="BG46" i="129"/>
  <c r="BH46" i="129" s="1"/>
  <c r="BK46" i="129" s="1"/>
  <c r="BF56" i="131"/>
  <c r="BC56" i="131" s="1"/>
  <c r="BG40" i="125"/>
  <c r="BH40" i="125" s="1"/>
  <c r="BK40" i="125" s="1"/>
  <c r="BF11" i="127"/>
  <c r="J11" i="127" s="1"/>
  <c r="E20" i="127"/>
  <c r="BF20" i="127" s="1"/>
  <c r="BF15" i="129"/>
  <c r="N15" i="129" s="1"/>
  <c r="AQ59" i="126"/>
  <c r="AB59" i="130"/>
  <c r="BF13" i="123"/>
  <c r="BF49" i="126"/>
  <c r="AV49" i="126" s="1"/>
  <c r="BF16" i="126"/>
  <c r="O16" i="126" s="1"/>
  <c r="BF29" i="125"/>
  <c r="AB29" i="125" s="1"/>
  <c r="S59" i="131"/>
  <c r="BF33" i="117"/>
  <c r="AF33" i="117" s="1"/>
  <c r="O6" i="124"/>
  <c r="O59" i="124" s="1"/>
  <c r="BG16" i="124" s="1"/>
  <c r="BH16" i="124" s="1"/>
  <c r="BF17" i="118"/>
  <c r="P17" i="118" s="1"/>
  <c r="P6" i="121"/>
  <c r="P59" i="121" s="1"/>
  <c r="BG17" i="121" s="1"/>
  <c r="BH17" i="121" s="1"/>
  <c r="E7" i="121"/>
  <c r="J6" i="121"/>
  <c r="J59" i="121" s="1"/>
  <c r="BG11" i="121" s="1"/>
  <c r="BH11" i="121" s="1"/>
  <c r="AI59" i="126"/>
  <c r="K6" i="120"/>
  <c r="K59" i="120" s="1"/>
  <c r="BG12" i="120" s="1"/>
  <c r="BH12" i="120" s="1"/>
  <c r="BF24" i="124"/>
  <c r="W24" i="124" s="1"/>
  <c r="BF23" i="117"/>
  <c r="V23" i="117" s="1"/>
  <c r="AB59" i="118"/>
  <c r="BG29" i="118" s="1"/>
  <c r="BH29" i="118" s="1"/>
  <c r="BK29" i="118" s="1"/>
  <c r="S6" i="124"/>
  <c r="S59" i="124" s="1"/>
  <c r="E58" i="123"/>
  <c r="BF58" i="123" s="1"/>
  <c r="BF30" i="122"/>
  <c r="AC30" i="122" s="1"/>
  <c r="P6" i="117"/>
  <c r="P59" i="117" s="1"/>
  <c r="BF35" i="123"/>
  <c r="K6" i="121"/>
  <c r="K59" i="121" s="1"/>
  <c r="BG12" i="121" s="1"/>
  <c r="BH12" i="121" s="1"/>
  <c r="E11" i="120"/>
  <c r="BF11" i="120" s="1"/>
  <c r="J11" i="120" s="1"/>
  <c r="F6" i="120"/>
  <c r="BF10" i="128"/>
  <c r="BF12" i="122"/>
  <c r="K12" i="122" s="1"/>
  <c r="BG58" i="124"/>
  <c r="BH58" i="124" s="1"/>
  <c r="BG57" i="120"/>
  <c r="BH57" i="120" s="1"/>
  <c r="BK57" i="120" s="1"/>
  <c r="BG43" i="125"/>
  <c r="BH43" i="125" s="1"/>
  <c r="BK43" i="125" s="1"/>
  <c r="BF28" i="127"/>
  <c r="AA28" i="127" s="1"/>
  <c r="BG11" i="128"/>
  <c r="BH11" i="128" s="1"/>
  <c r="BG11" i="120"/>
  <c r="BH11" i="120" s="1"/>
  <c r="BG10" i="125"/>
  <c r="BH10" i="125" s="1"/>
  <c r="AA59" i="121"/>
  <c r="BG42" i="127"/>
  <c r="BH42" i="127" s="1"/>
  <c r="M59" i="131"/>
  <c r="BG14" i="131" s="1"/>
  <c r="BH14" i="131" s="1"/>
  <c r="BF18" i="130"/>
  <c r="E29" i="130"/>
  <c r="BF29" i="130" s="1"/>
  <c r="AB29" i="130" s="1"/>
  <c r="F54" i="130"/>
  <c r="BF44" i="132"/>
  <c r="AQ44" i="132" s="1"/>
  <c r="J6" i="127"/>
  <c r="J59" i="127" s="1"/>
  <c r="BG11" i="127" s="1"/>
  <c r="BH11" i="127" s="1"/>
  <c r="E7" i="127"/>
  <c r="E58" i="127"/>
  <c r="BF58" i="127" s="1"/>
  <c r="BG17" i="130"/>
  <c r="BH17" i="130" s="1"/>
  <c r="AK59" i="128"/>
  <c r="BG38" i="128" s="1"/>
  <c r="BH38" i="128" s="1"/>
  <c r="BK38" i="128" s="1"/>
  <c r="BG21" i="119"/>
  <c r="BH21" i="119" s="1"/>
  <c r="BK21" i="119" s="1"/>
  <c r="BF49" i="125"/>
  <c r="AV49" i="125" s="1"/>
  <c r="BG53" i="120"/>
  <c r="BH53" i="120" s="1"/>
  <c r="BK53" i="120" s="1"/>
  <c r="F6" i="125"/>
  <c r="BF29" i="128"/>
  <c r="E29" i="127"/>
  <c r="BF29" i="127" s="1"/>
  <c r="AB29" i="127" s="1"/>
  <c r="F54" i="127"/>
  <c r="E54" i="127" s="1"/>
  <c r="BF54" i="127" s="1"/>
  <c r="F28" i="123"/>
  <c r="N6" i="119"/>
  <c r="N59" i="119" s="1"/>
  <c r="BG15" i="119" s="1"/>
  <c r="BH15" i="119" s="1"/>
  <c r="O6" i="122"/>
  <c r="O59" i="122" s="1"/>
  <c r="S59" i="128"/>
  <c r="W6" i="128"/>
  <c r="W59" i="128" s="1"/>
  <c r="E58" i="122"/>
  <c r="BF58" i="122" s="1"/>
  <c r="BG33" i="118"/>
  <c r="BH33" i="118" s="1"/>
  <c r="BK33" i="118" s="1"/>
  <c r="F6" i="127"/>
  <c r="BF55" i="120"/>
  <c r="BB55" i="120" s="1"/>
  <c r="BF18" i="117"/>
  <c r="M59" i="128"/>
  <c r="BG14" i="128" s="1"/>
  <c r="BH14" i="128" s="1"/>
  <c r="BF18" i="118"/>
  <c r="AA19" i="119"/>
  <c r="AA59" i="119" s="1"/>
  <c r="AS59" i="117"/>
  <c r="BF11" i="123"/>
  <c r="J11" i="123" s="1"/>
  <c r="BF54" i="124"/>
  <c r="O16" i="119"/>
  <c r="BG16" i="119"/>
  <c r="BH16" i="119" s="1"/>
  <c r="R6" i="130"/>
  <c r="R59" i="130" s="1"/>
  <c r="BF7" i="130"/>
  <c r="F7" i="130" s="1"/>
  <c r="BG47" i="127"/>
  <c r="BH47" i="127" s="1"/>
  <c r="BG36" i="126"/>
  <c r="BH36" i="126" s="1"/>
  <c r="BK36" i="126" s="1"/>
  <c r="BF14" i="121"/>
  <c r="BG27" i="118"/>
  <c r="BH27" i="118" s="1"/>
  <c r="BK27" i="118" s="1"/>
  <c r="F19" i="132"/>
  <c r="F59" i="132" s="1"/>
  <c r="BG13" i="121"/>
  <c r="BH13" i="121" s="1"/>
  <c r="AA59" i="132"/>
  <c r="BG28" i="132" s="1"/>
  <c r="BH28" i="132" s="1"/>
  <c r="BH19" i="132" s="1"/>
  <c r="BK19" i="132" s="1"/>
  <c r="BG24" i="132"/>
  <c r="BH24" i="132" s="1"/>
  <c r="BG42" i="129"/>
  <c r="BH42" i="129" s="1"/>
  <c r="BG50" i="122"/>
  <c r="BH50" i="122" s="1"/>
  <c r="BG24" i="128"/>
  <c r="BH24" i="128" s="1"/>
  <c r="BG57" i="119"/>
  <c r="BH57" i="119" s="1"/>
  <c r="BK57" i="119" s="1"/>
  <c r="BG36" i="118"/>
  <c r="BH36" i="118" s="1"/>
  <c r="BK36" i="118" s="1"/>
  <c r="BG38" i="118"/>
  <c r="BH38" i="118" s="1"/>
  <c r="BK38" i="118" s="1"/>
  <c r="BG8" i="131"/>
  <c r="BH8" i="131" s="1"/>
  <c r="AH35" i="122"/>
  <c r="X25" i="126"/>
  <c r="BG31" i="119"/>
  <c r="BH31" i="119" s="1"/>
  <c r="BK31" i="119" s="1"/>
  <c r="BG57" i="121"/>
  <c r="BH57" i="121" s="1"/>
  <c r="BK57" i="121" s="1"/>
  <c r="BG39" i="130"/>
  <c r="BH39" i="130" s="1"/>
  <c r="BK39" i="130" s="1"/>
  <c r="E19" i="126"/>
  <c r="BF19" i="126" s="1"/>
  <c r="R19" i="126" s="1"/>
  <c r="BG12" i="132"/>
  <c r="BH12" i="132" s="1"/>
  <c r="F19" i="126"/>
  <c r="F59" i="126" s="1"/>
  <c r="BG34" i="130"/>
  <c r="BH34" i="130" s="1"/>
  <c r="BK34" i="130" s="1"/>
  <c r="BG9" i="132"/>
  <c r="BH9" i="132" s="1"/>
  <c r="BG52" i="123"/>
  <c r="BH52" i="123" s="1"/>
  <c r="BK52" i="123" s="1"/>
  <c r="BG50" i="124"/>
  <c r="BH50" i="124" s="1"/>
  <c r="BG57" i="127"/>
  <c r="BH57" i="127" s="1"/>
  <c r="BK57" i="127" s="1"/>
  <c r="BG12" i="130"/>
  <c r="BH12" i="130" s="1"/>
  <c r="BF28" i="125"/>
  <c r="AA28" i="125" s="1"/>
  <c r="AA6" i="128"/>
  <c r="AA59" i="128" s="1"/>
  <c r="R7" i="128"/>
  <c r="BG13" i="117"/>
  <c r="BH13" i="117" s="1"/>
  <c r="BF14" i="132"/>
  <c r="M14" i="132" s="1"/>
  <c r="BG48" i="132"/>
  <c r="BH48" i="132" s="1"/>
  <c r="BK48" i="132" s="1"/>
  <c r="R7" i="117"/>
  <c r="BG28" i="127"/>
  <c r="BH28" i="127" s="1"/>
  <c r="BG38" i="120"/>
  <c r="BH38" i="120" s="1"/>
  <c r="BK38" i="120" s="1"/>
  <c r="F19" i="129"/>
  <c r="F59" i="129" s="1"/>
  <c r="BG24" i="125"/>
  <c r="BH24" i="125" s="1"/>
  <c r="BG37" i="124"/>
  <c r="BH37" i="124" s="1"/>
  <c r="BK37" i="124" s="1"/>
  <c r="BG22" i="128"/>
  <c r="BH22" i="128" s="1"/>
  <c r="BK22" i="128" s="1"/>
  <c r="BG23" i="125"/>
  <c r="BH23" i="125" s="1"/>
  <c r="BG49" i="128"/>
  <c r="BH49" i="128" s="1"/>
  <c r="BK49" i="128" s="1"/>
  <c r="BG26" i="119"/>
  <c r="BH26" i="119" s="1"/>
  <c r="BK26" i="119" s="1"/>
  <c r="BG57" i="128"/>
  <c r="BH57" i="128" s="1"/>
  <c r="BK57" i="128" s="1"/>
  <c r="BF7" i="118"/>
  <c r="BG31" i="121"/>
  <c r="BH31" i="121" s="1"/>
  <c r="BK31" i="121" s="1"/>
  <c r="BG46" i="119"/>
  <c r="BH46" i="119" s="1"/>
  <c r="BK46" i="119" s="1"/>
  <c r="BG54" i="120"/>
  <c r="BH54" i="120" s="1"/>
  <c r="BK54" i="120" s="1"/>
  <c r="BG27" i="124"/>
  <c r="BH27" i="124" s="1"/>
  <c r="BK27" i="124" s="1"/>
  <c r="BG47" i="120"/>
  <c r="BH47" i="120" s="1"/>
  <c r="BG57" i="117"/>
  <c r="BH57" i="117" s="1"/>
  <c r="BK57" i="117" s="1"/>
  <c r="R7" i="123"/>
  <c r="BG21" i="123"/>
  <c r="BH21" i="123" s="1"/>
  <c r="BK21" i="123" s="1"/>
  <c r="BG40" i="121"/>
  <c r="BH40" i="121" s="1"/>
  <c r="BK40" i="121" s="1"/>
  <c r="BG21" i="128"/>
  <c r="BH21" i="128" s="1"/>
  <c r="BK21" i="128" s="1"/>
  <c r="BG42" i="126"/>
  <c r="BH42" i="126" s="1"/>
  <c r="BG22" i="119"/>
  <c r="BH22" i="119" s="1"/>
  <c r="BK22" i="119" s="1"/>
  <c r="BG17" i="124"/>
  <c r="BH17" i="124" s="1"/>
  <c r="BG26" i="128"/>
  <c r="BH26" i="128" s="1"/>
  <c r="BK26" i="128" s="1"/>
  <c r="BG14" i="132"/>
  <c r="BH14" i="132" s="1"/>
  <c r="E19" i="129"/>
  <c r="E59" i="129" s="1"/>
  <c r="F59" i="131"/>
  <c r="BG29" i="121"/>
  <c r="BH29" i="121" s="1"/>
  <c r="BK29" i="121" s="1"/>
  <c r="BG35" i="120"/>
  <c r="BH35" i="120" s="1"/>
  <c r="BK35" i="120" s="1"/>
  <c r="BG45" i="122"/>
  <c r="BH45" i="122" s="1"/>
  <c r="BK45" i="122" s="1"/>
  <c r="BG32" i="120"/>
  <c r="BH32" i="120" s="1"/>
  <c r="BK32" i="120" s="1"/>
  <c r="BG22" i="122"/>
  <c r="BH22" i="122" s="1"/>
  <c r="BK22" i="122" s="1"/>
  <c r="BG27" i="130"/>
  <c r="BH27" i="130" s="1"/>
  <c r="BK27" i="130" s="1"/>
  <c r="BG13" i="128"/>
  <c r="BH13" i="128" s="1"/>
  <c r="BG35" i="124"/>
  <c r="BH35" i="124" s="1"/>
  <c r="BK35" i="124" s="1"/>
  <c r="BG15" i="130"/>
  <c r="BH15" i="130" s="1"/>
  <c r="BG43" i="122"/>
  <c r="BH43" i="122" s="1"/>
  <c r="BK43" i="122" s="1"/>
  <c r="BG42" i="118"/>
  <c r="BH42" i="118" s="1"/>
  <c r="BG53" i="125"/>
  <c r="BH53" i="125" s="1"/>
  <c r="BK53" i="125" s="1"/>
  <c r="BG40" i="131"/>
  <c r="BH40" i="131" s="1"/>
  <c r="BK40" i="131" s="1"/>
  <c r="BG17" i="127"/>
  <c r="BH17" i="127" s="1"/>
  <c r="BG18" i="124"/>
  <c r="BH18" i="124" s="1"/>
  <c r="BG12" i="123"/>
  <c r="BH12" i="123" s="1"/>
  <c r="BB55" i="123"/>
  <c r="BG55" i="123"/>
  <c r="BH55" i="123" s="1"/>
  <c r="AT47" i="126"/>
  <c r="BG47" i="126"/>
  <c r="BH47" i="126" s="1"/>
  <c r="BB55" i="131"/>
  <c r="BG55" i="131"/>
  <c r="BH55" i="131" s="1"/>
  <c r="AX51" i="128"/>
  <c r="BG51" i="128"/>
  <c r="BH51" i="128" s="1"/>
  <c r="BK51" i="128" s="1"/>
  <c r="BG27" i="120"/>
  <c r="BH27" i="120" s="1"/>
  <c r="BK27" i="120" s="1"/>
  <c r="BG50" i="131"/>
  <c r="BH50" i="131" s="1"/>
  <c r="BG9" i="131"/>
  <c r="BH9" i="131" s="1"/>
  <c r="R6" i="132"/>
  <c r="BF7" i="132"/>
  <c r="F7" i="132" s="1"/>
  <c r="BG28" i="118"/>
  <c r="BH28" i="118" s="1"/>
  <c r="BG7" i="132"/>
  <c r="BH7" i="132" s="1"/>
  <c r="BH6" i="132" s="1"/>
  <c r="Z27" i="121"/>
  <c r="BG27" i="121"/>
  <c r="BH27" i="121" s="1"/>
  <c r="BK27" i="121" s="1"/>
  <c r="V23" i="120"/>
  <c r="BG23" i="120"/>
  <c r="BH23" i="120" s="1"/>
  <c r="AW50" i="130"/>
  <c r="BG50" i="130"/>
  <c r="BH50" i="130" s="1"/>
  <c r="R7" i="131"/>
  <c r="E54" i="118"/>
  <c r="BF54" i="118" s="1"/>
  <c r="F19" i="118"/>
  <c r="F59" i="118" s="1"/>
  <c r="BG7" i="118" s="1"/>
  <c r="BH7" i="118" s="1"/>
  <c r="BG18" i="123"/>
  <c r="BH18" i="123" s="1"/>
  <c r="BG57" i="122"/>
  <c r="BH57" i="122" s="1"/>
  <c r="BK57" i="122" s="1"/>
  <c r="BG34" i="124"/>
  <c r="BH34" i="124" s="1"/>
  <c r="BK34" i="124" s="1"/>
  <c r="AU48" i="127"/>
  <c r="BG48" i="127"/>
  <c r="BH48" i="127" s="1"/>
  <c r="BK48" i="127" s="1"/>
  <c r="BG53" i="129"/>
  <c r="BH53" i="129" s="1"/>
  <c r="BK53" i="129" s="1"/>
  <c r="AM40" i="126"/>
  <c r="BG40" i="126"/>
  <c r="BH40" i="126" s="1"/>
  <c r="BK40" i="126" s="1"/>
  <c r="E19" i="132"/>
  <c r="BF19" i="132" s="1"/>
  <c r="R19" i="132" s="1"/>
  <c r="BG20" i="120"/>
  <c r="BH20" i="120" s="1"/>
  <c r="BK20" i="120" s="1"/>
  <c r="R7" i="129"/>
  <c r="R6" i="122"/>
  <c r="E59" i="126"/>
  <c r="BG38" i="124"/>
  <c r="BH38" i="124" s="1"/>
  <c r="BK38" i="124" s="1"/>
  <c r="BG48" i="125"/>
  <c r="BH48" i="125" s="1"/>
  <c r="BK48" i="125" s="1"/>
  <c r="BG46" i="130"/>
  <c r="BH46" i="130" s="1"/>
  <c r="BK46" i="130" s="1"/>
  <c r="BG23" i="127"/>
  <c r="BH23" i="127" s="1"/>
  <c r="BG46" i="123"/>
  <c r="BH46" i="123" s="1"/>
  <c r="BK46" i="123" s="1"/>
  <c r="BG56" i="128"/>
  <c r="BH56" i="128" s="1"/>
  <c r="BG42" i="128"/>
  <c r="BH42" i="128" s="1"/>
  <c r="BG30" i="130"/>
  <c r="BH30" i="130" s="1"/>
  <c r="BK30" i="130" s="1"/>
  <c r="BG16" i="130"/>
  <c r="BH16" i="130" s="1"/>
  <c r="BG23" i="123"/>
  <c r="BH23" i="123" s="1"/>
  <c r="BG31" i="131"/>
  <c r="BH31" i="131" s="1"/>
  <c r="BK31" i="131" s="1"/>
  <c r="BG43" i="132"/>
  <c r="BH43" i="132" s="1"/>
  <c r="BK43" i="132" s="1"/>
  <c r="BG42" i="122"/>
  <c r="BH42" i="122" s="1"/>
  <c r="BG37" i="128"/>
  <c r="BH37" i="128" s="1"/>
  <c r="BK37" i="128" s="1"/>
  <c r="BG24" i="130"/>
  <c r="BH24" i="130" s="1"/>
  <c r="BG13" i="127"/>
  <c r="BH13" i="127" s="1"/>
  <c r="W24" i="121"/>
  <c r="BG24" i="121"/>
  <c r="BH24" i="121" s="1"/>
  <c r="BG22" i="120"/>
  <c r="BH22" i="120" s="1"/>
  <c r="BK22" i="120" s="1"/>
  <c r="BG34" i="118"/>
  <c r="BH34" i="118" s="1"/>
  <c r="BK34" i="118" s="1"/>
  <c r="BG39" i="118"/>
  <c r="BH39" i="118" s="1"/>
  <c r="BK39" i="118" s="1"/>
  <c r="BG36" i="125"/>
  <c r="BH36" i="125" s="1"/>
  <c r="BK36" i="125" s="1"/>
  <c r="BG48" i="121"/>
  <c r="BH48" i="121" s="1"/>
  <c r="BK48" i="121" s="1"/>
  <c r="AU48" i="130"/>
  <c r="BG48" i="130"/>
  <c r="BH48" i="130" s="1"/>
  <c r="BK48" i="130" s="1"/>
  <c r="E19" i="118"/>
  <c r="BG34" i="127"/>
  <c r="BH34" i="127" s="1"/>
  <c r="BK34" i="127" s="1"/>
  <c r="BG11" i="125"/>
  <c r="BH11" i="125" s="1"/>
  <c r="L13" i="129"/>
  <c r="BG13" i="129"/>
  <c r="BH13" i="129" s="1"/>
  <c r="BG32" i="132"/>
  <c r="BH32" i="132" s="1"/>
  <c r="BK32" i="132" s="1"/>
  <c r="AZ53" i="119"/>
  <c r="BG53" i="119"/>
  <c r="BH53" i="119" s="1"/>
  <c r="BK53" i="119" s="1"/>
  <c r="H9" i="123"/>
  <c r="BG9" i="123"/>
  <c r="BH9" i="123" s="1"/>
  <c r="AY52" i="120"/>
  <c r="BG52" i="120"/>
  <c r="BH52" i="120" s="1"/>
  <c r="BK52" i="120" s="1"/>
  <c r="BG25" i="130"/>
  <c r="BH25" i="130" s="1"/>
  <c r="BK25" i="130" s="1"/>
  <c r="BF19" i="129"/>
  <c r="R19" i="129" s="1"/>
  <c r="BG9" i="118"/>
  <c r="BH9" i="118" s="1"/>
  <c r="BG56" i="121"/>
  <c r="BH56" i="121" s="1"/>
  <c r="BG41" i="125"/>
  <c r="BH41" i="125" s="1"/>
  <c r="BG36" i="120"/>
  <c r="BH36" i="120" s="1"/>
  <c r="BK36" i="120" s="1"/>
  <c r="BG10" i="129"/>
  <c r="BH10" i="129" s="1"/>
  <c r="BG45" i="117"/>
  <c r="BH45" i="117" s="1"/>
  <c r="BK45" i="117" s="1"/>
  <c r="BG23" i="128"/>
  <c r="BH23" i="128" s="1"/>
  <c r="BG11" i="126"/>
  <c r="BH11" i="126" s="1"/>
  <c r="BG15" i="128"/>
  <c r="BH15" i="128" s="1"/>
  <c r="R6" i="118"/>
  <c r="R59" i="118" s="1"/>
  <c r="BG17" i="117"/>
  <c r="BH17" i="117" s="1"/>
  <c r="BG50" i="121"/>
  <c r="BH50" i="121" s="1"/>
  <c r="BG38" i="126"/>
  <c r="BH38" i="126" s="1"/>
  <c r="BK38" i="126" s="1"/>
  <c r="BG42" i="132"/>
  <c r="BH42" i="132" s="1"/>
  <c r="BG26" i="130"/>
  <c r="BH26" i="130" s="1"/>
  <c r="BK26" i="130" s="1"/>
  <c r="BG44" i="125"/>
  <c r="BH44" i="125" s="1"/>
  <c r="BK44" i="125" s="1"/>
  <c r="BG49" i="121"/>
  <c r="BH49" i="121" s="1"/>
  <c r="BK49" i="121" s="1"/>
  <c r="BG55" i="118"/>
  <c r="BH55" i="118" s="1"/>
  <c r="BG16" i="122"/>
  <c r="BH16" i="122" s="1"/>
  <c r="BG21" i="130"/>
  <c r="BH21" i="130" s="1"/>
  <c r="BK21" i="130" s="1"/>
  <c r="BG33" i="121"/>
  <c r="BH33" i="121" s="1"/>
  <c r="BK33" i="121" s="1"/>
  <c r="BG32" i="128"/>
  <c r="BH32" i="128" s="1"/>
  <c r="BK32" i="128" s="1"/>
  <c r="BG9" i="128"/>
  <c r="BH9" i="128" s="1"/>
  <c r="BG15" i="126"/>
  <c r="BH15" i="126" s="1"/>
  <c r="BG33" i="131"/>
  <c r="BH33" i="131" s="1"/>
  <c r="BK33" i="131" s="1"/>
  <c r="BG27" i="117"/>
  <c r="BH27" i="117" s="1"/>
  <c r="BK27" i="117" s="1"/>
  <c r="Y26" i="117"/>
  <c r="BG26" i="117"/>
  <c r="BH26" i="117" s="1"/>
  <c r="BK26" i="117" s="1"/>
  <c r="BG10" i="119"/>
  <c r="BH10" i="119" s="1"/>
  <c r="BG35" i="130"/>
  <c r="BH35" i="130" s="1"/>
  <c r="BK35" i="130" s="1"/>
  <c r="BG51" i="122"/>
  <c r="BH51" i="122" s="1"/>
  <c r="BK51" i="122" s="1"/>
  <c r="BG9" i="121"/>
  <c r="BH9" i="121" s="1"/>
  <c r="BG21" i="118"/>
  <c r="BH21" i="118" s="1"/>
  <c r="BK21" i="118" s="1"/>
  <c r="BG41" i="130"/>
  <c r="BH41" i="130" s="1"/>
  <c r="AC30" i="125"/>
  <c r="BG30" i="125"/>
  <c r="BH30" i="125" s="1"/>
  <c r="BK30" i="125" s="1"/>
  <c r="BG44" i="126"/>
  <c r="BH44" i="126" s="1"/>
  <c r="BK44" i="126" s="1"/>
  <c r="E54" i="125"/>
  <c r="F19" i="125"/>
  <c r="F59" i="125" s="1"/>
  <c r="AA59" i="130"/>
  <c r="AN41" i="128"/>
  <c r="BG41" i="128"/>
  <c r="BH41" i="128" s="1"/>
  <c r="R7" i="121"/>
  <c r="BG8" i="130"/>
  <c r="BH8" i="130" s="1"/>
  <c r="BG25" i="119"/>
  <c r="BH25" i="119" s="1"/>
  <c r="BK25" i="119" s="1"/>
  <c r="BF28" i="131"/>
  <c r="AA28" i="131" s="1"/>
  <c r="BG44" i="127"/>
  <c r="BH44" i="127" s="1"/>
  <c r="BK44" i="127" s="1"/>
  <c r="BG41" i="119"/>
  <c r="BH41" i="119" s="1"/>
  <c r="BG9" i="127"/>
  <c r="BH9" i="127" s="1"/>
  <c r="BG37" i="123"/>
  <c r="BH37" i="123" s="1"/>
  <c r="BK37" i="123" s="1"/>
  <c r="BG27" i="126"/>
  <c r="BH27" i="126" s="1"/>
  <c r="BK27" i="126" s="1"/>
  <c r="BB55" i="124"/>
  <c r="BG55" i="124"/>
  <c r="BH55" i="124" s="1"/>
  <c r="BG52" i="125"/>
  <c r="BH52" i="125" s="1"/>
  <c r="BK52" i="125" s="1"/>
  <c r="BG32" i="124"/>
  <c r="BH32" i="124" s="1"/>
  <c r="BK32" i="124" s="1"/>
  <c r="BG53" i="117"/>
  <c r="BH53" i="117" s="1"/>
  <c r="BK53" i="117" s="1"/>
  <c r="BG47" i="122"/>
  <c r="BH47" i="122" s="1"/>
  <c r="BG24" i="120"/>
  <c r="BH24" i="120" s="1"/>
  <c r="BG55" i="122"/>
  <c r="BH55" i="122" s="1"/>
  <c r="BG25" i="118"/>
  <c r="BH25" i="118" s="1"/>
  <c r="BK25" i="118" s="1"/>
  <c r="BG35" i="119"/>
  <c r="BH35" i="119" s="1"/>
  <c r="BK35" i="119" s="1"/>
  <c r="BG10" i="127"/>
  <c r="BH10" i="127" s="1"/>
  <c r="F7" i="118"/>
  <c r="BG58" i="126"/>
  <c r="BH58" i="126" s="1"/>
  <c r="BG53" i="130"/>
  <c r="BH53" i="130" s="1"/>
  <c r="BK53" i="130" s="1"/>
  <c r="BG56" i="130"/>
  <c r="BH56" i="130" s="1"/>
  <c r="BG24" i="131"/>
  <c r="BH24" i="131" s="1"/>
  <c r="BG44" i="117"/>
  <c r="BH44" i="117" s="1"/>
  <c r="BK44" i="117" s="1"/>
  <c r="BG51" i="117"/>
  <c r="BH51" i="117" s="1"/>
  <c r="BK51" i="117" s="1"/>
  <c r="BG47" i="124"/>
  <c r="BH47" i="124" s="1"/>
  <c r="BG50" i="132"/>
  <c r="BH50" i="132" s="1"/>
  <c r="BG13" i="122"/>
  <c r="BH13" i="122" s="1"/>
  <c r="BG40" i="123"/>
  <c r="BH40" i="123" s="1"/>
  <c r="BK40" i="123" s="1"/>
  <c r="AJ37" i="127"/>
  <c r="BG37" i="127"/>
  <c r="BH37" i="127" s="1"/>
  <c r="BK37" i="127" s="1"/>
  <c r="AR45" i="127"/>
  <c r="BG45" i="127"/>
  <c r="BH45" i="127" s="1"/>
  <c r="BK45" i="127" s="1"/>
  <c r="BG24" i="127"/>
  <c r="BH24" i="127" s="1"/>
  <c r="BG46" i="117"/>
  <c r="BH46" i="117" s="1"/>
  <c r="BK46" i="117" s="1"/>
  <c r="AC30" i="121"/>
  <c r="BG30" i="121"/>
  <c r="BH30" i="121" s="1"/>
  <c r="BK30" i="121" s="1"/>
  <c r="AY52" i="131"/>
  <c r="BG52" i="131"/>
  <c r="BH52" i="131" s="1"/>
  <c r="BK52" i="131" s="1"/>
  <c r="BG41" i="124"/>
  <c r="BH41" i="124" s="1"/>
  <c r="AL39" i="126"/>
  <c r="BG39" i="126"/>
  <c r="BH39" i="126" s="1"/>
  <c r="BK39" i="126" s="1"/>
  <c r="BG25" i="117"/>
  <c r="BH25" i="117" s="1"/>
  <c r="BK25" i="117" s="1"/>
  <c r="AV49" i="119"/>
  <c r="BG49" i="119"/>
  <c r="BH49" i="119" s="1"/>
  <c r="BK49" i="119" s="1"/>
  <c r="BG47" i="132"/>
  <c r="BH47" i="132" s="1"/>
  <c r="AP43" i="120"/>
  <c r="BG43" i="120"/>
  <c r="BH43" i="120" s="1"/>
  <c r="BK43" i="120" s="1"/>
  <c r="AR45" i="118"/>
  <c r="BG45" i="118"/>
  <c r="BH45" i="118" s="1"/>
  <c r="BK45" i="118" s="1"/>
  <c r="V23" i="130"/>
  <c r="BG23" i="130"/>
  <c r="BH23" i="130" s="1"/>
  <c r="BG47" i="128"/>
  <c r="BH47" i="128" s="1"/>
  <c r="BD57" i="124"/>
  <c r="BG57" i="124"/>
  <c r="BH57" i="124" s="1"/>
  <c r="BK57" i="124" s="1"/>
  <c r="BG31" i="122"/>
  <c r="BH31" i="122" s="1"/>
  <c r="BK31" i="122" s="1"/>
  <c r="AV49" i="129"/>
  <c r="BG49" i="129"/>
  <c r="BH49" i="129" s="1"/>
  <c r="BK49" i="129" s="1"/>
  <c r="BG25" i="128"/>
  <c r="BH25" i="128" s="1"/>
  <c r="BK25" i="128" s="1"/>
  <c r="BG34" i="132"/>
  <c r="BH34" i="132" s="1"/>
  <c r="BK34" i="132" s="1"/>
  <c r="BG44" i="129"/>
  <c r="BH44" i="129" s="1"/>
  <c r="BK44" i="129" s="1"/>
  <c r="BG47" i="118"/>
  <c r="BH47" i="118" s="1"/>
  <c r="BG39" i="124"/>
  <c r="BH39" i="124" s="1"/>
  <c r="BK39" i="124" s="1"/>
  <c r="BG55" i="129"/>
  <c r="BH55" i="129" s="1"/>
  <c r="BG42" i="123"/>
  <c r="BH42" i="123" s="1"/>
  <c r="W24" i="122"/>
  <c r="BG24" i="122"/>
  <c r="BH24" i="122" s="1"/>
  <c r="BG46" i="131"/>
  <c r="BH46" i="131" s="1"/>
  <c r="BK46" i="131" s="1"/>
  <c r="BG32" i="121"/>
  <c r="BH32" i="121" s="1"/>
  <c r="BK32" i="121" s="1"/>
  <c r="BG42" i="125"/>
  <c r="BH42" i="125" s="1"/>
  <c r="BB55" i="125"/>
  <c r="BG55" i="125"/>
  <c r="BH55" i="125" s="1"/>
  <c r="BG36" i="119"/>
  <c r="BH36" i="119" s="1"/>
  <c r="BK36" i="119" s="1"/>
  <c r="AP43" i="118"/>
  <c r="BG43" i="118"/>
  <c r="BH43" i="118" s="1"/>
  <c r="BK43" i="118" s="1"/>
  <c r="BG15" i="127"/>
  <c r="BH15" i="127" s="1"/>
  <c r="BG9" i="119"/>
  <c r="BH9" i="119" s="1"/>
  <c r="AZ53" i="123"/>
  <c r="BG53" i="123"/>
  <c r="BH53" i="123" s="1"/>
  <c r="BK53" i="123" s="1"/>
  <c r="BG21" i="129"/>
  <c r="BH21" i="129" s="1"/>
  <c r="BK21" i="129" s="1"/>
  <c r="BG38" i="131"/>
  <c r="BH38" i="131" s="1"/>
  <c r="BK38" i="131" s="1"/>
  <c r="BG57" i="126"/>
  <c r="BH57" i="126" s="1"/>
  <c r="BK57" i="126" s="1"/>
  <c r="BG50" i="117"/>
  <c r="BH50" i="117" s="1"/>
  <c r="BG49" i="130"/>
  <c r="BH49" i="130" s="1"/>
  <c r="BK49" i="130" s="1"/>
  <c r="BG51" i="124"/>
  <c r="BH51" i="124" s="1"/>
  <c r="BK51" i="124" s="1"/>
  <c r="BG42" i="117"/>
  <c r="BH42" i="117" s="1"/>
  <c r="AR45" i="119"/>
  <c r="BG45" i="119"/>
  <c r="BH45" i="119" s="1"/>
  <c r="BK45" i="119" s="1"/>
  <c r="AK38" i="125"/>
  <c r="BG38" i="125"/>
  <c r="BH38" i="125" s="1"/>
  <c r="BK38" i="125" s="1"/>
  <c r="BG38" i="127"/>
  <c r="BH38" i="127" s="1"/>
  <c r="BK38" i="127" s="1"/>
  <c r="AY52" i="129"/>
  <c r="BG52" i="129"/>
  <c r="BH52" i="129" s="1"/>
  <c r="BK52" i="129" s="1"/>
  <c r="BG38" i="122"/>
  <c r="BH38" i="122" s="1"/>
  <c r="BK38" i="122" s="1"/>
  <c r="BG32" i="123"/>
  <c r="BH32" i="123" s="1"/>
  <c r="BK32" i="123" s="1"/>
  <c r="BG44" i="118"/>
  <c r="BH44" i="118" s="1"/>
  <c r="BK44" i="118" s="1"/>
  <c r="Y26" i="123"/>
  <c r="BG26" i="123"/>
  <c r="BH26" i="123" s="1"/>
  <c r="BK26" i="123" s="1"/>
  <c r="BG9" i="130"/>
  <c r="BH9" i="130" s="1"/>
  <c r="BG11" i="124"/>
  <c r="BH11" i="124" s="1"/>
  <c r="BG52" i="122"/>
  <c r="BH52" i="122" s="1"/>
  <c r="BK52" i="122" s="1"/>
  <c r="BG56" i="124"/>
  <c r="BH56" i="124" s="1"/>
  <c r="V23" i="126"/>
  <c r="BG23" i="126"/>
  <c r="BH23" i="126" s="1"/>
  <c r="BG44" i="120"/>
  <c r="BH44" i="120" s="1"/>
  <c r="BK44" i="120" s="1"/>
  <c r="BG9" i="129"/>
  <c r="BH9" i="129" s="1"/>
  <c r="AR45" i="132"/>
  <c r="BG45" i="132"/>
  <c r="BH45" i="132" s="1"/>
  <c r="BK45" i="132" s="1"/>
  <c r="BG47" i="119"/>
  <c r="BH47" i="119" s="1"/>
  <c r="BG10" i="126"/>
  <c r="BH10" i="126" s="1"/>
  <c r="AL39" i="117"/>
  <c r="BG39" i="117"/>
  <c r="BH39" i="117" s="1"/>
  <c r="BK39" i="117" s="1"/>
  <c r="Z27" i="127"/>
  <c r="BG27" i="127"/>
  <c r="BH27" i="127" s="1"/>
  <c r="BK27" i="127" s="1"/>
  <c r="AG34" i="126"/>
  <c r="BG34" i="126"/>
  <c r="BH34" i="126" s="1"/>
  <c r="BK34" i="126" s="1"/>
  <c r="AY52" i="130"/>
  <c r="BG52" i="130"/>
  <c r="BH52" i="130" s="1"/>
  <c r="BK52" i="130" s="1"/>
  <c r="Z27" i="132"/>
  <c r="BG27" i="132"/>
  <c r="BH27" i="132" s="1"/>
  <c r="BK27" i="132" s="1"/>
  <c r="BG9" i="120"/>
  <c r="BH9" i="120" s="1"/>
  <c r="X25" i="125"/>
  <c r="BG25" i="125"/>
  <c r="BH25" i="125" s="1"/>
  <c r="BK25" i="125" s="1"/>
  <c r="BG56" i="129"/>
  <c r="BH56" i="129" s="1"/>
  <c r="BG36" i="127"/>
  <c r="BH36" i="127" s="1"/>
  <c r="BK36" i="127" s="1"/>
  <c r="AF33" i="132"/>
  <c r="BG33" i="132"/>
  <c r="BH33" i="132" s="1"/>
  <c r="BK33" i="132" s="1"/>
  <c r="AP43" i="119"/>
  <c r="BG43" i="119"/>
  <c r="BH43" i="119" s="1"/>
  <c r="BK43" i="119" s="1"/>
  <c r="BG26" i="118"/>
  <c r="BH26" i="118" s="1"/>
  <c r="BK26" i="118" s="1"/>
  <c r="BG47" i="130"/>
  <c r="BH47" i="130" s="1"/>
  <c r="BG22" i="123"/>
  <c r="BH22" i="123" s="1"/>
  <c r="BK22" i="123" s="1"/>
  <c r="BG30" i="119"/>
  <c r="BH30" i="119" s="1"/>
  <c r="BK30" i="119" s="1"/>
  <c r="BG36" i="117"/>
  <c r="BH36" i="117" s="1"/>
  <c r="BK36" i="117" s="1"/>
  <c r="BG41" i="132"/>
  <c r="BH41" i="132" s="1"/>
  <c r="BG42" i="119"/>
  <c r="BH42" i="119" s="1"/>
  <c r="BG37" i="120"/>
  <c r="BH37" i="120" s="1"/>
  <c r="BK37" i="120" s="1"/>
  <c r="BG48" i="126"/>
  <c r="BH48" i="126" s="1"/>
  <c r="BK48" i="126" s="1"/>
  <c r="BG43" i="124"/>
  <c r="BH43" i="124" s="1"/>
  <c r="BK43" i="124" s="1"/>
  <c r="BG41" i="123"/>
  <c r="BH41" i="123" s="1"/>
  <c r="BG50" i="128"/>
  <c r="BH50" i="128" s="1"/>
  <c r="AS46" i="122"/>
  <c r="BG46" i="122"/>
  <c r="BH46" i="122" s="1"/>
  <c r="BK46" i="122" s="1"/>
  <c r="AL39" i="125"/>
  <c r="BG39" i="125"/>
  <c r="BH39" i="125" s="1"/>
  <c r="BK39" i="125" s="1"/>
  <c r="BG21" i="127"/>
  <c r="BH21" i="127" s="1"/>
  <c r="BK21" i="127" s="1"/>
  <c r="BG23" i="124"/>
  <c r="BH23" i="124" s="1"/>
  <c r="BG33" i="128"/>
  <c r="BH33" i="128" s="1"/>
  <c r="BK33" i="128" s="1"/>
  <c r="I10" i="130"/>
  <c r="BG10" i="130"/>
  <c r="BH10" i="130" s="1"/>
  <c r="AU48" i="122"/>
  <c r="BG48" i="122"/>
  <c r="BH48" i="122" s="1"/>
  <c r="BK48" i="122" s="1"/>
  <c r="AR45" i="123"/>
  <c r="BG45" i="123"/>
  <c r="BH45" i="123" s="1"/>
  <c r="BK45" i="123" s="1"/>
  <c r="BG36" i="128"/>
  <c r="BH36" i="128" s="1"/>
  <c r="BK36" i="128" s="1"/>
  <c r="BG52" i="126"/>
  <c r="BH52" i="126" s="1"/>
  <c r="BK52" i="126" s="1"/>
  <c r="BG57" i="118"/>
  <c r="BH57" i="118" s="1"/>
  <c r="BK57" i="118" s="1"/>
  <c r="BG52" i="121"/>
  <c r="BH52" i="121" s="1"/>
  <c r="BK52" i="121" s="1"/>
  <c r="BG34" i="122"/>
  <c r="BH34" i="122" s="1"/>
  <c r="BK34" i="122" s="1"/>
  <c r="Z27" i="119"/>
  <c r="BG27" i="119"/>
  <c r="BH27" i="119" s="1"/>
  <c r="BK27" i="119" s="1"/>
  <c r="BG46" i="121"/>
  <c r="BH46" i="121" s="1"/>
  <c r="BK46" i="121" s="1"/>
  <c r="BG37" i="118"/>
  <c r="BH37" i="118" s="1"/>
  <c r="BK37" i="118" s="1"/>
  <c r="BG57" i="123"/>
  <c r="BH57" i="123" s="1"/>
  <c r="BK57" i="123" s="1"/>
  <c r="BG9" i="125"/>
  <c r="BH9" i="125" s="1"/>
  <c r="BG51" i="131"/>
  <c r="BH51" i="131" s="1"/>
  <c r="BK51" i="131" s="1"/>
  <c r="BG31" i="130"/>
  <c r="BH31" i="130" s="1"/>
  <c r="BK31" i="130" s="1"/>
  <c r="BF6" i="130"/>
  <c r="E6" i="130" s="1"/>
  <c r="BG20" i="131"/>
  <c r="BH20" i="131" s="1"/>
  <c r="BG58" i="130"/>
  <c r="BH58" i="130" s="1"/>
  <c r="BG58" i="119"/>
  <c r="BH58" i="119" s="1"/>
  <c r="R6" i="129"/>
  <c r="BG20" i="129"/>
  <c r="BH20" i="129" s="1"/>
  <c r="BG20" i="128"/>
  <c r="BH20" i="128" s="1"/>
  <c r="BG58" i="129"/>
  <c r="BH58" i="129" s="1"/>
  <c r="BG58" i="120"/>
  <c r="BH58" i="120" s="1"/>
  <c r="E59" i="131"/>
  <c r="R6" i="124"/>
  <c r="BF7" i="124"/>
  <c r="F7" i="124" s="1"/>
  <c r="BG20" i="126"/>
  <c r="BH20" i="126" s="1"/>
  <c r="BG20" i="125"/>
  <c r="BH20" i="125" s="1"/>
  <c r="BG20" i="130"/>
  <c r="BH20" i="130" s="1"/>
  <c r="BG58" i="132"/>
  <c r="BH58" i="132" s="1"/>
  <c r="R6" i="120"/>
  <c r="BF7" i="120"/>
  <c r="BG20" i="119"/>
  <c r="BH20" i="119" s="1"/>
  <c r="BK20" i="117"/>
  <c r="BG20" i="123"/>
  <c r="BH20" i="123" s="1"/>
  <c r="BG20" i="124"/>
  <c r="BH20" i="124" s="1"/>
  <c r="BG58" i="118"/>
  <c r="BH58" i="118" s="1"/>
  <c r="BG20" i="118"/>
  <c r="BH20" i="118" s="1"/>
  <c r="R6" i="127"/>
  <c r="BF7" i="127"/>
  <c r="BE58" i="122" l="1"/>
  <c r="BG58" i="122"/>
  <c r="BH58" i="122" s="1"/>
  <c r="S20" i="127"/>
  <c r="BG20" i="127"/>
  <c r="BH20" i="127" s="1"/>
  <c r="BK20" i="127" s="1"/>
  <c r="BE58" i="127"/>
  <c r="BG58" i="127"/>
  <c r="BH58" i="127" s="1"/>
  <c r="BE58" i="121"/>
  <c r="BG58" i="121"/>
  <c r="BH58" i="121" s="1"/>
  <c r="BE58" i="117"/>
  <c r="BG58" i="117"/>
  <c r="BH58" i="117" s="1"/>
  <c r="BA54" i="127"/>
  <c r="BG54" i="127"/>
  <c r="BH54" i="127" s="1"/>
  <c r="BK54" i="127" s="1"/>
  <c r="E54" i="130"/>
  <c r="BF54" i="130" s="1"/>
  <c r="F19" i="130"/>
  <c r="F59" i="130" s="1"/>
  <c r="AH35" i="123"/>
  <c r="BG35" i="123"/>
  <c r="BH35" i="123" s="1"/>
  <c r="BK35" i="123" s="1"/>
  <c r="L13" i="123"/>
  <c r="BG13" i="123"/>
  <c r="BH13" i="123" s="1"/>
  <c r="AZ53" i="131"/>
  <c r="BG53" i="131"/>
  <c r="BH53" i="131" s="1"/>
  <c r="BK53" i="131" s="1"/>
  <c r="BG33" i="117"/>
  <c r="BH33" i="117" s="1"/>
  <c r="BK33" i="117" s="1"/>
  <c r="BG15" i="129"/>
  <c r="BH15" i="129" s="1"/>
  <c r="X25" i="123"/>
  <c r="BG25" i="123"/>
  <c r="BH25" i="123" s="1"/>
  <c r="BK25" i="123" s="1"/>
  <c r="BG18" i="121"/>
  <c r="BH18" i="121" s="1"/>
  <c r="Q18" i="121"/>
  <c r="BG12" i="124"/>
  <c r="BH12" i="124" s="1"/>
  <c r="BG30" i="122"/>
  <c r="BH30" i="122" s="1"/>
  <c r="BK30" i="122" s="1"/>
  <c r="AI36" i="123"/>
  <c r="BG36" i="123"/>
  <c r="BH36" i="123" s="1"/>
  <c r="BK36" i="123" s="1"/>
  <c r="F19" i="124"/>
  <c r="F59" i="124" s="1"/>
  <c r="E28" i="124"/>
  <c r="BG18" i="125"/>
  <c r="BH18" i="125" s="1"/>
  <c r="BG29" i="130"/>
  <c r="BH29" i="130" s="1"/>
  <c r="BK29" i="130" s="1"/>
  <c r="D5" i="120"/>
  <c r="BG23" i="117"/>
  <c r="BH23" i="117" s="1"/>
  <c r="I10" i="122"/>
  <c r="BG10" i="122"/>
  <c r="BH10" i="122" s="1"/>
  <c r="AG34" i="123"/>
  <c r="BG34" i="123"/>
  <c r="BH34" i="123" s="1"/>
  <c r="BK34" i="123" s="1"/>
  <c r="BG14" i="127"/>
  <c r="BH14" i="127" s="1"/>
  <c r="E28" i="119"/>
  <c r="F19" i="119"/>
  <c r="F59" i="119" s="1"/>
  <c r="BG7" i="119" s="1"/>
  <c r="BH7" i="119" s="1"/>
  <c r="BG16" i="126"/>
  <c r="BH16" i="126" s="1"/>
  <c r="AI36" i="131"/>
  <c r="BG36" i="131"/>
  <c r="BH36" i="131" s="1"/>
  <c r="BK36" i="131" s="1"/>
  <c r="BG49" i="125"/>
  <c r="BH49" i="125" s="1"/>
  <c r="BK49" i="125" s="1"/>
  <c r="BG14" i="117"/>
  <c r="BH14" i="117" s="1"/>
  <c r="BG8" i="124"/>
  <c r="BH8" i="124" s="1"/>
  <c r="AS46" i="128"/>
  <c r="BG46" i="128"/>
  <c r="BH46" i="128" s="1"/>
  <c r="BK46" i="128" s="1"/>
  <c r="AL39" i="131"/>
  <c r="BG39" i="131"/>
  <c r="BH39" i="131" s="1"/>
  <c r="BK39" i="131" s="1"/>
  <c r="BG9" i="124"/>
  <c r="BH9" i="124" s="1"/>
  <c r="BG18" i="119"/>
  <c r="BH18" i="119" s="1"/>
  <c r="BG54" i="123"/>
  <c r="BH54" i="123" s="1"/>
  <c r="BK54" i="123" s="1"/>
  <c r="AB29" i="128"/>
  <c r="BG29" i="128"/>
  <c r="BH29" i="128" s="1"/>
  <c r="BK29" i="128" s="1"/>
  <c r="Q18" i="130"/>
  <c r="BG18" i="130"/>
  <c r="BH18" i="130" s="1"/>
  <c r="I10" i="128"/>
  <c r="BG10" i="128"/>
  <c r="BH10" i="128" s="1"/>
  <c r="BG11" i="123"/>
  <c r="BH11" i="123" s="1"/>
  <c r="BG41" i="129"/>
  <c r="BH41" i="129" s="1"/>
  <c r="BG29" i="127"/>
  <c r="BH29" i="127" s="1"/>
  <c r="BK29" i="127" s="1"/>
  <c r="N15" i="118"/>
  <c r="BG15" i="118"/>
  <c r="BH15" i="118" s="1"/>
  <c r="E28" i="120"/>
  <c r="F19" i="120"/>
  <c r="F59" i="120" s="1"/>
  <c r="BG17" i="118"/>
  <c r="BH17" i="118" s="1"/>
  <c r="BG8" i="121"/>
  <c r="BH8" i="121" s="1"/>
  <c r="BG29" i="117"/>
  <c r="BH29" i="117" s="1"/>
  <c r="BK29" i="117" s="1"/>
  <c r="N15" i="117"/>
  <c r="BG15" i="117"/>
  <c r="BH15" i="117" s="1"/>
  <c r="Q18" i="118"/>
  <c r="BG18" i="118"/>
  <c r="BH18" i="118" s="1"/>
  <c r="BE58" i="125"/>
  <c r="BG58" i="125"/>
  <c r="BH58" i="125" s="1"/>
  <c r="BG30" i="120"/>
  <c r="BH30" i="120" s="1"/>
  <c r="BK30" i="120" s="1"/>
  <c r="AY52" i="119"/>
  <c r="BG52" i="119"/>
  <c r="BH52" i="119" s="1"/>
  <c r="BK52" i="119" s="1"/>
  <c r="BG12" i="122"/>
  <c r="BH12" i="122" s="1"/>
  <c r="BG29" i="131"/>
  <c r="BH29" i="131" s="1"/>
  <c r="BK29" i="131" s="1"/>
  <c r="BG17" i="119"/>
  <c r="BH17" i="119" s="1"/>
  <c r="BG11" i="122"/>
  <c r="BH11" i="122" s="1"/>
  <c r="N15" i="121"/>
  <c r="BG15" i="121"/>
  <c r="BH15" i="121" s="1"/>
  <c r="AB29" i="123"/>
  <c r="BG29" i="123"/>
  <c r="BH29" i="123" s="1"/>
  <c r="BK29" i="123" s="1"/>
  <c r="BG8" i="126"/>
  <c r="BH8" i="126" s="1"/>
  <c r="BG24" i="124"/>
  <c r="BH24" i="124" s="1"/>
  <c r="F19" i="127"/>
  <c r="F59" i="127" s="1"/>
  <c r="BG55" i="120"/>
  <c r="BH55" i="120" s="1"/>
  <c r="AB29" i="119"/>
  <c r="BG29" i="119"/>
  <c r="BH29" i="119" s="1"/>
  <c r="BK29" i="119" s="1"/>
  <c r="BG20" i="122"/>
  <c r="BH20" i="122" s="1"/>
  <c r="BK20" i="122" s="1"/>
  <c r="AA6" i="126"/>
  <c r="AA59" i="126" s="1"/>
  <c r="BG28" i="126" s="1"/>
  <c r="BH28" i="126" s="1"/>
  <c r="R7" i="126"/>
  <c r="BG58" i="128"/>
  <c r="BH58" i="128" s="1"/>
  <c r="BG16" i="128"/>
  <c r="BH16" i="128" s="1"/>
  <c r="E28" i="122"/>
  <c r="F19" i="122"/>
  <c r="F59" i="122" s="1"/>
  <c r="BG7" i="122" s="1"/>
  <c r="BH7" i="122" s="1"/>
  <c r="BG16" i="123"/>
  <c r="BH16" i="123" s="1"/>
  <c r="BG18" i="129"/>
  <c r="BH18" i="129" s="1"/>
  <c r="BG16" i="127"/>
  <c r="BH16" i="127" s="1"/>
  <c r="BG25" i="127"/>
  <c r="BH25" i="127" s="1"/>
  <c r="BK25" i="127" s="1"/>
  <c r="BG8" i="125"/>
  <c r="BH8" i="125" s="1"/>
  <c r="Q18" i="117"/>
  <c r="BG18" i="117"/>
  <c r="BH18" i="117" s="1"/>
  <c r="BE58" i="123"/>
  <c r="BG58" i="123"/>
  <c r="BH58" i="123" s="1"/>
  <c r="E19" i="127"/>
  <c r="BB55" i="127"/>
  <c r="BG55" i="127"/>
  <c r="BH55" i="127" s="1"/>
  <c r="M14" i="126"/>
  <c r="BG14" i="126"/>
  <c r="BH14" i="126" s="1"/>
  <c r="L13" i="125"/>
  <c r="BG13" i="125"/>
  <c r="BH13" i="125" s="1"/>
  <c r="G8" i="127"/>
  <c r="BG8" i="127"/>
  <c r="BH8" i="127" s="1"/>
  <c r="BG54" i="119"/>
  <c r="BH54" i="119" s="1"/>
  <c r="BK54" i="119" s="1"/>
  <c r="BA54" i="119"/>
  <c r="BG32" i="119"/>
  <c r="BH32" i="119" s="1"/>
  <c r="BK32" i="119" s="1"/>
  <c r="AZ53" i="122"/>
  <c r="BG53" i="122"/>
  <c r="BH53" i="122" s="1"/>
  <c r="BK53" i="122" s="1"/>
  <c r="E28" i="128"/>
  <c r="F19" i="128"/>
  <c r="F59" i="128" s="1"/>
  <c r="BG56" i="131"/>
  <c r="BH56" i="131" s="1"/>
  <c r="BH6" i="118"/>
  <c r="E28" i="121"/>
  <c r="F19" i="121"/>
  <c r="F59" i="121" s="1"/>
  <c r="AA6" i="125"/>
  <c r="AA59" i="125" s="1"/>
  <c r="R7" i="125"/>
  <c r="BG49" i="126"/>
  <c r="BH49" i="126" s="1"/>
  <c r="BK49" i="126" s="1"/>
  <c r="L13" i="126"/>
  <c r="BG13" i="126"/>
  <c r="BH13" i="126" s="1"/>
  <c r="AB29" i="122"/>
  <c r="BG29" i="122"/>
  <c r="BH29" i="122" s="1"/>
  <c r="BK29" i="122" s="1"/>
  <c r="E28" i="123"/>
  <c r="F19" i="123"/>
  <c r="F59" i="123" s="1"/>
  <c r="BF28" i="130"/>
  <c r="AA28" i="130" s="1"/>
  <c r="E19" i="130"/>
  <c r="AB29" i="129"/>
  <c r="BG29" i="129"/>
  <c r="BH29" i="129" s="1"/>
  <c r="BK29" i="129" s="1"/>
  <c r="AM40" i="130"/>
  <c r="BG40" i="130"/>
  <c r="BH40" i="130" s="1"/>
  <c r="BK40" i="130" s="1"/>
  <c r="BG29" i="125"/>
  <c r="BH29" i="125" s="1"/>
  <c r="BK29" i="125" s="1"/>
  <c r="BG12" i="117"/>
  <c r="BH12" i="117" s="1"/>
  <c r="E28" i="117"/>
  <c r="F19" i="117"/>
  <c r="F59" i="117" s="1"/>
  <c r="BG12" i="127"/>
  <c r="BH12" i="127" s="1"/>
  <c r="BG44" i="132"/>
  <c r="BH44" i="132" s="1"/>
  <c r="BK44" i="132" s="1"/>
  <c r="BG15" i="120"/>
  <c r="BH15" i="120" s="1"/>
  <c r="BA54" i="122"/>
  <c r="BG54" i="122"/>
  <c r="BH54" i="122" s="1"/>
  <c r="BK54" i="122" s="1"/>
  <c r="AB29" i="120"/>
  <c r="BG29" i="120"/>
  <c r="BH29" i="120" s="1"/>
  <c r="BK29" i="120" s="1"/>
  <c r="Q18" i="126"/>
  <c r="BG18" i="126"/>
  <c r="BH18" i="126" s="1"/>
  <c r="BG28" i="131"/>
  <c r="BH28" i="131" s="1"/>
  <c r="M14" i="121"/>
  <c r="BG14" i="121"/>
  <c r="BH14" i="121" s="1"/>
  <c r="E59" i="132"/>
  <c r="BH6" i="122"/>
  <c r="BF7" i="123"/>
  <c r="F7" i="123" s="1"/>
  <c r="R6" i="123"/>
  <c r="BH5" i="132"/>
  <c r="BF6" i="118"/>
  <c r="E6" i="118" s="1"/>
  <c r="BF7" i="129"/>
  <c r="F7" i="129" s="1"/>
  <c r="BG7" i="130"/>
  <c r="BH7" i="130" s="1"/>
  <c r="BH6" i="130" s="1"/>
  <c r="BG54" i="124"/>
  <c r="BH54" i="124" s="1"/>
  <c r="BK54" i="124" s="1"/>
  <c r="BA54" i="124"/>
  <c r="BF7" i="117"/>
  <c r="F7" i="117" s="1"/>
  <c r="R6" i="117"/>
  <c r="R6" i="128"/>
  <c r="BF7" i="128"/>
  <c r="BG28" i="125"/>
  <c r="BH28" i="125" s="1"/>
  <c r="BH19" i="125" s="1"/>
  <c r="BK19" i="125" s="1"/>
  <c r="BF19" i="118"/>
  <c r="R19" i="118" s="1"/>
  <c r="E59" i="118"/>
  <c r="BG6" i="118" s="1"/>
  <c r="R6" i="121"/>
  <c r="BF7" i="121"/>
  <c r="BF6" i="122"/>
  <c r="R59" i="122"/>
  <c r="BF7" i="131"/>
  <c r="R6" i="131"/>
  <c r="BA54" i="118"/>
  <c r="BG54" i="118"/>
  <c r="BH54" i="118" s="1"/>
  <c r="BK54" i="118" s="1"/>
  <c r="BF54" i="125"/>
  <c r="E19" i="125"/>
  <c r="R59" i="132"/>
  <c r="BG19" i="132" s="1"/>
  <c r="BF6" i="132"/>
  <c r="E6" i="132" s="1"/>
  <c r="BK20" i="118"/>
  <c r="BH19" i="118"/>
  <c r="BK20" i="119"/>
  <c r="BG7" i="124"/>
  <c r="BH7" i="124" s="1"/>
  <c r="BH6" i="124" s="1"/>
  <c r="BH19" i="129"/>
  <c r="BK19" i="129" s="1"/>
  <c r="BK20" i="129"/>
  <c r="BK20" i="126"/>
  <c r="BH19" i="126"/>
  <c r="BK19" i="126" s="1"/>
  <c r="BK20" i="124"/>
  <c r="F7" i="120"/>
  <c r="BG7" i="120"/>
  <c r="BH7" i="120" s="1"/>
  <c r="BH6" i="120" s="1"/>
  <c r="BH19" i="130"/>
  <c r="BK19" i="130" s="1"/>
  <c r="BK20" i="130"/>
  <c r="R59" i="129"/>
  <c r="BG19" i="129" s="1"/>
  <c r="BF6" i="129"/>
  <c r="R59" i="120"/>
  <c r="BF6" i="120"/>
  <c r="BK20" i="128"/>
  <c r="BK20" i="131"/>
  <c r="BH19" i="131"/>
  <c r="BK19" i="131" s="1"/>
  <c r="F7" i="127"/>
  <c r="BG7" i="127"/>
  <c r="BH7" i="127" s="1"/>
  <c r="BK20" i="123"/>
  <c r="BK20" i="125"/>
  <c r="R59" i="124"/>
  <c r="BF6" i="124"/>
  <c r="BF6" i="127"/>
  <c r="R59" i="127"/>
  <c r="BH19" i="127" l="1"/>
  <c r="BK19" i="127" s="1"/>
  <c r="BH6" i="127"/>
  <c r="BF19" i="130"/>
  <c r="E59" i="130"/>
  <c r="BG6" i="130" s="1"/>
  <c r="BF19" i="127"/>
  <c r="R19" i="127" s="1"/>
  <c r="E59" i="127"/>
  <c r="E19" i="120"/>
  <c r="BF28" i="120"/>
  <c r="BF28" i="124"/>
  <c r="E19" i="124"/>
  <c r="BF7" i="125"/>
  <c r="R6" i="125"/>
  <c r="BG7" i="129"/>
  <c r="BH7" i="129" s="1"/>
  <c r="BH6" i="129" s="1"/>
  <c r="BH5" i="129" s="1"/>
  <c r="E19" i="128"/>
  <c r="BF28" i="128"/>
  <c r="R6" i="126"/>
  <c r="BF7" i="126"/>
  <c r="BA54" i="130"/>
  <c r="BG54" i="130"/>
  <c r="BH54" i="130" s="1"/>
  <c r="BK54" i="130" s="1"/>
  <c r="E19" i="123"/>
  <c r="BF28" i="123"/>
  <c r="BF28" i="121"/>
  <c r="E19" i="121"/>
  <c r="BG28" i="130"/>
  <c r="BH28" i="130" s="1"/>
  <c r="BH6" i="119"/>
  <c r="BG7" i="123"/>
  <c r="BH7" i="123" s="1"/>
  <c r="BH6" i="123" s="1"/>
  <c r="E19" i="122"/>
  <c r="BF28" i="122"/>
  <c r="E19" i="119"/>
  <c r="BF28" i="119"/>
  <c r="E19" i="117"/>
  <c r="BF28" i="117"/>
  <c r="R59" i="128"/>
  <c r="BF6" i="128"/>
  <c r="BG19" i="118"/>
  <c r="F7" i="128"/>
  <c r="BG7" i="128"/>
  <c r="BH7" i="128" s="1"/>
  <c r="BH6" i="128" s="1"/>
  <c r="R59" i="117"/>
  <c r="BF6" i="117"/>
  <c r="R59" i="123"/>
  <c r="BF6" i="123"/>
  <c r="BG7" i="117"/>
  <c r="BH7" i="117" s="1"/>
  <c r="BH6" i="117" s="1"/>
  <c r="BF19" i="125"/>
  <c r="R19" i="125" s="1"/>
  <c r="E59" i="125"/>
  <c r="BG6" i="132"/>
  <c r="BF6" i="131"/>
  <c r="R59" i="131"/>
  <c r="BG19" i="131" s="1"/>
  <c r="BF6" i="121"/>
  <c r="R59" i="121"/>
  <c r="BA54" i="125"/>
  <c r="BG54" i="125"/>
  <c r="BH54" i="125" s="1"/>
  <c r="BK54" i="125" s="1"/>
  <c r="F7" i="121"/>
  <c r="BG7" i="121"/>
  <c r="BH7" i="121" s="1"/>
  <c r="BH6" i="121" s="1"/>
  <c r="F7" i="131"/>
  <c r="BG7" i="131"/>
  <c r="BH7" i="131" s="1"/>
  <c r="BH6" i="131" s="1"/>
  <c r="BH5" i="131" s="1"/>
  <c r="E6" i="122"/>
  <c r="E6" i="124"/>
  <c r="BH5" i="130"/>
  <c r="E6" i="127"/>
  <c r="BG6" i="127"/>
  <c r="E6" i="129"/>
  <c r="BG6" i="129"/>
  <c r="E6" i="120"/>
  <c r="BK19" i="118"/>
  <c r="BH5" i="118"/>
  <c r="BH5" i="127" l="1"/>
  <c r="AA28" i="123"/>
  <c r="BG28" i="123"/>
  <c r="BH28" i="123" s="1"/>
  <c r="BH19" i="123" s="1"/>
  <c r="F7" i="126"/>
  <c r="BG7" i="126"/>
  <c r="BH7" i="126" s="1"/>
  <c r="BH6" i="126" s="1"/>
  <c r="BH5" i="126" s="1"/>
  <c r="R59" i="125"/>
  <c r="BG19" i="125" s="1"/>
  <c r="BF6" i="125"/>
  <c r="AA28" i="120"/>
  <c r="BG28" i="120"/>
  <c r="BH28" i="120" s="1"/>
  <c r="BH19" i="120" s="1"/>
  <c r="BG19" i="127"/>
  <c r="BF19" i="123"/>
  <c r="R19" i="123" s="1"/>
  <c r="E59" i="123"/>
  <c r="F7" i="125"/>
  <c r="BG7" i="125"/>
  <c r="BH7" i="125" s="1"/>
  <c r="BH6" i="125" s="1"/>
  <c r="BH5" i="125" s="1"/>
  <c r="E59" i="120"/>
  <c r="BG6" i="120" s="1"/>
  <c r="BF19" i="120"/>
  <c r="R59" i="126"/>
  <c r="BG19" i="126" s="1"/>
  <c r="BF6" i="126"/>
  <c r="AA28" i="128"/>
  <c r="BG28" i="128"/>
  <c r="BH28" i="128" s="1"/>
  <c r="BH19" i="128" s="1"/>
  <c r="BK19" i="128" s="1"/>
  <c r="AA28" i="119"/>
  <c r="BG28" i="119"/>
  <c r="BH28" i="119" s="1"/>
  <c r="BH19" i="119" s="1"/>
  <c r="BF19" i="128"/>
  <c r="R19" i="128" s="1"/>
  <c r="E59" i="128"/>
  <c r="BG6" i="128" s="1"/>
  <c r="BG19" i="117"/>
  <c r="AA28" i="117"/>
  <c r="BG28" i="117"/>
  <c r="BH28" i="117" s="1"/>
  <c r="BH19" i="117" s="1"/>
  <c r="BK19" i="117" s="1"/>
  <c r="BF19" i="119"/>
  <c r="E59" i="119"/>
  <c r="BG6" i="119" s="1"/>
  <c r="R19" i="130"/>
  <c r="BG19" i="130"/>
  <c r="BF19" i="117"/>
  <c r="R19" i="117" s="1"/>
  <c r="E59" i="117"/>
  <c r="AA28" i="122"/>
  <c r="BG28" i="122"/>
  <c r="BH28" i="122" s="1"/>
  <c r="BH19" i="122" s="1"/>
  <c r="E59" i="121"/>
  <c r="BF19" i="121"/>
  <c r="R19" i="121" s="1"/>
  <c r="E59" i="124"/>
  <c r="BG6" i="124" s="1"/>
  <c r="BF19" i="124"/>
  <c r="BF19" i="122"/>
  <c r="E59" i="122"/>
  <c r="BG6" i="122" s="1"/>
  <c r="AA28" i="121"/>
  <c r="BG28" i="121"/>
  <c r="BH28" i="121" s="1"/>
  <c r="BH19" i="121" s="1"/>
  <c r="BK19" i="121" s="1"/>
  <c r="AA28" i="124"/>
  <c r="BG28" i="124"/>
  <c r="BH28" i="124" s="1"/>
  <c r="BH19" i="124" s="1"/>
  <c r="E6" i="117"/>
  <c r="BG6" i="117"/>
  <c r="E6" i="128"/>
  <c r="E6" i="123"/>
  <c r="BG6" i="123"/>
  <c r="E6" i="121"/>
  <c r="BG6" i="121"/>
  <c r="E6" i="131"/>
  <c r="BG6" i="131"/>
  <c r="BH5" i="128" l="1"/>
  <c r="E6" i="125"/>
  <c r="BG6" i="125"/>
  <c r="R19" i="124"/>
  <c r="BG19" i="124"/>
  <c r="R19" i="119"/>
  <c r="BG19" i="119"/>
  <c r="BG19" i="128"/>
  <c r="R19" i="120"/>
  <c r="BG19" i="120"/>
  <c r="BH5" i="117"/>
  <c r="R19" i="122"/>
  <c r="BG19" i="122"/>
  <c r="BG19" i="123"/>
  <c r="BH5" i="121"/>
  <c r="BK19" i="123"/>
  <c r="BH5" i="123"/>
  <c r="BK19" i="122"/>
  <c r="BH5" i="122"/>
  <c r="BG19" i="121"/>
  <c r="BK19" i="119"/>
  <c r="BH5" i="119"/>
  <c r="E6" i="126"/>
  <c r="BG6" i="126"/>
  <c r="BK19" i="120"/>
  <c r="BH5" i="120"/>
  <c r="BK19" i="124"/>
  <c r="BH5" i="124"/>
</calcChain>
</file>

<file path=xl/sharedStrings.xml><?xml version="1.0" encoding="utf-8"?>
<sst xmlns="http://schemas.openxmlformats.org/spreadsheetml/2006/main" count="9928" uniqueCount="1197">
  <si>
    <t>STT</t>
  </si>
  <si>
    <t>Chỉ tiêu</t>
  </si>
  <si>
    <t>Mã</t>
  </si>
  <si>
    <t>Diện tích (ha)</t>
  </si>
  <si>
    <t>Cơ cấu 
(%)</t>
  </si>
  <si>
    <t>(1)</t>
  </si>
  <si>
    <t>(2)</t>
  </si>
  <si>
    <t>(3)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</si>
  <si>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</si>
  <si>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</si>
  <si>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</si>
  <si>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</si>
  <si>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</si>
  <si>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</si>
  <si>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</si>
  <si>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</si>
  <si>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</si>
  <si>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</si>
  <si>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</si>
  <si>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</si>
  <si>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TỔNG DIỆN TÍCH TỰ NHIÊN (1+2+3)</t>
  </si>
  <si>
    <t>Đất nông nghiệp</t>
  </si>
  <si>
    <t>NNP</t>
  </si>
  <si>
    <t>1.1</t>
  </si>
  <si>
    <t>Đất trồng lúa</t>
  </si>
  <si>
    <t>LUA</t>
  </si>
  <si>
    <t>- Đất chuyên trồng lúa nước</t>
  </si>
  <si>
    <t>LUC</t>
  </si>
  <si>
    <t>- Đất trồng lúa khác</t>
  </si>
  <si>
    <t>LUK</t>
  </si>
  <si>
    <t>- Đất trồng lúa nương</t>
  </si>
  <si>
    <t>LUN</t>
  </si>
  <si>
    <t>1.2</t>
  </si>
  <si>
    <t>Đất trồng cây hàng năm khác</t>
  </si>
  <si>
    <t>HNK</t>
  </si>
  <si>
    <t>1.3</t>
  </si>
  <si>
    <t>Đất trồng cây lâu năm</t>
  </si>
  <si>
    <t>CLN</t>
  </si>
  <si>
    <t>1.4</t>
  </si>
  <si>
    <t>RSX</t>
  </si>
  <si>
    <t>1.5</t>
  </si>
  <si>
    <t>Đất rừng phòng hộ</t>
  </si>
  <si>
    <t>RPH</t>
  </si>
  <si>
    <t>1.6</t>
  </si>
  <si>
    <t>Đất rừng đặc dụng</t>
  </si>
  <si>
    <t>RDD</t>
  </si>
  <si>
    <t>1.7</t>
  </si>
  <si>
    <t>Đất nuôi trồng thủy sản</t>
  </si>
  <si>
    <t>NTS</t>
  </si>
  <si>
    <t>1.8</t>
  </si>
  <si>
    <t>Đất làm muối</t>
  </si>
  <si>
    <t>LMU</t>
  </si>
  <si>
    <t>1.9</t>
  </si>
  <si>
    <t>Đất nông nghiệp khác</t>
  </si>
  <si>
    <t>NKH</t>
  </si>
  <si>
    <t>Đất phi nông nghiệp</t>
  </si>
  <si>
    <t>PNN</t>
  </si>
  <si>
    <t>2.1</t>
  </si>
  <si>
    <t>ONT</t>
  </si>
  <si>
    <t>2.2</t>
  </si>
  <si>
    <t>ODT</t>
  </si>
  <si>
    <t>2.3</t>
  </si>
  <si>
    <t>Đất xây dựng trụ sở cơ quan</t>
  </si>
  <si>
    <t>TSC</t>
  </si>
  <si>
    <t>2.4</t>
  </si>
  <si>
    <t>Đất xây dựng trụ sở tổ chức sự nghiệp</t>
  </si>
  <si>
    <t>DTS</t>
  </si>
  <si>
    <t>2.5</t>
  </si>
  <si>
    <t>Đất xây dựng cơ sở ngoại giao</t>
  </si>
  <si>
    <t>DNG</t>
  </si>
  <si>
    <t>2.6</t>
  </si>
  <si>
    <t>Đất quốc phòng</t>
  </si>
  <si>
    <t>CQP</t>
  </si>
  <si>
    <t>2.7</t>
  </si>
  <si>
    <t>Đất an ninh</t>
  </si>
  <si>
    <t>CAN</t>
  </si>
  <si>
    <t>2.8</t>
  </si>
  <si>
    <t>Đất khu công nghiệp</t>
  </si>
  <si>
    <t>SKK</t>
  </si>
  <si>
    <t>2.9</t>
  </si>
  <si>
    <t>Đất khu chế xuất</t>
  </si>
  <si>
    <t>SKT</t>
  </si>
  <si>
    <t>2.10</t>
  </si>
  <si>
    <t>Đất cụm công nghiệp</t>
  </si>
  <si>
    <t>SKN</t>
  </si>
  <si>
    <t>2.11</t>
  </si>
  <si>
    <t>Đất thương mại, dịch vụ</t>
  </si>
  <si>
    <t>TMD</t>
  </si>
  <si>
    <t>2.12</t>
  </si>
  <si>
    <t>Đất cơ sở sản xuất phi nông nghiệp</t>
  </si>
  <si>
    <t>SKC</t>
  </si>
  <si>
    <t>2.13</t>
  </si>
  <si>
    <t>SKX</t>
  </si>
  <si>
    <t>2.14</t>
  </si>
  <si>
    <t>Đất cho hoạt động khoáng sản</t>
  </si>
  <si>
    <t>SKS</t>
  </si>
  <si>
    <t>2.15</t>
  </si>
  <si>
    <t>DDT</t>
  </si>
  <si>
    <t>2.16</t>
  </si>
  <si>
    <t>Đất danh lam thắng cảnh</t>
  </si>
  <si>
    <t>DDL</t>
  </si>
  <si>
    <t>2.17</t>
  </si>
  <si>
    <t>Đất bãi thải xử lý chất thải</t>
  </si>
  <si>
    <t>DRA</t>
  </si>
  <si>
    <t>2.18</t>
  </si>
  <si>
    <t>Đất cơ sở tôn giáo</t>
  </si>
  <si>
    <t>TON</t>
  </si>
  <si>
    <t>2.19</t>
  </si>
  <si>
    <t>Đất cơ sở tín ngưỡng</t>
  </si>
  <si>
    <t>TIN</t>
  </si>
  <si>
    <t>2.20</t>
  </si>
  <si>
    <t>NTD</t>
  </si>
  <si>
    <t>2.21</t>
  </si>
  <si>
    <t>Đất mặt nước chuyên dùng</t>
  </si>
  <si>
    <t>MNC</t>
  </si>
  <si>
    <t>2.22</t>
  </si>
  <si>
    <t>SON</t>
  </si>
  <si>
    <t>2.23</t>
  </si>
  <si>
    <t>DHT</t>
  </si>
  <si>
    <t>Giao thông</t>
  </si>
  <si>
    <t>DGT</t>
  </si>
  <si>
    <t>Thủy lợi</t>
  </si>
  <si>
    <t>DTL</t>
  </si>
  <si>
    <t>Công trình năng lượng</t>
  </si>
  <si>
    <t>DNL</t>
  </si>
  <si>
    <t>Bưu chính viễn thông</t>
  </si>
  <si>
    <t>DBV</t>
  </si>
  <si>
    <t>Văn hóa</t>
  </si>
  <si>
    <t>DVH</t>
  </si>
  <si>
    <t>Y tế</t>
  </si>
  <si>
    <t>DYT</t>
  </si>
  <si>
    <t>Giáo dục đào tạo</t>
  </si>
  <si>
    <t>DGD</t>
  </si>
  <si>
    <t>Thể dục thể thao</t>
  </si>
  <si>
    <t>DTT</t>
  </si>
  <si>
    <t>Nghiên cứu khoa học</t>
  </si>
  <si>
    <t>DKH</t>
  </si>
  <si>
    <t>Dịch vụ xã hội</t>
  </si>
  <si>
    <t>DXH</t>
  </si>
  <si>
    <t>Chợ</t>
  </si>
  <si>
    <t>DCH</t>
  </si>
  <si>
    <t>2.24</t>
  </si>
  <si>
    <t>Đất sinh hoạt cộng đồng</t>
  </si>
  <si>
    <t>DSH</t>
  </si>
  <si>
    <t>2.25</t>
  </si>
  <si>
    <t>Đất khu vui chơi, giải trí công cộng</t>
  </si>
  <si>
    <t>DKV</t>
  </si>
  <si>
    <t>2.26</t>
  </si>
  <si>
    <t>Đất phi nông nghiệp khác</t>
  </si>
  <si>
    <t>PNK</t>
  </si>
  <si>
    <t>3</t>
  </si>
  <si>
    <t>Đất chưa sử dụng</t>
  </si>
  <si>
    <t>CSD</t>
  </si>
  <si>
    <t>1</t>
  </si>
  <si>
    <t>Đất khu công nghệ cao</t>
  </si>
  <si>
    <t>KCN</t>
  </si>
  <si>
    <t>2</t>
  </si>
  <si>
    <t>Đất khu kinh tế</t>
  </si>
  <si>
    <t>KKT</t>
  </si>
  <si>
    <t>Đất đô thị</t>
  </si>
  <si>
    <t>KDT</t>
  </si>
  <si>
    <t>Kết quả thực hiện</t>
  </si>
  <si>
    <t>So sánh</t>
  </si>
  <si>
    <t>Tỷ lệ (%)</t>
  </si>
  <si>
    <t>(4)</t>
  </si>
  <si>
    <t>(6)=(5)-(4)</t>
  </si>
  <si>
    <t>(7)=(5)/(4)*100%</t>
  </si>
  <si>
    <t>Đơn vị tính: ha</t>
  </si>
  <si>
    <t>Diện tích 
cấp trên phân bổ</t>
  </si>
  <si>
    <t>(6)=(7)+(8)+…</t>
  </si>
  <si>
    <t>(17)</t>
  </si>
  <si>
    <t>4</t>
  </si>
  <si>
    <t>5</t>
  </si>
  <si>
    <t>6</t>
  </si>
  <si>
    <t>7</t>
  </si>
  <si>
    <t>Khu đô thị - thương mại - dịch vụ</t>
  </si>
  <si>
    <t>KDV</t>
  </si>
  <si>
    <t>8</t>
  </si>
  <si>
    <t>Khu du lịch</t>
  </si>
  <si>
    <t>KDL</t>
  </si>
  <si>
    <t>9</t>
  </si>
  <si>
    <t>Khu ở, làng nghề, sản xuất phi nông nghiệp nông thôn</t>
  </si>
  <si>
    <t>KON</t>
  </si>
  <si>
    <t>Phân theo đơn vị hành chính</t>
  </si>
  <si>
    <t>(4)=(5)+(6)+…</t>
  </si>
  <si>
    <t>Đất nông nghiệp chuyển sang đất phi nông nghiệp</t>
  </si>
  <si>
    <t>NNP/PNN</t>
  </si>
  <si>
    <t>Trong đó:</t>
  </si>
  <si>
    <t>LUA/PNN</t>
  </si>
  <si>
    <t>LUC/PNN</t>
  </si>
  <si>
    <t>Đất trồng cây hàng năm còn lại</t>
  </si>
  <si>
    <t>HNK/PNN</t>
  </si>
  <si>
    <t>CLN/PNN</t>
  </si>
  <si>
    <t>RPH/PNN</t>
  </si>
  <si>
    <t>RDD/PNN</t>
  </si>
  <si>
    <t>RSX/PNN</t>
  </si>
  <si>
    <t>NTS/PNN</t>
  </si>
  <si>
    <t>LMU/PNN</t>
  </si>
  <si>
    <t>Chuyển đổi cơ cấu sử dụng đất trong nội bộ đất nông nghiệp</t>
  </si>
  <si>
    <t>LUA/CLN</t>
  </si>
  <si>
    <t>LUA/LNP</t>
  </si>
  <si>
    <t>LUA/NTS</t>
  </si>
  <si>
    <t>LUA/LMU</t>
  </si>
  <si>
    <t>HNK/NTS</t>
  </si>
  <si>
    <t>HNK/LMU</t>
  </si>
  <si>
    <t>PKO/OCT</t>
  </si>
  <si>
    <t>Tăng thêm</t>
  </si>
  <si>
    <t>Sử dụng vào loại đất</t>
  </si>
  <si>
    <t>Công trình, dự án mục đích quốc phòng, an ninh</t>
  </si>
  <si>
    <t>1.2.1</t>
  </si>
  <si>
    <t>Công trình, dự án quan trọng quốc gia do Quốc hội quyết định chủ trương đầu tư mà phải thu hồi đất</t>
  </si>
  <si>
    <t>1.2.2</t>
  </si>
  <si>
    <t>Cơ cấu (%)</t>
  </si>
  <si>
    <t>TỔNG DIỆN TÍCH (1+2+3)</t>
  </si>
  <si>
    <t>Mục đích</t>
  </si>
  <si>
    <t>Mã đất</t>
  </si>
  <si>
    <t>Lấy vào các loại đất</t>
  </si>
  <si>
    <t>Diện tích năm…</t>
  </si>
  <si>
    <t>Cộng
giảm</t>
  </si>
  <si>
    <t>Biến
động</t>
  </si>
  <si>
    <t>DIỆN TÍCH TỰ NHIÊN</t>
  </si>
  <si>
    <t>Đất rừng sản xuất</t>
  </si>
  <si>
    <t>Đất trồng rừng đặc dụng</t>
  </si>
  <si>
    <t>2.14.1</t>
  </si>
  <si>
    <t>2.14.2</t>
  </si>
  <si>
    <t>2.14.3</t>
  </si>
  <si>
    <t>2.14.4</t>
  </si>
  <si>
    <t>2.14.5</t>
  </si>
  <si>
    <t>2.14.6</t>
  </si>
  <si>
    <t>2.14.7</t>
  </si>
  <si>
    <t>2.14.8</t>
  </si>
  <si>
    <t>2.14.9</t>
  </si>
  <si>
    <t>2.14.10</t>
  </si>
  <si>
    <t>2.14.11</t>
  </si>
  <si>
    <t>Cộng tăng</t>
  </si>
  <si>
    <t>Hạng mục</t>
  </si>
  <si>
    <t>II</t>
  </si>
  <si>
    <t>Đất di tích lịch sử -văn hóa</t>
  </si>
  <si>
    <t>Đất ở tại nông thôn</t>
  </si>
  <si>
    <t>Đất ở tại đô thị</t>
  </si>
  <si>
    <t>Đất làm nghĩa trang, nghĩa địa, nhà tang lễ, nhà hỏa táng</t>
  </si>
  <si>
    <t>Đất sản xuất vật liệu xây dựng, làm đồ gốm</t>
  </si>
  <si>
    <t>Đất sông, ngòi, kênh, rạch, suối</t>
  </si>
  <si>
    <t>Đất phát triển hạ tầng cấp quốc gia, cấp tỉnh, cấp huyện, cấp xã</t>
  </si>
  <si>
    <t>NCK</t>
  </si>
  <si>
    <t>(18)</t>
  </si>
  <si>
    <t>(19)</t>
  </si>
  <si>
    <t>Đất trồng lúa chuyển sang đất trồng cây lâu năm</t>
  </si>
  <si>
    <t>Đất trồng lúa chuyển sang đất trồng rừng</t>
  </si>
  <si>
    <t>Đất trồng lúa chuyển sang đất nuôi trồng thủy sản</t>
  </si>
  <si>
    <t>Đất trồng lúa chuyển sang đất làm muối</t>
  </si>
  <si>
    <t>Đất rừng phòng hộ chuyển sang đất nông nghiệp không phải là rừng</t>
  </si>
  <si>
    <t>RPH/NKR(a)</t>
  </si>
  <si>
    <t>Đất rừng đặc dụng chuyển sang đất nông nghiệp không phải là rừng</t>
  </si>
  <si>
    <t>RDD/NKR(a)</t>
  </si>
  <si>
    <t>Đất rừng sản xuất chuyển sang đất nông nghiệp không phải là rừng</t>
  </si>
  <si>
    <t>RSX/NKR(a)</t>
  </si>
  <si>
    <t>Đất phi nông nghiệp không phải là đất ở chuyển sang đất ở</t>
  </si>
  <si>
    <t>Biểu 09/CH-KH</t>
  </si>
  <si>
    <t>MA_HT</t>
  </si>
  <si>
    <t>MA_QH</t>
  </si>
  <si>
    <t>(blank)</t>
  </si>
  <si>
    <t>Grand Total</t>
  </si>
  <si>
    <t>Đất chợ</t>
  </si>
  <si>
    <t>Cây xăng</t>
  </si>
  <si>
    <t>Tăng (+); giảm (-)</t>
  </si>
  <si>
    <t>(8)=(6)-(4)</t>
  </si>
  <si>
    <t>Diện tích hiện trạng (ha)</t>
  </si>
  <si>
    <t>(3) = (4)+(5)</t>
  </si>
  <si>
    <t>Công trình, dự án để phát triển kinh tế - xã hội, vì lợi ích quốc gia, công cộng</t>
  </si>
  <si>
    <t>Đất có di tích lịch sử - văn hóa</t>
  </si>
  <si>
    <t>Đất bãi thải, xử lý chất thải</t>
  </si>
  <si>
    <t>Đất có mặt nước chuyên dùng</t>
  </si>
  <si>
    <t>Năm thực hiện</t>
  </si>
  <si>
    <t>Sum of TNG4</t>
  </si>
  <si>
    <t>Sum of XBC4</t>
  </si>
  <si>
    <t>Sum of XBB4</t>
  </si>
  <si>
    <t>Sum of XBG4</t>
  </si>
  <si>
    <t>Sum of XBT4</t>
  </si>
  <si>
    <t>Sum of XCB4</t>
  </si>
  <si>
    <t>Sum of XDB4</t>
  </si>
  <si>
    <t>Sum of XKL4</t>
  </si>
  <si>
    <t>Sum of XLL4</t>
  </si>
  <si>
    <t>Sum of XNT4</t>
  </si>
  <si>
    <t>Sum of XQT4</t>
  </si>
  <si>
    <t>Sum of XSB4</t>
  </si>
  <si>
    <t>Sum of XSN4</t>
  </si>
  <si>
    <t>Sum of XSR4</t>
  </si>
  <si>
    <t>Sum of XXB4</t>
  </si>
  <si>
    <t>Sum of CMD 16</t>
  </si>
  <si>
    <t>dd</t>
  </si>
  <si>
    <t>Sum of XXS4</t>
  </si>
  <si>
    <t>Trong đó: đất có rừng sản xuất là rừng tự nhiên</t>
  </si>
  <si>
    <t>RSN</t>
  </si>
  <si>
    <t>Đất giao thông</t>
  </si>
  <si>
    <t>Đất thủy lợi</t>
  </si>
  <si>
    <t>Đất xây dựng cơ sở văn hóa</t>
  </si>
  <si>
    <t>Đất xây dựng cơ sở y tế</t>
  </si>
  <si>
    <t>Đất xây dựng cơ sở giáo dục và đào tạo</t>
  </si>
  <si>
    <t>Đất xây dựng cơ sở thể dục thể thao</t>
  </si>
  <si>
    <t>Đất công trình năng lượng</t>
  </si>
  <si>
    <t>Đất công trình bưu chính, viễn thông</t>
  </si>
  <si>
    <t>Đất xây dựng kho dự trữ quốc gia</t>
  </si>
  <si>
    <t>Đất xây dựng cơ sở khoa học công nghệ</t>
  </si>
  <si>
    <t>Đất xây dựng cơ sở dịch vụ xã hội</t>
  </si>
  <si>
    <t>DKG</t>
  </si>
  <si>
    <t>Trong đó: Đất chuyên trồng lúa nước</t>
  </si>
  <si>
    <t>Khu sản xuất nông nghiệp (khu vực chuyên trồng lúa nước, khu vực chuyên trồng cây công nghiệp lâu năm)</t>
  </si>
  <si>
    <t>KNN</t>
  </si>
  <si>
    <t>Khu lâm nghiệp (khu vực rừng phòng hộ, rừng đặc dụng, rừng sản xuất)</t>
  </si>
  <si>
    <t>KLN</t>
  </si>
  <si>
    <t>Khu bảo tồn thiên nhiên và đa dạng sinh học</t>
  </si>
  <si>
    <t>KBT</t>
  </si>
  <si>
    <t>Khu phát triển công nghiệp (khu công nghiệp, cụm công nghiệp)</t>
  </si>
  <si>
    <t>KPC</t>
  </si>
  <si>
    <t>Khu đô thị (trong đó có khu đô thị mới)</t>
  </si>
  <si>
    <t>DTC</t>
  </si>
  <si>
    <t>Khu thương mại - dịch vụ</t>
  </si>
  <si>
    <t>KTM</t>
  </si>
  <si>
    <t>Khu dân cư nông thôn</t>
  </si>
  <si>
    <t>DNT</t>
  </si>
  <si>
    <t>10</t>
  </si>
  <si>
    <t>11</t>
  </si>
  <si>
    <t>12</t>
  </si>
  <si>
    <t>13</t>
  </si>
  <si>
    <t>2.14.12</t>
  </si>
  <si>
    <t>RSN/PNN</t>
  </si>
  <si>
    <t>Biểu 01/CH</t>
  </si>
  <si>
    <t>Biểu 02/CH</t>
  </si>
  <si>
    <t>Biểu 03/CH</t>
  </si>
  <si>
    <t>Diện tích 
cấp huyện xác định, xác định bổ sung</t>
  </si>
  <si>
    <t>Tổng diện tích</t>
  </si>
  <si>
    <t>Biểu 04/CH</t>
  </si>
  <si>
    <t>Chỉ tiêu sử dụng đất</t>
  </si>
  <si>
    <t>Diện tích phân theo đơn vị hành chính</t>
  </si>
  <si>
    <t>Địa điểm (đến cấp xã)</t>
  </si>
  <si>
    <t>Vị trí trên bản đồ địa chính (tờ bản đồ số, thửa số); trường hợp không có bản đồ địa chính thì sử dụng trên nền bản đồ hiện trạng sử dụng đất cấp xã</t>
  </si>
  <si>
    <t>Công trình, dự án do Thủ tướng Chính phủ chấp thuận, quyết định đầu tư mà phải thu hồi đất</t>
  </si>
  <si>
    <t>Các công trình, dự án còn lại</t>
  </si>
  <si>
    <t>Loại đất</t>
  </si>
  <si>
    <t>HUYỆN HỚN QUẢN - TỈNH BÌNH PHƯỚC</t>
  </si>
  <si>
    <t>HIỆN TRẠNG SỬ DỤNG ĐẤT NĂM 2020</t>
  </si>
  <si>
    <t>Trong đó: Đất có rừng sản xuất là rừng tự nhiên</t>
  </si>
  <si>
    <t>Đất sử dụng cho hoạt động khoáng sản</t>
  </si>
  <si>
    <t>Đất phát triển hạ tầng cấp huyện</t>
  </si>
  <si>
    <t>-</t>
  </si>
  <si>
    <t>KẾT QUẢ THỰC HIỆN QUY HOẠCH SỬ DỤNG ĐẤT KỲ TRƯỚC</t>
  </si>
  <si>
    <t>Tăng (+),
giảm (-)
(ha)</t>
  </si>
  <si>
    <t>Đất tín ngưỡng</t>
  </si>
  <si>
    <t>Diện tích quy hoạch được duyệt (ha) (*)</t>
  </si>
  <si>
    <t>Diện tích (ha) (**)</t>
  </si>
  <si>
    <t>DANH MỤC CÔNG TRÌNH, DỰ ÁN THỰC HIỆN TRONG QUY HOẠCH SỬ DỤNG ĐẤT GIAI ĐOẠN 2021-2030</t>
  </si>
  <si>
    <t>Căn cứ pháp lý</t>
  </si>
  <si>
    <t>Ghi chú</t>
  </si>
  <si>
    <t>Công trình, dự án trong quy hoạch sử dụng đất cấp tỉnh</t>
  </si>
  <si>
    <t>Diện tích quy hoạch (ha)</t>
  </si>
  <si>
    <t>Khu sơ tán phòng thủ dân sự 1 huyện Hớn Quản</t>
  </si>
  <si>
    <t>BC 1275/BC-BCH ngày 06/11/2020 của BCH Quân sự huyện Hớn Quản</t>
  </si>
  <si>
    <t>Khu sơ tán phòng thủ dân sự 2 huyện Hớn Quản</t>
  </si>
  <si>
    <t>Vùng lõi căn cứ chiến đấu Ban CHQS huyện Hớn Quản</t>
  </si>
  <si>
    <t>Ấp Đồng Dầu, xã Minh Đức</t>
  </si>
  <si>
    <t>Vùng lõi căn cứ hậu cần kỹ thuật Ban CHQS TX. Bình Long</t>
  </si>
  <si>
    <t>Nghị quyết số 22/2020/NQ-HĐND ngày 10/12/2020 của HĐND tỉnh Bình Phước; Quyết định số 45/QĐ-UBND ngày 30/12/2011 của UBND tỉnh; Quyết định số 431/QĐ-BTL ngày 13/02/2018 của Bộ Tư lệnh Quân khu 7</t>
  </si>
  <si>
    <t>Ấp Sóc Ruộng, xã Tân Hưng</t>
  </si>
  <si>
    <t>Nghị quyết số 22/2020/NQ-HĐND ngày 10/12/2020 của HĐND tỉnh Bình Phước; Quyết định số 428 ngày 13/02/2018 của Bộ Tư lệnh Quân khu 7; Quyết định số 45/QĐ-UBND ngày 30/12/2011 của UBND tỉnh</t>
  </si>
  <si>
    <t>An Khương</t>
  </si>
  <si>
    <t>Trang trại chăn nuôi gà thịt (Cty TNHH ĐTPT Duy Bảo)</t>
  </si>
  <si>
    <t>An Phú</t>
  </si>
  <si>
    <t>Trại heo Hồ Kim Thắng</t>
  </si>
  <si>
    <t>Đồng Nơ</t>
  </si>
  <si>
    <t>Minh Đức</t>
  </si>
  <si>
    <t>Trại chăn nuôi gà thịt nằm trong chuỗi sản phẩm khép kín của Công ty Cổ phần chăn nuôi C.P. Việt Nam (Cty TNHH Chấn Hưng Gia)</t>
  </si>
  <si>
    <t>Minh Tâm</t>
  </si>
  <si>
    <t>Trại chăn nuôi heo thịt Trương Công Định</t>
  </si>
  <si>
    <t>Trang trại chăn nuôi heo nái Anh Hào</t>
  </si>
  <si>
    <t>Trang trại chăn nuôi gà giống bố mẹ (Cty TNHH chăn nuôi Thanh Bình)</t>
  </si>
  <si>
    <t>Trang trại chăn nuôi heo Tân Hưng (Cty TNHH Chăn nuôi New Hope Bình Phước)</t>
  </si>
  <si>
    <t>Trang trại chăn nuôi heo (Cty TNHH Tân Hưng Farm)</t>
  </si>
  <si>
    <t>Trang trại chăn nuôi 110.200 con gà trắng giống thịt (Cty TNHH Ngọc An Vui)</t>
  </si>
  <si>
    <t>Phước An</t>
  </si>
  <si>
    <t>Tân Hưng</t>
  </si>
  <si>
    <t>Trang trại chăn nuôi gà thịt (Cty TNHH MTV TM Thuận Hưng)</t>
  </si>
  <si>
    <t>Trang trại chăn nuôi gà đẻ (Cty TNHH đầu tư Win House)</t>
  </si>
  <si>
    <t>Trang trại chăn nuôi gà thịt (Cty TNHH đầu tư Win House 2)</t>
  </si>
  <si>
    <t>Trang trại chăn nuôi gà thịt (Cty TNHH DVTM Quang Tâm)</t>
  </si>
  <si>
    <t>Trang trại chăn nuôi heo thịt (Cty TNHH Trà Thanh Farm)</t>
  </si>
  <si>
    <t>Trang trại chăn nuôi heo giống và heo thịt (Nguyễn Thị Nhiều)</t>
  </si>
  <si>
    <t>Trang trại chăn nuôi gà thịt (Cty TNHH DV TM Quang Tâm)</t>
  </si>
  <si>
    <t>Trại chăn nuôi gà Tuấn Hưng Phát</t>
  </si>
  <si>
    <t>Thanh An</t>
  </si>
  <si>
    <t>Thanh Bình</t>
  </si>
  <si>
    <t>Tân Quan</t>
  </si>
  <si>
    <t>Khu công nghiệp Đồng Nơ</t>
  </si>
  <si>
    <t>Tân Khai</t>
  </si>
  <si>
    <t>Nông trường Đồng Nơ</t>
  </si>
  <si>
    <t>Khu công nghiệp Minh Đức</t>
  </si>
  <si>
    <t>Khu công nghiệp Tân Quan</t>
  </si>
  <si>
    <t>Cụm công nghiệp Minh Tâm</t>
  </si>
  <si>
    <t>Lô 2/09, 3/04, 4/09, 6/14 - Nông trường Xa Cam</t>
  </si>
  <si>
    <t>Cụm công nghiệp Phước An</t>
  </si>
  <si>
    <t>Cụm công nghiệp Tân Hưng</t>
  </si>
  <si>
    <t>Cụm công nghiệp Lê Vy - Tân Khai</t>
  </si>
  <si>
    <t>Cụm công nghiệp Thanh An</t>
  </si>
  <si>
    <t>Lô 1/06, 2/06, 1/07, 2/07 - Nông trường Xa Trạch</t>
  </si>
  <si>
    <t>Lô 4/17, 5/17, 3/08, 1/09 - Nông trường Lợi Hưng</t>
  </si>
  <si>
    <t>Lô 14/96, 15/96, 01/17 - Nông trường Trà Thanh</t>
  </si>
  <si>
    <t>Nghị quyết số 22/2020/NQ-HĐND ngày 10/12/2020 của HĐND tỉnh Bình Phước; Quyết định số 420/QĐ-UBND ngày 02/3/2018 của UBND tỉnh</t>
  </si>
  <si>
    <t>Cửa hàng kinh doanh xăng dầu (Cty TNHH MTV Xăng dầu Nguyễn Hiền)</t>
  </si>
  <si>
    <t>Tân Hiệp</t>
  </si>
  <si>
    <t>Cây xăng Anh Quốc</t>
  </si>
  <si>
    <t>Nâng cấp cải tạo cửa hàng kinh doanh xăng dầu (DNTN Bích Thủy)</t>
  </si>
  <si>
    <t>Cây xăng Hùng Mai</t>
  </si>
  <si>
    <t>Trạm kinh doanh xăng dầu (Cty TNHH An Khang Trang)</t>
  </si>
  <si>
    <t>Khu du lịch sinh thái nghỉ dưỡng Bằng Lăng Tím</t>
  </si>
  <si>
    <t>Khu du lịch sinh thái Đập Ông</t>
  </si>
  <si>
    <t>Trạm xăng dầu Việt Đức</t>
  </si>
  <si>
    <t>Cây xăng Thanh Lễ</t>
  </si>
  <si>
    <t>Tân Lợi</t>
  </si>
  <si>
    <t>Hộ gia đình, cá nhân chuyển mục đích sang đất thương mại, dịch vụ năm 2021</t>
  </si>
  <si>
    <t>Nhà máy sản xuất đất giàu dinh dưỡng Cao Gia Quý</t>
  </si>
  <si>
    <t>Trụ sở làm việc nông trường cao su Bình Minh</t>
  </si>
  <si>
    <t>Nhà máy gạch Tuynel Phú Trường An</t>
  </si>
  <si>
    <t>Văn phòng Đội 3</t>
  </si>
  <si>
    <t>Xưởng cưa Kim Lợi</t>
  </si>
  <si>
    <t>Xưởng gỗ Trần Hữu Thanh</t>
  </si>
  <si>
    <t>Xưởng gỗ Phùng Khang</t>
  </si>
  <si>
    <t>Xưởng gỗ Phước Khánh</t>
  </si>
  <si>
    <t>Nhà máy sản xuất thức ăn chăn nuôi Tân Hưng (Cty TNHH Chăn nuôi New Hope Bình Phước)</t>
  </si>
  <si>
    <t>QH khu Lò giết mổ</t>
  </si>
  <si>
    <t>Nhà máy chế biến gỗ Thiên Phúc Tính</t>
  </si>
  <si>
    <t>Nhà máy sản xuất Panel</t>
  </si>
  <si>
    <t>Cty TNHH cơ khí xây dựng KT</t>
  </si>
  <si>
    <t>Cty Vina KUMKEN CENTECH</t>
  </si>
  <si>
    <t>Hộ gia đình, cá nhân chuyển mục đích sang đất cơ sở sản xuất phi nông nghiệp năm 2021</t>
  </si>
  <si>
    <t>Mỏ đá vôi Thanh Lương</t>
  </si>
  <si>
    <t>Thăm dò, khai thác và sử dụng khoáng sản (đất san lấp)</t>
  </si>
  <si>
    <t>QH khai thác, thăm dò đá xây dựng (Trại giam Tống Lê Chân)</t>
  </si>
  <si>
    <t>Khai thác đá xây dựng Hoàng Kim Sơn</t>
  </si>
  <si>
    <t>Mở rộng lộ giới ĐT757 theo QĐ 06/2014/UBND</t>
  </si>
  <si>
    <t>MR lộ giới ĐH An Phú - Minh Tâm</t>
  </si>
  <si>
    <t>Xây dựng cầu dân sinh</t>
  </si>
  <si>
    <t>Xây dựng đường phía Tây QL13 kết nối Chơn Thành - Hoa Lư</t>
  </si>
  <si>
    <t>MR lộ giới ĐH Minh Đức - Đồng Nơ</t>
  </si>
  <si>
    <t>Xây dựng các tuyến đường từ thị trấn Tân Khai kết nối với các tuyến đường đi xã Phước An, Đồng Nơ và Minh Đức</t>
  </si>
  <si>
    <t>Nâng cấp đường từ Ngã ba Xa Cát vào KCN Việt Kiều</t>
  </si>
  <si>
    <t>Đường Xa Cát-Minh Đức</t>
  </si>
  <si>
    <t>MR lộ giới ĐH Tân Lợi - Phước An - Thanh Bình</t>
  </si>
  <si>
    <t>MR lộ giới ĐH Phước An - Tân Quan</t>
  </si>
  <si>
    <t>Đường trục chính từ Tân Khai đi Phước An và Tân Quan</t>
  </si>
  <si>
    <t>Đường GTNT liên ấp, sóc</t>
  </si>
  <si>
    <t>MR lộ giới ĐT756 theo QĐ 06/2014/UBND</t>
  </si>
  <si>
    <t>Xây dựng đường từ xã Tân Hưng, huyện Hớn Quản đi xã Long Tân, huyện Phú Riềng</t>
  </si>
  <si>
    <t>Dự án thành phần 03, dự án LRAMP</t>
  </si>
  <si>
    <t>Hỗ trợ phát triển biên giới - Tiểu dự án tỉnh Bình Phước</t>
  </si>
  <si>
    <t>Đường GTNT ấp Hưng Yên</t>
  </si>
  <si>
    <t>Nâng cấp đường vào cầu Huyện ủy và đường Khu phố 1, thị trấn Tân Khai</t>
  </si>
  <si>
    <t xml:space="preserve">Đường Trục chính Bắc Nam nối dài (GĐ1) </t>
  </si>
  <si>
    <t>Bến xe (Khu TTHC huyện)</t>
  </si>
  <si>
    <t>Tuyến tránh QL13 qua Bình Long</t>
  </si>
  <si>
    <t>Đường Trục chính Bắc Nam (GĐ3) TT VHTT huyện và đường Đông Tây 9</t>
  </si>
  <si>
    <t>Đường Tân Khai đi cầu Huyện ủy</t>
  </si>
  <si>
    <t>Đường vào nghĩa trang Tân Khai</t>
  </si>
  <si>
    <t>Đường Đông Tây 7 nối dài</t>
  </si>
  <si>
    <t>Đường từ QL13 vào KCN Tân Khai II</t>
  </si>
  <si>
    <t>Đường Bắc Nam 2</t>
  </si>
  <si>
    <t>MR lộ giới ĐH Tân Lợi - An Khương - Thanh An</t>
  </si>
  <si>
    <t>MR lộ giới ĐH Chơn Thành - Tân Quan</t>
  </si>
  <si>
    <t>Đường liên xã Tân Quan - Minh Thắng</t>
  </si>
  <si>
    <t>Xây dựng hệ thống kênh thủy lợi nội đồng xã An Khương</t>
  </si>
  <si>
    <t>Nhà văn hóa, khu vui chơi giải trí xã An Phú</t>
  </si>
  <si>
    <t>Nhà văn hóa xã Minh Đức</t>
  </si>
  <si>
    <t>Nhà văn hóa xã Tân Quan</t>
  </si>
  <si>
    <t>Cơ sở phục hồi chức năng</t>
  </si>
  <si>
    <t>QH trạm y tế (khu HC TT.Tân Khai)</t>
  </si>
  <si>
    <t>QH trường mầm non (Khu CTCC và KDC ấp 2)</t>
  </si>
  <si>
    <t>Trường tiểu học Phước An B (điểm chính)</t>
  </si>
  <si>
    <t>Trường mầm non Tân Hiệp</t>
  </si>
  <si>
    <t>Trường THCS Tân Hưng A</t>
  </si>
  <si>
    <t>Mẫu giáo Sơn Ca</t>
  </si>
  <si>
    <t>TT Giáo dục (Khu TTHC Huyện)</t>
  </si>
  <si>
    <t>Mở rộng Trường THCS Tân Lợi</t>
  </si>
  <si>
    <t>Nhà trẻ ấp 4</t>
  </si>
  <si>
    <t>Trường mầm non Thanh An</t>
  </si>
  <si>
    <t>Sân thể thao ấp Tằng Hách</t>
  </si>
  <si>
    <t>Sân thể thao ấp Sóc Rul</t>
  </si>
  <si>
    <t>Sân thể thao ấp Bình Phú</t>
  </si>
  <si>
    <t>Sân thể thao ấp An Tân</t>
  </si>
  <si>
    <t>Sân thể thao ấp Phố Lố</t>
  </si>
  <si>
    <t>Sân vận động xã An Phú</t>
  </si>
  <si>
    <t>Sân thể thao ấp 1A</t>
  </si>
  <si>
    <t>Sân bóng ấp 2</t>
  </si>
  <si>
    <t>Sân bóng ấp Sóc 6</t>
  </si>
  <si>
    <t>Sân bóng ấp Sóc Vàng</t>
  </si>
  <si>
    <t>Sân bóng ấp Sóc 5</t>
  </si>
  <si>
    <t>Sân bóng ấp 4</t>
  </si>
  <si>
    <t>Sân vận động xã Phước An</t>
  </si>
  <si>
    <t>Sân vận động xã Tân Lợi</t>
  </si>
  <si>
    <t>Sân bóng ấp An Hòa</t>
  </si>
  <si>
    <t>Nhà máy điện mặt trời Grand Solar BP</t>
  </si>
  <si>
    <t>Trạm biến áp 110KV xi măng An Phú</t>
  </si>
  <si>
    <t>Nhánh rẽ đấu nối trạm 110KV xi măng An Phú</t>
  </si>
  <si>
    <t>Đường điện hạ thế NMXM Tây Ninh</t>
  </si>
  <si>
    <t>Dự án điện mặt trời Đồng Nơ 1</t>
  </si>
  <si>
    <t>Dự án điện mặt trời Đồng Nơ 2</t>
  </si>
  <si>
    <t>Nhà máy điện mặt trời Minh Tâm 1, 2, 3</t>
  </si>
  <si>
    <t>Đường điện Phước An - Tân Quan</t>
  </si>
  <si>
    <t>Trạm 220KV Bình Long 2 - Trạm 110KV Bình Long</t>
  </si>
  <si>
    <t>Trạm biến áp 110KV Tân Hưng và đường dây 110KV nhánh rẽ đấu nối Trạm biến áp 110KV Tân Hưng</t>
  </si>
  <si>
    <t>Thủy điện Long Hà</t>
  </si>
  <si>
    <t>Đường điện tổ trung, hạ thế</t>
  </si>
  <si>
    <t>Xây dựng móng trụ đường dây Bình Long 2- Srok Phu Miêng</t>
  </si>
  <si>
    <t>Đất công trình bưu chính viễn thông</t>
  </si>
  <si>
    <t>Đất có di tích lịch sử, văn hóa</t>
  </si>
  <si>
    <t>Đất bải thãi, xử lý chất thải</t>
  </si>
  <si>
    <t>QH Bãi rác</t>
  </si>
  <si>
    <t>QH bãi rác, trạm trung chuyển rác</t>
  </si>
  <si>
    <t>QH bãi rác</t>
  </si>
  <si>
    <t>Khu liên hợp xử lý chất thải</t>
  </si>
  <si>
    <t>Đất làm nghĩa trang, nhà tang lễ, nhà hỏa táng</t>
  </si>
  <si>
    <t>Nghĩa địa nhân dân</t>
  </si>
  <si>
    <t>Hoa viên nghĩa trang</t>
  </si>
  <si>
    <t>Nghĩa địa xã Phước An</t>
  </si>
  <si>
    <t>Nghĩa trang nhân dân Tân Khai</t>
  </si>
  <si>
    <t>Nghĩa địa Sóc Lồ Ồ</t>
  </si>
  <si>
    <t>Điểm chợ Thanh Bình</t>
  </si>
  <si>
    <t>Điểm sinh hoạt tổ 4, 5, 6 ấp 3</t>
  </si>
  <si>
    <t>Nhà văn hóa + Văn phòng ấp Phố Lố</t>
  </si>
  <si>
    <t>Văn phòng ấp Tằng Hách</t>
  </si>
  <si>
    <t>Nhà rông Sóc 23 Nhỏ</t>
  </si>
  <si>
    <t>Nhà rông Sóc 23 Lớn</t>
  </si>
  <si>
    <t>Nhà rông ấp Tổng Cui Lớn</t>
  </si>
  <si>
    <t>Nhà văn hóa ấp Văn Hiên 1</t>
  </si>
  <si>
    <t>Nhà văn hóa ấp Văn Hiên 2</t>
  </si>
  <si>
    <t>Nhà văn hóa ấp Xa Trạch 1</t>
  </si>
  <si>
    <t>Nhà văn hóa ấp Xa Trạch 2</t>
  </si>
  <si>
    <t>Nhà văn hóa ấp Tổng Cui Nhỏ</t>
  </si>
  <si>
    <t>Nhà văn hóa ấp Sở Líp</t>
  </si>
  <si>
    <t>NVH ấp 6</t>
  </si>
  <si>
    <t>NVH ấp 7</t>
  </si>
  <si>
    <t>NVH ấp 9</t>
  </si>
  <si>
    <t>NVH ấp 10</t>
  </si>
  <si>
    <t>NVH ấp Bàu Lùng</t>
  </si>
  <si>
    <t>NVH ấp Tân Lập</t>
  </si>
  <si>
    <t>NVH ấp Hưng Lập B</t>
  </si>
  <si>
    <t>NVH Sóc Sà Nạp</t>
  </si>
  <si>
    <t>NVH Sóc Ruộng</t>
  </si>
  <si>
    <t>Nhà rông + NVH ấp Đông Hồ</t>
  </si>
  <si>
    <t>NVH ấp Sở Xiêm</t>
  </si>
  <si>
    <t>NVH ấp Hưng Yên</t>
  </si>
  <si>
    <t>NVH ấp Lòng Hồ</t>
  </si>
  <si>
    <t>NVH ấp Hưng Phát</t>
  </si>
  <si>
    <t>Nhà văn hóa khu phố 1</t>
  </si>
  <si>
    <t>Nhà văn hóa khu phố 3</t>
  </si>
  <si>
    <t>Nhà văn hóa khu phố Tàu Ô</t>
  </si>
  <si>
    <t>Công viên cây xanh ấp An Quý</t>
  </si>
  <si>
    <t>Công viên cây xanh ấp Thuận An</t>
  </si>
  <si>
    <t>Khu dân cư An Thịnh</t>
  </si>
  <si>
    <t>Khu dân cư An Khương</t>
  </si>
  <si>
    <t>Khu dân cư phía Tây TX. Bình Long</t>
  </si>
  <si>
    <t>Khu dân cư ấp 2 Đồng Nơ</t>
  </si>
  <si>
    <t>Khu nhà ở CB-CNV NMXM Minh Tâm</t>
  </si>
  <si>
    <t>Khu dân cư - TĐC NMXM An Phú</t>
  </si>
  <si>
    <t>Khu dân cư CBCNV Công ty TNHH MTV cao su Bình Long (Làng công nhân cao su)</t>
  </si>
  <si>
    <t>Khu dân cư Phước An</t>
  </si>
  <si>
    <t>Khu dân cư Tân Hưng 01</t>
  </si>
  <si>
    <t>Khu dân cư Tân Hưng 02</t>
  </si>
  <si>
    <t>Khu dân cư Tân Hưng</t>
  </si>
  <si>
    <t>Khu dân cư Sóc Quả</t>
  </si>
  <si>
    <t>Khu TĐC thuộc TTHC xã Tân Lợi</t>
  </si>
  <si>
    <t>Khu dân cư Thanh An</t>
  </si>
  <si>
    <t>Khu dân cư chợ xã Thanh An</t>
  </si>
  <si>
    <t>Hộ gia đình, cá nhân chuyển mục đích năm 2021</t>
  </si>
  <si>
    <t>Hộ gia đình, cá nhân chuyển mục đích giai đoạn 2022-2030</t>
  </si>
  <si>
    <t>Khu dân cư TTVHTDTT huyện và đường Đông Tây 9</t>
  </si>
  <si>
    <t>Khu dân cư trước trường Nguyễn Hữu Cảnh</t>
  </si>
  <si>
    <t>Khu dân cư Tân Khai</t>
  </si>
  <si>
    <t>Khu dân cư trục chính Bắc Nam</t>
  </si>
  <si>
    <t>QH đất công trình hành chính trong khu TTHC Huyện</t>
  </si>
  <si>
    <t>Trụ sở UBND xã Tân Hưng</t>
  </si>
  <si>
    <t>Trụ sở UBND xã Tân Lợi</t>
  </si>
  <si>
    <t>Đất dự trữ (QH khu TTHC Huyện)</t>
  </si>
  <si>
    <t>Khu đô thị mới Nam An Lộc</t>
  </si>
  <si>
    <t>Đất dự trữ cho mục đích phi nông nghiệp các trang trại</t>
  </si>
  <si>
    <t>Vùng lõi căn cứ chiến đấu tỉnh</t>
  </si>
  <si>
    <t>Chốt dân quân KCN Minh Hưng-Sikico</t>
  </si>
  <si>
    <t>Quyết định số 2503/QĐ-UBND ngày 06/10/2020 của UBND tỉnh điều chỉnh Quyết định số 1755/QĐ-UBND ngày 31/7/2020 của UBND tỉnh (thuận chủ trương mở rộng diện tích từ 0,3 ha lên 4,62 ha)</t>
  </si>
  <si>
    <t>Quyết định số 2462/QĐ-UBND ngày 30/9/2020 của UBND tỉnh</t>
  </si>
  <si>
    <t>Quyết định số 240/QĐ-UBND ngày 26/01/2021 của UBND tỉnh</t>
  </si>
  <si>
    <t>Nghị quyết số 03/2020/NQ-HĐND ngày 13/7/2020 của HĐND tỉnh; Quyết định số 1844 ngày 10/8/2020 của UBND tỉnh</t>
  </si>
  <si>
    <t>Quyết định số 2783/QĐ-UBND ngày 06/11/2020 của UBND tỉnh</t>
  </si>
  <si>
    <t>Quyết định số 2785/QĐ-UBND ngày 06/11/2020 của UBND tỉnh</t>
  </si>
  <si>
    <t>Quyết định số 3338/QĐ-UBND ngày 30/12/2020 của UBND tỉnh</t>
  </si>
  <si>
    <t>Quyết định số 228/QĐ-UBND ngày 26/01/2021 của UBND tỉnh</t>
  </si>
  <si>
    <t>Quyết định số 3172/QĐ-UBND ngày 15/12/2020 của UBND tỉnh</t>
  </si>
  <si>
    <t>Quyết định số 2465/QĐ-UBND ngày 30/9/2020 của UBND tỉnh</t>
  </si>
  <si>
    <t>Quyết định số 2547/QĐ-UBND ngày 12/10/2020 của UBND tỉnh</t>
  </si>
  <si>
    <t>Quyết định số 2346/QĐ-UBND ngày 21/9/2020 của UBND tỉnh</t>
  </si>
  <si>
    <t>Quyết định số 1817/QĐ-UBND ngày 07/8/2020 của UBND tỉnh</t>
  </si>
  <si>
    <t>Quyết định số 333/QĐ-UBND ngày 20/02/2019 của UBND tỉnh</t>
  </si>
  <si>
    <t>Quyết định số 757/QĐ-UBND ngày 13/4/2020 của UBND tỉnh; Quyết định số 56/QĐ-UBND ngày 08/01/2021 của UBND tỉnh</t>
  </si>
  <si>
    <t>Quyết định số 1785/QĐ-UBND ngày 04/8/2020 của UBND tỉnh</t>
  </si>
  <si>
    <t>Công văn số 12 ngày 03/01/2020 của Công ty TNHH MTV Cao su Bình Long</t>
  </si>
  <si>
    <t>Quyết định số 3178 ngày 16/12/2020 của UBND tỉnh</t>
  </si>
  <si>
    <t>Quyết định số 3338 ngày 30/12/2020 của UBND tỉnh</t>
  </si>
  <si>
    <t>Quyết định số 1942/QĐ-UBND ngày 18/8/2020 của UBND tỉnh Bình Phước</t>
  </si>
  <si>
    <t>Quyết định số 1943/QĐ-UBND ngày 18/8/2020 của UBND tỉnh Bình Phước</t>
  </si>
  <si>
    <t>Công văn số 2559/UBND-KT ngày 06/9/2018 của UBND tỉnh</t>
  </si>
  <si>
    <t>Công văn số 1185 ngày 07/5/2019 của UBND tỉnh, Quyết định số 1204/QĐ-UBND ngày 07/6/2019 của UBND tỉnh</t>
  </si>
  <si>
    <t>Nghị quyết số 22/2020/NQ-HĐND ngày 10/12/2020 của HĐND tỉnh Bình Phước; Công văn số 1366/UBND-KSX ngày 20/8/2019 của UBND huyện Hớn Quản</t>
  </si>
  <si>
    <t>Bãi rác Tân Hưng</t>
  </si>
  <si>
    <t>Nghị quyết số 22/2020/NQ-HĐND ngày 10/12/2020 của HĐND tỉnh Bình Phước</t>
  </si>
  <si>
    <t>Nghị quyết số 22/2020/NQ-HĐND ngày 10/12/2020 của HĐND tỉnh Bình Phước; Biên bản ngày 16/10/2017 giữa UBND huyện và Công ty TNHH MTV Cao su Bình Long</t>
  </si>
  <si>
    <t>Nghị quyết số 22/2020/NQ-HĐND ngày 10/12/2020 của HĐND tỉnh Bình Phước; Quyết định số 1780 ngày 27/8/2019 của UBND tỉnh; Biên bản ngày 16/10/2017 giữa Cty TNHH MTV cao su Bình Long và UBND huyện</t>
  </si>
  <si>
    <t>Nghị quyết số 22/2020/NQ-HĐND ngày 10/12/2020 của HĐND tỉnh Bình Phước; Công văn số 1811/UBND-KSX ngày 14/11/2017 của UBND huyện</t>
  </si>
  <si>
    <t>Nghị quyết số 27/2019/NQ-HĐND ngày 16/12/2019 của HĐND tỉnh Bình Phước; Quyết định số 1780 ngày 27/8/2019 của UBND tỉnh; Biên bản ngày 16/10/2017 giữa Cty TNHH MTV cao su Bình Long và UBND huyện</t>
  </si>
  <si>
    <t>Nghị quyết số 22/2020/NQ-HĐND ngày 10/12/2020 của HĐND tỉnh Bình Phước; Công văn số 1895 ngày 03/7/2018 của UBND tỉnh</t>
  </si>
  <si>
    <t>Đường điện 220KV Bình Long - Tây Ninh</t>
  </si>
  <si>
    <t>Nghị quyết số 22/2020/NQ-HĐND ngày 10/12/2020 của HĐND tỉnh Bình Phước; Công văn số 2802 ngày 27/9/2018 của UBND tỉnh; Công văn 1481 ngày 26/5/2020 của Công ty Điện lực Bình Phước</t>
  </si>
  <si>
    <t>Nghị quyết số 22/2020/NQ-HĐND ngày 10/12/2020 của HĐND tỉnh Bình Phước; Công văn số 939 ngày 05/6/2019 của UBND huyện</t>
  </si>
  <si>
    <t>Nghị quyết số 22/2020/NQ-HĐND ngày 10/12/2020 của HĐND tỉnh Bình Phước; Quyết định số 866/QĐ-BCT ngày 17/3/2017 của Bộ Công thương; Công văn số 3285 ngày 22/10/2020 của Công ty Điện lực Bình Phước</t>
  </si>
  <si>
    <t>Công văn số 3756/UBND-TH ngày 13/12/2019 của UBND tỉnh, Công văn số 1443/UBND-TH ngày 14/5/2020 của UBND tỉnh, Công văn số 165/SCT-TM ngày 27/01/2021 của Sở Công thương</t>
  </si>
  <si>
    <t>Nghị quyết số 22/2020/NQ-HĐND ngày 10/12/2020 của HĐND tỉnh Bình Phước; Quyết định số 1780 ngày 27/8/2019 của UBND tỉnh</t>
  </si>
  <si>
    <t>Quyết định số 2455/QĐ-BCT ngày 18/9/2020 của Bộ Công Thương; Công văn số 4336/UBND-TH ngày 22/12/2017 của UBND tỉnh Bình Phước; Công văn số 163/2021/PMBP ngày 16/3/2021 của Công ty CP Thủy điện Phú Minh Bình Phước; Công văn số 312/2020/CV-PM ngày 03/12/2020 của Công ty CP Tập đoàn Phú Minh</t>
  </si>
  <si>
    <t>CLN, SON</t>
  </si>
  <si>
    <t>Khu chức năng</t>
  </si>
  <si>
    <t>Biểu 11/CH</t>
  </si>
  <si>
    <t>TT</t>
  </si>
  <si>
    <t>CÂN ĐỐI CHỈ TIÊU QUY HOẠCH SỬ DỤNG ĐẤT ĐẾN NĂM 2030</t>
  </si>
  <si>
    <t>Hiện trạng năm 2020</t>
  </si>
  <si>
    <t>Quy hoạch đến năm 2030</t>
  </si>
  <si>
    <t>Diện tích
(ha)</t>
  </si>
  <si>
    <t>Đất có di tích lịch sử -văn hóa</t>
  </si>
  <si>
    <t>Đất xây dựng trụ sở của tổ chức sự nghiệp</t>
  </si>
  <si>
    <t>Công trình phòng thủ dân sự BCHQS tỉnh</t>
  </si>
  <si>
    <t>Công trình phòng thủ Quân khu 7</t>
  </si>
  <si>
    <t>Công trình phòng thủ Bộ Quốc Phòng</t>
  </si>
  <si>
    <t>Công văn số 1406/BCH-TM ngày 31/5/2921 của BCHQS tỉnh Bình Phước</t>
  </si>
  <si>
    <t>PHÂN BỔ ĐẾN TỪNG ĐƠN VỊ HÀNH CHÍNH CẤP XÃ CỦA HUYỆN HỚN QUẢN - TỈNH BÌNH PHƯỚC</t>
  </si>
  <si>
    <t>Diện tích đầu kỳ năm 2020</t>
  </si>
  <si>
    <t>Cộng giảm</t>
  </si>
  <si>
    <t>Biến động Tăng (+) Giảm (-)</t>
  </si>
  <si>
    <t>Đất phát triển hạ tầng</t>
  </si>
  <si>
    <t>DIỆN TÍCH CHUYỂN MỤC ĐÍCH SỬ DỤNG ĐẤT TRONG KỲ QUY HOẠCH</t>
  </si>
  <si>
    <t>Diện tích cuối kỳ năm 2030</t>
  </si>
  <si>
    <t>QUY HOẠCH SỬ DỤNG ĐẤT  ĐẾN NĂM 2030</t>
  </si>
  <si>
    <t>Ghi chú: - (a) gồm đất sản xuất nông nghiệp, đất nuôi trồng thủy sản, đất làm muối và đất nông nghiệp khác
                - PKO là đất phi nông nghiệp không phải là đất ở</t>
  </si>
  <si>
    <t>Đất trồng cây hàng năm khác chuyển sang đất nuôi trồng thủy sản</t>
  </si>
  <si>
    <t>Đất trồng cây hàng năm khác chuyển sang đất làm muối</t>
  </si>
  <si>
    <r>
      <t>RSN/NKR</t>
    </r>
    <r>
      <rPr>
        <i/>
        <vertAlign val="superscript"/>
        <sz val="10"/>
        <color rgb="FF000000"/>
        <rFont val="Times New Roman"/>
        <family val="1"/>
      </rPr>
      <t>a</t>
    </r>
  </si>
  <si>
    <t>Biểu 05/CH</t>
  </si>
  <si>
    <t xml:space="preserve"> CỦA HUYỆN HỚN QUẢN - TỈNH BÌNH PHƯỚC</t>
  </si>
  <si>
    <t>DIỆN TÍCH ĐẤT CHƯA SỬ DỤNG ĐƯA VÀO SỬ DỤNG TRONG KỲ QUY HOẠCH PHÂN BỔ ĐẾN TỪNG ĐƠN VỊ HÀNH CHÍNH CẤP XÃ</t>
  </si>
  <si>
    <t>Ghi chú: Khu chức năng không tổng hợp khi tính diện tích tự nhiên</t>
  </si>
  <si>
    <t>Biểu 12/CH</t>
  </si>
  <si>
    <t>Tổng diện tích đất tự nhiên</t>
  </si>
  <si>
    <t>I. Nhóm đất nông nghiệp</t>
  </si>
  <si>
    <t>1.1. Đất trồng lúa</t>
  </si>
  <si>
    <t>- Đất trồng lúa nước khác</t>
  </si>
  <si>
    <t>1.2. Đất trồng cây hàng năm khác</t>
  </si>
  <si>
    <t>1.3. Đất trồng cây lâu năm</t>
  </si>
  <si>
    <t>1.4. Đất rừng phòng hộ</t>
  </si>
  <si>
    <t>1.5. Đất rừng đặc dụng</t>
  </si>
  <si>
    <t>1.6. Đất rừng sản xuất</t>
  </si>
  <si>
    <t xml:space="preserve">  - Rừng sản xuất</t>
  </si>
  <si>
    <t xml:space="preserve">  - Rừng sản xuất là rừng tự nhiên</t>
  </si>
  <si>
    <t>1.7. Đất nuôi trồng thủy sản</t>
  </si>
  <si>
    <t>1.8. Đất làm muối</t>
  </si>
  <si>
    <t>1.9. Đất nông nghiệp khác</t>
  </si>
  <si>
    <t>II. Nhóm đất phi nông nghiệp</t>
  </si>
  <si>
    <t>2.1. Đất quốc phòng</t>
  </si>
  <si>
    <t>2.2. Đất an ninh</t>
  </si>
  <si>
    <t>2.3. Đất khu công nghiệp</t>
  </si>
  <si>
    <t>2.4. Đất cụm công nghiệp</t>
  </si>
  <si>
    <t>2.5. Đất thương mại dịch vụ</t>
  </si>
  <si>
    <t>2.6. Đất cơ sở sản xuất phi nông nghiệp</t>
  </si>
  <si>
    <t>2.7. Đất sử dụng cho hoạt động khoáng sản</t>
  </si>
  <si>
    <t>2.8. Đất sản xuất vật liệu xây dựng, làm đồ gốm</t>
  </si>
  <si>
    <t>2.9. Đất phát triển hạ tầng</t>
  </si>
  <si>
    <t xml:space="preserve">  - Đất giao thông</t>
  </si>
  <si>
    <t xml:space="preserve">  - Đất thủy lợi</t>
  </si>
  <si>
    <t xml:space="preserve">  - Đất xây dựng cơ sở văn hóa</t>
  </si>
  <si>
    <t xml:space="preserve">  - Đất xây dựng cơ sở y tế</t>
  </si>
  <si>
    <t xml:space="preserve">  - Đất xây dựng cơ sở giáo dục - đào tạo</t>
  </si>
  <si>
    <t xml:space="preserve">  - Đất xây dựng cơ sở thể dục thể thao</t>
  </si>
  <si>
    <t xml:space="preserve">  - Đất công trình năng lượng</t>
  </si>
  <si>
    <t xml:space="preserve">  - Đất công trình bưu chính, viễn thông</t>
  </si>
  <si>
    <t xml:space="preserve">  - Đất xây dựng kho dự trữ quốc gia</t>
  </si>
  <si>
    <t xml:space="preserve">  - Đất bãi thải xử lý chất thải</t>
  </si>
  <si>
    <t xml:space="preserve">  - Đất cơ sở tôn giáo</t>
  </si>
  <si>
    <t xml:space="preserve">  - Đất làm nghĩa trang, nhà tang lễ, nhà hỏa táng</t>
  </si>
  <si>
    <t xml:space="preserve">  - Đất xây dựng cơ sở khoa học công nghệ</t>
  </si>
  <si>
    <t xml:space="preserve">  - Đất xây dựng cơ sở dịch vụ xã hội</t>
  </si>
  <si>
    <t xml:space="preserve">  - Đất chợ</t>
  </si>
  <si>
    <t>2.10. Đất danh lam thắng cảnh</t>
  </si>
  <si>
    <t>2.11. Đất sinh hoạt cộng đồng</t>
  </si>
  <si>
    <t>2.12. Đất khu vui chơi giải trí công cộng</t>
  </si>
  <si>
    <t>2.13. Đất ở nông thôn</t>
  </si>
  <si>
    <t>2.14. Đất ở đô thị</t>
  </si>
  <si>
    <t>2.15. Đất trụ sở cơ quan</t>
  </si>
  <si>
    <t>2.16. Đất xây dựng TS tổ chức sự nghiệp</t>
  </si>
  <si>
    <t>2.17. Đất xây dựng cơ sở ngoại giao</t>
  </si>
  <si>
    <t>2.18. Đất cơ sở tín ngưỡng</t>
  </si>
  <si>
    <t>2.19. Đất sông ngoài, kênh, rạch suối</t>
  </si>
  <si>
    <t>2.20. Đất có mặt nước chuyên dùng</t>
  </si>
  <si>
    <t>2.21. Đất phi nông nghiệp khác</t>
  </si>
  <si>
    <t>III. Nhóm đất chưa sử dụng</t>
  </si>
  <si>
    <t>CHU CHUYỂN ĐẤT ĐAI TRONG KỲ QUY HOẠCH SỬ DỤNG ĐẤT 10 NĂM (2021 - 2030)</t>
  </si>
  <si>
    <t>Chu chuyển đất đai đến năm 2030</t>
  </si>
  <si>
    <t xml:space="preserve">  - Đất có di tích lịch sử - văn hóa</t>
  </si>
  <si>
    <t>Đất trồng lúa nước khác</t>
  </si>
  <si>
    <t>TỔNG DIỆN TÍCH</t>
  </si>
  <si>
    <t>NKH/PNN</t>
  </si>
  <si>
    <t>DIỆN TÍCH, CƠ CẤU SỬ DỤNG ĐẤT CÁC KHU CHỨC NĂNG</t>
  </si>
  <si>
    <t>Vùng lõi căn cứ hậu cần kỹ thuật Ban CHQS huyện Hớn Quản</t>
  </si>
  <si>
    <t>Sân bay Technic</t>
  </si>
  <si>
    <t>Trụ sở Đội PCCC-CNCH</t>
  </si>
  <si>
    <t>Nhà kho tàng thư hộ khẩu</t>
  </si>
  <si>
    <t>Trụ sở công an cấp xã</t>
  </si>
  <si>
    <t>Trụ sở công an thị trấn Tân Khai</t>
  </si>
  <si>
    <t>Trụ sở công an thị trấn Đồng Nơ</t>
  </si>
  <si>
    <t>Trụ sở công an xã Thanh Bình</t>
  </si>
  <si>
    <t>Trụ sở công an xã An Khương</t>
  </si>
  <si>
    <t>Trụ sở công an xã An Phú</t>
  </si>
  <si>
    <t>Trụ sở công an xã Minh Đức</t>
  </si>
  <si>
    <t>Trụ sở công an xã Minh Tâm</t>
  </si>
  <si>
    <t>Trụ sở công an xã Phước An</t>
  </si>
  <si>
    <t>Trụ sở công an xã Tân Hiệp</t>
  </si>
  <si>
    <t>Trụ sở công an xã Tân Hưng</t>
  </si>
  <si>
    <t>Trụ sở công an xã Tân Lợi</t>
  </si>
  <si>
    <t>Trụ sở công an xã Tân Quan</t>
  </si>
  <si>
    <t>Trụ sở công an xã Thanh An</t>
  </si>
  <si>
    <t>Khu công nghiệp Minh Hưng - Sikico</t>
  </si>
  <si>
    <t>Khu công nghiệp Minh Hưng - Sikico mở rộng</t>
  </si>
  <si>
    <t>Nông trường Bình Minh</t>
  </si>
  <si>
    <t>Nông trường Xa Trạch</t>
  </si>
  <si>
    <t>Công văn số 340/CAH-TH ngày 04/8/2021 của Công an huyện Hớn Quản</t>
  </si>
  <si>
    <t>Cụm công nghiệp Đại Tân</t>
  </si>
  <si>
    <t>Công văn số 79/CV-LHNT ngày 17/3/2021 của Cty TNHH Đại Hưng BP</t>
  </si>
  <si>
    <t>Dự trữ QH Trung tâm thương mại, ngân hàng, khách sạn</t>
  </si>
  <si>
    <t>Đấu giá QSD đất khu đất trụ sở UBND thị trấn Tân Khai (cũ)</t>
  </si>
  <si>
    <t>Dự trữ đất thương mại dịch vụ giai đoạn 2022-2030</t>
  </si>
  <si>
    <t>Trung tâm hội nghị huyện Hớn Quản</t>
  </si>
  <si>
    <t>TSC; CLN</t>
  </si>
  <si>
    <t>Cây xăng Thắng Lợi</t>
  </si>
  <si>
    <t>Cây xăng Nguyễn Viết Châu Anh</t>
  </si>
  <si>
    <t>Quỹ tín dụng (khu trung tâm)</t>
  </si>
  <si>
    <t>CLN, ONT</t>
  </si>
  <si>
    <t>Trạm xăng dầu Duy Mạnh</t>
  </si>
  <si>
    <t>Ngân hàng</t>
  </si>
  <si>
    <t>Cây xăng Ngọc Nhi</t>
  </si>
  <si>
    <t>Dự trữ đất sản xuất kinh phi nông nghiệp giai đoạn 2022-2030</t>
  </si>
  <si>
    <t>QH sản xuất điện năng lượng mặt trời hộ gia đình, cá nhân</t>
  </si>
  <si>
    <t>QH khu tiểu thủ công nghiệp địa phương</t>
  </si>
  <si>
    <t>Nhà máy chế biến mũ cao su của Công 
ty TNHH MTV Cao su Bình Long</t>
  </si>
  <si>
    <t>Tuyến băng tải từ mỏ Thanh Lương đến nhà máy (Cty CP Xi măng Hà Tiên 1)</t>
  </si>
  <si>
    <t>Nhà máy xi măng An Phú</t>
  </si>
  <si>
    <t>Khu mỏ đá vôi</t>
  </si>
  <si>
    <t>Khu bãi thải</t>
  </si>
  <si>
    <t>Nhà máy xi măng</t>
  </si>
  <si>
    <t>Khu phụ trợ</t>
  </si>
  <si>
    <t>Bãi chứa nguyên liệu và trạm đập</t>
  </si>
  <si>
    <t>Nhà máy xi măng Minh Tâm</t>
  </si>
  <si>
    <t>Khu mỏ đá vôi, sét giai đoạn 2</t>
  </si>
  <si>
    <t>Mặt bằng bãi chứa nguyên liệu</t>
  </si>
  <si>
    <t>Bãi thải giai đoạn 1</t>
  </si>
  <si>
    <t>Bãi thải giai đoạn 2</t>
  </si>
  <si>
    <t>Trạm đập, bãi chứa nguyên liệu sạch</t>
  </si>
  <si>
    <t>Hồ lắng giai đoạn 1</t>
  </si>
  <si>
    <t>Hồ lắng giai đoạn 2</t>
  </si>
  <si>
    <t>Khai thác đá xây dựng (Cty TNHH đầu tư phát triển DV Phúc Thịnh) thuê đất quốc phòng (Núi Gió)</t>
  </si>
  <si>
    <t>Thăm dò khoáng sản Hải Vương (đá xây dựng)</t>
  </si>
  <si>
    <t>QH khu vực khai thác đất san lấp, đá xây dựng</t>
  </si>
  <si>
    <t>Cty CPĐTXD Bình Long (thuê đất quốc phòng Núi Gió)</t>
  </si>
  <si>
    <t>Cty PT nhà Bình Phước (thuê đất quốc phòng Núi Gió)</t>
  </si>
  <si>
    <t>QH khu vực khai thác vật liệu xây dựng</t>
  </si>
  <si>
    <t>QH khu vực khai thác đất sét</t>
  </si>
  <si>
    <t>QH khu vực khai thác đất san lấp (sỏi đỏ)</t>
  </si>
  <si>
    <t>Ấp Tằng Hách, xã An Phú</t>
  </si>
  <si>
    <t>Ấp 1A, xã Minh Đức</t>
  </si>
  <si>
    <t>Ấp Chà Lon, xã Minh Đức</t>
  </si>
  <si>
    <t>Sóc 5, xã Minh Tâm</t>
  </si>
  <si>
    <t>Ấp 4, xã Minh Tâm</t>
  </si>
  <si>
    <t>Ấp 1, xã Minh Tâm</t>
  </si>
  <si>
    <t>Sóc Vàng, xã Minh Tâm</t>
  </si>
  <si>
    <t>Xã Tân Hiệp</t>
  </si>
  <si>
    <t>Ấp Sóc Dày, xã Phước An</t>
  </si>
  <si>
    <t>Ấp Sóc Quả, xã Tân Hưng</t>
  </si>
  <si>
    <t>Ấp Đông Hồ, xã Tân Hưng</t>
  </si>
  <si>
    <t>Ấp Lòng Hồ, xã Tân Hưng</t>
  </si>
  <si>
    <t>Ấp Trà Thanh, xã Thanh An</t>
  </si>
  <si>
    <t>Ấp Trung Sơn, xã Thanh An</t>
  </si>
  <si>
    <t>Ấp Địa Hạt, xã Thanh An</t>
  </si>
  <si>
    <t>Ấp Bù Dinh, xã Thanh An</t>
  </si>
  <si>
    <t>CLN; ODT</t>
  </si>
  <si>
    <t>Xây dựng mương, cống thoát nước ngoài KCN Tân Khai II (nối tiếp) (hạng mục đường bờ kênh)</t>
  </si>
  <si>
    <t>Đường bê tông KCN Tân Khai II</t>
  </si>
  <si>
    <t>Đường giao thông nông thôn khu phố 7</t>
  </si>
  <si>
    <t>Khu dân cư Tân Khai (giao thông)</t>
  </si>
  <si>
    <t>Đường sắt Sài Gòn - Lộc Ninh</t>
  </si>
  <si>
    <t>Xây dựng đường kết nối Đồng Xoài-Hớn Quản</t>
  </si>
  <si>
    <t>Nâng cấp, mở rộng đường từ KCN Việt Kiều kết nối KCN Minh Hưng-Sikico</t>
  </si>
  <si>
    <t>Dự trữ đất giao thông giai đoạn 2022-2030</t>
  </si>
  <si>
    <t>Đường GTNT ấp 5 nối trung tâm thị trấn</t>
  </si>
  <si>
    <t>Đường GTNT ấp Sóc Răng</t>
  </si>
  <si>
    <t>Đường bê tông NTM ấp Đông Phất</t>
  </si>
  <si>
    <t>Đường bê tông NTM ấp Sở Nhì</t>
  </si>
  <si>
    <t>Quy hoạch xây dựng công trình đường liên xã nối cầu huyện ủy đi ấp Trường An, Trường Thịnh và nối với xã Tân Quan</t>
  </si>
  <si>
    <t>MR lộ giới ĐH An Phú - Thanh Phú</t>
  </si>
  <si>
    <t>Xây dựng đường GTNT đạt chuẩn tổ 5, ấp Phố Lố</t>
  </si>
  <si>
    <t>Xây dựng đường GTNT tổ 6, ấp Phố Lố</t>
  </si>
  <si>
    <t>Xây dựng đường GTNT tổ 2, ấp Sóc Rul</t>
  </si>
  <si>
    <t>Xây dựng đường GTNT tổ 2, ấp An Tân</t>
  </si>
  <si>
    <t>Xây dựng đường GTNT ấp 1, xã Minh Tâm</t>
  </si>
  <si>
    <t>Xây dựng đường GTNT ấp 2, xã Minh Tâm</t>
  </si>
  <si>
    <t>Xây dựng đường GTNT ấp 3, xã Minh Tâm</t>
  </si>
  <si>
    <t>Đường Sở Líp - Tổng Cui Nhỏ</t>
  </si>
  <si>
    <t>Xây dựng đường liên xã Phước An đi Tân Hưng và Tân Quan</t>
  </si>
  <si>
    <t>Đường GTNT ấp Sóc Dày</t>
  </si>
  <si>
    <t>Đường từ QL14 xã Minh Thắng đi Sân bay Technich</t>
  </si>
  <si>
    <t>Mở rộng đường ĐT758 từ Bình Long đến Thuận Phú và kết nối QL14</t>
  </si>
  <si>
    <t>CLN; ONT</t>
  </si>
  <si>
    <t>Đường giao thông nông thôn tổ 1, 2, 3 ấp Sở Xiêm; tổ 6, 7, 8, 10 ấp Hưng Phát</t>
  </si>
  <si>
    <t>Đường GT tổ 5, ấp Hưng Thạnh</t>
  </si>
  <si>
    <t>Đường GT tổ 4, ấp Hưng Thạnh</t>
  </si>
  <si>
    <t>Đường GT tổ 6, ấp Sóc Trào A</t>
  </si>
  <si>
    <t>Đường GT tổ 7, ấp Sóc Trào A</t>
  </si>
  <si>
    <t>Đường GT tổ 8, ấp Sóc Trào A</t>
  </si>
  <si>
    <t>Đường GT tổ 3, ấp Quản Lợi B</t>
  </si>
  <si>
    <t>Đường GT tổ 3, ấp Bà Lành</t>
  </si>
  <si>
    <t>Xây dựng mương thoát nước ngoài hàng rào KCN Tân Khai II</t>
  </si>
  <si>
    <t>Xây dựng mương, cống thoát nước ngoài KCN Tân Khai II (nối tiếp) (hạng mục kênh tiêu)</t>
  </si>
  <si>
    <t>Hệ thống mương chính dẫn nước sản xuất</t>
  </si>
  <si>
    <t>LUK; CLN; SON; DGT</t>
  </si>
  <si>
    <t>CLN; SON</t>
  </si>
  <si>
    <t>Mương thoát nước cho các khu công nghiệp</t>
  </si>
  <si>
    <t>Xây dựng mương thoát nước mưa và thoát nước thải ngoài hàng rào KCN Minh Hưng-Sikico mở rộng</t>
  </si>
  <si>
    <t>Xây dựng mương cống thoát nước ngoài KCN Việt Kiều</t>
  </si>
  <si>
    <t>LUK; CLN</t>
  </si>
  <si>
    <t>Dự án cụm công trình thủy lợi các huyện biên giới tỉnh Bình Phước</t>
  </si>
  <si>
    <t>Xây dựng đập dẫn nước sản xuất cho 3 xã Minh Đức, Minh Tâm, Tân Hiệp</t>
  </si>
  <si>
    <t>Kênh dẫn nước nội đồng</t>
  </si>
  <si>
    <t>Hồ nước phục vụ tưới tiêu xã Phước An</t>
  </si>
  <si>
    <t>Dự án hiện đại hóa thủy lợi thích ứng biến đổi khí hậu-thành phần tỉnh Bình Phước</t>
  </si>
  <si>
    <t>CLN; DGT; ONT; SON</t>
  </si>
  <si>
    <t>Mương dẫn nước ruộng đồng từ sông Bé (cặp ĐT757)</t>
  </si>
  <si>
    <t>Khu tượng đài (khu TTHC huyện)</t>
  </si>
  <si>
    <t>Trung tâm VH - TDTT (Khu TTHC Huyện)</t>
  </si>
  <si>
    <t>NVH thị trấn Tân Khai</t>
  </si>
  <si>
    <t>Trung tâm VH-HTCĐ xã Đồng Nơ</t>
  </si>
  <si>
    <t>Trung tâm VH-TDTT xã Thanh Bình</t>
  </si>
  <si>
    <t>DTT; PNK</t>
  </si>
  <si>
    <t>Trung tâm văn hóa thể dục thể thao xã An Khương</t>
  </si>
  <si>
    <t>CLN; DTT</t>
  </si>
  <si>
    <t>Trung tâm văn hóa thể dục thể thao xã Minh Tâm</t>
  </si>
  <si>
    <t>Nhà văn hóa xã Phước An</t>
  </si>
  <si>
    <t>Nhà văn hóa đa năng xã Tân Hiệp (khu TTHC)</t>
  </si>
  <si>
    <t>Nhà văn hóa xã Tân Hưng</t>
  </si>
  <si>
    <t>Nhà văn hóa xã Tân Lợi</t>
  </si>
  <si>
    <t>Trung tâm TVH-TDTT xã Thanh An</t>
  </si>
  <si>
    <t>Trạm y tế xã Tân Quan</t>
  </si>
  <si>
    <t>Điểm trường mầm non Khu phố 7</t>
  </si>
  <si>
    <t>Trường tiểu học Tân Khai A (Khu TTHC)</t>
  </si>
  <si>
    <t>CLN; DSH</t>
  </si>
  <si>
    <t>Trường mầm non Đồng Nơ (phục vụ KCN Minh Hưng-Sikico)</t>
  </si>
  <si>
    <t>DKV; ONT</t>
  </si>
  <si>
    <t>Điểm trường tiểu học Đồng Nơ</t>
  </si>
  <si>
    <t>Trường THCS Đồng Nơ</t>
  </si>
  <si>
    <t>Dự trữ đất xây dựng cơ sở giáo dục và đào tạo</t>
  </si>
  <si>
    <t>Trường mẫu giáo An Khương (vị trí mới)</t>
  </si>
  <si>
    <t>Trường tiểu học An Khương (điểm chính)</t>
  </si>
  <si>
    <t>Trường THCS An Khương</t>
  </si>
  <si>
    <t>Trường mầm non Minh Đức</t>
  </si>
  <si>
    <t>QH điểm trường mầm non</t>
  </si>
  <si>
    <t>QH điểm trường tiểu học</t>
  </si>
  <si>
    <t>QH trường mầm non Phước An</t>
  </si>
  <si>
    <t>Nhà trẻ ấp Tranh Sở</t>
  </si>
  <si>
    <t>Nhà trẻ ấp Sở Líp</t>
  </si>
  <si>
    <t>Trường tiểu học Phước An A (điểm chính)</t>
  </si>
  <si>
    <t>QH trường tiểu học Phước An B</t>
  </si>
  <si>
    <t>Trường THCS Phước An (điểm Văn Hiên 2)</t>
  </si>
  <si>
    <t>Trường tiểu học Tân Hiệp (khu TTHC)</t>
  </si>
  <si>
    <t>Trường THCS Tân Hiệp (khu TTHC)</t>
  </si>
  <si>
    <t>Trường mầm non Tân Hưng</t>
  </si>
  <si>
    <t>Trường Tiểu học Tân Hưng A (Sóc Xoài)</t>
  </si>
  <si>
    <t>Trường Tiểu học Tân Hưng A (Sóc Quả)</t>
  </si>
  <si>
    <t>Trường mầm non</t>
  </si>
  <si>
    <t>Điểm trường mầm non (ấp Bù Dinh)</t>
  </si>
  <si>
    <t>Trường cấp 1, 2 (ấp Bù Dinh)</t>
  </si>
  <si>
    <t>Trường THPT Thanh An</t>
  </si>
  <si>
    <t>Sân vận động thị trấn Tân Khai</t>
  </si>
  <si>
    <t>Sân thể thao (khu TTHC huyện)</t>
  </si>
  <si>
    <t>Sân bóng Tân Khai</t>
  </si>
  <si>
    <t>Sân bóng ấp 1</t>
  </si>
  <si>
    <t>Sân vận động xã Tân Hiệp</t>
  </si>
  <si>
    <t>Sân vận động xã Tân Hưng</t>
  </si>
  <si>
    <t>Sân vận động xã Tân Quan</t>
  </si>
  <si>
    <t>Dự trữ đất xây dựng cơ sở thể dục, thể thao các ấp/khu phố</t>
  </si>
  <si>
    <t>Sân bóng ấp Thuận An</t>
  </si>
  <si>
    <t>CLN; NTD; MNC</t>
  </si>
  <si>
    <t>Dự trữ đất năng lượng</t>
  </si>
  <si>
    <t>Đường điện Phước An</t>
  </si>
  <si>
    <t>Đường điện trung thế tổ 10, ấp Hưng Lập B</t>
  </si>
  <si>
    <t>Đường điện trung thế Sóc Xoài Nhỏ</t>
  </si>
  <si>
    <t>Bưu điện xã Đồng Nơ</t>
  </si>
  <si>
    <t>Bưu điện xã An Phú</t>
  </si>
  <si>
    <t>Bưu điện xã Minh Tâm</t>
  </si>
  <si>
    <t>QH Bưu điện xã Tân Hiệp</t>
  </si>
  <si>
    <t>Trung tâm viễn thông</t>
  </si>
  <si>
    <t>Bưu điện xã Thanh An</t>
  </si>
  <si>
    <t>Khu du tích Óc Eo</t>
  </si>
  <si>
    <t>Di tích kiến trúc Pháp (bồn và giếng nước)</t>
  </si>
  <si>
    <t>Khu di tích làng cổ</t>
  </si>
  <si>
    <t>QH bãi rác xã, trạm trung chuyển rác</t>
  </si>
  <si>
    <t>Bãi rác xã Đồng Nơ</t>
  </si>
  <si>
    <t>Bãi rác xã An Phú</t>
  </si>
  <si>
    <t>Bãi trung chuyển rác</t>
  </si>
  <si>
    <t>Bãi rác xã Thanh An</t>
  </si>
  <si>
    <t>Nhà thờ An Khương</t>
  </si>
  <si>
    <t>Cơ sở thờ tự</t>
  </si>
  <si>
    <t>QH điểm sinh hoạt tôn giáo (Tin lành)</t>
  </si>
  <si>
    <t>Nghĩa địa ấp 3</t>
  </si>
  <si>
    <t>QH nghĩa địa xã An Khương</t>
  </si>
  <si>
    <t>Nghĩa trang nhân dân xã An Khương</t>
  </si>
  <si>
    <t>Nghĩa địa xã Minh Đức</t>
  </si>
  <si>
    <t>Nghĩa địa xã Minh Tâm</t>
  </si>
  <si>
    <t>Nghĩa địa ấp Trường Thịnh</t>
  </si>
  <si>
    <t>Nghĩa địa ấp Sóc Lớn</t>
  </si>
  <si>
    <t>Nghĩa trang ấp Trường An, Trường Thịnh</t>
  </si>
  <si>
    <t>Nghĩa địa xã Tân Hưng</t>
  </si>
  <si>
    <t>Quy hoạch nghĩa địa</t>
  </si>
  <si>
    <t>Nghĩa địa Long Bình</t>
  </si>
  <si>
    <t>QH nghĩa địa Sóc Lớn</t>
  </si>
  <si>
    <t>Nghĩa địa Trà Thanh</t>
  </si>
  <si>
    <t>QH nghĩa địa xã Thanh An</t>
  </si>
  <si>
    <t>Trung tâm bảo trợ xã hội Tân Hiệp</t>
  </si>
  <si>
    <t>Chợ Tân Khai</t>
  </si>
  <si>
    <t>Chợ Tân Khai mới</t>
  </si>
  <si>
    <t>CLN; DBV; TSC</t>
  </si>
  <si>
    <t>QH chợ xã An Khương</t>
  </si>
  <si>
    <t>QH Chợ An Phú</t>
  </si>
  <si>
    <t>Chợ xã Minh Tâm</t>
  </si>
  <si>
    <t>Chợ Tân Hiệp (khu TTHC)</t>
  </si>
  <si>
    <t>QH chợ tập trung</t>
  </si>
  <si>
    <t>Chợ Tân Hưng</t>
  </si>
  <si>
    <t>Chợ Tân Lợi</t>
  </si>
  <si>
    <t>Chợ Thanh An</t>
  </si>
  <si>
    <t>Văn phòng khu phố 1 (mới)</t>
  </si>
  <si>
    <t>Nhà văn hóa khu phố 2 (vị trí mới)</t>
  </si>
  <si>
    <t>NVH ấp Đồng Tân</t>
  </si>
  <si>
    <t>Văn phòng ấp 3</t>
  </si>
  <si>
    <t>NVH ấp 3</t>
  </si>
  <si>
    <t>NVH ấp 5 (vị trí mới)</t>
  </si>
  <si>
    <t>NVH ấp Xa Cát</t>
  </si>
  <si>
    <t>NVH ấp Sở Nhì</t>
  </si>
  <si>
    <t>NVH ấp Đông Phất</t>
  </si>
  <si>
    <t>Mở rộng các nhà văn hóa ấp</t>
  </si>
  <si>
    <t>Nhà văn hóa ấp Sóc Rul</t>
  </si>
  <si>
    <t>NVH ấp Chà Lon</t>
  </si>
  <si>
    <t>NVH ấp 2</t>
  </si>
  <si>
    <t>NVH Sóc Lộc Khê</t>
  </si>
  <si>
    <t>NVH ấp 1A</t>
  </si>
  <si>
    <t>NVH ấp 1B (vị trị mới)</t>
  </si>
  <si>
    <t>NVH ấp Đồng Dầu</t>
  </si>
  <si>
    <t>NVH ấp Sóc Ruộng</t>
  </si>
  <si>
    <t>NVH ấp 4</t>
  </si>
  <si>
    <t>NVH Sóc 6</t>
  </si>
  <si>
    <t>NVH ấp 1</t>
  </si>
  <si>
    <t>Nhà văn hóa ấp Sóc Tranh</t>
  </si>
  <si>
    <t>Nhà văn hóa Xa Trạch Sóc</t>
  </si>
  <si>
    <t>Nhà văn hóa ấp Trường An</t>
  </si>
  <si>
    <t>Nhà rông Sóc 5</t>
  </si>
  <si>
    <t>NVH ấp 8</t>
  </si>
  <si>
    <t>NVH Sóc 5</t>
  </si>
  <si>
    <t>NVH Sóc Quả</t>
  </si>
  <si>
    <t>Nhà rông Sóc Ứng</t>
  </si>
  <si>
    <t>NVH ấp Hưng Lập A</t>
  </si>
  <si>
    <t>DGD; CLN</t>
  </si>
  <si>
    <t>NVH ấp Bà Lành</t>
  </si>
  <si>
    <t>NVH ấp Phú Miêng</t>
  </si>
  <si>
    <t>NVH ấp Quản Lợi A</t>
  </si>
  <si>
    <t>NVH ấp Hưng Thạnh</t>
  </si>
  <si>
    <t>NVH ấp Sóc Lết</t>
  </si>
  <si>
    <t>NVH ấp Sóc Trào A (điểm nhà trẻ)</t>
  </si>
  <si>
    <t>NVH ấp Núi Gió</t>
  </si>
  <si>
    <t>NVH ấp Ấn Lợi</t>
  </si>
  <si>
    <t>NVH ấp 5</t>
  </si>
  <si>
    <t>NVH Sóc Lớn</t>
  </si>
  <si>
    <t>NVH ấp Long Bình</t>
  </si>
  <si>
    <t>VP ấp Xa Lách</t>
  </si>
  <si>
    <t>NVH Sóc Ruộng 2</t>
  </si>
  <si>
    <t>NVH ấp Xạc Lây</t>
  </si>
  <si>
    <t>CLN; DGD</t>
  </si>
  <si>
    <t>NVH ấp An Sơn</t>
  </si>
  <si>
    <t>NVH ấp Trung Sơn</t>
  </si>
  <si>
    <t>NVH Địa Hạt-Sóc Dầm</t>
  </si>
  <si>
    <t>NVH ấp Thuận An</t>
  </si>
  <si>
    <t>NVH ấp Trà Thanh</t>
  </si>
  <si>
    <t>NVH ấp Phùm Lu</t>
  </si>
  <si>
    <t>NVH ấp An Quý</t>
  </si>
  <si>
    <t>QH công viên cây xanh xã Đồng Nơ</t>
  </si>
  <si>
    <t>Công viên cây xanh khu trung tâm xã</t>
  </si>
  <si>
    <t>Công viên (khu TTHC)</t>
  </si>
  <si>
    <t>Công viên cây xanh khuôn viên trường (khu TTHC)</t>
  </si>
  <si>
    <t>Công viên cây xanh ấp Bù Dinh</t>
  </si>
  <si>
    <t>Công viên cây xanh khu QH chi tiết</t>
  </si>
  <si>
    <t>Khu dân cư Thanh Bình</t>
  </si>
  <si>
    <t>Dự trữ đất ở nông thôn giai đoạn 2022 - 2030</t>
  </si>
  <si>
    <t>Xin giao về địa phương quản lý để quy hoach Khu dân cư và các công trình công cộng</t>
  </si>
  <si>
    <t>HNK, CLN</t>
  </si>
  <si>
    <t>Khu dân cư Đại Tân</t>
  </si>
  <si>
    <t>Khu dân cư ấp 3</t>
  </si>
  <si>
    <t>Lô 5/07 - Nông trường Xa Trạch</t>
  </si>
  <si>
    <t>Lô 2/06 - NT Xa Trạch</t>
  </si>
  <si>
    <t>Khu tái định cư xã Tân Hiệp</t>
  </si>
  <si>
    <t>Cấp đất ở cho 240 hộ gia đình (lâm phần)</t>
  </si>
  <si>
    <t>Lô 2/99 - Nông trường Lợi Hưng</t>
  </si>
  <si>
    <t>Lô 4/15 - NT Lợi Hưng</t>
  </si>
  <si>
    <t>Lô 3/17, 17/85 - NT Lợi Hưng</t>
  </si>
  <si>
    <t>Khu dân cư đối diện chợ Tân Hưng</t>
  </si>
  <si>
    <t>Lô 3/94 - Nông trường Quản Lợi</t>
  </si>
  <si>
    <t>Khu dân cư TTHC xã Tân Lợi</t>
  </si>
  <si>
    <t>Đấu giá NVH ấp Núi Gió</t>
  </si>
  <si>
    <t>Đấu giá trường TH Tân Lợi (điểm Bà Lành)</t>
  </si>
  <si>
    <t>Tái định cư tại chỗ KDC dọc đường ĐT758 ấp Quản Lợi B (từ ngã ba đài liệt sỹ cũ đến khu quy hoạch trung tâm xã)</t>
  </si>
  <si>
    <t>Tái định cư tại chỗ KDC dọc đường ĐT758 ấp Quản Lợi B (từ cổng xí nghiệp chế biến mủ Quản Lợi đến giáp ranh TX Bình Long)</t>
  </si>
  <si>
    <t>Cấp đất ở cho dân (lấy đất UBND xã Thanh An)</t>
  </si>
  <si>
    <t>Khu dân cư KP1 (phía trước nghĩa trang liệt sỹ huyện)</t>
  </si>
  <si>
    <t>CLN, ODT</t>
  </si>
  <si>
    <t>Dự án Chỉnh trang đô thị</t>
  </si>
  <si>
    <t>Khu dân cư phía Tây TTHC huyện Hớn Quản</t>
  </si>
  <si>
    <t>Khu dân cư (liền kề Công ty APT)</t>
  </si>
  <si>
    <t>Thu hồi giao UBND huyện quản lý để thực hiện quy hoạch, tổ chức đấu giá QSD đất để xây dựng Khu dân cư</t>
  </si>
  <si>
    <t>Cấp đất ở cho 160 hộ gia đình (lâm phần)</t>
  </si>
  <si>
    <t>Đấu giá đất ở (NVH+VP ấp 3)</t>
  </si>
  <si>
    <t>Khu nhà ở chuyên gia và công nhân KCN Minh Hưng-Sikico</t>
  </si>
  <si>
    <t>Trụ sở UBND xã Phước An</t>
  </si>
  <si>
    <t>Điểm thờ cúng tín ngưỡng</t>
  </si>
  <si>
    <t>Miếu thờ</t>
  </si>
  <si>
    <t>Đất ủy ban quản lý</t>
  </si>
  <si>
    <t>Chốt dân quân KCN Việt Kiều</t>
  </si>
  <si>
    <t>Trang trại chăn nuôi gà thịt Đặng Thanh Triều (nhà kho)</t>
  </si>
  <si>
    <t>Trạm kiểm lâm</t>
  </si>
  <si>
    <t>Chuyển mục đích đất trồng lúa 1 vụ sang đất trồng cây lâu năm</t>
  </si>
  <si>
    <t>Chuyển mục đích đất trồng cây hàng năm khác sang đất trồng cây lâu năm</t>
  </si>
  <si>
    <t>NTD, DGD</t>
  </si>
  <si>
    <t>Đưa đất rừng phòng hộ ra khỏi lâm phần</t>
  </si>
  <si>
    <t>Đất trồng cây hàng năm</t>
  </si>
  <si>
    <t>Chuyển mục đích đất trồng lúa 1 vụ sang trồng cây hàng năm khác</t>
  </si>
  <si>
    <t>Chuyển mục đích sang nuôi trồng thủy sản giai đoạn 2022-2030</t>
  </si>
  <si>
    <t>Dự trữ đất nông nghiệp khác giai đoạn 2022-2030</t>
  </si>
  <si>
    <t>CMĐ đất nông nghiệp khác năm 2021</t>
  </si>
  <si>
    <t>Khu nông nghiệp ứng dụng công nghệ cao (cao su Bình Long)</t>
  </si>
  <si>
    <t>Lô 02b/11; 02b/12; 01/10; 03/10 NT Đồng Nơ</t>
  </si>
  <si>
    <t>Nông trường Trà Thanh</t>
  </si>
  <si>
    <t>Trại gà Mạnh Tường</t>
  </si>
  <si>
    <t>Trại chăn nuôi hộ gia đình Hồ Thị Kim Ngan</t>
  </si>
  <si>
    <t>Trang trại chăn nuôi gà thịt Đặng Thanh Triều (trang trại)</t>
  </si>
  <si>
    <t>Trang trại chăn nuôi heo Nguyễn Thị Nhiều (mở rộng)</t>
  </si>
  <si>
    <t>Khu nông nghiệp ứng dụng công nghệ cao Hải Vương</t>
  </si>
  <si>
    <t>Xây dựng đường kết nối ngang QL13 và tuyến Tây QL13 đoạn Chơn Thành - Hoa Lư</t>
  </si>
  <si>
    <t>Biên bản ngày 
26/02/2021 giữa
Công ty TNHH MTV Cao su Bình Long và UBND huyện, Công văn số 
841/CSBL-KHĐT ngày 05/8/2021 của Công ty TNHH MTV Cao su Bình Long</t>
  </si>
  <si>
    <t>2022-2025</t>
  </si>
  <si>
    <t>Trang trại chăn nuôi gà (Công ty 
TNHH Chăn nuôi QT An Phú)</t>
  </si>
  <si>
    <t>Quyết định số 2170/QĐ-UBND ngày 27/8/2021 của UBND tỉnh</t>
  </si>
  <si>
    <t>Quyết định số 2990/QĐ-UBND ngày 27/11/2020 của UBND tỉnh</t>
  </si>
  <si>
    <t>Trại chăn nuôi (dự trữ hộ GĐ chăn nuôi nhỏ lẻ)</t>
  </si>
  <si>
    <t>Khu công nghiệp Tân Khai II</t>
  </si>
  <si>
    <t>Biên bản làm việc ngày 26/02/2021 giữa Công ty TNHH MTV Cao su Bình Long và UBND huyện, Công văn số 841/CSBL-KHĐT ngày 05/8/2021 của Công ty TNHH MTV Cao su Bình Long</t>
  </si>
  <si>
    <t>Trạm xăng dầu Dương Đông Bình Phước</t>
  </si>
  <si>
    <t>Trạm xăng dầu công an tỉnh</t>
  </si>
  <si>
    <t>Quyết định số 2304/QĐ-UBND ngày 03/10/2018 của UBND tỉnh</t>
  </si>
  <si>
    <t>Quyết định số 3057/QĐ-UBND ngày 02/12/2020 của UBND tỉnh</t>
  </si>
  <si>
    <t>Quyết định số 1814/QĐ-UBND ngày 07/8/2018 của UBND tỉnh</t>
  </si>
  <si>
    <t>Quyết định số 1999/QĐ-UBND ngày 24/9/2019 của UBND tỉnh</t>
  </si>
  <si>
    <t>Quyết định số 2450/QĐ-UBND
ngày 29/9/2020 của UBND tỉnh</t>
  </si>
  <si>
    <t>Quyết định số 2024/QĐ-UBND ngày 26/9/2019 của UBND tỉnh</t>
  </si>
  <si>
    <t>Quyết định số 1065/QĐ-TTg ngày 09/7/2010 của Thủ tướng CP, QĐ số 781/QĐ-UBND ngày 08/4/2016 của UBND tỉnh</t>
  </si>
  <si>
    <t>Công văn số 2544/UBND-SX ngày 21/8/2008 của UBND tỉnh</t>
  </si>
  <si>
    <t>Nghị quyết số 18/NQ-HĐND ngày 02/7/2021 của HĐND tỉnh, Công văn số 622/BQLDA-TCKT ngày 21/7/2021 của BQLDA tỉnh</t>
  </si>
  <si>
    <t>CLN, LUK</t>
  </si>
  <si>
    <t>Công văn số 1616/UBND-KSX ngày 21/10/2020 của UBND huyện</t>
  </si>
  <si>
    <t>Đường GTNT Ruộng 1</t>
  </si>
  <si>
    <t>Công văn số 622/SGTVT-TCKT ngày 27/7/2021 của Sở GTVT</t>
  </si>
  <si>
    <t>Quyết định số 2024/QĐ-UBND ngày 20/8/2020 của UBND tỉnh</t>
  </si>
  <si>
    <t>Nghị quyết số 11/NQ-HĐND ngày 03/7/2020 của HĐND tỉnh</t>
  </si>
  <si>
    <t>Công văn số 148/TTg-QHQT ngày 02/02/2021 của Thủ tướng CP, Nghị quyết số 09/2021/NQ-HĐND ngày 02/7/2021 của HĐND tỉnh</t>
  </si>
  <si>
    <t>Quyết định số 413/QĐ-UBND ngày 02/3/2010 của UBND tỉnh</t>
  </si>
  <si>
    <t>Biên bản ngày 16/10/2017 giữa Công ty TNHH MTV Cao su Bình Long và UBND huyện Hớn Quản</t>
  </si>
  <si>
    <t>Trường Tiểu học Tân Hưng B (Sở Xiêm)</t>
  </si>
  <si>
    <t>Trường mầm non Trà Thanh</t>
  </si>
  <si>
    <t>Công văn số 4164/UBND-KT ngày 
07/12/20217 của UBND tỉnh</t>
  </si>
  <si>
    <t>Nghĩa địa Tân Lợi</t>
  </si>
  <si>
    <t>Quyết định số 413/QĐ-UBND ngày 2/3/2010 của UBND tỉnh</t>
  </si>
  <si>
    <t>Công văn số 155/VPĐP ngày 11/8/2021 của Văn phòng điều phối NTM tỉnh</t>
  </si>
  <si>
    <t>QH chợ Tân Lợi (lấy trạm y tế NT Quản Lợi)</t>
  </si>
  <si>
    <t>DYT, CLN</t>
  </si>
  <si>
    <t>Công văn số 3169/UBND-KT ngày 29/10/2019 của UBND tỉnh</t>
  </si>
  <si>
    <t>Quyết định số 1141/QĐ-UBND ngày 02/6/2014 của UBND tỉnh</t>
  </si>
  <si>
    <t>Quyết định số 1141/QĐ-UBND ngày 02/6/2014 của UBND tỉnh, Công văn số 1152/UBND-KT ngày 22/5/2020 của UBND tỉnh, Báo cáo số 112/BC-UBND ngày 17/6/2021 của UBND huyện</t>
  </si>
  <si>
    <t>Thông báo số 195/TB-UBND ngày 02/8/2017 của UBND tỉnh</t>
  </si>
  <si>
    <t>Thông báo số 38/TB-UBND ngày 20/01/2021 của UBND tỉnh, thông báo số 378/TB-UBND ngày 21/7/2021 của UBND tỉnh</t>
  </si>
  <si>
    <t>Thông báo số 35/TB-UBND ngày 06/02/2018 của UBND tỉnh</t>
  </si>
  <si>
    <t>Quyết định số 1488/QĐ-TTg ngày 29/8/2011 của Thủ tướng CP, Công văn số 3924/UBND-KT ngày
23/12/2012 của UBND tỉnh, Công văn số 1621/UBND-SX ngày 06/6/2008 của UBND tỉnh</t>
  </si>
  <si>
    <t>Nghị quyết số 22/2019/NQ-HĐND ngày 19/12/2019 của HĐND tỉnh</t>
  </si>
  <si>
    <t>Quyết định số 1394/QĐ-UBND ngày 24/6/2020 của UBND tỉnh</t>
  </si>
  <si>
    <t>Quyết định số 2394/QĐ-UBND ngày 15/10/2015 của UBND huyện</t>
  </si>
  <si>
    <t>Công văn số 1694/UBND-KT ngày 26/5/2021 của UBND tỉnh</t>
  </si>
  <si>
    <t>Thông báo số 272/TB-UBND ngày 17/9/2019 của UBND tỉnh, Công văn số 2339/UBND-KT ngày 16/7/2020 của UBND tỉnh, Quyết định số 3750/QĐ-UBND ngày 04/8/2021 của UBND huyện</t>
  </si>
  <si>
    <t xml:space="preserve"> Công văn số 2339/UBND-KT ngày 16/7/2020 của UBND tỉnh</t>
  </si>
  <si>
    <t>Nhánh rẽ đường dây và trạm 110kV XM Minh Tâm</t>
  </si>
  <si>
    <t>Công văn số 1599/SCT-NL ngày 23/7/2021 của Sở Công thương</t>
  </si>
  <si>
    <t>Nhánh rẽ và trạm 110kV Sikico</t>
  </si>
  <si>
    <t>Nhánh rẽ và trạm 110kV Hớn Quản</t>
  </si>
  <si>
    <t>Nhánh rẽ và trạm 110kV Minh Hưng - Sikico Mở rộng</t>
  </si>
  <si>
    <t>Ghi chú: (*) Phê duyệt tại Quyết định số 2358/QĐ-UBND ngày 23/9/2020 của UBND tỉnh Bình Phước
                 (**) Thống kê đất đai năm 2020 huyện Hớn Quản, phục vụ quy hoạch</t>
  </si>
  <si>
    <t>Cty Hóa An (thuê đất quốc phòng Núi Gió)</t>
  </si>
  <si>
    <t>CLN (2,00);
ODT (0,70)</t>
  </si>
  <si>
    <t>CLN (29,48);
ONT (3,28)</t>
  </si>
  <si>
    <t>CLN (44,23);
ONT (4,91)</t>
  </si>
  <si>
    <t>CLN; ONT; SON</t>
  </si>
  <si>
    <t>CLN; ODT; SON</t>
  </si>
  <si>
    <t>Xây dựng đường từ ngã ba Đồng Tâm huyện Lộc Ninh đi TX. Phước Long</t>
  </si>
  <si>
    <t>CLN; LUC</t>
  </si>
  <si>
    <t>Công văn số 2162/TTg-KTN ngày 26/11/2015 của Thủ tướng Chính phủ</t>
  </si>
  <si>
    <t>Báo cáo số 220/BC-UBND ngày 30/7/2021 của UBND tỉnh, Biên bản làm việc ngày 26/02/2021 giữa Công ty TNHH MTV Cao su Bình Long và UBND huyện, Công văn số 841/CSBL-KHĐT ngày 05/8/2021 của Công ty TNHH MTV Cao su Bình Long</t>
  </si>
  <si>
    <t>Thông báo số 20/TB-VPCP ngày 26/01/2021 của VP Chính phủ, Báo cáo số 220/BC-UBND ngày 30/7/2021 của UBND tỉnh, Công văn số 592/BQL-QHXDTNMT ngày 10/5/2021 của BQLKKT, Công văn số 1372/BQL-QHXDTNMT ngày 21/9/2021 của BQLKKT</t>
  </si>
  <si>
    <t>RSX; CLN</t>
  </si>
  <si>
    <t>Nghị quyết số 09/2021/NQ-HĐND ngày 02/7/2021 của HĐND tỉnh Bình Phước; Biên bản làm việc ngày 26/02/2021 giữa Công ty TNHH MTV Cao su Bình Long và UBND huyện, Công văn số 841/CSBL-KHĐT ngày 05/8/2021 của Công ty TNHH MTV Cao su Bình Long,  Báo cáo số 33/BC-UBND ngày 09/3/2021 của UBND huyện</t>
  </si>
  <si>
    <t>Quyết định số 75/QĐ-UBND ngày 11/01/2021 của UBND tỉnh</t>
  </si>
  <si>
    <t>Quyết định số 413/QĐ-UBND ngày 02/3/2021 của UBND tỉnh, Tờ trình số 52/TTr-UBND ngày 26/4/2021 của UBND huyện</t>
  </si>
  <si>
    <t>Quyết định số 350/QĐ-UBND ngày 26/02/2019 của UBND tỉnh</t>
  </si>
  <si>
    <t>Cửa hàng kinh doanh xăng dầu (Công ty TNHH xăng dầu Hương Phát)</t>
  </si>
  <si>
    <t>Quyết định số 1915/QĐ-UBND ngày 12/9/2019 của UBND tỉnh</t>
  </si>
  <si>
    <t>Quyết định số 2191/QĐ-UBND ngày 05/9/2017 của UBND tỉnh</t>
  </si>
  <si>
    <t>Công văn số 841/CSBL-KHĐT 
ngày 05/8/2021 của Công ty TNHH MTV Cao su Bình Long</t>
  </si>
  <si>
    <t>Nhà xưởng sản xuất Mousse (Công ty TNHH Kim Chi Phát)</t>
  </si>
  <si>
    <t>Quyết định số 1280/QĐ-UBND ngày 18/5/2021 của UBND tỉnh</t>
  </si>
  <si>
    <t>Quyết định số 1054/QĐ-UBND ngày 26/4/2021 của UBND tỉnh Bình Phước</t>
  </si>
  <si>
    <t>Công văn số 1582/UBND-KT ngày 18/5/2017 của UBND tỉnh</t>
  </si>
  <si>
    <t>Công văn số 676/UBND-KTN ngày 28/3/2016 của UBND tỉnh</t>
  </si>
  <si>
    <t>Công văn số 3313/UBND-SX ngày 07/10/2009 của UBND tỉnh, Công văn số 1275/UBND-KT ngày 14/5/2018 của UBND tỉnh</t>
  </si>
  <si>
    <t>Quyết định số 1488/QĐ-TTg ngày 29/8/2011 của Thủ tướng CP, Công văn số 3924/UBND-KT ngày 23/12/2012 của UBND tỉnh, Công văn số 1621/UBND-SX ngày 06/6/2008 của UBND tỉnh</t>
  </si>
  <si>
    <t>Đường băng tải</t>
  </si>
  <si>
    <t>Công văn số 
492/STNMT-KS ngày 05/3/2021 của Sở Tài nguyên và Môi trường</t>
  </si>
  <si>
    <t>Quyết định số 1717/QĐ-UBND ngày 28/7/2020 của UBND tỉnh</t>
  </si>
  <si>
    <t>Giấy phép số 63/GP-UBND ngày 02/8/2016 của UBND tỉnh</t>
  </si>
  <si>
    <t>Quyết định số 2074/QĐ-UBND ngày 7/10/2019 của UBND tỉnh</t>
  </si>
  <si>
    <t>Quyết định số 2074/QĐ-UBND ngày 07/10/2019 của UBND tỉnh</t>
  </si>
  <si>
    <t>Khai thác mỏ sét gạch ngói và vật liệu san lấp (Cty TNHH MTV SX TM Đô Thành)</t>
  </si>
  <si>
    <t>Quyết định số 2783/QĐ-UBND ngày 25/12/2019 của UBND tỉnh</t>
  </si>
  <si>
    <t>Báo cáo số 198/BC-TNMT ngày 13/4/2021 của Phòng TNMT</t>
  </si>
  <si>
    <t>Quyết định số 490/QĐ-UBND ngày 
24/3/2021 của UBND huyện</t>
  </si>
  <si>
    <t>Quyết định số 1801/QĐ-UBND ngày 05/8/2020 của UBND tỉnh, Quyết định số 550/QĐ-UBND ngày 05/3/2021 của UBND tỉnh</t>
  </si>
  <si>
    <t>Công văn số 244/UBND-KTHT ngày 04/3/2020 của UBND huyện</t>
  </si>
  <si>
    <t>Công văn số 1231/SGTVT-HTGT ngày 25/12/2020 của Sở GTVT, Công văn số 939/SGTVT-HTGT ngày 30/7/2021 của Sở GTVT</t>
  </si>
  <si>
    <t>Quyết định số 2779/QĐ-UBND ngày 31/10/2016 của UBND tỉnh, Công văn số 2508/UBND-KT ngày 27/7/2020 của UBND tỉnh; Công văn số 3071/UBND-KT ngày 28/8/2020 của UBND tỉnh, Công văn số 900/BQLDA-TCKT ngày 21/9/2021 của BQLDA tỉnh</t>
  </si>
  <si>
    <t>Báo cáo số 439/BC-UBND ngày 25/12/2020 của UBND tỉnh</t>
  </si>
  <si>
    <t>Nghị quyết số 18/NQ-HĐND ngày 02/7/2021 của HĐND tỉnh, Tờ trình số 202b/TTr-BQLDA ngày 04/6/2021 của BQLDA tỉnh, Công văn số 622/BQLDA-TCKT ngày 21/7/2021 của BQLDA tỉnh, Công văn số 900/BQLDA-TCKT ngày 21/9/2021 của BQLDA tỉnh</t>
  </si>
  <si>
    <t>Nghị quyết số 18/NQ-HĐND ngày 02/7/2021 của HĐND tỉnhCông văn số 900/BQLDA-TCKT ngày 21/9/2021 của BQLDA tỉnh</t>
  </si>
  <si>
    <t>Quyết định số 551/QĐ-UBND ngày 05/3/2021 của UBND tỉnh, Công văn số 91/BQLDA ngày 19/4/2021 của Ban quản lý dự án đầu tư xây dựng huyện Hớn Quản</t>
  </si>
  <si>
    <t>Quyết định số 3282/QĐ-UBND ngày 25/12/2020 của UBND tỉnh, Công văn số 162/BQLDA-KHTH ngày 10/3/2021 của Ban quản lý dự án đầu tư xây dựng tỉnh Bình Phước, Công văn số 900/BQLDA-TCKT ngày 21/9/2021 của BQLDA tỉnh</t>
  </si>
  <si>
    <t>Quyết định số 2292/QĐ-UBND ngày 30/10/2019 của UBND tỉnh, Công văn số 900/BQLDA-TCKT ngày 21/9/2021 của BQLDA tỉnh</t>
  </si>
  <si>
    <t>Quyết định số 2021/QĐ-UBND ngày 20/8/2020 của UBND tỉnh, Công văn số 91/BQLDA ngày 19/4/2021 của Ban quản lý dự án đầu tư xây dựng huyện Hớn Quản</t>
  </si>
  <si>
    <t>Quyết định số 3316/QĐ-UBND ngày 29/12/2020 của UBND tỉnh</t>
  </si>
  <si>
    <t>Nghị quyết số 18/NQ-HĐND ngày 02/7/2021 của HĐND tỉnh,  Công văn số 622/BQLDA-TCKT ngày 21/7/2021 của BQLDA tỉnh,  Công văn số 900/BQLDA-TCKT ngày 21/9/2021 của BQLDA tỉnh</t>
  </si>
  <si>
    <t>Quyết định số 1131/QĐ-UBND ngày 04/5/2021 của UBND tỉnh, Công văn số 91/BQLDA ngày 19/4/2021 của Ban quản lý dự án đầu tư xây dựng huyện Hớn Quản</t>
  </si>
  <si>
    <t>Quyết định số 622 ngày 02/3/2016 của Bộ GTVT</t>
  </si>
  <si>
    <t>Quyết định số 920 ngày 17/4/2017 của UBND tỉnh, Công văn số 900/BQLDA-TCKT ngày 21/9/2021 của BQLDA tỉnh</t>
  </si>
  <si>
    <t>Quyết định số 3133/QĐ-UBND ngày 01/12/20217 của UBND tỉnh, Quyết định số 2356/QĐ-UBND ngày 15/10/2018 của UBND tỉnh, Công văn số 900/BQLDA-TCKT ngày 21/9/2021 của BQLDA tỉnh</t>
  </si>
  <si>
    <t>Quyết định số 2024/QĐ-UBND ngày 20/8/2020 của UBND tỉnh, Công văn số 900/BQLDA-TCKT ngày 21/9/2021 của BQLDA tỉnh</t>
  </si>
  <si>
    <t>Quyết định số 1645/QD-UBND ngày 21/7/2020 của UBND tỉnh, Quyết định số 1127/QĐ-UBND ngày 04/5/2021 của UBND tỉnh, Công văn số 622/BQLDA-TCKT ngày 21/7/2021 của BQLDA tỉnh, Công văn số 900/BQLDA-TCKT ngày 21/9/2021 của BQLDA tỉnh</t>
  </si>
  <si>
    <t>Quyết định số 2029/QĐ-UBND ngày 20/8/2020 của UBND tỉnh, Công văn số 900/BQLDA-TCKT ngày 21/9/2021 của BQLDA tỉnh</t>
  </si>
  <si>
    <t>Quyết định số 5028/QĐ-BNN-XD ngày 10/12/2020 của Bộ NNPTNT, Nghị quyết số 09/2021/NQ-HĐND ngày 02/7/2021 của HĐND tỉnh, Công văn số 622/BQLDA-TCKT ngày 21/7/2021 của BQLDA tỉnh, Công văn số 900/BQLDA-TCKT ngày 21/9/2021 của BQLDA tỉnh</t>
  </si>
  <si>
    <t>Nghị quyết số 22/2020/NQ-HĐND ngày 10/12/2020 của HĐND tỉnh Bình Phước; Công văn số 349/UBND-KT ngày 16/10/2014 của UBND tỉnh</t>
  </si>
  <si>
    <t>CLN, SKC</t>
  </si>
  <si>
    <t>Diện tích trả về Ủy ban quản lý</t>
  </si>
  <si>
    <t>Chuyển đất rừng sản xuất ra khỏi lâm phần để xem xét cấp GCNQSD đất cho người dân đã sinh sống ổn định từ lâu</t>
  </si>
  <si>
    <t>HNK; CLN</t>
  </si>
  <si>
    <t>Nhà văn hóa Khu phố 2 (đất trạm y tế)</t>
  </si>
  <si>
    <t>Bưu điện xã An Khương</t>
  </si>
  <si>
    <t>Bưu điện xã Tân Lợi</t>
  </si>
  <si>
    <t>Khu sơ tán trong phòng thủ dân sự BCHQS TX. Bình Long</t>
  </si>
  <si>
    <t>CLN (64,44);
RSX (5,56)</t>
  </si>
  <si>
    <t>CLN (21,33);
RSX (0,78);
ONT (2,46)</t>
  </si>
  <si>
    <t>CLN (136,22);
RSX (6,24)</t>
  </si>
  <si>
    <t>CLN (181,36);
RSX (21,92)</t>
  </si>
  <si>
    <t>Bãi rác Sóc Lớn</t>
  </si>
  <si>
    <t>PHỤ LỤC</t>
  </si>
  <si>
    <t>Cụm công nghiệp Thanh Bình</t>
  </si>
  <si>
    <t>Cụm công nghiệp Tân Khai</t>
  </si>
  <si>
    <t>Cụm công nghiệp Hưng Phú</t>
  </si>
  <si>
    <t>Xin giao về địa phương quản lý để quy hoạch các công trình công cộng</t>
  </si>
  <si>
    <t>Khai thác đá Rạng Đông</t>
  </si>
  <si>
    <t>Giấy phép số 28/GP-UBND ngày 01/7/2015 của UBND tỉnh</t>
  </si>
  <si>
    <t>RSX, RPH, CLN</t>
  </si>
  <si>
    <t>Trường cấp 1, 2 Tân Lợi</t>
  </si>
  <si>
    <t>Tờ trình số 111/TTr-UBND ngày 11/11/2021 của UBND xã Tân Lợi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</si>
</sst>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\ _₫_-;\-* #,##0.00\ _₫_-;_-* &quot;-&quot;??\ _₫_-;_-@_-"/>
    <numFmt numFmtId="164" formatCode="_(* #,##0.00_);_(* \(#,##0.00\);_(* &quot;-&quot;??_);_(@_)"/>
    <numFmt numFmtId="165" formatCode="#,##0.0000"/>
    <numFmt numFmtId="166" formatCode="_ * #,##0.00_ ;_ * \-#,##0.00_ ;_ * &quot;-&quot;??_ ;_ @_ "/>
    <numFmt numFmtId="167" formatCode="0.0000"/>
    <numFmt numFmtId="168" formatCode="_(* #,##0.0000_);_(* \(#,##0.0000\);_(* &quot;-&quot;????_);_(@_)"/>
    <numFmt numFmtId="169" formatCode="&quot;\&quot;#,##0.00;[Red]&quot;\&quot;&quot;\&quot;&quot;\&quot;&quot;\&quot;&quot;\&quot;&quot;\&quot;\-#,##0.00"/>
    <numFmt numFmtId="170" formatCode="&quot;\&quot;#,##0;[Red]&quot;\&quot;&quot;\&quot;\-#,##0"/>
    <numFmt numFmtId="171" formatCode="\$#,##0\ ;\(\$#,##0\)"/>
    <numFmt numFmtId="172" formatCode="0_);\(0\)"/>
    <numFmt numFmtId="173" formatCode="0.000"/>
    <numFmt numFmtId="174" formatCode="&quot;\&quot;#,##0.00;[Red]&quot;\&quot;\-#,##0.00"/>
    <numFmt numFmtId="175" formatCode="&quot;\&quot;#,##0;[Red]&quot;\&quot;\-#,##0"/>
    <numFmt numFmtId="176" formatCode="_ * #,##0_ ;_ * \-#,##0_ ;_ * &quot;-&quot;??_ ;_ @_ "/>
    <numFmt numFmtId="177" formatCode="#,##0.00_ ;\-#,##0.00\ "/>
    <numFmt numFmtId="178" formatCode="#,##0_ ;\-#,##0\ "/>
  </numFmts>
  <fonts count="57">
    <font>
      <sz val="11"/>
      <color theme="1"/>
      <name val="Arial"/>
      <family val="2"/>
    </font>
    <font>
      <sz val="10"/>
      <name val="Arial"/>
      <family val="2"/>
      <charset val="163"/>
    </font>
    <font>
      <sz val="8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0"/>
      <name val=".VnTime"/>
      <family val="2"/>
    </font>
    <font>
      <b/>
      <i/>
      <sz val="9"/>
      <name val="Times New Roman"/>
      <family val="1"/>
    </font>
    <font>
      <sz val="9"/>
      <name val="Arial"/>
      <family val="2"/>
      <charset val="163"/>
    </font>
    <font>
      <b/>
      <sz val="9"/>
      <name val="Arial"/>
      <family val="2"/>
      <charset val="163"/>
    </font>
    <font>
      <i/>
      <sz val="9"/>
      <name val="Arial"/>
      <family val="2"/>
      <charset val="163"/>
    </font>
    <font>
      <sz val="7"/>
      <name val="VNI-Helve-Condense"/>
    </font>
    <font>
      <sz val="9"/>
      <name val="VNI-Helve-Condense"/>
    </font>
    <font>
      <b/>
      <sz val="9"/>
      <name val="VNI-Helve-Condense"/>
    </font>
    <font>
      <sz val="14"/>
      <name val="??"/>
      <family val="3"/>
      <charset val="129"/>
    </font>
    <font>
      <sz val="10"/>
      <name val="???"/>
      <family val="3"/>
      <charset val="129"/>
    </font>
    <font>
      <b/>
      <sz val="12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1"/>
      <name val="UVnTime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Arial"/>
      <family val="2"/>
    </font>
    <font>
      <sz val="6"/>
      <name val="Times New Roman"/>
      <family val="1"/>
    </font>
    <font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i/>
      <sz val="10"/>
      <name val="Times New Roman"/>
      <family val="1"/>
    </font>
    <font>
      <sz val="11"/>
      <color theme="1"/>
      <name val="Calibri"/>
      <family val="2"/>
    </font>
    <font>
      <sz val="11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i/>
      <sz val="1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b/>
      <i/>
      <sz val="10"/>
      <color theme="1"/>
      <name val="Times New Roman"/>
      <family val="1"/>
    </font>
    <font>
      <i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8"/>
      <color theme="1"/>
      <name val="Times New Roman"/>
      <family val="1"/>
    </font>
    <font>
      <sz val="12"/>
      <name val=".VnTime"/>
      <family val="2"/>
    </font>
    <font>
      <i/>
      <vertAlign val="superscript"/>
      <sz val="10"/>
      <color rgb="FF000000"/>
      <name val="Times New Roman"/>
      <family val="1"/>
    </font>
    <font>
      <i/>
      <sz val="8"/>
      <color theme="1"/>
      <name val="Times New Roman"/>
      <family val="1"/>
    </font>
    <font>
      <b/>
      <sz val="10"/>
      <name val="Times New Roman"/>
      <family val="1"/>
      <charset val="163"/>
    </font>
    <font>
      <sz val="10"/>
      <name val="Times New Roman"/>
      <family val="1"/>
      <charset val="163"/>
    </font>
    <font>
      <sz val="8"/>
      <name val="Times New Roman"/>
      <family val="1"/>
      <charset val="163"/>
    </font>
    <font>
      <b/>
      <i/>
      <sz val="10"/>
      <name val="Times New Roman"/>
      <family val="1"/>
      <charset val="163"/>
    </font>
    <font>
      <sz val="11"/>
      <name val="Arial"/>
      <family val="2"/>
      <charset val="163"/>
    </font>
    <font>
      <i/>
      <sz val="10"/>
      <name val="Times New Roman"/>
      <family val="1"/>
      <charset val="163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5">
    <xf numFmtId="0" fontId="0" fillId="0" borderId="0"/>
    <xf numFmtId="169" fontId="10" fillId="0" borderId="0" applyFont="0" applyFill="0" applyBorder="0" applyAlignment="0" applyProtection="0"/>
    <xf numFmtId="0" fontId="19" fillId="0" borderId="0" applyFont="0" applyFill="0" applyBorder="0" applyAlignment="0" applyProtection="0"/>
    <xf numFmtId="170" fontId="10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20" fillId="0" borderId="0"/>
    <xf numFmtId="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0" fontId="21" fillId="0" borderId="1" applyNumberFormat="0" applyAlignment="0" applyProtection="0">
      <alignment horizontal="left" vertical="center"/>
    </xf>
    <xf numFmtId="0" fontId="21" fillId="0" borderId="2">
      <alignment horizontal="left" vertical="center"/>
    </xf>
    <xf numFmtId="0" fontId="1" fillId="0" borderId="0"/>
    <xf numFmtId="0" fontId="24" fillId="0" borderId="0"/>
    <xf numFmtId="0" fontId="23" fillId="0" borderId="0"/>
    <xf numFmtId="0" fontId="10" fillId="0" borderId="0"/>
    <xf numFmtId="0" fontId="34" fillId="0" borderId="0"/>
    <xf numFmtId="0" fontId="34" fillId="0" borderId="0"/>
    <xf numFmtId="0" fontId="29" fillId="0" borderId="0"/>
    <xf numFmtId="0" fontId="35" fillId="0" borderId="0"/>
    <xf numFmtId="0" fontId="11" fillId="0" borderId="0"/>
    <xf numFmtId="40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26" fillId="0" borderId="0"/>
    <xf numFmtId="170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74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0" fontId="28" fillId="0" borderId="0"/>
    <xf numFmtId="0" fontId="48" fillId="0" borderId="0"/>
  </cellStyleXfs>
  <cellXfs count="634">
    <xf numFmtId="0" fontId="0" fillId="0" borderId="0" xfId="0"/>
    <xf numFmtId="49" fontId="3" fillId="0" borderId="3" xfId="14" applyNumberFormat="1" applyFont="1" applyBorder="1" applyAlignment="1">
      <alignment horizontal="center" vertical="center"/>
    </xf>
    <xf numFmtId="0" fontId="3" fillId="0" borderId="0" xfId="14" applyFont="1" applyAlignment="1">
      <alignment horizontal="center" vertical="center"/>
    </xf>
    <xf numFmtId="0" fontId="3" fillId="0" borderId="0" xfId="14" applyFont="1"/>
    <xf numFmtId="49" fontId="4" fillId="0" borderId="5" xfId="14" applyNumberFormat="1" applyFont="1" applyBorder="1" applyAlignment="1">
      <alignment horizontal="center" vertical="center"/>
    </xf>
    <xf numFmtId="0" fontId="4" fillId="0" borderId="0" xfId="14" applyFont="1"/>
    <xf numFmtId="4" fontId="5" fillId="0" borderId="5" xfId="14" quotePrefix="1" applyNumberFormat="1" applyFont="1" applyBorder="1" applyAlignment="1">
      <alignment horizontal="left" vertical="center"/>
    </xf>
    <xf numFmtId="0" fontId="5" fillId="0" borderId="0" xfId="14" applyFont="1"/>
    <xf numFmtId="0" fontId="4" fillId="0" borderId="5" xfId="14" applyFont="1" applyBorder="1" applyAlignment="1">
      <alignment vertical="center"/>
    </xf>
    <xf numFmtId="49" fontId="3" fillId="0" borderId="6" xfId="14" applyNumberFormat="1" applyFont="1" applyBorder="1" applyAlignment="1">
      <alignment horizontal="center" vertical="center"/>
    </xf>
    <xf numFmtId="0" fontId="4" fillId="0" borderId="0" xfId="14" applyFont="1" applyAlignment="1">
      <alignment vertical="center"/>
    </xf>
    <xf numFmtId="0" fontId="6" fillId="0" borderId="0" xfId="14" applyFont="1" applyAlignment="1">
      <alignment vertical="center"/>
    </xf>
    <xf numFmtId="4" fontId="6" fillId="0" borderId="0" xfId="14" applyNumberFormat="1" applyFont="1" applyAlignment="1">
      <alignment vertical="center"/>
    </xf>
    <xf numFmtId="4" fontId="4" fillId="0" borderId="3" xfId="14" applyNumberFormat="1" applyFont="1" applyBorder="1" applyAlignment="1">
      <alignment horizontal="center" vertical="center" wrapText="1"/>
    </xf>
    <xf numFmtId="0" fontId="3" fillId="0" borderId="3" xfId="14" applyFont="1" applyBorder="1" applyAlignment="1">
      <alignment horizontal="left" vertical="center" wrapText="1"/>
    </xf>
    <xf numFmtId="0" fontId="3" fillId="0" borderId="3" xfId="14" applyFont="1" applyBorder="1" applyAlignment="1">
      <alignment horizontal="center" vertical="center"/>
    </xf>
    <xf numFmtId="4" fontId="4" fillId="0" borderId="0" xfId="14" applyNumberFormat="1" applyFont="1" applyAlignment="1">
      <alignment vertical="center"/>
    </xf>
    <xf numFmtId="0" fontId="5" fillId="0" borderId="6" xfId="14" applyFont="1" applyBorder="1" applyAlignment="1">
      <alignment horizontal="left" vertical="center"/>
    </xf>
    <xf numFmtId="0" fontId="3" fillId="0" borderId="6" xfId="14" applyFont="1" applyBorder="1" applyAlignment="1">
      <alignment horizontal="center" vertical="center"/>
    </xf>
    <xf numFmtId="0" fontId="4" fillId="0" borderId="5" xfId="14" applyFont="1" applyBorder="1" applyAlignment="1">
      <alignment horizontal="center" vertical="center"/>
    </xf>
    <xf numFmtId="0" fontId="5" fillId="0" borderId="5" xfId="14" applyFont="1" applyBorder="1" applyAlignment="1">
      <alignment horizontal="center" vertical="center"/>
    </xf>
    <xf numFmtId="164" fontId="4" fillId="0" borderId="0" xfId="14" applyNumberFormat="1" applyFont="1" applyAlignment="1">
      <alignment vertical="center"/>
    </xf>
    <xf numFmtId="165" fontId="4" fillId="0" borderId="0" xfId="14" applyNumberFormat="1" applyFont="1" applyAlignment="1">
      <alignment vertical="center"/>
    </xf>
    <xf numFmtId="0" fontId="4" fillId="0" borderId="0" xfId="22" applyFont="1" applyFill="1" applyAlignment="1">
      <alignment vertical="center"/>
    </xf>
    <xf numFmtId="164" fontId="3" fillId="0" borderId="0" xfId="22" applyNumberFormat="1" applyFont="1" applyFill="1" applyAlignment="1">
      <alignment horizontal="center" vertical="center"/>
    </xf>
    <xf numFmtId="164" fontId="12" fillId="0" borderId="0" xfId="22" applyNumberFormat="1" applyFont="1" applyFill="1" applyAlignment="1">
      <alignment horizontal="center" vertical="center"/>
    </xf>
    <xf numFmtId="0" fontId="3" fillId="0" borderId="0" xfId="22" applyFont="1" applyFill="1" applyAlignment="1">
      <alignment horizontal="center" vertical="center"/>
    </xf>
    <xf numFmtId="164" fontId="4" fillId="0" borderId="0" xfId="22" applyNumberFormat="1" applyFont="1" applyFill="1" applyAlignment="1">
      <alignment vertical="center"/>
    </xf>
    <xf numFmtId="0" fontId="8" fillId="0" borderId="0" xfId="22" applyFont="1" applyFill="1" applyAlignment="1">
      <alignment vertical="center"/>
    </xf>
    <xf numFmtId="0" fontId="3" fillId="0" borderId="0" xfId="22" applyFont="1" applyFill="1" applyAlignment="1">
      <alignment vertical="center"/>
    </xf>
    <xf numFmtId="164" fontId="3" fillId="0" borderId="9" xfId="22" applyNumberFormat="1" applyFont="1" applyFill="1" applyBorder="1" applyAlignment="1">
      <alignment vertical="center"/>
    </xf>
    <xf numFmtId="164" fontId="3" fillId="0" borderId="0" xfId="22" applyNumberFormat="1" applyFont="1" applyFill="1" applyAlignment="1">
      <alignment vertical="center"/>
    </xf>
    <xf numFmtId="164" fontId="12" fillId="0" borderId="9" xfId="22" applyNumberFormat="1" applyFont="1" applyFill="1" applyBorder="1" applyAlignment="1">
      <alignment vertical="center"/>
    </xf>
    <xf numFmtId="164" fontId="5" fillId="0" borderId="9" xfId="22" applyNumberFormat="1" applyFont="1" applyFill="1" applyBorder="1" applyAlignment="1">
      <alignment vertical="center"/>
    </xf>
    <xf numFmtId="0" fontId="3" fillId="0" borderId="9" xfId="22" applyFont="1" applyFill="1" applyBorder="1" applyAlignment="1">
      <alignment vertical="center"/>
    </xf>
    <xf numFmtId="164" fontId="4" fillId="0" borderId="3" xfId="14" applyNumberFormat="1" applyFont="1" applyFill="1" applyBorder="1" applyAlignment="1">
      <alignment vertical="center"/>
    </xf>
    <xf numFmtId="164" fontId="3" fillId="0" borderId="10" xfId="14" applyNumberFormat="1" applyFont="1" applyFill="1" applyBorder="1" applyAlignment="1">
      <alignment vertical="center"/>
    </xf>
    <xf numFmtId="164" fontId="4" fillId="0" borderId="2" xfId="14" applyNumberFormat="1" applyFont="1" applyFill="1" applyBorder="1" applyAlignment="1">
      <alignment vertical="center"/>
    </xf>
    <xf numFmtId="164" fontId="3" fillId="0" borderId="2" xfId="14" applyNumberFormat="1" applyFont="1" applyFill="1" applyBorder="1" applyAlignment="1">
      <alignment vertical="center"/>
    </xf>
    <xf numFmtId="164" fontId="5" fillId="0" borderId="2" xfId="14" applyNumberFormat="1" applyFont="1" applyFill="1" applyBorder="1" applyAlignment="1">
      <alignment vertical="center"/>
    </xf>
    <xf numFmtId="164" fontId="3" fillId="0" borderId="4" xfId="14" applyNumberFormat="1" applyFont="1" applyFill="1" applyBorder="1" applyAlignment="1">
      <alignment vertical="center"/>
    </xf>
    <xf numFmtId="0" fontId="13" fillId="0" borderId="0" xfId="14" applyFont="1"/>
    <xf numFmtId="164" fontId="4" fillId="2" borderId="3" xfId="14" applyNumberFormat="1" applyFont="1" applyFill="1" applyBorder="1" applyAlignment="1">
      <alignment horizontal="center" vertical="center" wrapText="1"/>
    </xf>
    <xf numFmtId="164" fontId="3" fillId="3" borderId="3" xfId="14" applyNumberFormat="1" applyFont="1" applyFill="1" applyBorder="1" applyAlignment="1">
      <alignment horizontal="center" vertical="center" wrapText="1"/>
    </xf>
    <xf numFmtId="164" fontId="4" fillId="4" borderId="3" xfId="14" applyNumberFormat="1" applyFont="1" applyFill="1" applyBorder="1" applyAlignment="1">
      <alignment horizontal="center" vertical="center" wrapText="1"/>
    </xf>
    <xf numFmtId="164" fontId="4" fillId="5" borderId="3" xfId="14" applyNumberFormat="1" applyFont="1" applyFill="1" applyBorder="1" applyAlignment="1">
      <alignment horizontal="center" vertical="center" wrapText="1"/>
    </xf>
    <xf numFmtId="164" fontId="4" fillId="4" borderId="3" xfId="14" applyNumberFormat="1" applyFont="1" applyFill="1" applyBorder="1" applyAlignment="1">
      <alignment horizontal="center" vertical="center"/>
    </xf>
    <xf numFmtId="164" fontId="4" fillId="6" borderId="3" xfId="14" applyNumberFormat="1" applyFont="1" applyFill="1" applyBorder="1" applyAlignment="1">
      <alignment horizontal="center" vertical="center" wrapText="1"/>
    </xf>
    <xf numFmtId="164" fontId="4" fillId="7" borderId="3" xfId="14" applyNumberFormat="1" applyFont="1" applyFill="1" applyBorder="1" applyAlignment="1">
      <alignment horizontal="center" vertical="center" wrapText="1"/>
    </xf>
    <xf numFmtId="4" fontId="3" fillId="8" borderId="3" xfId="14" applyNumberFormat="1" applyFont="1" applyFill="1" applyBorder="1" applyAlignment="1">
      <alignment vertical="center"/>
    </xf>
    <xf numFmtId="4" fontId="3" fillId="8" borderId="3" xfId="14" applyNumberFormat="1" applyFont="1" applyFill="1" applyBorder="1" applyAlignment="1">
      <alignment horizontal="center" vertical="center"/>
    </xf>
    <xf numFmtId="164" fontId="3" fillId="2" borderId="3" xfId="14" applyNumberFormat="1" applyFont="1" applyFill="1" applyBorder="1" applyAlignment="1">
      <alignment vertical="center"/>
    </xf>
    <xf numFmtId="164" fontId="3" fillId="3" borderId="3" xfId="14" applyNumberFormat="1" applyFont="1" applyFill="1" applyBorder="1" applyAlignment="1">
      <alignment vertical="center"/>
    </xf>
    <xf numFmtId="164" fontId="3" fillId="8" borderId="3" xfId="14" applyNumberFormat="1" applyFont="1" applyFill="1" applyBorder="1" applyAlignment="1">
      <alignment vertical="center"/>
    </xf>
    <xf numFmtId="164" fontId="12" fillId="8" borderId="3" xfId="14" applyNumberFormat="1" applyFont="1" applyFill="1" applyBorder="1" applyAlignment="1">
      <alignment vertical="center"/>
    </xf>
    <xf numFmtId="3" fontId="3" fillId="3" borderId="3" xfId="14" applyNumberFormat="1" applyFont="1" applyFill="1" applyBorder="1" applyAlignment="1">
      <alignment vertical="center"/>
    </xf>
    <xf numFmtId="4" fontId="3" fillId="3" borderId="3" xfId="14" applyNumberFormat="1" applyFont="1" applyFill="1" applyBorder="1" applyAlignment="1">
      <alignment vertical="center"/>
    </xf>
    <xf numFmtId="4" fontId="3" fillId="3" borderId="3" xfId="14" applyNumberFormat="1" applyFont="1" applyFill="1" applyBorder="1" applyAlignment="1">
      <alignment horizontal="center" vertical="center"/>
    </xf>
    <xf numFmtId="164" fontId="3" fillId="0" borderId="3" xfId="14" applyNumberFormat="1" applyFont="1" applyFill="1" applyBorder="1" applyAlignment="1">
      <alignment vertical="center"/>
    </xf>
    <xf numFmtId="0" fontId="14" fillId="0" borderId="0" xfId="14" applyFont="1"/>
    <xf numFmtId="4" fontId="4" fillId="4" borderId="3" xfId="14" applyNumberFormat="1" applyFont="1" applyFill="1" applyBorder="1" applyAlignment="1">
      <alignment vertical="center"/>
    </xf>
    <xf numFmtId="4" fontId="4" fillId="4" borderId="3" xfId="14" applyNumberFormat="1" applyFont="1" applyFill="1" applyBorder="1" applyAlignment="1">
      <alignment horizontal="center" vertical="center"/>
    </xf>
    <xf numFmtId="164" fontId="4" fillId="2" borderId="3" xfId="14" applyNumberFormat="1" applyFont="1" applyFill="1" applyBorder="1" applyAlignment="1">
      <alignment vertical="center"/>
    </xf>
    <xf numFmtId="164" fontId="3" fillId="3" borderId="3" xfId="14" applyNumberFormat="1" applyFont="1" applyFill="1" applyBorder="1" applyAlignment="1">
      <alignment vertical="center" wrapText="1"/>
    </xf>
    <xf numFmtId="164" fontId="4" fillId="4" borderId="3" xfId="14" applyNumberFormat="1" applyFont="1" applyFill="1" applyBorder="1" applyAlignment="1">
      <alignment vertical="center"/>
    </xf>
    <xf numFmtId="164" fontId="3" fillId="4" borderId="3" xfId="14" applyNumberFormat="1" applyFont="1" applyFill="1" applyBorder="1" applyAlignment="1">
      <alignment vertical="center" wrapText="1"/>
    </xf>
    <xf numFmtId="164" fontId="4" fillId="6" borderId="3" xfId="14" applyNumberFormat="1" applyFont="1" applyFill="1" applyBorder="1" applyAlignment="1">
      <alignment vertical="center"/>
    </xf>
    <xf numFmtId="164" fontId="4" fillId="7" borderId="3" xfId="14" applyNumberFormat="1" applyFont="1" applyFill="1" applyBorder="1" applyAlignment="1">
      <alignment vertical="center"/>
    </xf>
    <xf numFmtId="4" fontId="5" fillId="5" borderId="3" xfId="14" applyNumberFormat="1" applyFont="1" applyFill="1" applyBorder="1" applyAlignment="1">
      <alignment vertical="center"/>
    </xf>
    <xf numFmtId="4" fontId="5" fillId="5" borderId="3" xfId="14" quotePrefix="1" applyNumberFormat="1" applyFont="1" applyFill="1" applyBorder="1" applyAlignment="1">
      <alignment vertical="center"/>
    </xf>
    <xf numFmtId="4" fontId="5" fillId="5" borderId="3" xfId="14" applyNumberFormat="1" applyFont="1" applyFill="1" applyBorder="1" applyAlignment="1">
      <alignment horizontal="center" vertical="center"/>
    </xf>
    <xf numFmtId="164" fontId="5" fillId="2" borderId="3" xfId="14" applyNumberFormat="1" applyFont="1" applyFill="1" applyBorder="1" applyAlignment="1">
      <alignment vertical="center"/>
    </xf>
    <xf numFmtId="164" fontId="12" fillId="3" borderId="3" xfId="14" applyNumberFormat="1" applyFont="1" applyFill="1" applyBorder="1" applyAlignment="1">
      <alignment vertical="center" wrapText="1"/>
    </xf>
    <xf numFmtId="164" fontId="5" fillId="4" borderId="3" xfId="14" applyNumberFormat="1" applyFont="1" applyFill="1" applyBorder="1" applyAlignment="1">
      <alignment vertical="center"/>
    </xf>
    <xf numFmtId="164" fontId="5" fillId="0" borderId="3" xfId="14" applyNumberFormat="1" applyFont="1" applyFill="1" applyBorder="1" applyAlignment="1">
      <alignment vertical="center"/>
    </xf>
    <xf numFmtId="164" fontId="5" fillId="6" borderId="3" xfId="14" applyNumberFormat="1" applyFont="1" applyFill="1" applyBorder="1" applyAlignment="1">
      <alignment vertical="center"/>
    </xf>
    <xf numFmtId="164" fontId="5" fillId="7" borderId="3" xfId="14" applyNumberFormat="1" applyFont="1" applyFill="1" applyBorder="1" applyAlignment="1">
      <alignment vertical="center"/>
    </xf>
    <xf numFmtId="0" fontId="15" fillId="0" borderId="0" xfId="14" applyFont="1"/>
    <xf numFmtId="164" fontId="4" fillId="0" borderId="0" xfId="14" applyNumberFormat="1" applyFont="1"/>
    <xf numFmtId="164" fontId="3" fillId="0" borderId="0" xfId="14" applyNumberFormat="1" applyFont="1"/>
    <xf numFmtId="4" fontId="4" fillId="4" borderId="3" xfId="14" applyNumberFormat="1" applyFont="1" applyFill="1" applyBorder="1" applyAlignment="1">
      <alignment horizontal="left" vertical="center"/>
    </xf>
    <xf numFmtId="167" fontId="4" fillId="0" borderId="0" xfId="14" applyNumberFormat="1" applyFont="1"/>
    <xf numFmtId="164" fontId="5" fillId="0" borderId="0" xfId="14" applyNumberFormat="1" applyFont="1"/>
    <xf numFmtId="49" fontId="4" fillId="4" borderId="3" xfId="14" applyNumberFormat="1" applyFont="1" applyFill="1" applyBorder="1" applyAlignment="1">
      <alignment horizontal="center" vertical="center"/>
    </xf>
    <xf numFmtId="0" fontId="4" fillId="4" borderId="3" xfId="14" applyFont="1" applyFill="1" applyBorder="1" applyAlignment="1">
      <alignment vertical="center"/>
    </xf>
    <xf numFmtId="4" fontId="3" fillId="3" borderId="3" xfId="14" applyNumberFormat="1" applyFont="1" applyFill="1" applyBorder="1" applyAlignment="1">
      <alignment horizontal="right" vertical="center"/>
    </xf>
    <xf numFmtId="164" fontId="3" fillId="7" borderId="3" xfId="14" applyNumberFormat="1" applyFont="1" applyFill="1" applyBorder="1" applyAlignment="1">
      <alignment vertical="center"/>
    </xf>
    <xf numFmtId="4" fontId="4" fillId="6" borderId="3" xfId="14" applyNumberFormat="1" applyFont="1" applyFill="1" applyBorder="1" applyAlignment="1">
      <alignment vertical="center"/>
    </xf>
    <xf numFmtId="4" fontId="4" fillId="6" borderId="3" xfId="14" applyNumberFormat="1" applyFont="1" applyFill="1" applyBorder="1" applyAlignment="1">
      <alignment horizontal="center" vertical="center"/>
    </xf>
    <xf numFmtId="164" fontId="3" fillId="6" borderId="3" xfId="14" applyNumberFormat="1" applyFont="1" applyFill="1" applyBorder="1" applyAlignment="1">
      <alignment vertical="center" wrapText="1"/>
    </xf>
    <xf numFmtId="164" fontId="3" fillId="6" borderId="3" xfId="14" applyNumberFormat="1" applyFont="1" applyFill="1" applyBorder="1" applyAlignment="1">
      <alignment vertical="center"/>
    </xf>
    <xf numFmtId="0" fontId="17" fillId="0" borderId="0" xfId="22" applyFont="1" applyFill="1" applyAlignment="1">
      <alignment vertical="center"/>
    </xf>
    <xf numFmtId="164" fontId="17" fillId="0" borderId="0" xfId="22" applyNumberFormat="1" applyFont="1" applyFill="1" applyAlignment="1">
      <alignment vertical="center"/>
    </xf>
    <xf numFmtId="168" fontId="17" fillId="0" borderId="0" xfId="22" applyNumberFormat="1" applyFont="1" applyFill="1" applyAlignment="1">
      <alignment vertical="center"/>
    </xf>
    <xf numFmtId="4" fontId="17" fillId="0" borderId="0" xfId="22" applyNumberFormat="1" applyFont="1" applyFill="1" applyAlignment="1">
      <alignment vertical="center"/>
    </xf>
    <xf numFmtId="165" fontId="4" fillId="0" borderId="0" xfId="22" applyNumberFormat="1" applyFont="1" applyFill="1" applyAlignment="1">
      <alignment vertical="center"/>
    </xf>
    <xf numFmtId="164" fontId="18" fillId="0" borderId="0" xfId="22" applyNumberFormat="1" applyFont="1" applyFill="1" applyAlignment="1">
      <alignment vertical="center"/>
    </xf>
    <xf numFmtId="164" fontId="5" fillId="0" borderId="0" xfId="22" applyNumberFormat="1" applyFont="1" applyFill="1" applyAlignment="1">
      <alignment vertical="center"/>
    </xf>
    <xf numFmtId="164" fontId="3" fillId="9" borderId="3" xfId="14" applyNumberFormat="1" applyFont="1" applyFill="1" applyBorder="1" applyAlignment="1">
      <alignment vertical="center"/>
    </xf>
    <xf numFmtId="164" fontId="4" fillId="9" borderId="3" xfId="14" applyNumberFormat="1" applyFont="1" applyFill="1" applyBorder="1" applyAlignment="1">
      <alignment vertical="center"/>
    </xf>
    <xf numFmtId="164" fontId="5" fillId="9" borderId="3" xfId="14" applyNumberFormat="1" applyFont="1" applyFill="1" applyBorder="1" applyAlignment="1">
      <alignment vertical="center"/>
    </xf>
    <xf numFmtId="166" fontId="16" fillId="0" borderId="5" xfId="22" applyNumberFormat="1" applyFont="1" applyFill="1" applyBorder="1" applyAlignment="1">
      <alignment horizontal="right" vertical="center"/>
    </xf>
    <xf numFmtId="164" fontId="12" fillId="0" borderId="3" xfId="14" applyNumberFormat="1" applyFont="1" applyFill="1" applyBorder="1" applyAlignment="1">
      <alignment vertical="center"/>
    </xf>
    <xf numFmtId="164" fontId="3" fillId="3" borderId="13" xfId="14" applyNumberFormat="1" applyFont="1" applyFill="1" applyBorder="1" applyAlignment="1">
      <alignment vertical="center" wrapText="1"/>
    </xf>
    <xf numFmtId="164" fontId="4" fillId="4" borderId="13" xfId="14" applyNumberFormat="1" applyFont="1" applyFill="1" applyBorder="1" applyAlignment="1">
      <alignment vertical="center"/>
    </xf>
    <xf numFmtId="164" fontId="5" fillId="0" borderId="13" xfId="14" applyNumberFormat="1" applyFont="1" applyFill="1" applyBorder="1" applyAlignment="1">
      <alignment vertical="center"/>
    </xf>
    <xf numFmtId="164" fontId="12" fillId="3" borderId="13" xfId="14" applyNumberFormat="1" applyFont="1" applyFill="1" applyBorder="1" applyAlignment="1">
      <alignment vertical="center" wrapText="1"/>
    </xf>
    <xf numFmtId="4" fontId="4" fillId="4" borderId="13" xfId="14" applyNumberFormat="1" applyFont="1" applyFill="1" applyBorder="1" applyAlignment="1">
      <alignment vertical="center"/>
    </xf>
    <xf numFmtId="4" fontId="4" fillId="4" borderId="13" xfId="14" applyNumberFormat="1" applyFont="1" applyFill="1" applyBorder="1" applyAlignment="1">
      <alignment horizontal="left" vertical="center"/>
    </xf>
    <xf numFmtId="4" fontId="4" fillId="4" borderId="13" xfId="14" applyNumberFormat="1" applyFont="1" applyFill="1" applyBorder="1" applyAlignment="1">
      <alignment horizontal="center" vertical="center"/>
    </xf>
    <xf numFmtId="164" fontId="4" fillId="2" borderId="13" xfId="14" applyNumberFormat="1" applyFont="1" applyFill="1" applyBorder="1" applyAlignment="1">
      <alignment vertical="center"/>
    </xf>
    <xf numFmtId="164" fontId="4" fillId="0" borderId="13" xfId="14" applyNumberFormat="1" applyFont="1" applyFill="1" applyBorder="1" applyAlignment="1">
      <alignment vertical="center"/>
    </xf>
    <xf numFmtId="164" fontId="4" fillId="9" borderId="13" xfId="14" applyNumberFormat="1" applyFont="1" applyFill="1" applyBorder="1" applyAlignment="1">
      <alignment vertical="center"/>
    </xf>
    <xf numFmtId="164" fontId="3" fillId="0" borderId="13" xfId="14" applyNumberFormat="1" applyFont="1" applyFill="1" applyBorder="1" applyAlignment="1">
      <alignment vertical="center"/>
    </xf>
    <xf numFmtId="164" fontId="4" fillId="6" borderId="13" xfId="14" applyNumberFormat="1" applyFont="1" applyFill="1" applyBorder="1" applyAlignment="1">
      <alignment vertical="center"/>
    </xf>
    <xf numFmtId="164" fontId="4" fillId="7" borderId="13" xfId="14" applyNumberFormat="1" applyFont="1" applyFill="1" applyBorder="1" applyAlignment="1">
      <alignment vertical="center"/>
    </xf>
    <xf numFmtId="4" fontId="4" fillId="4" borderId="7" xfId="14" applyNumberFormat="1" applyFont="1" applyFill="1" applyBorder="1" applyAlignment="1">
      <alignment vertical="center"/>
    </xf>
    <xf numFmtId="4" fontId="4" fillId="4" borderId="7" xfId="14" applyNumberFormat="1" applyFont="1" applyFill="1" applyBorder="1" applyAlignment="1">
      <alignment horizontal="left" vertical="center"/>
    </xf>
    <xf numFmtId="4" fontId="4" fillId="4" borderId="7" xfId="14" applyNumberFormat="1" applyFont="1" applyFill="1" applyBorder="1" applyAlignment="1">
      <alignment horizontal="center" vertical="center"/>
    </xf>
    <xf numFmtId="164" fontId="4" fillId="2" borderId="7" xfId="14" applyNumberFormat="1" applyFont="1" applyFill="1" applyBorder="1" applyAlignment="1">
      <alignment vertical="center"/>
    </xf>
    <xf numFmtId="164" fontId="3" fillId="3" borderId="7" xfId="14" applyNumberFormat="1" applyFont="1" applyFill="1" applyBorder="1" applyAlignment="1">
      <alignment vertical="center" wrapText="1"/>
    </xf>
    <xf numFmtId="164" fontId="4" fillId="4" borderId="7" xfId="14" applyNumberFormat="1" applyFont="1" applyFill="1" applyBorder="1" applyAlignment="1">
      <alignment vertical="center"/>
    </xf>
    <xf numFmtId="164" fontId="4" fillId="0" borderId="7" xfId="14" applyNumberFormat="1" applyFont="1" applyFill="1" applyBorder="1" applyAlignment="1">
      <alignment vertical="center"/>
    </xf>
    <xf numFmtId="164" fontId="12" fillId="3" borderId="14" xfId="14" applyNumberFormat="1" applyFont="1" applyFill="1" applyBorder="1" applyAlignment="1">
      <alignment vertical="center" wrapText="1"/>
    </xf>
    <xf numFmtId="164" fontId="4" fillId="9" borderId="7" xfId="14" applyNumberFormat="1" applyFont="1" applyFill="1" applyBorder="1" applyAlignment="1">
      <alignment vertical="center"/>
    </xf>
    <xf numFmtId="164" fontId="5" fillId="0" borderId="7" xfId="14" applyNumberFormat="1" applyFont="1" applyFill="1" applyBorder="1" applyAlignment="1">
      <alignment vertical="center"/>
    </xf>
    <xf numFmtId="164" fontId="3" fillId="0" borderId="7" xfId="14" applyNumberFormat="1" applyFont="1" applyFill="1" applyBorder="1" applyAlignment="1">
      <alignment vertical="center"/>
    </xf>
    <xf numFmtId="164" fontId="4" fillId="6" borderId="7" xfId="14" applyNumberFormat="1" applyFont="1" applyFill="1" applyBorder="1" applyAlignment="1">
      <alignment vertical="center"/>
    </xf>
    <xf numFmtId="164" fontId="4" fillId="7" borderId="7" xfId="14" applyNumberFormat="1" applyFont="1" applyFill="1" applyBorder="1" applyAlignment="1">
      <alignment vertical="center"/>
    </xf>
    <xf numFmtId="0" fontId="4" fillId="0" borderId="0" xfId="14" applyFont="1" applyBorder="1"/>
    <xf numFmtId="164" fontId="4" fillId="0" borderId="0" xfId="14" applyNumberFormat="1" applyFont="1" applyBorder="1"/>
    <xf numFmtId="0" fontId="13" fillId="0" borderId="0" xfId="14" applyFont="1" applyBorder="1"/>
    <xf numFmtId="0" fontId="5" fillId="0" borderId="0" xfId="14" applyFont="1" applyBorder="1"/>
    <xf numFmtId="164" fontId="5" fillId="0" borderId="0" xfId="14" applyNumberFormat="1" applyFont="1" applyBorder="1"/>
    <xf numFmtId="0" fontId="15" fillId="0" borderId="0" xfId="14" applyFont="1" applyBorder="1"/>
    <xf numFmtId="0" fontId="22" fillId="0" borderId="0" xfId="14" applyFont="1" applyFill="1" applyAlignment="1">
      <alignment vertical="center"/>
    </xf>
    <xf numFmtId="0" fontId="9" fillId="0" borderId="0" xfId="22" applyFont="1" applyFill="1" applyAlignment="1">
      <alignment vertical="center"/>
    </xf>
    <xf numFmtId="0" fontId="22" fillId="0" borderId="0" xfId="22" applyFont="1" applyFill="1" applyAlignment="1">
      <alignment horizontal="left" vertical="center"/>
    </xf>
    <xf numFmtId="164" fontId="22" fillId="0" borderId="0" xfId="22" applyNumberFormat="1" applyFont="1" applyFill="1" applyAlignment="1">
      <alignment horizontal="center" vertical="center"/>
    </xf>
    <xf numFmtId="164" fontId="12" fillId="0" borderId="3" xfId="14" applyNumberFormat="1" applyFont="1" applyFill="1" applyBorder="1" applyAlignment="1">
      <alignment vertical="center" wrapText="1"/>
    </xf>
    <xf numFmtId="164" fontId="3" fillId="0" borderId="3" xfId="14" applyNumberFormat="1" applyFont="1" applyFill="1" applyBorder="1" applyAlignment="1">
      <alignment vertical="center" wrapText="1"/>
    </xf>
    <xf numFmtId="164" fontId="3" fillId="0" borderId="7" xfId="14" applyNumberFormat="1" applyFont="1" applyFill="1" applyBorder="1" applyAlignment="1">
      <alignment vertical="center" wrapText="1"/>
    </xf>
    <xf numFmtId="164" fontId="3" fillId="0" borderId="13" xfId="14" applyNumberFormat="1" applyFont="1" applyFill="1" applyBorder="1" applyAlignment="1">
      <alignment vertical="center" wrapText="1"/>
    </xf>
    <xf numFmtId="0" fontId="0" fillId="0" borderId="0" xfId="0" applyNumberFormat="1"/>
    <xf numFmtId="49" fontId="30" fillId="0" borderId="3" xfId="14" quotePrefix="1" applyNumberFormat="1" applyFont="1" applyBorder="1" applyAlignment="1">
      <alignment horizontal="center" vertical="center"/>
    </xf>
    <xf numFmtId="0" fontId="30" fillId="0" borderId="3" xfId="14" quotePrefix="1" applyFont="1" applyBorder="1" applyAlignment="1">
      <alignment horizontal="center" vertical="center"/>
    </xf>
    <xf numFmtId="4" fontId="30" fillId="0" borderId="3" xfId="14" quotePrefix="1" applyNumberFormat="1" applyFont="1" applyBorder="1" applyAlignment="1">
      <alignment horizontal="center" vertical="center"/>
    </xf>
    <xf numFmtId="49" fontId="30" fillId="0" borderId="3" xfId="14" applyNumberFormat="1" applyFont="1" applyFill="1" applyBorder="1" applyAlignment="1">
      <alignment horizontal="center" vertical="center" wrapText="1"/>
    </xf>
    <xf numFmtId="0" fontId="5" fillId="0" borderId="0" xfId="14" applyFont="1" applyAlignment="1">
      <alignment vertical="center"/>
    </xf>
    <xf numFmtId="49" fontId="6" fillId="0" borderId="0" xfId="14" applyNumberFormat="1" applyFont="1" applyBorder="1" applyAlignment="1">
      <alignment horizontal="center" vertical="center"/>
    </xf>
    <xf numFmtId="0" fontId="6" fillId="0" borderId="0" xfId="14" applyFont="1" applyBorder="1" applyAlignment="1">
      <alignment horizontal="center" vertical="center"/>
    </xf>
    <xf numFmtId="4" fontId="6" fillId="0" borderId="0" xfId="14" applyNumberFormat="1" applyFont="1" applyBorder="1" applyAlignment="1">
      <alignment horizontal="center" vertical="center"/>
    </xf>
    <xf numFmtId="0" fontId="5" fillId="0" borderId="6" xfId="14" applyFont="1" applyBorder="1" applyAlignment="1">
      <alignment horizontal="left" vertical="center" wrapText="1"/>
    </xf>
    <xf numFmtId="49" fontId="6" fillId="0" borderId="0" xfId="14" applyNumberFormat="1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0" fontId="0" fillId="0" borderId="15" xfId="0" applyBorder="1"/>
    <xf numFmtId="0" fontId="0" fillId="0" borderId="15" xfId="0" pivotButton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5" xfId="0" applyNumberFormat="1" applyBorder="1"/>
    <xf numFmtId="0" fontId="0" fillId="0" borderId="18" xfId="0" applyNumberFormat="1" applyBorder="1"/>
    <xf numFmtId="0" fontId="0" fillId="0" borderId="19" xfId="0" applyBorder="1"/>
    <xf numFmtId="0" fontId="0" fillId="0" borderId="19" xfId="0" applyNumberFormat="1" applyBorder="1"/>
    <xf numFmtId="0" fontId="0" fillId="0" borderId="20" xfId="0" applyBorder="1"/>
    <xf numFmtId="0" fontId="0" fillId="0" borderId="20" xfId="0" applyNumberFormat="1" applyBorder="1"/>
    <xf numFmtId="0" fontId="0" fillId="0" borderId="21" xfId="0" applyNumberFormat="1" applyBorder="1"/>
    <xf numFmtId="0" fontId="0" fillId="0" borderId="22" xfId="0" applyBorder="1"/>
    <xf numFmtId="0" fontId="0" fillId="0" borderId="22" xfId="0" applyNumberFormat="1" applyBorder="1"/>
    <xf numFmtId="0" fontId="0" fillId="0" borderId="23" xfId="0" applyNumberFormat="1" applyBorder="1"/>
    <xf numFmtId="0" fontId="0" fillId="0" borderId="24" xfId="0" applyNumberFormat="1" applyBorder="1"/>
    <xf numFmtId="0" fontId="10" fillId="0" borderId="0" xfId="14" applyFont="1" applyFill="1" applyAlignment="1">
      <alignment vertical="center" wrapText="1"/>
    </xf>
    <xf numFmtId="0" fontId="39" fillId="0" borderId="0" xfId="14" applyFont="1" applyFill="1" applyAlignment="1">
      <alignment vertical="center" wrapText="1"/>
    </xf>
    <xf numFmtId="164" fontId="10" fillId="0" borderId="0" xfId="14" applyNumberFormat="1" applyFont="1" applyFill="1" applyAlignment="1">
      <alignment vertical="center" wrapText="1"/>
    </xf>
    <xf numFmtId="4" fontId="40" fillId="0" borderId="0" xfId="14" applyNumberFormat="1" applyFont="1" applyBorder="1" applyAlignment="1">
      <alignment horizontal="left" vertical="center" wrapText="1"/>
    </xf>
    <xf numFmtId="4" fontId="40" fillId="0" borderId="0" xfId="14" applyNumberFormat="1" applyFont="1" applyBorder="1" applyAlignment="1">
      <alignment vertical="center" wrapText="1"/>
    </xf>
    <xf numFmtId="4" fontId="36" fillId="0" borderId="0" xfId="14" applyNumberFormat="1" applyFont="1" applyBorder="1" applyAlignment="1">
      <alignment horizontal="center" vertical="center" wrapText="1"/>
    </xf>
    <xf numFmtId="4" fontId="36" fillId="0" borderId="0" xfId="14" applyNumberFormat="1" applyFont="1" applyBorder="1" applyAlignment="1">
      <alignment vertical="center" wrapText="1"/>
    </xf>
    <xf numFmtId="4" fontId="37" fillId="0" borderId="3" xfId="14" applyNumberFormat="1" applyFont="1" applyBorder="1" applyAlignment="1">
      <alignment horizontal="center" vertical="center" wrapText="1"/>
    </xf>
    <xf numFmtId="49" fontId="42" fillId="0" borderId="3" xfId="14" quotePrefix="1" applyNumberFormat="1" applyFont="1" applyBorder="1" applyAlignment="1">
      <alignment horizontal="center" vertical="center" wrapText="1"/>
    </xf>
    <xf numFmtId="4" fontId="42" fillId="0" borderId="3" xfId="14" quotePrefix="1" applyNumberFormat="1" applyFont="1" applyBorder="1" applyAlignment="1">
      <alignment horizontal="center" vertical="center" wrapText="1"/>
    </xf>
    <xf numFmtId="49" fontId="36" fillId="0" borderId="3" xfId="14" quotePrefix="1" applyNumberFormat="1" applyFont="1" applyBorder="1" applyAlignment="1">
      <alignment horizontal="center" vertical="center" wrapText="1"/>
    </xf>
    <xf numFmtId="4" fontId="36" fillId="0" borderId="3" xfId="14" applyNumberFormat="1" applyFont="1" applyBorder="1" applyAlignment="1">
      <alignment horizontal="left" vertical="center" wrapText="1"/>
    </xf>
    <xf numFmtId="4" fontId="36" fillId="0" borderId="3" xfId="14" quotePrefix="1" applyNumberFormat="1" applyFont="1" applyBorder="1" applyAlignment="1">
      <alignment horizontal="center" vertical="center" wrapText="1"/>
    </xf>
    <xf numFmtId="164" fontId="36" fillId="0" borderId="5" xfId="14" applyNumberFormat="1" applyFont="1" applyBorder="1" applyAlignment="1">
      <alignment horizontal="right" vertical="center" wrapText="1"/>
    </xf>
    <xf numFmtId="4" fontId="36" fillId="0" borderId="5" xfId="14" applyNumberFormat="1" applyFont="1" applyBorder="1" applyAlignment="1">
      <alignment horizontal="right" vertical="center" wrapText="1"/>
    </xf>
    <xf numFmtId="49" fontId="36" fillId="0" borderId="3" xfId="14" applyNumberFormat="1" applyFont="1" applyBorder="1" applyAlignment="1">
      <alignment horizontal="center" vertical="center" wrapText="1"/>
    </xf>
    <xf numFmtId="4" fontId="36" fillId="0" borderId="3" xfId="14" applyNumberFormat="1" applyFont="1" applyBorder="1" applyAlignment="1">
      <alignment horizontal="center" vertical="center" wrapText="1"/>
    </xf>
    <xf numFmtId="164" fontId="36" fillId="0" borderId="3" xfId="14" applyNumberFormat="1" applyFont="1" applyBorder="1" applyAlignment="1">
      <alignment horizontal="right" vertical="center" wrapText="1"/>
    </xf>
    <xf numFmtId="4" fontId="36" fillId="0" borderId="3" xfId="14" applyNumberFormat="1" applyFont="1" applyBorder="1" applyAlignment="1">
      <alignment horizontal="right" vertical="center" wrapText="1"/>
    </xf>
    <xf numFmtId="49" fontId="37" fillId="0" borderId="5" xfId="14" applyNumberFormat="1" applyFont="1" applyBorder="1" applyAlignment="1">
      <alignment horizontal="center" vertical="center" wrapText="1"/>
    </xf>
    <xf numFmtId="4" fontId="37" fillId="0" borderId="5" xfId="14" applyNumberFormat="1" applyFont="1" applyBorder="1" applyAlignment="1">
      <alignment horizontal="left" vertical="center" wrapText="1"/>
    </xf>
    <xf numFmtId="4" fontId="37" fillId="0" borderId="5" xfId="14" applyNumberFormat="1" applyFont="1" applyBorder="1" applyAlignment="1">
      <alignment horizontal="center" vertical="center" wrapText="1"/>
    </xf>
    <xf numFmtId="164" fontId="37" fillId="0" borderId="5" xfId="14" applyNumberFormat="1" applyFont="1" applyBorder="1" applyAlignment="1">
      <alignment horizontal="right" vertical="center" wrapText="1"/>
    </xf>
    <xf numFmtId="4" fontId="37" fillId="0" borderId="5" xfId="14" applyNumberFormat="1" applyFont="1" applyBorder="1" applyAlignment="1">
      <alignment horizontal="right" vertical="center" wrapText="1"/>
    </xf>
    <xf numFmtId="49" fontId="38" fillId="0" borderId="5" xfId="14" applyNumberFormat="1" applyFont="1" applyBorder="1" applyAlignment="1">
      <alignment horizontal="center" vertical="center" wrapText="1"/>
    </xf>
    <xf numFmtId="4" fontId="38" fillId="0" borderId="5" xfId="14" quotePrefix="1" applyNumberFormat="1" applyFont="1" applyBorder="1" applyAlignment="1">
      <alignment horizontal="left" vertical="center" wrapText="1"/>
    </xf>
    <xf numFmtId="4" fontId="38" fillId="0" borderId="5" xfId="14" applyNumberFormat="1" applyFont="1" applyBorder="1" applyAlignment="1">
      <alignment horizontal="center" vertical="center" wrapText="1"/>
    </xf>
    <xf numFmtId="164" fontId="38" fillId="0" borderId="5" xfId="14" applyNumberFormat="1" applyFont="1" applyBorder="1" applyAlignment="1">
      <alignment horizontal="right" vertical="center" wrapText="1"/>
    </xf>
    <xf numFmtId="4" fontId="38" fillId="0" borderId="5" xfId="14" applyNumberFormat="1" applyFont="1" applyBorder="1" applyAlignment="1">
      <alignment horizontal="right" vertical="center" wrapText="1"/>
    </xf>
    <xf numFmtId="0" fontId="37" fillId="0" borderId="5" xfId="14" applyFont="1" applyBorder="1" applyAlignment="1">
      <alignment vertical="center" wrapText="1"/>
    </xf>
    <xf numFmtId="4" fontId="37" fillId="0" borderId="5" xfId="14" applyNumberFormat="1" applyFont="1" applyFill="1" applyBorder="1" applyAlignment="1">
      <alignment vertical="center" wrapText="1"/>
    </xf>
    <xf numFmtId="4" fontId="37" fillId="0" borderId="5" xfId="14" applyNumberFormat="1" applyFont="1" applyFill="1" applyBorder="1" applyAlignment="1">
      <alignment horizontal="center" vertical="center" wrapText="1"/>
    </xf>
    <xf numFmtId="0" fontId="37" fillId="0" borderId="5" xfId="14" applyFont="1" applyBorder="1" applyAlignment="1">
      <alignment horizontal="left" vertical="center" wrapText="1"/>
    </xf>
    <xf numFmtId="4" fontId="38" fillId="0" borderId="5" xfId="14" applyNumberFormat="1" applyFont="1" applyBorder="1" applyAlignment="1">
      <alignment horizontal="left" vertical="center" wrapText="1"/>
    </xf>
    <xf numFmtId="0" fontId="38" fillId="0" borderId="5" xfId="14" applyFont="1" applyBorder="1" applyAlignment="1">
      <alignment vertical="center" wrapText="1"/>
    </xf>
    <xf numFmtId="4" fontId="37" fillId="0" borderId="11" xfId="14" applyNumberFormat="1" applyFont="1" applyBorder="1" applyAlignment="1">
      <alignment horizontal="right" vertical="center" wrapText="1"/>
    </xf>
    <xf numFmtId="0" fontId="41" fillId="0" borderId="0" xfId="14" applyFont="1" applyBorder="1" applyAlignment="1">
      <alignment horizontal="left" vertical="center" wrapText="1"/>
    </xf>
    <xf numFmtId="0" fontId="40" fillId="0" borderId="0" xfId="14" applyFont="1" applyBorder="1" applyAlignment="1">
      <alignment vertical="center" wrapText="1"/>
    </xf>
    <xf numFmtId="0" fontId="36" fillId="0" borderId="0" xfId="14" applyFont="1" applyBorder="1" applyAlignment="1">
      <alignment vertical="center" wrapText="1"/>
    </xf>
    <xf numFmtId="0" fontId="37" fillId="0" borderId="0" xfId="14" applyFont="1" applyAlignment="1">
      <alignment vertical="center" wrapText="1"/>
    </xf>
    <xf numFmtId="0" fontId="42" fillId="0" borderId="0" xfId="14" applyFont="1" applyAlignment="1">
      <alignment vertical="center" wrapText="1"/>
    </xf>
    <xf numFmtId="0" fontId="38" fillId="0" borderId="0" xfId="14" applyFont="1" applyAlignment="1">
      <alignment vertical="center" wrapText="1"/>
    </xf>
    <xf numFmtId="164" fontId="37" fillId="0" borderId="0" xfId="14" applyNumberFormat="1" applyFont="1" applyAlignment="1">
      <alignment vertical="center" wrapText="1"/>
    </xf>
    <xf numFmtId="0" fontId="36" fillId="0" borderId="0" xfId="14" applyFont="1" applyAlignment="1">
      <alignment vertical="center" wrapText="1"/>
    </xf>
    <xf numFmtId="0" fontId="45" fillId="0" borderId="0" xfId="14" applyFont="1" applyAlignment="1">
      <alignment vertical="center" wrapText="1"/>
    </xf>
    <xf numFmtId="4" fontId="37" fillId="0" borderId="0" xfId="14" applyNumberFormat="1" applyFont="1" applyAlignment="1">
      <alignment vertical="center" wrapText="1"/>
    </xf>
    <xf numFmtId="0" fontId="8" fillId="0" borderId="0" xfId="14" applyFont="1" applyFill="1" applyAlignment="1">
      <alignment horizontal="center" vertical="center" wrapText="1"/>
    </xf>
    <xf numFmtId="3" fontId="7" fillId="0" borderId="3" xfId="14" applyNumberFormat="1" applyFont="1" applyFill="1" applyBorder="1" applyAlignment="1">
      <alignment horizontal="center" vertical="center" wrapText="1"/>
    </xf>
    <xf numFmtId="4" fontId="8" fillId="0" borderId="3" xfId="14" applyNumberFormat="1" applyFont="1" applyFill="1" applyBorder="1" applyAlignment="1">
      <alignment horizontal="left" vertical="center" wrapText="1"/>
    </xf>
    <xf numFmtId="49" fontId="8" fillId="0" borderId="3" xfId="14" quotePrefix="1" applyNumberFormat="1" applyFont="1" applyFill="1" applyBorder="1" applyAlignment="1">
      <alignment horizontal="center" vertical="center" wrapText="1"/>
    </xf>
    <xf numFmtId="4" fontId="8" fillId="0" borderId="3" xfId="14" quotePrefix="1" applyNumberFormat="1" applyFont="1" applyFill="1" applyBorder="1" applyAlignment="1">
      <alignment horizontal="center" vertical="center" wrapText="1"/>
    </xf>
    <xf numFmtId="164" fontId="8" fillId="0" borderId="3" xfId="14" applyNumberFormat="1" applyFont="1" applyFill="1" applyBorder="1" applyAlignment="1">
      <alignment horizontal="right" vertical="center" wrapText="1"/>
    </xf>
    <xf numFmtId="49" fontId="7" fillId="0" borderId="5" xfId="14" applyNumberFormat="1" applyFont="1" applyFill="1" applyBorder="1" applyAlignment="1">
      <alignment horizontal="center" vertical="center" wrapText="1"/>
    </xf>
    <xf numFmtId="4" fontId="7" fillId="0" borderId="5" xfId="14" applyNumberFormat="1" applyFont="1" applyFill="1" applyBorder="1" applyAlignment="1">
      <alignment horizontal="left" vertical="center" wrapText="1"/>
    </xf>
    <xf numFmtId="4" fontId="7" fillId="0" borderId="5" xfId="14" applyNumberFormat="1" applyFont="1" applyFill="1" applyBorder="1" applyAlignment="1">
      <alignment horizontal="center" vertical="center" wrapText="1"/>
    </xf>
    <xf numFmtId="164" fontId="7" fillId="0" borderId="5" xfId="14" applyNumberFormat="1" applyFont="1" applyFill="1" applyBorder="1" applyAlignment="1">
      <alignment horizontal="right" vertical="center" wrapText="1"/>
    </xf>
    <xf numFmtId="49" fontId="33" fillId="0" borderId="5" xfId="14" applyNumberFormat="1" applyFont="1" applyFill="1" applyBorder="1" applyAlignment="1">
      <alignment horizontal="center" vertical="center" wrapText="1"/>
    </xf>
    <xf numFmtId="4" fontId="33" fillId="0" borderId="5" xfId="14" applyNumberFormat="1" applyFont="1" applyFill="1" applyBorder="1" applyAlignment="1">
      <alignment horizontal="left" vertical="center" wrapText="1"/>
    </xf>
    <xf numFmtId="4" fontId="33" fillId="0" borderId="5" xfId="14" applyNumberFormat="1" applyFont="1" applyFill="1" applyBorder="1" applyAlignment="1">
      <alignment horizontal="center" vertical="center" wrapText="1"/>
    </xf>
    <xf numFmtId="4" fontId="7" fillId="0" borderId="5" xfId="14" quotePrefix="1" applyNumberFormat="1" applyFont="1" applyFill="1" applyBorder="1" applyAlignment="1">
      <alignment horizontal="left" vertical="center" wrapText="1"/>
    </xf>
    <xf numFmtId="0" fontId="7" fillId="0" borderId="5" xfId="14" applyFont="1" applyFill="1" applyBorder="1" applyAlignment="1">
      <alignment vertical="center" wrapText="1"/>
    </xf>
    <xf numFmtId="4" fontId="7" fillId="0" borderId="5" xfId="14" applyNumberFormat="1" applyFont="1" applyFill="1" applyBorder="1" applyAlignment="1">
      <alignment vertical="center" wrapText="1"/>
    </xf>
    <xf numFmtId="4" fontId="33" fillId="0" borderId="5" xfId="14" applyNumberFormat="1" applyFont="1" applyFill="1" applyBorder="1" applyAlignment="1">
      <alignment vertical="center" wrapText="1"/>
    </xf>
    <xf numFmtId="49" fontId="7" fillId="0" borderId="11" xfId="14" applyNumberFormat="1" applyFont="1" applyFill="1" applyBorder="1" applyAlignment="1">
      <alignment horizontal="center" vertical="center" wrapText="1"/>
    </xf>
    <xf numFmtId="4" fontId="7" fillId="0" borderId="11" xfId="14" applyNumberFormat="1" applyFont="1" applyFill="1" applyBorder="1" applyAlignment="1">
      <alignment horizontal="left" vertical="center" wrapText="1"/>
    </xf>
    <xf numFmtId="4" fontId="7" fillId="0" borderId="11" xfId="14" applyNumberFormat="1" applyFont="1" applyFill="1" applyBorder="1" applyAlignment="1">
      <alignment horizontal="center" vertical="center" wrapText="1"/>
    </xf>
    <xf numFmtId="164" fontId="7" fillId="0" borderId="11" xfId="14" applyNumberFormat="1" applyFont="1" applyFill="1" applyBorder="1" applyAlignment="1">
      <alignment horizontal="right" vertical="center" wrapText="1"/>
    </xf>
    <xf numFmtId="0" fontId="8" fillId="0" borderId="3" xfId="14" applyFont="1" applyFill="1" applyBorder="1" applyAlignment="1">
      <alignment vertical="center" wrapText="1"/>
    </xf>
    <xf numFmtId="0" fontId="7" fillId="0" borderId="5" xfId="14" applyFont="1" applyFill="1" applyBorder="1" applyAlignment="1">
      <alignment horizontal="left" vertical="center" wrapText="1"/>
    </xf>
    <xf numFmtId="164" fontId="33" fillId="0" borderId="11" xfId="14" applyNumberFormat="1" applyFont="1" applyFill="1" applyBorder="1" applyAlignment="1">
      <alignment horizontal="right" vertical="center" wrapText="1"/>
    </xf>
    <xf numFmtId="49" fontId="7" fillId="0" borderId="0" xfId="14" applyNumberFormat="1" applyFont="1" applyFill="1" applyAlignment="1">
      <alignment horizontal="center" vertical="center" wrapText="1"/>
    </xf>
    <xf numFmtId="0" fontId="7" fillId="0" borderId="0" xfId="14" applyFont="1" applyFill="1" applyAlignment="1">
      <alignment vertical="center" wrapText="1"/>
    </xf>
    <xf numFmtId="0" fontId="7" fillId="0" borderId="0" xfId="14" applyFont="1" applyFill="1" applyAlignment="1">
      <alignment horizontal="center" vertical="center" wrapText="1"/>
    </xf>
    <xf numFmtId="49" fontId="6" fillId="0" borderId="3" xfId="14" quotePrefix="1" applyNumberFormat="1" applyFont="1" applyFill="1" applyBorder="1" applyAlignment="1">
      <alignment horizontal="center" vertical="center" wrapText="1"/>
    </xf>
    <xf numFmtId="4" fontId="6" fillId="0" borderId="3" xfId="14" quotePrefix="1" applyNumberFormat="1" applyFont="1" applyFill="1" applyBorder="1" applyAlignment="1">
      <alignment horizontal="center" vertical="center" wrapText="1"/>
    </xf>
    <xf numFmtId="4" fontId="6" fillId="0" borderId="3" xfId="14" applyNumberFormat="1" applyFont="1" applyFill="1" applyBorder="1" applyAlignment="1">
      <alignment horizontal="center" vertical="center" wrapText="1"/>
    </xf>
    <xf numFmtId="39" fontId="6" fillId="0" borderId="3" xfId="14" applyNumberFormat="1" applyFont="1" applyFill="1" applyBorder="1" applyAlignment="1">
      <alignment horizontal="center" vertical="center" wrapText="1"/>
    </xf>
    <xf numFmtId="172" fontId="6" fillId="0" borderId="3" xfId="14" applyNumberFormat="1" applyFont="1" applyFill="1" applyBorder="1" applyAlignment="1">
      <alignment horizontal="center" vertical="center" wrapText="1"/>
    </xf>
    <xf numFmtId="0" fontId="9" fillId="0" borderId="0" xfId="14" applyFont="1" applyFill="1" applyAlignment="1">
      <alignment vertical="center" wrapText="1"/>
    </xf>
    <xf numFmtId="0" fontId="22" fillId="0" borderId="0" xfId="14" applyFont="1" applyFill="1" applyAlignment="1">
      <alignment vertical="center" wrapText="1"/>
    </xf>
    <xf numFmtId="0" fontId="8" fillId="0" borderId="0" xfId="14" applyFont="1" applyFill="1" applyAlignment="1">
      <alignment vertical="center" wrapText="1"/>
    </xf>
    <xf numFmtId="0" fontId="6" fillId="0" borderId="0" xfId="14" applyFont="1" applyFill="1" applyAlignment="1">
      <alignment horizontal="center" vertical="center" wrapText="1"/>
    </xf>
    <xf numFmtId="0" fontId="33" fillId="0" borderId="0" xfId="14" applyFont="1" applyFill="1" applyAlignment="1">
      <alignment vertical="center" wrapText="1"/>
    </xf>
    <xf numFmtId="49" fontId="42" fillId="0" borderId="3" xfId="14" quotePrefix="1" applyNumberFormat="1" applyFont="1" applyBorder="1" applyAlignment="1">
      <alignment horizontal="center" vertical="center"/>
    </xf>
    <xf numFmtId="4" fontId="42" fillId="0" borderId="3" xfId="14" quotePrefix="1" applyNumberFormat="1" applyFont="1" applyBorder="1" applyAlignment="1">
      <alignment horizontal="center" vertical="center"/>
    </xf>
    <xf numFmtId="4" fontId="36" fillId="0" borderId="3" xfId="14" quotePrefix="1" applyNumberFormat="1" applyFont="1" applyFill="1" applyBorder="1" applyAlignment="1">
      <alignment horizontal="center" vertical="center"/>
    </xf>
    <xf numFmtId="4" fontId="36" fillId="0" borderId="3" xfId="14" applyNumberFormat="1" applyFont="1" applyFill="1" applyBorder="1" applyAlignment="1">
      <alignment horizontal="center" vertical="center"/>
    </xf>
    <xf numFmtId="0" fontId="37" fillId="0" borderId="0" xfId="14" applyFont="1" applyAlignment="1">
      <alignment vertical="center"/>
    </xf>
    <xf numFmtId="49" fontId="37" fillId="0" borderId="5" xfId="14" applyNumberFormat="1" applyFont="1" applyBorder="1" applyAlignment="1">
      <alignment horizontal="center" vertical="center"/>
    </xf>
    <xf numFmtId="4" fontId="37" fillId="0" borderId="5" xfId="14" applyNumberFormat="1" applyFont="1" applyFill="1" applyBorder="1" applyAlignment="1">
      <alignment horizontal="center" vertical="center"/>
    </xf>
    <xf numFmtId="49" fontId="38" fillId="0" borderId="5" xfId="14" applyNumberFormat="1" applyFont="1" applyBorder="1" applyAlignment="1">
      <alignment horizontal="center" vertical="center"/>
    </xf>
    <xf numFmtId="4" fontId="38" fillId="0" borderId="5" xfId="14" applyNumberFormat="1" applyFont="1" applyFill="1" applyBorder="1" applyAlignment="1">
      <alignment horizontal="center" vertical="center"/>
    </xf>
    <xf numFmtId="49" fontId="37" fillId="0" borderId="8" xfId="14" applyNumberFormat="1" applyFont="1" applyBorder="1" applyAlignment="1">
      <alignment horizontal="center" vertical="center"/>
    </xf>
    <xf numFmtId="4" fontId="37" fillId="0" borderId="5" xfId="14" applyNumberFormat="1" applyFont="1" applyFill="1" applyBorder="1" applyAlignment="1">
      <alignment horizontal="left" vertical="center" wrapText="1"/>
    </xf>
    <xf numFmtId="0" fontId="42" fillId="0" borderId="0" xfId="14" applyFont="1"/>
    <xf numFmtId="4" fontId="37" fillId="0" borderId="0" xfId="14" applyNumberFormat="1" applyFont="1" applyAlignment="1">
      <alignment vertical="center"/>
    </xf>
    <xf numFmtId="0" fontId="37" fillId="0" borderId="0" xfId="22" applyFont="1" applyFill="1" applyAlignment="1">
      <alignment vertical="center"/>
    </xf>
    <xf numFmtId="0" fontId="42" fillId="0" borderId="0" xfId="22" applyFont="1" applyFill="1" applyAlignment="1">
      <alignment vertical="center"/>
    </xf>
    <xf numFmtId="0" fontId="37" fillId="0" borderId="0" xfId="22" applyFont="1" applyFill="1" applyAlignment="1">
      <alignment horizontal="right" vertical="center"/>
    </xf>
    <xf numFmtId="0" fontId="42" fillId="0" borderId="0" xfId="22" applyFont="1" applyFill="1" applyAlignment="1">
      <alignment vertical="center" wrapText="1"/>
    </xf>
    <xf numFmtId="4" fontId="42" fillId="0" borderId="0" xfId="22" applyNumberFormat="1" applyFont="1" applyFill="1" applyAlignment="1">
      <alignment vertical="center"/>
    </xf>
    <xf numFmtId="4" fontId="4" fillId="0" borderId="3" xfId="14" applyNumberFormat="1" applyFont="1" applyFill="1" applyBorder="1" applyAlignment="1">
      <alignment horizontal="center" vertical="center" wrapText="1"/>
    </xf>
    <xf numFmtId="49" fontId="3" fillId="0" borderId="3" xfId="14" quotePrefix="1" applyNumberFormat="1" applyFont="1" applyFill="1" applyBorder="1" applyAlignment="1">
      <alignment horizontal="center" vertical="center" wrapText="1"/>
    </xf>
    <xf numFmtId="4" fontId="3" fillId="0" borderId="3" xfId="14" applyNumberFormat="1" applyFont="1" applyFill="1" applyBorder="1" applyAlignment="1">
      <alignment horizontal="left" vertical="center" wrapText="1"/>
    </xf>
    <xf numFmtId="4" fontId="3" fillId="0" borderId="3" xfId="14" quotePrefix="1" applyNumberFormat="1" applyFont="1" applyFill="1" applyBorder="1" applyAlignment="1">
      <alignment horizontal="center" vertical="center" wrapText="1"/>
    </xf>
    <xf numFmtId="49" fontId="3" fillId="0" borderId="3" xfId="14" applyNumberFormat="1" applyFont="1" applyFill="1" applyBorder="1" applyAlignment="1">
      <alignment horizontal="center" vertical="center" wrapText="1"/>
    </xf>
    <xf numFmtId="4" fontId="3" fillId="0" borderId="3" xfId="14" applyNumberFormat="1" applyFont="1" applyFill="1" applyBorder="1" applyAlignment="1">
      <alignment horizontal="center" vertical="center" wrapText="1"/>
    </xf>
    <xf numFmtId="49" fontId="4" fillId="0" borderId="5" xfId="14" applyNumberFormat="1" applyFont="1" applyFill="1" applyBorder="1" applyAlignment="1">
      <alignment horizontal="center" vertical="center" wrapText="1"/>
    </xf>
    <xf numFmtId="4" fontId="4" fillId="0" borderId="5" xfId="14" applyNumberFormat="1" applyFont="1" applyFill="1" applyBorder="1" applyAlignment="1">
      <alignment horizontal="left" vertical="center" wrapText="1"/>
    </xf>
    <xf numFmtId="4" fontId="4" fillId="0" borderId="5" xfId="14" applyNumberFormat="1" applyFont="1" applyFill="1" applyBorder="1" applyAlignment="1">
      <alignment horizontal="center" vertical="center" wrapText="1"/>
    </xf>
    <xf numFmtId="49" fontId="5" fillId="0" borderId="5" xfId="14" applyNumberFormat="1" applyFont="1" applyFill="1" applyBorder="1" applyAlignment="1">
      <alignment horizontal="center" vertical="center" wrapText="1"/>
    </xf>
    <xf numFmtId="4" fontId="5" fillId="0" borderId="5" xfId="14" quotePrefix="1" applyNumberFormat="1" applyFont="1" applyFill="1" applyBorder="1" applyAlignment="1">
      <alignment horizontal="left" vertical="center" wrapText="1"/>
    </xf>
    <xf numFmtId="4" fontId="5" fillId="0" borderId="5" xfId="14" applyNumberFormat="1" applyFont="1" applyFill="1" applyBorder="1" applyAlignment="1">
      <alignment horizontal="center" vertical="center" wrapText="1"/>
    </xf>
    <xf numFmtId="0" fontId="4" fillId="0" borderId="5" xfId="14" applyFont="1" applyFill="1" applyBorder="1" applyAlignment="1">
      <alignment vertical="center" wrapText="1"/>
    </xf>
    <xf numFmtId="4" fontId="4" fillId="0" borderId="5" xfId="14" applyNumberFormat="1" applyFont="1" applyFill="1" applyBorder="1" applyAlignment="1">
      <alignment vertical="center" wrapText="1"/>
    </xf>
    <xf numFmtId="4" fontId="5" fillId="0" borderId="5" xfId="14" applyNumberFormat="1" applyFont="1" applyFill="1" applyBorder="1" applyAlignment="1">
      <alignment vertical="center" wrapText="1"/>
    </xf>
    <xf numFmtId="0" fontId="4" fillId="0" borderId="5" xfId="14" applyFont="1" applyFill="1" applyBorder="1" applyAlignment="1">
      <alignment horizontal="left" vertical="center" wrapText="1"/>
    </xf>
    <xf numFmtId="4" fontId="5" fillId="0" borderId="5" xfId="14" applyNumberFormat="1" applyFont="1" applyFill="1" applyBorder="1" applyAlignment="1">
      <alignment horizontal="left" vertical="center" wrapText="1"/>
    </xf>
    <xf numFmtId="0" fontId="5" fillId="0" borderId="5" xfId="14" applyFont="1" applyFill="1" applyBorder="1" applyAlignment="1">
      <alignment vertical="center" wrapText="1"/>
    </xf>
    <xf numFmtId="49" fontId="8" fillId="0" borderId="3" xfId="14" applyNumberFormat="1" applyFont="1" applyFill="1" applyBorder="1" applyAlignment="1">
      <alignment horizontal="center" vertical="center" wrapText="1"/>
    </xf>
    <xf numFmtId="4" fontId="8" fillId="0" borderId="3" xfId="14" applyNumberFormat="1" applyFont="1" applyFill="1" applyBorder="1" applyAlignment="1">
      <alignment horizontal="center" vertical="center" wrapText="1"/>
    </xf>
    <xf numFmtId="4" fontId="37" fillId="0" borderId="3" xfId="14" applyNumberFormat="1" applyFont="1" applyBorder="1" applyAlignment="1">
      <alignment horizontal="center" vertical="center" wrapText="1"/>
    </xf>
    <xf numFmtId="4" fontId="42" fillId="0" borderId="3" xfId="14" applyNumberFormat="1" applyFont="1" applyFill="1" applyBorder="1" applyAlignment="1">
      <alignment horizontal="center" vertical="center" wrapText="1"/>
    </xf>
    <xf numFmtId="4" fontId="42" fillId="0" borderId="3" xfId="14" quotePrefix="1" applyNumberFormat="1" applyFont="1" applyFill="1" applyBorder="1" applyAlignment="1">
      <alignment horizontal="center" vertical="center" wrapText="1"/>
    </xf>
    <xf numFmtId="49" fontId="5" fillId="0" borderId="5" xfId="14" applyNumberFormat="1" applyFont="1" applyBorder="1" applyAlignment="1">
      <alignment horizontal="center" vertical="center"/>
    </xf>
    <xf numFmtId="0" fontId="5" fillId="0" borderId="5" xfId="14" applyFont="1" applyBorder="1" applyAlignment="1">
      <alignment vertical="center"/>
    </xf>
    <xf numFmtId="0" fontId="31" fillId="0" borderId="5" xfId="0" applyFont="1" applyBorder="1" applyAlignment="1">
      <alignment vertical="center" wrapText="1"/>
    </xf>
    <xf numFmtId="0" fontId="31" fillId="0" borderId="5" xfId="0" applyFont="1" applyBorder="1" applyAlignment="1">
      <alignment horizontal="center" vertical="center" wrapText="1"/>
    </xf>
    <xf numFmtId="49" fontId="5" fillId="0" borderId="8" xfId="14" applyNumberFormat="1" applyFont="1" applyFill="1" applyBorder="1" applyAlignment="1">
      <alignment horizontal="center" vertical="center" wrapText="1"/>
    </xf>
    <xf numFmtId="0" fontId="32" fillId="0" borderId="8" xfId="0" applyFont="1" applyBorder="1" applyAlignment="1">
      <alignment vertical="center" wrapText="1"/>
    </xf>
    <xf numFmtId="0" fontId="32" fillId="0" borderId="8" xfId="0" applyFont="1" applyBorder="1" applyAlignment="1">
      <alignment horizontal="center" vertical="center" wrapText="1"/>
    </xf>
    <xf numFmtId="49" fontId="4" fillId="0" borderId="8" xfId="14" applyNumberFormat="1" applyFont="1" applyBorder="1" applyAlignment="1">
      <alignment horizontal="center" vertical="center"/>
    </xf>
    <xf numFmtId="0" fontId="4" fillId="0" borderId="8" xfId="14" applyFont="1" applyBorder="1" applyAlignment="1">
      <alignment vertical="center"/>
    </xf>
    <xf numFmtId="0" fontId="4" fillId="0" borderId="8" xfId="14" applyFont="1" applyBorder="1" applyAlignment="1">
      <alignment horizontal="center" vertical="center"/>
    </xf>
    <xf numFmtId="164" fontId="5" fillId="0" borderId="0" xfId="14" applyNumberFormat="1" applyFont="1" applyAlignment="1">
      <alignment vertical="center"/>
    </xf>
    <xf numFmtId="49" fontId="5" fillId="0" borderId="6" xfId="14" applyNumberFormat="1" applyFont="1" applyFill="1" applyBorder="1" applyAlignment="1">
      <alignment horizontal="center" vertical="center"/>
    </xf>
    <xf numFmtId="0" fontId="5" fillId="0" borderId="6" xfId="14" applyFont="1" applyBorder="1" applyAlignment="1">
      <alignment horizontal="center" vertical="center"/>
    </xf>
    <xf numFmtId="4" fontId="5" fillId="0" borderId="0" xfId="14" applyNumberFormat="1" applyFont="1" applyAlignment="1">
      <alignment vertical="center"/>
    </xf>
    <xf numFmtId="0" fontId="36" fillId="0" borderId="0" xfId="14" applyFont="1" applyBorder="1" applyAlignment="1">
      <alignment horizontal="center" vertical="center"/>
    </xf>
    <xf numFmtId="0" fontId="36" fillId="0" borderId="0" xfId="14" applyFont="1" applyBorder="1" applyAlignment="1">
      <alignment horizontal="center" vertical="center" wrapText="1"/>
    </xf>
    <xf numFmtId="0" fontId="36" fillId="0" borderId="0" xfId="14" applyFont="1" applyBorder="1" applyAlignment="1">
      <alignment horizontal="center"/>
    </xf>
    <xf numFmtId="0" fontId="37" fillId="0" borderId="0" xfId="14" applyFont="1"/>
    <xf numFmtId="0" fontId="37" fillId="0" borderId="0" xfId="14" applyFont="1" applyAlignment="1">
      <alignment horizontal="center"/>
    </xf>
    <xf numFmtId="3" fontId="37" fillId="0" borderId="3" xfId="14" applyNumberFormat="1" applyFont="1" applyBorder="1" applyAlignment="1">
      <alignment horizontal="center" vertical="center" wrapText="1"/>
    </xf>
    <xf numFmtId="49" fontId="36" fillId="0" borderId="3" xfId="14" quotePrefix="1" applyNumberFormat="1" applyFont="1" applyFill="1" applyBorder="1" applyAlignment="1">
      <alignment horizontal="center" vertical="center"/>
    </xf>
    <xf numFmtId="4" fontId="36" fillId="0" borderId="3" xfId="14" applyNumberFormat="1" applyFont="1" applyFill="1" applyBorder="1" applyAlignment="1">
      <alignment horizontal="left" vertical="center" wrapText="1"/>
    </xf>
    <xf numFmtId="49" fontId="36" fillId="0" borderId="3" xfId="14" applyNumberFormat="1" applyFont="1" applyFill="1" applyBorder="1" applyAlignment="1">
      <alignment horizontal="center" vertical="center"/>
    </xf>
    <xf numFmtId="49" fontId="37" fillId="0" borderId="14" xfId="14" applyNumberFormat="1" applyFont="1" applyFill="1" applyBorder="1" applyAlignment="1">
      <alignment horizontal="center" vertical="center"/>
    </xf>
    <xf numFmtId="4" fontId="37" fillId="0" borderId="14" xfId="14" applyNumberFormat="1" applyFont="1" applyFill="1" applyBorder="1" applyAlignment="1">
      <alignment horizontal="left" vertical="center" wrapText="1"/>
    </xf>
    <xf numFmtId="4" fontId="37" fillId="0" borderId="14" xfId="14" applyNumberFormat="1" applyFont="1" applyFill="1" applyBorder="1" applyAlignment="1">
      <alignment horizontal="center" vertical="center"/>
    </xf>
    <xf numFmtId="49" fontId="37" fillId="0" borderId="5" xfId="14" applyNumberFormat="1" applyFont="1" applyFill="1" applyBorder="1" applyAlignment="1">
      <alignment horizontal="center" vertical="center"/>
    </xf>
    <xf numFmtId="49" fontId="38" fillId="0" borderId="5" xfId="14" applyNumberFormat="1" applyFont="1" applyFill="1" applyBorder="1" applyAlignment="1">
      <alignment horizontal="center" vertical="center"/>
    </xf>
    <xf numFmtId="4" fontId="38" fillId="0" borderId="5" xfId="14" quotePrefix="1" applyNumberFormat="1" applyFont="1" applyFill="1" applyBorder="1" applyAlignment="1">
      <alignment horizontal="left" vertical="center" wrapText="1"/>
    </xf>
    <xf numFmtId="0" fontId="37" fillId="0" borderId="5" xfId="14" applyFont="1" applyFill="1" applyBorder="1" applyAlignment="1">
      <alignment vertical="center" wrapText="1"/>
    </xf>
    <xf numFmtId="49" fontId="36" fillId="0" borderId="14" xfId="14" applyNumberFormat="1" applyFont="1" applyFill="1" applyBorder="1" applyAlignment="1">
      <alignment horizontal="center" vertical="center"/>
    </xf>
    <xf numFmtId="4" fontId="36" fillId="0" borderId="14" xfId="14" applyNumberFormat="1" applyFont="1" applyFill="1" applyBorder="1" applyAlignment="1">
      <alignment horizontal="center" vertical="center"/>
    </xf>
    <xf numFmtId="4" fontId="37" fillId="0" borderId="5" xfId="14" applyNumberFormat="1" applyFont="1" applyBorder="1" applyAlignment="1">
      <alignment horizontal="center" vertical="center"/>
    </xf>
    <xf numFmtId="4" fontId="38" fillId="0" borderId="5" xfId="14" applyNumberFormat="1" applyFont="1" applyBorder="1" applyAlignment="1">
      <alignment horizontal="center" vertical="center"/>
    </xf>
    <xf numFmtId="0" fontId="37" fillId="0" borderId="8" xfId="14" applyFont="1" applyBorder="1" applyAlignment="1">
      <alignment vertical="center" wrapText="1"/>
    </xf>
    <xf numFmtId="4" fontId="37" fillId="0" borderId="8" xfId="14" applyNumberFormat="1" applyFont="1" applyBorder="1" applyAlignment="1">
      <alignment horizontal="center" vertical="center"/>
    </xf>
    <xf numFmtId="1" fontId="37" fillId="0" borderId="0" xfId="14" applyNumberFormat="1" applyFont="1" applyAlignment="1">
      <alignment vertical="center"/>
    </xf>
    <xf numFmtId="4" fontId="37" fillId="0" borderId="0" xfId="14" applyNumberFormat="1" applyFont="1" applyAlignment="1">
      <alignment horizontal="right" vertical="center"/>
    </xf>
    <xf numFmtId="0" fontId="40" fillId="0" borderId="0" xfId="14" applyFont="1" applyBorder="1" applyAlignment="1"/>
    <xf numFmtId="0" fontId="41" fillId="0" borderId="0" xfId="14" applyFont="1" applyBorder="1"/>
    <xf numFmtId="4" fontId="40" fillId="0" borderId="0" xfId="22" applyNumberFormat="1" applyFont="1" applyFill="1" applyAlignment="1">
      <alignment vertical="center"/>
    </xf>
    <xf numFmtId="0" fontId="40" fillId="0" borderId="0" xfId="22" applyFont="1" applyFill="1" applyAlignment="1">
      <alignment vertical="center"/>
    </xf>
    <xf numFmtId="4" fontId="37" fillId="0" borderId="0" xfId="22" applyNumberFormat="1" applyFont="1" applyFill="1" applyAlignment="1">
      <alignment vertical="center"/>
    </xf>
    <xf numFmtId="4" fontId="36" fillId="0" borderId="0" xfId="22" applyNumberFormat="1" applyFont="1" applyFill="1" applyAlignment="1">
      <alignment vertical="center"/>
    </xf>
    <xf numFmtId="0" fontId="36" fillId="0" borderId="0" xfId="22" applyFont="1" applyFill="1" applyAlignment="1">
      <alignment vertical="center"/>
    </xf>
    <xf numFmtId="164" fontId="37" fillId="0" borderId="5" xfId="22" applyNumberFormat="1" applyFont="1" applyFill="1" applyBorder="1" applyAlignment="1">
      <alignment horizontal="right" vertical="center"/>
    </xf>
    <xf numFmtId="4" fontId="38" fillId="0" borderId="0" xfId="22" applyNumberFormat="1" applyFont="1" applyFill="1" applyAlignment="1">
      <alignment vertical="center"/>
    </xf>
    <xf numFmtId="0" fontId="38" fillId="0" borderId="0" xfId="22" applyFont="1" applyFill="1" applyAlignment="1">
      <alignment vertical="center"/>
    </xf>
    <xf numFmtId="164" fontId="33" fillId="0" borderId="5" xfId="14" applyNumberFormat="1" applyFont="1" applyFill="1" applyBorder="1" applyAlignment="1">
      <alignment horizontal="right" vertical="center" wrapText="1"/>
    </xf>
    <xf numFmtId="177" fontId="46" fillId="0" borderId="0" xfId="14" applyNumberFormat="1" applyFont="1" applyBorder="1" applyAlignment="1"/>
    <xf numFmtId="177" fontId="42" fillId="0" borderId="0" xfId="14" applyNumberFormat="1" applyFont="1" applyBorder="1"/>
    <xf numFmtId="177" fontId="46" fillId="0" borderId="0" xfId="14" applyNumberFormat="1" applyFont="1" applyBorder="1" applyAlignment="1">
      <alignment horizontal="center" vertical="center"/>
    </xf>
    <xf numFmtId="177" fontId="46" fillId="0" borderId="0" xfId="14" applyNumberFormat="1" applyFont="1" applyBorder="1" applyAlignment="1">
      <alignment horizontal="center" vertical="center" wrapText="1"/>
    </xf>
    <xf numFmtId="177" fontId="46" fillId="0" borderId="0" xfId="14" applyNumberFormat="1" applyFont="1" applyBorder="1" applyAlignment="1">
      <alignment horizontal="center"/>
    </xf>
    <xf numFmtId="177" fontId="42" fillId="0" borderId="0" xfId="14" applyNumberFormat="1" applyFont="1"/>
    <xf numFmtId="177" fontId="42" fillId="0" borderId="0" xfId="14" applyNumberFormat="1" applyFont="1" applyAlignment="1">
      <alignment horizontal="center"/>
    </xf>
    <xf numFmtId="177" fontId="45" fillId="0" borderId="3" xfId="14" applyNumberFormat="1" applyFont="1" applyBorder="1" applyAlignment="1">
      <alignment horizontal="center" vertical="center" wrapText="1"/>
    </xf>
    <xf numFmtId="177" fontId="46" fillId="0" borderId="3" xfId="14" applyNumberFormat="1" applyFont="1" applyBorder="1" applyAlignment="1">
      <alignment horizontal="center" vertical="center"/>
    </xf>
    <xf numFmtId="177" fontId="46" fillId="0" borderId="3" xfId="14" applyNumberFormat="1" applyFont="1" applyBorder="1" applyAlignment="1">
      <alignment horizontal="center" vertical="center" wrapText="1"/>
    </xf>
    <xf numFmtId="177" fontId="42" fillId="0" borderId="3" xfId="14" quotePrefix="1" applyNumberFormat="1" applyFont="1" applyBorder="1" applyAlignment="1">
      <alignment horizontal="center" vertical="center"/>
    </xf>
    <xf numFmtId="177" fontId="42" fillId="0" borderId="3" xfId="14" quotePrefix="1" applyNumberFormat="1" applyFont="1" applyBorder="1" applyAlignment="1">
      <alignment horizontal="center" vertical="center" wrapText="1"/>
    </xf>
    <xf numFmtId="177" fontId="42" fillId="0" borderId="3" xfId="14" applyNumberFormat="1" applyFont="1" applyFill="1" applyBorder="1" applyAlignment="1">
      <alignment horizontal="center" vertical="center" wrapText="1"/>
    </xf>
    <xf numFmtId="177" fontId="42" fillId="0" borderId="3" xfId="14" quotePrefix="1" applyNumberFormat="1" applyFont="1" applyFill="1" applyBorder="1" applyAlignment="1">
      <alignment horizontal="center" vertical="center" wrapText="1"/>
    </xf>
    <xf numFmtId="177" fontId="46" fillId="0" borderId="3" xfId="14" quotePrefix="1" applyNumberFormat="1" applyFont="1" applyFill="1" applyBorder="1" applyAlignment="1">
      <alignment horizontal="center" vertical="center"/>
    </xf>
    <xf numFmtId="177" fontId="46" fillId="0" borderId="3" xfId="14" applyNumberFormat="1" applyFont="1" applyFill="1" applyBorder="1" applyAlignment="1">
      <alignment horizontal="left" vertical="center" wrapText="1"/>
    </xf>
    <xf numFmtId="177" fontId="46" fillId="0" borderId="3" xfId="14" applyNumberFormat="1" applyFont="1" applyFill="1" applyBorder="1" applyAlignment="1">
      <alignment horizontal="center" vertical="center"/>
    </xf>
    <xf numFmtId="177" fontId="45" fillId="0" borderId="14" xfId="14" applyNumberFormat="1" applyFont="1" applyFill="1" applyBorder="1" applyAlignment="1">
      <alignment horizontal="center" vertical="center"/>
    </xf>
    <xf numFmtId="177" fontId="45" fillId="0" borderId="14" xfId="14" applyNumberFormat="1" applyFont="1" applyFill="1" applyBorder="1" applyAlignment="1">
      <alignment horizontal="left" vertical="center" wrapText="1"/>
    </xf>
    <xf numFmtId="177" fontId="45" fillId="0" borderId="5" xfId="14" applyNumberFormat="1" applyFont="1" applyFill="1" applyBorder="1" applyAlignment="1">
      <alignment horizontal="center" vertical="center"/>
    </xf>
    <xf numFmtId="177" fontId="45" fillId="0" borderId="5" xfId="14" applyNumberFormat="1" applyFont="1" applyFill="1" applyBorder="1" applyAlignment="1">
      <alignment horizontal="left" vertical="center" wrapText="1"/>
    </xf>
    <xf numFmtId="177" fontId="44" fillId="0" borderId="5" xfId="14" applyNumberFormat="1" applyFont="1" applyFill="1" applyBorder="1" applyAlignment="1">
      <alignment horizontal="center" vertical="center"/>
    </xf>
    <xf numFmtId="177" fontId="44" fillId="0" borderId="5" xfId="14" quotePrefix="1" applyNumberFormat="1" applyFont="1" applyFill="1" applyBorder="1" applyAlignment="1">
      <alignment horizontal="left" vertical="center" wrapText="1"/>
    </xf>
    <xf numFmtId="177" fontId="45" fillId="0" borderId="5" xfId="14" applyNumberFormat="1" applyFont="1" applyFill="1" applyBorder="1" applyAlignment="1">
      <alignment vertical="center" wrapText="1"/>
    </xf>
    <xf numFmtId="177" fontId="50" fillId="0" borderId="0" xfId="14" applyNumberFormat="1" applyFont="1"/>
    <xf numFmtId="177" fontId="46" fillId="0" borderId="14" xfId="14" applyNumberFormat="1" applyFont="1" applyFill="1" applyBorder="1" applyAlignment="1">
      <alignment horizontal="center" vertical="center"/>
    </xf>
    <xf numFmtId="177" fontId="45" fillId="0" borderId="5" xfId="14" applyNumberFormat="1" applyFont="1" applyBorder="1" applyAlignment="1">
      <alignment horizontal="center" vertical="center"/>
    </xf>
    <xf numFmtId="177" fontId="45" fillId="0" borderId="5" xfId="14" applyNumberFormat="1" applyFont="1" applyBorder="1" applyAlignment="1">
      <alignment horizontal="left" vertical="center" wrapText="1"/>
    </xf>
    <xf numFmtId="177" fontId="44" fillId="0" borderId="5" xfId="14" applyNumberFormat="1" applyFont="1" applyBorder="1" applyAlignment="1">
      <alignment horizontal="center" vertical="center"/>
    </xf>
    <xf numFmtId="177" fontId="44" fillId="0" borderId="5" xfId="14" applyNumberFormat="1" applyFont="1" applyBorder="1" applyAlignment="1">
      <alignment horizontal="left" vertical="center" wrapText="1"/>
    </xf>
    <xf numFmtId="177" fontId="44" fillId="0" borderId="5" xfId="14" applyNumberFormat="1" applyFont="1" applyBorder="1" applyAlignment="1">
      <alignment vertical="center" wrapText="1"/>
    </xf>
    <xf numFmtId="177" fontId="45" fillId="0" borderId="5" xfId="14" applyNumberFormat="1" applyFont="1" applyBorder="1" applyAlignment="1">
      <alignment vertical="center" wrapText="1"/>
    </xf>
    <xf numFmtId="177" fontId="47" fillId="0" borderId="0" xfId="14" applyNumberFormat="1" applyFont="1"/>
    <xf numFmtId="177" fontId="42" fillId="0" borderId="0" xfId="14" applyNumberFormat="1" applyFont="1" applyAlignment="1">
      <alignment vertical="center"/>
    </xf>
    <xf numFmtId="177" fontId="42" fillId="0" borderId="0" xfId="14" applyNumberFormat="1" applyFont="1" applyAlignment="1">
      <alignment vertical="center" wrapText="1"/>
    </xf>
    <xf numFmtId="177" fontId="42" fillId="0" borderId="0" xfId="14" applyNumberFormat="1" applyFont="1" applyAlignment="1">
      <alignment horizontal="right" vertical="center"/>
    </xf>
    <xf numFmtId="164" fontId="46" fillId="0" borderId="3" xfId="14" applyNumberFormat="1" applyFont="1" applyFill="1" applyBorder="1" applyAlignment="1">
      <alignment horizontal="right" vertical="center"/>
    </xf>
    <xf numFmtId="164" fontId="45" fillId="0" borderId="14" xfId="14" applyNumberFormat="1" applyFont="1" applyFill="1" applyBorder="1" applyAlignment="1">
      <alignment horizontal="right" vertical="center"/>
    </xf>
    <xf numFmtId="164" fontId="45" fillId="0" borderId="5" xfId="14" applyNumberFormat="1" applyFont="1" applyFill="1" applyBorder="1" applyAlignment="1">
      <alignment horizontal="right" vertical="center"/>
    </xf>
    <xf numFmtId="164" fontId="44" fillId="0" borderId="5" xfId="14" applyNumberFormat="1" applyFont="1" applyFill="1" applyBorder="1" applyAlignment="1">
      <alignment horizontal="right" vertical="center"/>
    </xf>
    <xf numFmtId="164" fontId="46" fillId="0" borderId="14" xfId="14" applyNumberFormat="1" applyFont="1" applyFill="1" applyBorder="1" applyAlignment="1">
      <alignment horizontal="right" vertical="center"/>
    </xf>
    <xf numFmtId="164" fontId="45" fillId="0" borderId="11" xfId="14" applyNumberFormat="1" applyFont="1" applyFill="1" applyBorder="1" applyAlignment="1">
      <alignment horizontal="right" vertical="center"/>
    </xf>
    <xf numFmtId="164" fontId="8" fillId="0" borderId="3" xfId="14" quotePrefix="1" applyNumberFormat="1" applyFont="1" applyFill="1" applyBorder="1" applyAlignment="1">
      <alignment horizontal="right" vertical="center" wrapText="1"/>
    </xf>
    <xf numFmtId="164" fontId="3" fillId="0" borderId="3" xfId="14" applyNumberFormat="1" applyFont="1" applyBorder="1" applyAlignment="1">
      <alignment horizontal="right" vertical="center"/>
    </xf>
    <xf numFmtId="164" fontId="3" fillId="0" borderId="6" xfId="14" applyNumberFormat="1" applyFont="1" applyBorder="1" applyAlignment="1">
      <alignment horizontal="right" vertical="center"/>
    </xf>
    <xf numFmtId="164" fontId="4" fillId="0" borderId="5" xfId="14" applyNumberFormat="1" applyFont="1" applyBorder="1" applyAlignment="1">
      <alignment horizontal="right" vertical="center"/>
    </xf>
    <xf numFmtId="164" fontId="5" fillId="0" borderId="5" xfId="14" applyNumberFormat="1" applyFont="1" applyBorder="1" applyAlignment="1">
      <alignment horizontal="right" vertical="center"/>
    </xf>
    <xf numFmtId="164" fontId="4" fillId="0" borderId="5" xfId="14" applyNumberFormat="1" applyFont="1" applyFill="1" applyBorder="1" applyAlignment="1">
      <alignment horizontal="right" vertical="center"/>
    </xf>
    <xf numFmtId="164" fontId="4" fillId="0" borderId="8" xfId="14" applyNumberFormat="1" applyFont="1" applyBorder="1" applyAlignment="1">
      <alignment horizontal="right" vertical="center"/>
    </xf>
    <xf numFmtId="164" fontId="5" fillId="0" borderId="6" xfId="14" applyNumberFormat="1" applyFont="1" applyBorder="1" applyAlignment="1">
      <alignment horizontal="right" vertical="center"/>
    </xf>
    <xf numFmtId="164" fontId="5" fillId="0" borderId="8" xfId="14" applyNumberFormat="1" applyFont="1" applyBorder="1" applyAlignment="1">
      <alignment horizontal="right" vertical="center"/>
    </xf>
    <xf numFmtId="164" fontId="36" fillId="0" borderId="3" xfId="14" applyNumberFormat="1" applyFont="1" applyFill="1" applyBorder="1" applyAlignment="1">
      <alignment horizontal="right" vertical="center"/>
    </xf>
    <xf numFmtId="164" fontId="37" fillId="0" borderId="14" xfId="14" applyNumberFormat="1" applyFont="1" applyFill="1" applyBorder="1" applyAlignment="1">
      <alignment horizontal="right" vertical="center"/>
    </xf>
    <xf numFmtId="164" fontId="37" fillId="0" borderId="5" xfId="14" applyNumberFormat="1" applyFont="1" applyFill="1" applyBorder="1" applyAlignment="1">
      <alignment horizontal="right" vertical="center"/>
    </xf>
    <xf numFmtId="164" fontId="38" fillId="0" borderId="5" xfId="14" applyNumberFormat="1" applyFont="1" applyFill="1" applyBorder="1" applyAlignment="1">
      <alignment horizontal="right" vertical="center"/>
    </xf>
    <xf numFmtId="164" fontId="36" fillId="0" borderId="14" xfId="14" applyNumberFormat="1" applyFont="1" applyFill="1" applyBorder="1" applyAlignment="1">
      <alignment horizontal="right" vertical="center"/>
    </xf>
    <xf numFmtId="164" fontId="37" fillId="0" borderId="8" xfId="14" applyNumberFormat="1" applyFont="1" applyFill="1" applyBorder="1" applyAlignment="1">
      <alignment horizontal="right" vertical="center"/>
    </xf>
    <xf numFmtId="164" fontId="3" fillId="0" borderId="3" xfId="14" applyNumberFormat="1" applyFont="1" applyFill="1" applyBorder="1" applyAlignment="1">
      <alignment horizontal="right" vertical="center" wrapText="1"/>
    </xf>
    <xf numFmtId="164" fontId="4" fillId="0" borderId="5" xfId="14" applyNumberFormat="1" applyFont="1" applyFill="1" applyBorder="1" applyAlignment="1">
      <alignment horizontal="right" vertical="center" wrapText="1"/>
    </xf>
    <xf numFmtId="164" fontId="5" fillId="0" borderId="5" xfId="14" applyNumberFormat="1" applyFont="1" applyFill="1" applyBorder="1" applyAlignment="1">
      <alignment horizontal="right" vertical="center" wrapText="1"/>
    </xf>
    <xf numFmtId="164" fontId="37" fillId="0" borderId="12" xfId="22" quotePrefix="1" applyNumberFormat="1" applyFont="1" applyFill="1" applyBorder="1" applyAlignment="1">
      <alignment horizontal="right" vertical="center"/>
    </xf>
    <xf numFmtId="164" fontId="38" fillId="0" borderId="5" xfId="22" quotePrefix="1" applyNumberFormat="1" applyFont="1" applyFill="1" applyBorder="1" applyAlignment="1">
      <alignment horizontal="right" vertical="center"/>
    </xf>
    <xf numFmtId="164" fontId="37" fillId="0" borderId="5" xfId="22" quotePrefix="1" applyNumberFormat="1" applyFont="1" applyFill="1" applyBorder="1" applyAlignment="1">
      <alignment horizontal="right" vertical="center"/>
    </xf>
    <xf numFmtId="164" fontId="37" fillId="0" borderId="11" xfId="22" quotePrefix="1" applyNumberFormat="1" applyFont="1" applyFill="1" applyBorder="1" applyAlignment="1">
      <alignment horizontal="right" vertical="center"/>
    </xf>
    <xf numFmtId="164" fontId="37" fillId="0" borderId="12" xfId="22" applyNumberFormat="1" applyFont="1" applyFill="1" applyBorder="1" applyAlignment="1">
      <alignment horizontal="right" vertical="center"/>
    </xf>
    <xf numFmtId="43" fontId="42" fillId="0" borderId="0" xfId="22" applyNumberFormat="1" applyFont="1" applyFill="1" applyAlignment="1">
      <alignment vertical="center"/>
    </xf>
    <xf numFmtId="43" fontId="37" fillId="0" borderId="0" xfId="22" applyNumberFormat="1" applyFont="1" applyFill="1" applyAlignment="1">
      <alignment vertical="center"/>
    </xf>
    <xf numFmtId="164" fontId="38" fillId="0" borderId="5" xfId="22" applyNumberFormat="1" applyFont="1" applyFill="1" applyBorder="1" applyAlignment="1">
      <alignment horizontal="right" vertical="center"/>
    </xf>
    <xf numFmtId="164" fontId="38" fillId="0" borderId="12" xfId="22" applyNumberFormat="1" applyFont="1" applyFill="1" applyBorder="1" applyAlignment="1">
      <alignment horizontal="right" vertical="center"/>
    </xf>
    <xf numFmtId="164" fontId="43" fillId="0" borderId="5" xfId="22" applyNumberFormat="1" applyFont="1" applyFill="1" applyBorder="1" applyAlignment="1">
      <alignment horizontal="right" vertical="center"/>
    </xf>
    <xf numFmtId="164" fontId="37" fillId="0" borderId="11" xfId="22" applyNumberFormat="1" applyFont="1" applyFill="1" applyBorder="1" applyAlignment="1">
      <alignment horizontal="right" vertical="center"/>
    </xf>
    <xf numFmtId="164" fontId="36" fillId="0" borderId="12" xfId="22" applyNumberFormat="1" applyFont="1" applyFill="1" applyBorder="1" applyAlignment="1">
      <alignment horizontal="right" vertical="center"/>
    </xf>
    <xf numFmtId="164" fontId="36" fillId="0" borderId="5" xfId="22" applyNumberFormat="1" applyFont="1" applyFill="1" applyBorder="1" applyAlignment="1">
      <alignment horizontal="right" vertical="center"/>
    </xf>
    <xf numFmtId="164" fontId="38" fillId="0" borderId="12" xfId="22" quotePrefix="1" applyNumberFormat="1" applyFont="1" applyFill="1" applyBorder="1" applyAlignment="1">
      <alignment horizontal="right" vertical="center"/>
    </xf>
    <xf numFmtId="164" fontId="36" fillId="0" borderId="11" xfId="22" applyNumberFormat="1" applyFont="1" applyFill="1" applyBorder="1" applyAlignment="1">
      <alignment horizontal="right" vertical="center"/>
    </xf>
    <xf numFmtId="164" fontId="36" fillId="11" borderId="3" xfId="22" applyNumberFormat="1" applyFont="1" applyFill="1" applyBorder="1" applyAlignment="1">
      <alignment horizontal="right" vertical="center"/>
    </xf>
    <xf numFmtId="0" fontId="36" fillId="0" borderId="3" xfId="22" applyFont="1" applyFill="1" applyBorder="1" applyAlignment="1">
      <alignment horizontal="center" vertical="center"/>
    </xf>
    <xf numFmtId="176" fontId="36" fillId="0" borderId="3" xfId="22" quotePrefix="1" applyNumberFormat="1" applyFont="1" applyFill="1" applyBorder="1" applyAlignment="1">
      <alignment vertical="center"/>
    </xf>
    <xf numFmtId="164" fontId="36" fillId="0" borderId="3" xfId="22" quotePrefix="1" applyNumberFormat="1" applyFont="1" applyFill="1" applyBorder="1" applyAlignment="1">
      <alignment horizontal="right" vertical="center"/>
    </xf>
    <xf numFmtId="164" fontId="36" fillId="0" borderId="3" xfId="22" applyNumberFormat="1" applyFont="1" applyFill="1" applyBorder="1" applyAlignment="1">
      <alignment horizontal="right" vertical="center"/>
    </xf>
    <xf numFmtId="4" fontId="36" fillId="0" borderId="3" xfId="22" applyNumberFormat="1" applyFont="1" applyFill="1" applyBorder="1" applyAlignment="1">
      <alignment horizontal="right" vertical="center"/>
    </xf>
    <xf numFmtId="4" fontId="36" fillId="0" borderId="3" xfId="22" quotePrefix="1" applyNumberFormat="1" applyFont="1" applyFill="1" applyBorder="1" applyAlignment="1">
      <alignment horizontal="right" vertical="center"/>
    </xf>
    <xf numFmtId="0" fontId="36" fillId="0" borderId="3" xfId="22" applyFont="1" applyFill="1" applyBorder="1" applyAlignment="1">
      <alignment vertical="center"/>
    </xf>
    <xf numFmtId="0" fontId="36" fillId="0" borderId="3" xfId="0" applyFont="1" applyFill="1" applyBorder="1" applyAlignment="1">
      <alignment horizontal="center"/>
    </xf>
    <xf numFmtId="0" fontId="37" fillId="0" borderId="12" xfId="34" applyFont="1" applyFill="1" applyBorder="1" applyAlignment="1">
      <alignment vertical="center"/>
    </xf>
    <xf numFmtId="0" fontId="37" fillId="0" borderId="12" xfId="0" applyFont="1" applyFill="1" applyBorder="1" applyAlignment="1">
      <alignment horizontal="center"/>
    </xf>
    <xf numFmtId="4" fontId="36" fillId="0" borderId="12" xfId="22" quotePrefix="1" applyNumberFormat="1" applyFont="1" applyFill="1" applyBorder="1" applyAlignment="1">
      <alignment horizontal="right" vertical="center"/>
    </xf>
    <xf numFmtId="4" fontId="37" fillId="0" borderId="12" xfId="22" quotePrefix="1" applyNumberFormat="1" applyFont="1" applyFill="1" applyBorder="1" applyAlignment="1">
      <alignment horizontal="right" vertical="center"/>
    </xf>
    <xf numFmtId="0" fontId="38" fillId="0" borderId="5" xfId="22" quotePrefix="1" applyFont="1" applyFill="1" applyBorder="1" applyAlignment="1">
      <alignment vertical="center"/>
    </xf>
    <xf numFmtId="0" fontId="38" fillId="0" borderId="5" xfId="0" applyFont="1" applyFill="1" applyBorder="1" applyAlignment="1">
      <alignment horizontal="center"/>
    </xf>
    <xf numFmtId="4" fontId="43" fillId="0" borderId="5" xfId="22" applyNumberFormat="1" applyFont="1" applyFill="1" applyBorder="1" applyAlignment="1">
      <alignment horizontal="right" vertical="center"/>
    </xf>
    <xf numFmtId="4" fontId="38" fillId="0" borderId="5" xfId="22" applyNumberFormat="1" applyFont="1" applyFill="1" applyBorder="1" applyAlignment="1">
      <alignment horizontal="right" vertical="center"/>
    </xf>
    <xf numFmtId="0" fontId="37" fillId="0" borderId="5" xfId="34" applyFont="1" applyFill="1" applyBorder="1" applyAlignment="1">
      <alignment vertical="center"/>
    </xf>
    <xf numFmtId="0" fontId="37" fillId="0" borderId="5" xfId="0" applyFont="1" applyFill="1" applyBorder="1" applyAlignment="1">
      <alignment horizontal="center"/>
    </xf>
    <xf numFmtId="4" fontId="36" fillId="0" borderId="5" xfId="22" applyNumberFormat="1" applyFont="1" applyFill="1" applyBorder="1" applyAlignment="1">
      <alignment horizontal="right" vertical="center"/>
    </xf>
    <xf numFmtId="4" fontId="37" fillId="0" borderId="5" xfId="22" applyNumberFormat="1" applyFont="1" applyFill="1" applyBorder="1" applyAlignment="1">
      <alignment horizontal="right" vertical="center"/>
    </xf>
    <xf numFmtId="164" fontId="37" fillId="0" borderId="5" xfId="22" applyNumberFormat="1" applyFont="1" applyFill="1" applyBorder="1" applyAlignment="1">
      <alignment horizontal="center" vertical="center"/>
    </xf>
    <xf numFmtId="0" fontId="37" fillId="0" borderId="5" xfId="22" applyFont="1" applyFill="1" applyBorder="1" applyAlignment="1">
      <alignment vertical="center"/>
    </xf>
    <xf numFmtId="0" fontId="37" fillId="0" borderId="5" xfId="34" applyFont="1" applyFill="1" applyBorder="1" applyAlignment="1">
      <alignment horizontal="center" vertical="center"/>
    </xf>
    <xf numFmtId="0" fontId="38" fillId="0" borderId="5" xfId="22" applyFont="1" applyFill="1" applyBorder="1" applyAlignment="1">
      <alignment vertical="center"/>
    </xf>
    <xf numFmtId="0" fontId="38" fillId="0" borderId="5" xfId="34" applyFont="1" applyFill="1" applyBorder="1" applyAlignment="1">
      <alignment horizontal="center" vertical="center"/>
    </xf>
    <xf numFmtId="0" fontId="37" fillId="0" borderId="11" xfId="22" applyFont="1" applyFill="1" applyBorder="1" applyAlignment="1">
      <alignment vertical="center"/>
    </xf>
    <xf numFmtId="0" fontId="37" fillId="0" borderId="11" xfId="34" applyFont="1" applyFill="1" applyBorder="1" applyAlignment="1">
      <alignment horizontal="center" vertical="center"/>
    </xf>
    <xf numFmtId="4" fontId="36" fillId="0" borderId="11" xfId="22" applyNumberFormat="1" applyFont="1" applyFill="1" applyBorder="1" applyAlignment="1">
      <alignment horizontal="right" vertical="center"/>
    </xf>
    <xf numFmtId="4" fontId="37" fillId="0" borderId="11" xfId="22" applyNumberFormat="1" applyFont="1" applyFill="1" applyBorder="1" applyAlignment="1">
      <alignment horizontal="right" vertical="center"/>
    </xf>
    <xf numFmtId="0" fontId="36" fillId="0" borderId="3" xfId="34" applyFont="1" applyFill="1" applyBorder="1" applyAlignment="1">
      <alignment horizontal="center" vertical="center"/>
    </xf>
    <xf numFmtId="0" fontId="37" fillId="0" borderId="12" xfId="22" applyFont="1" applyFill="1" applyBorder="1" applyAlignment="1">
      <alignment vertical="center"/>
    </xf>
    <xf numFmtId="0" fontId="37" fillId="0" borderId="12" xfId="34" applyFont="1" applyFill="1" applyBorder="1" applyAlignment="1">
      <alignment horizontal="center" vertical="center"/>
    </xf>
    <xf numFmtId="4" fontId="36" fillId="0" borderId="12" xfId="22" applyNumberFormat="1" applyFont="1" applyFill="1" applyBorder="1" applyAlignment="1">
      <alignment horizontal="right" vertical="center"/>
    </xf>
    <xf numFmtId="4" fontId="37" fillId="0" borderId="12" xfId="22" applyNumberFormat="1" applyFont="1" applyFill="1" applyBorder="1" applyAlignment="1">
      <alignment horizontal="right" vertical="center"/>
    </xf>
    <xf numFmtId="0" fontId="38" fillId="0" borderId="5" xfId="22" applyFont="1" applyFill="1" applyBorder="1" applyAlignment="1">
      <alignment horizontal="center" vertical="center"/>
    </xf>
    <xf numFmtId="49" fontId="38" fillId="0" borderId="5" xfId="22" applyNumberFormat="1" applyFont="1" applyFill="1" applyBorder="1" applyAlignment="1">
      <alignment vertical="center"/>
    </xf>
    <xf numFmtId="0" fontId="37" fillId="0" borderId="5" xfId="22" applyFont="1" applyFill="1" applyBorder="1" applyAlignment="1">
      <alignment horizontal="center" vertical="center"/>
    </xf>
    <xf numFmtId="164" fontId="37" fillId="0" borderId="3" xfId="22" applyNumberFormat="1" applyFont="1" applyFill="1" applyBorder="1" applyAlignment="1">
      <alignment horizontal="right" vertical="center"/>
    </xf>
    <xf numFmtId="0" fontId="36" fillId="0" borderId="3" xfId="22" applyFont="1" applyFill="1" applyBorder="1" applyAlignment="1">
      <alignment vertical="center" wrapText="1"/>
    </xf>
    <xf numFmtId="164" fontId="43" fillId="11" borderId="3" xfId="22" applyNumberFormat="1" applyFont="1" applyFill="1" applyBorder="1" applyAlignment="1">
      <alignment horizontal="right" vertical="center"/>
    </xf>
    <xf numFmtId="4" fontId="8" fillId="0" borderId="3" xfId="14" applyNumberFormat="1" applyFont="1" applyFill="1" applyBorder="1" applyAlignment="1">
      <alignment horizontal="left" vertical="center"/>
    </xf>
    <xf numFmtId="4" fontId="8" fillId="0" borderId="3" xfId="14" quotePrefix="1" applyNumberFormat="1" applyFont="1" applyFill="1" applyBorder="1" applyAlignment="1">
      <alignment horizontal="center" vertical="center"/>
    </xf>
    <xf numFmtId="4" fontId="8" fillId="0" borderId="3" xfId="14" applyNumberFormat="1" applyFont="1" applyFill="1" applyBorder="1" applyAlignment="1">
      <alignment horizontal="right" vertical="center"/>
    </xf>
    <xf numFmtId="4" fontId="8" fillId="0" borderId="3" xfId="14" applyNumberFormat="1" applyFont="1" applyFill="1" applyBorder="1" applyAlignment="1">
      <alignment horizontal="center" vertical="center"/>
    </xf>
    <xf numFmtId="4" fontId="7" fillId="0" borderId="6" xfId="14" applyNumberFormat="1" applyFont="1" applyFill="1" applyBorder="1" applyAlignment="1">
      <alignment horizontal="left" vertical="center"/>
    </xf>
    <xf numFmtId="4" fontId="7" fillId="0" borderId="6" xfId="14" applyNumberFormat="1" applyFont="1" applyFill="1" applyBorder="1" applyAlignment="1">
      <alignment horizontal="center" vertical="center"/>
    </xf>
    <xf numFmtId="4" fontId="7" fillId="0" borderId="6" xfId="14" applyNumberFormat="1" applyFont="1" applyFill="1" applyBorder="1" applyAlignment="1">
      <alignment horizontal="right" vertical="center"/>
    </xf>
    <xf numFmtId="4" fontId="7" fillId="0" borderId="5" xfId="14" applyNumberFormat="1" applyFont="1" applyFill="1" applyBorder="1" applyAlignment="1">
      <alignment horizontal="left" vertical="center"/>
    </xf>
    <xf numFmtId="4" fontId="7" fillId="0" borderId="5" xfId="14" applyNumberFormat="1" applyFont="1" applyFill="1" applyBorder="1" applyAlignment="1">
      <alignment horizontal="center" vertical="center"/>
    </xf>
    <xf numFmtId="4" fontId="7" fillId="0" borderId="5" xfId="14" applyNumberFormat="1" applyFont="1" applyFill="1" applyBorder="1" applyAlignment="1">
      <alignment horizontal="right" vertical="center"/>
    </xf>
    <xf numFmtId="4" fontId="33" fillId="0" borderId="5" xfId="14" quotePrefix="1" applyNumberFormat="1" applyFont="1" applyFill="1" applyBorder="1" applyAlignment="1">
      <alignment horizontal="left" vertical="center"/>
    </xf>
    <xf numFmtId="4" fontId="33" fillId="0" borderId="5" xfId="14" applyNumberFormat="1" applyFont="1" applyFill="1" applyBorder="1" applyAlignment="1">
      <alignment horizontal="center" vertical="center"/>
    </xf>
    <xf numFmtId="4" fontId="33" fillId="0" borderId="5" xfId="14" applyNumberFormat="1" applyFont="1" applyFill="1" applyBorder="1" applyAlignment="1">
      <alignment horizontal="right" vertical="center"/>
    </xf>
    <xf numFmtId="0" fontId="7" fillId="0" borderId="5" xfId="14" applyFont="1" applyFill="1" applyBorder="1" applyAlignment="1">
      <alignment vertical="center"/>
    </xf>
    <xf numFmtId="4" fontId="7" fillId="0" borderId="5" xfId="14" applyNumberFormat="1" applyFont="1" applyFill="1" applyBorder="1" applyAlignment="1">
      <alignment vertical="center"/>
    </xf>
    <xf numFmtId="4" fontId="33" fillId="0" borderId="5" xfId="14" applyNumberFormat="1" applyFont="1" applyFill="1" applyBorder="1" applyAlignment="1">
      <alignment vertical="center"/>
    </xf>
    <xf numFmtId="0" fontId="7" fillId="0" borderId="8" xfId="14" applyFont="1" applyFill="1" applyBorder="1" applyAlignment="1">
      <alignment vertical="center"/>
    </xf>
    <xf numFmtId="4" fontId="7" fillId="0" borderId="8" xfId="14" applyNumberFormat="1" applyFont="1" applyFill="1" applyBorder="1" applyAlignment="1">
      <alignment horizontal="center" vertical="center"/>
    </xf>
    <xf numFmtId="4" fontId="7" fillId="0" borderId="8" xfId="14" applyNumberFormat="1" applyFont="1" applyFill="1" applyBorder="1" applyAlignment="1">
      <alignment horizontal="right" vertical="center"/>
    </xf>
    <xf numFmtId="4" fontId="8" fillId="0" borderId="6" xfId="14" applyNumberFormat="1" applyFont="1" applyFill="1" applyBorder="1" applyAlignment="1">
      <alignment horizontal="right" vertical="center"/>
    </xf>
    <xf numFmtId="0" fontId="7" fillId="0" borderId="5" xfId="14" applyFont="1" applyFill="1" applyBorder="1" applyAlignment="1">
      <alignment horizontal="left" vertical="center"/>
    </xf>
    <xf numFmtId="4" fontId="33" fillId="0" borderId="5" xfId="14" applyNumberFormat="1" applyFont="1" applyFill="1" applyBorder="1" applyAlignment="1">
      <alignment horizontal="left" vertical="center"/>
    </xf>
    <xf numFmtId="4" fontId="7" fillId="0" borderId="8" xfId="14" applyNumberFormat="1" applyFont="1" applyFill="1" applyBorder="1" applyAlignment="1">
      <alignment horizontal="left" vertical="center"/>
    </xf>
    <xf numFmtId="0" fontId="51" fillId="0" borderId="0" xfId="17" applyFont="1" applyFill="1" applyAlignment="1">
      <alignment vertical="center" wrapText="1"/>
    </xf>
    <xf numFmtId="0" fontId="51" fillId="0" borderId="0" xfId="17" applyFont="1" applyFill="1" applyAlignment="1">
      <alignment horizontal="center" vertical="center" wrapText="1"/>
    </xf>
    <xf numFmtId="0" fontId="52" fillId="0" borderId="0" xfId="20" applyFont="1" applyFill="1" applyAlignment="1">
      <alignment vertical="center" wrapText="1"/>
    </xf>
    <xf numFmtId="0" fontId="51" fillId="0" borderId="0" xfId="17" applyFont="1" applyFill="1" applyBorder="1" applyAlignment="1">
      <alignment horizontal="right" vertical="center" wrapText="1"/>
    </xf>
    <xf numFmtId="0" fontId="51" fillId="0" borderId="0" xfId="17" applyFont="1" applyFill="1" applyBorder="1" applyAlignment="1">
      <alignment horizontal="center" vertical="center" wrapText="1"/>
    </xf>
    <xf numFmtId="4" fontId="51" fillId="0" borderId="0" xfId="17" applyNumberFormat="1" applyFont="1" applyFill="1" applyBorder="1" applyAlignment="1">
      <alignment horizontal="center" vertical="center" wrapText="1"/>
    </xf>
    <xf numFmtId="0" fontId="51" fillId="0" borderId="0" xfId="17" applyFont="1" applyFill="1" applyBorder="1" applyAlignment="1">
      <alignment vertical="center" wrapText="1"/>
    </xf>
    <xf numFmtId="4" fontId="51" fillId="0" borderId="3" xfId="20" applyNumberFormat="1" applyFont="1" applyFill="1" applyBorder="1" applyAlignment="1">
      <alignment horizontal="center" vertical="center" wrapText="1"/>
    </xf>
    <xf numFmtId="0" fontId="51" fillId="0" borderId="3" xfId="20" applyFont="1" applyFill="1" applyBorder="1" applyAlignment="1">
      <alignment horizontal="center" vertical="center" wrapText="1"/>
    </xf>
    <xf numFmtId="0" fontId="51" fillId="0" borderId="0" xfId="20" applyFont="1" applyFill="1" applyAlignment="1">
      <alignment vertical="center" wrapText="1"/>
    </xf>
    <xf numFmtId="172" fontId="53" fillId="0" borderId="3" xfId="20" applyNumberFormat="1" applyFont="1" applyFill="1" applyBorder="1" applyAlignment="1">
      <alignment horizontal="right" vertical="center" wrapText="1"/>
    </xf>
    <xf numFmtId="172" fontId="53" fillId="0" borderId="3" xfId="20" applyNumberFormat="1" applyFont="1" applyFill="1" applyBorder="1" applyAlignment="1">
      <alignment horizontal="center" vertical="center" wrapText="1"/>
    </xf>
    <xf numFmtId="4" fontId="53" fillId="0" borderId="3" xfId="20" applyNumberFormat="1" applyFont="1" applyFill="1" applyBorder="1" applyAlignment="1">
      <alignment horizontal="center" vertical="center" wrapText="1"/>
    </xf>
    <xf numFmtId="0" fontId="53" fillId="0" borderId="0" xfId="20" applyFont="1" applyFill="1" applyAlignment="1">
      <alignment vertical="center" wrapText="1"/>
    </xf>
    <xf numFmtId="0" fontId="51" fillId="0" borderId="3" xfId="20" applyFont="1" applyFill="1" applyBorder="1" applyAlignment="1">
      <alignment horizontal="right" vertical="center" wrapText="1"/>
    </xf>
    <xf numFmtId="0" fontId="54" fillId="0" borderId="3" xfId="20" applyFont="1" applyFill="1" applyBorder="1" applyAlignment="1">
      <alignment horizontal="right" vertical="center" wrapText="1"/>
    </xf>
    <xf numFmtId="0" fontId="56" fillId="0" borderId="0" xfId="20" applyFont="1" applyFill="1" applyAlignment="1">
      <alignment vertical="center" wrapText="1"/>
    </xf>
    <xf numFmtId="0" fontId="51" fillId="10" borderId="3" xfId="20" applyFont="1" applyFill="1" applyBorder="1" applyAlignment="1">
      <alignment horizontal="right" vertical="center" wrapText="1"/>
    </xf>
    <xf numFmtId="0" fontId="51" fillId="10" borderId="3" xfId="20" applyFont="1" applyFill="1" applyBorder="1" applyAlignment="1">
      <alignment horizontal="left" vertical="center" wrapText="1"/>
    </xf>
    <xf numFmtId="4" fontId="51" fillId="10" borderId="3" xfId="20" applyNumberFormat="1" applyFont="1" applyFill="1" applyBorder="1" applyAlignment="1">
      <alignment horizontal="right" vertical="center" wrapText="1"/>
    </xf>
    <xf numFmtId="0" fontId="51" fillId="10" borderId="3" xfId="20" applyFont="1" applyFill="1" applyBorder="1" applyAlignment="1">
      <alignment horizontal="center" vertical="center" wrapText="1"/>
    </xf>
    <xf numFmtId="0" fontId="55" fillId="10" borderId="3" xfId="0" applyFont="1" applyFill="1" applyBorder="1" applyAlignment="1">
      <alignment horizontal="left" vertical="center" wrapText="1"/>
    </xf>
    <xf numFmtId="0" fontId="55" fillId="10" borderId="3" xfId="0" applyFont="1" applyFill="1" applyBorder="1" applyAlignment="1">
      <alignment horizontal="center" vertical="center" wrapText="1"/>
    </xf>
    <xf numFmtId="0" fontId="52" fillId="0" borderId="3" xfId="20" quotePrefix="1" applyFont="1" applyFill="1" applyBorder="1" applyAlignment="1">
      <alignment horizontal="right" vertical="center" wrapText="1"/>
    </xf>
    <xf numFmtId="0" fontId="52" fillId="0" borderId="3" xfId="20" applyFont="1" applyFill="1" applyBorder="1" applyAlignment="1">
      <alignment vertical="center" wrapText="1"/>
    </xf>
    <xf numFmtId="4" fontId="52" fillId="0" borderId="3" xfId="20" applyNumberFormat="1" applyFont="1" applyFill="1" applyBorder="1" applyAlignment="1">
      <alignment horizontal="right" vertical="center" wrapText="1"/>
    </xf>
    <xf numFmtId="4" fontId="52" fillId="0" borderId="3" xfId="20" applyNumberFormat="1" applyFont="1" applyFill="1" applyBorder="1" applyAlignment="1">
      <alignment vertical="center" wrapText="1"/>
    </xf>
    <xf numFmtId="0" fontId="52" fillId="0" borderId="3" xfId="20" applyFont="1" applyFill="1" applyBorder="1" applyAlignment="1">
      <alignment horizontal="center" vertical="center" wrapText="1"/>
    </xf>
    <xf numFmtId="0" fontId="51" fillId="10" borderId="3" xfId="20" quotePrefix="1" applyFont="1" applyFill="1" applyBorder="1" applyAlignment="1">
      <alignment horizontal="right" vertical="center" wrapText="1"/>
    </xf>
    <xf numFmtId="0" fontId="51" fillId="10" borderId="3" xfId="20" applyFont="1" applyFill="1" applyBorder="1" applyAlignment="1">
      <alignment vertical="center" wrapText="1"/>
    </xf>
    <xf numFmtId="0" fontId="56" fillId="0" borderId="3" xfId="20" quotePrefix="1" applyFont="1" applyFill="1" applyBorder="1" applyAlignment="1">
      <alignment horizontal="right" vertical="center" wrapText="1"/>
    </xf>
    <xf numFmtId="0" fontId="56" fillId="0" borderId="3" xfId="20" applyFont="1" applyFill="1" applyBorder="1" applyAlignment="1">
      <alignment vertical="center" wrapText="1"/>
    </xf>
    <xf numFmtId="4" fontId="56" fillId="0" borderId="3" xfId="20" applyNumberFormat="1" applyFont="1" applyFill="1" applyBorder="1" applyAlignment="1">
      <alignment horizontal="right" vertical="center" wrapText="1"/>
    </xf>
    <xf numFmtId="4" fontId="56" fillId="0" borderId="3" xfId="20" applyNumberFormat="1" applyFont="1" applyFill="1" applyBorder="1" applyAlignment="1">
      <alignment vertical="center" wrapText="1"/>
    </xf>
    <xf numFmtId="0" fontId="56" fillId="0" borderId="3" xfId="20" applyFont="1" applyFill="1" applyBorder="1" applyAlignment="1">
      <alignment horizontal="center" vertical="center" wrapText="1"/>
    </xf>
    <xf numFmtId="173" fontId="52" fillId="0" borderId="3" xfId="20" applyNumberFormat="1" applyFont="1" applyFill="1" applyBorder="1" applyAlignment="1">
      <alignment horizontal="center" vertical="center" wrapText="1"/>
    </xf>
    <xf numFmtId="0" fontId="52" fillId="10" borderId="3" xfId="20" applyFont="1" applyFill="1" applyBorder="1" applyAlignment="1">
      <alignment vertical="center" wrapText="1"/>
    </xf>
    <xf numFmtId="0" fontId="52" fillId="10" borderId="3" xfId="20" applyFont="1" applyFill="1" applyBorder="1" applyAlignment="1">
      <alignment horizontal="center" vertical="center" wrapText="1"/>
    </xf>
    <xf numFmtId="0" fontId="52" fillId="0" borderId="3" xfId="20" applyFont="1" applyFill="1" applyBorder="1" applyAlignment="1">
      <alignment horizontal="right" vertical="center" wrapText="1"/>
    </xf>
    <xf numFmtId="0" fontId="52" fillId="0" borderId="3" xfId="20" applyFont="1" applyFill="1" applyBorder="1" applyAlignment="1">
      <alignment horizontal="left" vertical="center" wrapText="1"/>
    </xf>
    <xf numFmtId="0" fontId="56" fillId="0" borderId="3" xfId="20" applyFont="1" applyFill="1" applyBorder="1" applyAlignment="1">
      <alignment horizontal="left" vertical="center" wrapText="1"/>
    </xf>
    <xf numFmtId="0" fontId="56" fillId="0" borderId="3" xfId="20" applyFont="1" applyFill="1" applyBorder="1" applyAlignment="1">
      <alignment horizontal="right" vertical="center" wrapText="1"/>
    </xf>
    <xf numFmtId="4" fontId="51" fillId="0" borderId="0" xfId="20" applyNumberFormat="1" applyFont="1" applyFill="1" applyAlignment="1">
      <alignment vertical="center" wrapText="1"/>
    </xf>
    <xf numFmtId="4" fontId="56" fillId="0" borderId="27" xfId="0" applyNumberFormat="1" applyFont="1" applyFill="1" applyBorder="1" applyAlignment="1" applyProtection="1">
      <alignment horizontal="right" vertical="center" wrapText="1"/>
    </xf>
    <xf numFmtId="4" fontId="56" fillId="0" borderId="28" xfId="0" applyNumberFormat="1" applyFont="1" applyFill="1" applyBorder="1" applyAlignment="1" applyProtection="1">
      <alignment horizontal="right" vertical="center" wrapText="1"/>
    </xf>
    <xf numFmtId="0" fontId="56" fillId="0" borderId="3" xfId="0" applyFont="1" applyFill="1" applyBorder="1" applyAlignment="1">
      <alignment vertical="center" wrapText="1"/>
    </xf>
    <xf numFmtId="0" fontId="52" fillId="10" borderId="3" xfId="20" applyFont="1" applyFill="1" applyBorder="1" applyAlignment="1">
      <alignment horizontal="right" vertical="center" wrapText="1"/>
    </xf>
    <xf numFmtId="0" fontId="52" fillId="0" borderId="3" xfId="0" applyFont="1" applyFill="1" applyBorder="1" applyAlignment="1">
      <alignment wrapText="1"/>
    </xf>
    <xf numFmtId="0" fontId="54" fillId="0" borderId="3" xfId="20" quotePrefix="1" applyFont="1" applyFill="1" applyBorder="1" applyAlignment="1">
      <alignment horizontal="right" vertical="center" wrapText="1"/>
    </xf>
    <xf numFmtId="0" fontId="52" fillId="0" borderId="3" xfId="0" applyFont="1" applyBorder="1" applyAlignment="1">
      <alignment wrapText="1"/>
    </xf>
    <xf numFmtId="0" fontId="56" fillId="0" borderId="3" xfId="0" applyFont="1" applyBorder="1" applyAlignment="1">
      <alignment wrapText="1"/>
    </xf>
    <xf numFmtId="4" fontId="56" fillId="0" borderId="3" xfId="20" applyNumberFormat="1" applyFont="1" applyFill="1" applyBorder="1" applyAlignment="1">
      <alignment horizontal="center" vertical="center" wrapText="1"/>
    </xf>
    <xf numFmtId="0" fontId="51" fillId="0" borderId="3" xfId="20" quotePrefix="1" applyFont="1" applyFill="1" applyBorder="1" applyAlignment="1">
      <alignment horizontal="right" vertical="center" wrapText="1"/>
    </xf>
    <xf numFmtId="4" fontId="51" fillId="10" borderId="3" xfId="20" applyNumberFormat="1" applyFont="1" applyFill="1" applyBorder="1" applyAlignment="1">
      <alignment vertical="center" wrapText="1"/>
    </xf>
    <xf numFmtId="0" fontId="52" fillId="0" borderId="0" xfId="20" applyFont="1" applyFill="1" applyAlignment="1">
      <alignment horizontal="right" vertical="center" wrapText="1"/>
    </xf>
    <xf numFmtId="4" fontId="52" fillId="0" borderId="0" xfId="20" applyNumberFormat="1" applyFont="1" applyFill="1" applyAlignment="1">
      <alignment vertical="center" wrapText="1"/>
    </xf>
    <xf numFmtId="0" fontId="52" fillId="0" borderId="0" xfId="20" applyFont="1" applyFill="1" applyAlignment="1">
      <alignment horizontal="center" vertical="center" wrapText="1"/>
    </xf>
    <xf numFmtId="178" fontId="46" fillId="0" borderId="3" xfId="14" applyNumberFormat="1" applyFont="1" applyFill="1" applyBorder="1" applyAlignment="1">
      <alignment horizontal="center" vertical="center"/>
    </xf>
    <xf numFmtId="4" fontId="22" fillId="0" borderId="0" xfId="14" applyNumberFormat="1" applyFont="1" applyFill="1" applyBorder="1" applyAlignment="1">
      <alignment horizontal="left" vertical="center" wrapText="1"/>
    </xf>
    <xf numFmtId="4" fontId="22" fillId="0" borderId="0" xfId="14" applyNumberFormat="1" applyFont="1" applyFill="1" applyBorder="1" applyAlignment="1">
      <alignment horizontal="center" vertical="center" wrapText="1"/>
    </xf>
    <xf numFmtId="4" fontId="33" fillId="0" borderId="9" xfId="14" applyNumberFormat="1" applyFont="1" applyFill="1" applyBorder="1" applyAlignment="1">
      <alignment horizontal="right" vertical="center" wrapText="1"/>
    </xf>
    <xf numFmtId="49" fontId="8" fillId="0" borderId="3" xfId="14" applyNumberFormat="1" applyFont="1" applyFill="1" applyBorder="1" applyAlignment="1">
      <alignment horizontal="center" vertical="center" wrapText="1"/>
    </xf>
    <xf numFmtId="4" fontId="8" fillId="0" borderId="3" xfId="14" applyNumberFormat="1" applyFont="1" applyFill="1" applyBorder="1" applyAlignment="1">
      <alignment horizontal="center" vertical="center" wrapText="1"/>
    </xf>
    <xf numFmtId="0" fontId="44" fillId="0" borderId="25" xfId="14" applyFont="1" applyBorder="1" applyAlignment="1">
      <alignment horizontal="left" vertical="center" wrapText="1"/>
    </xf>
    <xf numFmtId="4" fontId="40" fillId="0" borderId="0" xfId="14" applyNumberFormat="1" applyFont="1" applyBorder="1" applyAlignment="1">
      <alignment horizontal="left" vertical="center" wrapText="1"/>
    </xf>
    <xf numFmtId="4" fontId="40" fillId="0" borderId="0" xfId="14" applyNumberFormat="1" applyFont="1" applyBorder="1" applyAlignment="1">
      <alignment horizontal="center" vertical="center" wrapText="1"/>
    </xf>
    <xf numFmtId="49" fontId="36" fillId="0" borderId="3" xfId="14" applyNumberFormat="1" applyFont="1" applyBorder="1" applyAlignment="1">
      <alignment horizontal="center" vertical="center" wrapText="1"/>
    </xf>
    <xf numFmtId="4" fontId="36" fillId="0" borderId="3" xfId="14" applyNumberFormat="1" applyFont="1" applyBorder="1" applyAlignment="1">
      <alignment horizontal="center" vertical="center" wrapText="1"/>
    </xf>
    <xf numFmtId="4" fontId="37" fillId="0" borderId="3" xfId="14" applyNumberFormat="1" applyFont="1" applyBorder="1" applyAlignment="1">
      <alignment horizontal="center" vertical="center" wrapText="1"/>
    </xf>
    <xf numFmtId="177" fontId="38" fillId="0" borderId="25" xfId="14" applyNumberFormat="1" applyFont="1" applyBorder="1" applyAlignment="1">
      <alignment horizontal="left" vertical="center"/>
    </xf>
    <xf numFmtId="177" fontId="40" fillId="0" borderId="0" xfId="14" applyNumberFormat="1" applyFont="1" applyBorder="1" applyAlignment="1">
      <alignment horizontal="left" vertical="center"/>
    </xf>
    <xf numFmtId="177" fontId="40" fillId="0" borderId="0" xfId="14" applyNumberFormat="1" applyFont="1" applyBorder="1" applyAlignment="1">
      <alignment horizontal="center" vertical="center"/>
    </xf>
    <xf numFmtId="177" fontId="38" fillId="0" borderId="9" xfId="14" applyNumberFormat="1" applyFont="1" applyBorder="1" applyAlignment="1">
      <alignment horizontal="right" vertical="center"/>
    </xf>
    <xf numFmtId="177" fontId="46" fillId="0" borderId="3" xfId="14" applyNumberFormat="1" applyFont="1" applyBorder="1" applyAlignment="1">
      <alignment horizontal="center" vertical="center"/>
    </xf>
    <xf numFmtId="177" fontId="46" fillId="0" borderId="3" xfId="14" applyNumberFormat="1" applyFont="1" applyBorder="1" applyAlignment="1">
      <alignment horizontal="center" vertical="center" wrapText="1"/>
    </xf>
    <xf numFmtId="0" fontId="6" fillId="0" borderId="25" xfId="14" applyFont="1" applyBorder="1" applyAlignment="1">
      <alignment horizontal="left" vertical="center" wrapText="1"/>
    </xf>
    <xf numFmtId="0" fontId="6" fillId="0" borderId="0" xfId="14" applyFont="1" applyBorder="1" applyAlignment="1">
      <alignment horizontal="left" vertical="center" wrapText="1"/>
    </xf>
    <xf numFmtId="0" fontId="22" fillId="0" borderId="0" xfId="14" applyFont="1" applyAlignment="1">
      <alignment horizontal="left" vertical="center"/>
    </xf>
    <xf numFmtId="0" fontId="22" fillId="0" borderId="0" xfId="14" applyFont="1" applyBorder="1" applyAlignment="1">
      <alignment horizontal="center" vertical="center"/>
    </xf>
    <xf numFmtId="0" fontId="33" fillId="0" borderId="9" xfId="14" applyFont="1" applyBorder="1" applyAlignment="1">
      <alignment horizontal="right" vertical="center"/>
    </xf>
    <xf numFmtId="49" fontId="3" fillId="0" borderId="3" xfId="14" applyNumberFormat="1" applyFont="1" applyBorder="1" applyAlignment="1">
      <alignment horizontal="center" vertical="center"/>
    </xf>
    <xf numFmtId="0" fontId="3" fillId="0" borderId="3" xfId="14" applyFont="1" applyBorder="1" applyAlignment="1">
      <alignment horizontal="center" vertical="center"/>
    </xf>
    <xf numFmtId="4" fontId="3" fillId="0" borderId="3" xfId="14" applyNumberFormat="1" applyFont="1" applyBorder="1" applyAlignment="1">
      <alignment horizontal="center" vertical="center" wrapText="1"/>
    </xf>
    <xf numFmtId="4" fontId="3" fillId="0" borderId="3" xfId="14" applyNumberFormat="1" applyFont="1" applyBorder="1" applyAlignment="1">
      <alignment horizontal="center" vertical="center"/>
    </xf>
    <xf numFmtId="4" fontId="36" fillId="0" borderId="3" xfId="14" applyNumberFormat="1" applyFont="1" applyBorder="1" applyAlignment="1">
      <alignment horizontal="center" vertical="center"/>
    </xf>
    <xf numFmtId="0" fontId="40" fillId="0" borderId="0" xfId="14" applyFont="1" applyBorder="1" applyAlignment="1">
      <alignment horizontal="left" vertical="center"/>
    </xf>
    <xf numFmtId="0" fontId="40" fillId="0" borderId="0" xfId="14" applyFont="1" applyBorder="1" applyAlignment="1">
      <alignment horizontal="center" vertical="center"/>
    </xf>
    <xf numFmtId="4" fontId="40" fillId="0" borderId="0" xfId="14" applyNumberFormat="1" applyFont="1" applyBorder="1" applyAlignment="1">
      <alignment horizontal="center" vertical="center"/>
    </xf>
    <xf numFmtId="0" fontId="38" fillId="0" borderId="9" xfId="14" applyFont="1" applyBorder="1" applyAlignment="1">
      <alignment horizontal="right" vertical="center"/>
    </xf>
    <xf numFmtId="49" fontId="36" fillId="0" borderId="3" xfId="14" applyNumberFormat="1" applyFont="1" applyBorder="1" applyAlignment="1">
      <alignment horizontal="center" vertical="center"/>
    </xf>
    <xf numFmtId="0" fontId="51" fillId="0" borderId="0" xfId="17" applyFont="1" applyFill="1" applyAlignment="1">
      <alignment horizontal="left" vertical="center" wrapText="1"/>
    </xf>
    <xf numFmtId="0" fontId="51" fillId="0" borderId="3" xfId="20" applyFont="1" applyFill="1" applyBorder="1" applyAlignment="1">
      <alignment horizontal="right" vertical="center" wrapText="1"/>
    </xf>
    <xf numFmtId="0" fontId="51" fillId="0" borderId="3" xfId="20" applyFont="1" applyFill="1" applyBorder="1" applyAlignment="1">
      <alignment horizontal="center" vertical="center" wrapText="1"/>
    </xf>
    <xf numFmtId="4" fontId="51" fillId="0" borderId="3" xfId="20" applyNumberFormat="1" applyFont="1" applyFill="1" applyBorder="1" applyAlignment="1">
      <alignment horizontal="center" vertical="center" wrapText="1"/>
    </xf>
    <xf numFmtId="0" fontId="51" fillId="0" borderId="0" xfId="17" applyFont="1" applyFill="1" applyBorder="1" applyAlignment="1">
      <alignment horizontal="center" vertical="center" wrapText="1"/>
    </xf>
    <xf numFmtId="0" fontId="51" fillId="0" borderId="3" xfId="20" applyFont="1" applyFill="1" applyBorder="1" applyAlignment="1">
      <alignment horizontal="left" vertical="center" wrapText="1"/>
    </xf>
    <xf numFmtId="0" fontId="55" fillId="0" borderId="3" xfId="0" applyFont="1" applyBorder="1" applyAlignment="1">
      <alignment horizontal="left" vertical="center" wrapText="1"/>
    </xf>
    <xf numFmtId="4" fontId="51" fillId="0" borderId="0" xfId="17" applyNumberFormat="1" applyFont="1" applyFill="1" applyBorder="1" applyAlignment="1">
      <alignment horizontal="center" vertical="center" wrapText="1"/>
    </xf>
    <xf numFmtId="0" fontId="54" fillId="0" borderId="3" xfId="20" applyFont="1" applyFill="1" applyBorder="1" applyAlignment="1">
      <alignment horizontal="left" vertical="center" wrapText="1"/>
    </xf>
    <xf numFmtId="4" fontId="3" fillId="0" borderId="3" xfId="14" applyNumberFormat="1" applyFont="1" applyFill="1" applyBorder="1" applyAlignment="1">
      <alignment horizontal="center" vertical="center" wrapText="1"/>
    </xf>
    <xf numFmtId="49" fontId="3" fillId="0" borderId="3" xfId="14" applyNumberFormat="1" applyFont="1" applyFill="1" applyBorder="1" applyAlignment="1">
      <alignment horizontal="center" vertical="center" wrapText="1"/>
    </xf>
    <xf numFmtId="4" fontId="22" fillId="0" borderId="9" xfId="14" applyNumberFormat="1" applyFont="1" applyFill="1" applyBorder="1" applyAlignment="1">
      <alignment horizontal="center" vertical="center" wrapText="1"/>
    </xf>
    <xf numFmtId="0" fontId="40" fillId="0" borderId="0" xfId="22" applyFont="1" applyFill="1" applyAlignment="1">
      <alignment horizontal="center" vertical="center"/>
    </xf>
    <xf numFmtId="0" fontId="40" fillId="0" borderId="0" xfId="22" applyFont="1" applyFill="1" applyAlignment="1">
      <alignment horizontal="left" vertical="center"/>
    </xf>
    <xf numFmtId="0" fontId="36" fillId="0" borderId="13" xfId="22" applyFont="1" applyFill="1" applyBorder="1" applyAlignment="1">
      <alignment horizontal="center" vertical="center"/>
    </xf>
    <xf numFmtId="0" fontId="36" fillId="0" borderId="14" xfId="22" applyFont="1" applyFill="1" applyBorder="1" applyAlignment="1">
      <alignment horizontal="center" vertical="center"/>
    </xf>
    <xf numFmtId="0" fontId="36" fillId="0" borderId="7" xfId="22" applyFont="1" applyFill="1" applyBorder="1" applyAlignment="1">
      <alignment horizontal="center" vertical="center"/>
    </xf>
    <xf numFmtId="0" fontId="37" fillId="0" borderId="3" xfId="22" applyFont="1" applyFill="1" applyBorder="1" applyAlignment="1">
      <alignment horizontal="center" vertical="center" wrapText="1"/>
    </xf>
    <xf numFmtId="0" fontId="37" fillId="0" borderId="13" xfId="22" applyFont="1" applyFill="1" applyBorder="1" applyAlignment="1">
      <alignment horizontal="center" vertical="center" wrapText="1"/>
    </xf>
    <xf numFmtId="0" fontId="37" fillId="0" borderId="14" xfId="22" applyFont="1" applyFill="1" applyBorder="1" applyAlignment="1">
      <alignment horizontal="center" vertical="center" wrapText="1"/>
    </xf>
    <xf numFmtId="0" fontId="38" fillId="0" borderId="0" xfId="22" applyFont="1" applyFill="1" applyAlignment="1">
      <alignment horizontal="right" vertical="center"/>
    </xf>
    <xf numFmtId="4" fontId="40" fillId="0" borderId="0" xfId="22" applyNumberFormat="1" applyFont="1" applyFill="1" applyAlignment="1">
      <alignment horizontal="center" vertical="center"/>
    </xf>
    <xf numFmtId="0" fontId="37" fillId="0" borderId="7" xfId="22" applyFont="1" applyFill="1" applyBorder="1" applyAlignment="1">
      <alignment horizontal="center" vertical="center" wrapText="1"/>
    </xf>
    <xf numFmtId="4" fontId="36" fillId="0" borderId="13" xfId="22" applyNumberFormat="1" applyFont="1" applyFill="1" applyBorder="1" applyAlignment="1">
      <alignment horizontal="center" vertical="center" wrapText="1"/>
    </xf>
    <xf numFmtId="4" fontId="36" fillId="0" borderId="14" xfId="22" applyNumberFormat="1" applyFont="1" applyFill="1" applyBorder="1" applyAlignment="1">
      <alignment horizontal="center" vertical="center" wrapText="1"/>
    </xf>
    <xf numFmtId="0" fontId="37" fillId="0" borderId="13" xfId="22" applyNumberFormat="1" applyFont="1" applyFill="1" applyBorder="1" applyAlignment="1">
      <alignment horizontal="center" vertical="center" wrapText="1"/>
    </xf>
    <xf numFmtId="0" fontId="37" fillId="0" borderId="14" xfId="22" applyNumberFormat="1" applyFont="1" applyFill="1" applyBorder="1" applyAlignment="1">
      <alignment horizontal="center" vertical="center" wrapText="1"/>
    </xf>
    <xf numFmtId="166" fontId="37" fillId="0" borderId="13" xfId="22" applyNumberFormat="1" applyFont="1" applyFill="1" applyBorder="1" applyAlignment="1">
      <alignment horizontal="center" vertical="center" wrapText="1"/>
    </xf>
    <xf numFmtId="166" fontId="37" fillId="0" borderId="14" xfId="22" applyNumberFormat="1" applyFont="1" applyFill="1" applyBorder="1" applyAlignment="1">
      <alignment horizontal="center" vertical="center" wrapText="1"/>
    </xf>
    <xf numFmtId="0" fontId="37" fillId="0" borderId="14" xfId="22" applyFont="1" applyFill="1" applyBorder="1" applyAlignment="1">
      <alignment horizontal="center" vertical="center"/>
    </xf>
    <xf numFmtId="0" fontId="37" fillId="0" borderId="26" xfId="22" applyFont="1" applyFill="1" applyBorder="1" applyAlignment="1">
      <alignment horizontal="center" vertical="center" wrapText="1"/>
    </xf>
    <xf numFmtId="0" fontId="36" fillId="0" borderId="13" xfId="22" applyFont="1" applyFill="1" applyBorder="1" applyAlignment="1">
      <alignment horizontal="center" vertical="center" wrapText="1"/>
    </xf>
    <xf numFmtId="0" fontId="36" fillId="0" borderId="14" xfId="22" applyFont="1" applyFill="1" applyBorder="1" applyAlignment="1">
      <alignment horizontal="center" vertical="center" wrapText="1"/>
    </xf>
    <xf numFmtId="0" fontId="36" fillId="0" borderId="10" xfId="22" applyFont="1" applyFill="1" applyBorder="1" applyAlignment="1">
      <alignment horizontal="center" vertical="center" wrapText="1"/>
    </xf>
    <xf numFmtId="0" fontId="36" fillId="0" borderId="2" xfId="22" applyFont="1" applyFill="1" applyBorder="1" applyAlignment="1">
      <alignment horizontal="center" vertical="center" wrapText="1"/>
    </xf>
    <xf numFmtId="4" fontId="37" fillId="0" borderId="13" xfId="22" applyNumberFormat="1" applyFont="1" applyFill="1" applyBorder="1" applyAlignment="1">
      <alignment horizontal="center" vertical="center" wrapText="1"/>
    </xf>
    <xf numFmtId="4" fontId="37" fillId="0" borderId="14" xfId="22" applyNumberFormat="1" applyFont="1" applyFill="1" applyBorder="1" applyAlignment="1">
      <alignment horizontal="center" vertical="center" wrapText="1"/>
    </xf>
    <xf numFmtId="166" fontId="37" fillId="0" borderId="3" xfId="22" applyNumberFormat="1" applyFont="1" applyFill="1" applyBorder="1" applyAlignment="1">
      <alignment horizontal="center" vertical="center" wrapText="1"/>
    </xf>
    <xf numFmtId="166" fontId="37" fillId="0" borderId="7" xfId="22" applyNumberFormat="1" applyFont="1" applyFill="1" applyBorder="1" applyAlignment="1">
      <alignment horizontal="center" vertical="center" wrapText="1"/>
    </xf>
    <xf numFmtId="4" fontId="3" fillId="0" borderId="13" xfId="14" applyNumberFormat="1" applyFont="1" applyBorder="1" applyAlignment="1">
      <alignment horizontal="center" vertical="center"/>
    </xf>
    <xf numFmtId="4" fontId="3" fillId="0" borderId="7" xfId="14" applyNumberFormat="1" applyFont="1" applyBorder="1" applyAlignment="1">
      <alignment horizontal="center" vertical="center"/>
    </xf>
    <xf numFmtId="4" fontId="22" fillId="0" borderId="0" xfId="14" applyNumberFormat="1" applyFont="1" applyFill="1" applyAlignment="1">
      <alignment horizontal="center" vertical="center"/>
    </xf>
    <xf numFmtId="0" fontId="9" fillId="0" borderId="0" xfId="14" applyFont="1" applyFill="1" applyAlignment="1">
      <alignment vertical="center"/>
    </xf>
    <xf numFmtId="4" fontId="22" fillId="0" borderId="9" xfId="14" applyNumberFormat="1" applyFont="1" applyFill="1" applyBorder="1" applyAlignment="1">
      <alignment horizontal="center" vertical="center"/>
    </xf>
    <xf numFmtId="49" fontId="8" fillId="0" borderId="3" xfId="14" applyNumberFormat="1" applyFont="1" applyFill="1" applyBorder="1" applyAlignment="1">
      <alignment horizontal="center" vertical="center"/>
    </xf>
    <xf numFmtId="4" fontId="8" fillId="0" borderId="3" xfId="14" applyNumberFormat="1" applyFont="1" applyFill="1" applyBorder="1" applyAlignment="1">
      <alignment horizontal="center" vertical="center"/>
    </xf>
    <xf numFmtId="0" fontId="8" fillId="0" borderId="0" xfId="14" applyFont="1" applyFill="1" applyAlignment="1">
      <alignment vertical="center"/>
    </xf>
    <xf numFmtId="0" fontId="8" fillId="0" borderId="0" xfId="14" applyFont="1" applyFill="1" applyAlignment="1">
      <alignment horizontal="center" vertical="center"/>
    </xf>
    <xf numFmtId="0" fontId="7" fillId="0" borderId="0" xfId="14" applyFont="1" applyFill="1" applyAlignment="1">
      <alignment horizontal="center" vertical="center"/>
    </xf>
    <xf numFmtId="49" fontId="6" fillId="0" borderId="3" xfId="14" quotePrefix="1" applyNumberFormat="1" applyFont="1" applyFill="1" applyBorder="1" applyAlignment="1">
      <alignment horizontal="center" vertical="center"/>
    </xf>
    <xf numFmtId="4" fontId="6" fillId="0" borderId="3" xfId="14" quotePrefix="1" applyNumberFormat="1" applyFont="1" applyFill="1" applyBorder="1" applyAlignment="1">
      <alignment horizontal="center" vertical="center"/>
    </xf>
    <xf numFmtId="0" fontId="6" fillId="0" borderId="0" xfId="14" applyFont="1" applyFill="1" applyAlignment="1">
      <alignment horizontal="center" vertical="center"/>
    </xf>
    <xf numFmtId="49" fontId="8" fillId="0" borderId="3" xfId="14" quotePrefix="1" applyNumberFormat="1" applyFont="1" applyFill="1" applyBorder="1" applyAlignment="1">
      <alignment horizontal="center" vertical="center"/>
    </xf>
    <xf numFmtId="49" fontId="8" fillId="0" borderId="3" xfId="14" applyNumberFormat="1" applyFont="1" applyFill="1" applyBorder="1" applyAlignment="1">
      <alignment horizontal="center" vertical="center"/>
    </xf>
    <xf numFmtId="49" fontId="7" fillId="0" borderId="6" xfId="14" applyNumberFormat="1" applyFont="1" applyFill="1" applyBorder="1" applyAlignment="1">
      <alignment horizontal="center" vertical="center"/>
    </xf>
    <xf numFmtId="0" fontId="7" fillId="0" borderId="0" xfId="14" applyFont="1" applyFill="1" applyAlignment="1">
      <alignment vertical="center"/>
    </xf>
    <xf numFmtId="49" fontId="7" fillId="0" borderId="5" xfId="14" applyNumberFormat="1" applyFont="1" applyFill="1" applyBorder="1" applyAlignment="1">
      <alignment horizontal="center" vertical="center"/>
    </xf>
    <xf numFmtId="49" fontId="33" fillId="0" borderId="5" xfId="14" applyNumberFormat="1" applyFont="1" applyFill="1" applyBorder="1" applyAlignment="1">
      <alignment horizontal="center" vertical="center"/>
    </xf>
    <xf numFmtId="0" fontId="33" fillId="0" borderId="0" xfId="14" applyFont="1" applyFill="1" applyAlignment="1">
      <alignment vertical="center"/>
    </xf>
    <xf numFmtId="49" fontId="7" fillId="0" borderId="8" xfId="14" applyNumberFormat="1" applyFont="1" applyFill="1" applyBorder="1" applyAlignment="1">
      <alignment horizontal="center" vertical="center"/>
    </xf>
    <xf numFmtId="49" fontId="7" fillId="0" borderId="0" xfId="14" applyNumberFormat="1" applyFont="1" applyFill="1" applyAlignment="1">
      <alignment horizontal="center" vertical="center"/>
    </xf>
  </cellXfs>
  <cellStyles count="35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_HOBONG" xfId="6" xr:uid="{00000000-0005-0000-0000-000005000000}"/>
    <cellStyle name="??_(????)??????" xfId="7" xr:uid="{00000000-0005-0000-0000-000006000000}"/>
    <cellStyle name="Comma0" xfId="8" xr:uid="{00000000-0005-0000-0000-000007000000}"/>
    <cellStyle name="Currency0" xfId="9" xr:uid="{00000000-0005-0000-0000-000008000000}"/>
    <cellStyle name="Date" xfId="10" xr:uid="{00000000-0005-0000-0000-000009000000}"/>
    <cellStyle name="Fixed" xfId="11" xr:uid="{00000000-0005-0000-0000-00000A000000}"/>
    <cellStyle name="Header1" xfId="12" xr:uid="{00000000-0005-0000-0000-00000B000000}"/>
    <cellStyle name="Header2" xfId="13" xr:uid="{00000000-0005-0000-0000-00000C000000}"/>
    <cellStyle name="Normal" xfId="0" builtinId="0"/>
    <cellStyle name="Normal 2" xfId="14" xr:uid="{00000000-0005-0000-0000-00000E000000}"/>
    <cellStyle name="Normal 2 2" xfId="15" xr:uid="{00000000-0005-0000-0000-00000F000000}"/>
    <cellStyle name="Normal 3" xfId="16" xr:uid="{00000000-0005-0000-0000-000010000000}"/>
    <cellStyle name="Normal 4" xfId="17" xr:uid="{00000000-0005-0000-0000-000011000000}"/>
    <cellStyle name="Normal 5" xfId="18" xr:uid="{00000000-0005-0000-0000-000012000000}"/>
    <cellStyle name="Normal 6" xfId="19" xr:uid="{00000000-0005-0000-0000-000013000000}"/>
    <cellStyle name="Normal 7" xfId="20" xr:uid="{00000000-0005-0000-0000-000014000000}"/>
    <cellStyle name="Normal 8" xfId="21" xr:uid="{00000000-0005-0000-0000-000015000000}"/>
    <cellStyle name="Normal_TK_2003_Tinh" xfId="34" xr:uid="{AC1DAD11-7227-40A6-8FE9-A7E85BAFCBDC}"/>
    <cellStyle name="Normal_THop_Tinh(HaNoi)" xfId="22" xr:uid="{00000000-0005-0000-0000-000016000000}"/>
    <cellStyle name="똿뗦먛귟 [0.00]_PRODUCT DETAIL Q1" xfId="23" xr:uid="{00000000-0005-0000-0000-000017000000}"/>
    <cellStyle name="똿뗦먛귟_PRODUCT DETAIL Q1" xfId="24" xr:uid="{00000000-0005-0000-0000-000018000000}"/>
    <cellStyle name="믅됞 [0.00]_PRODUCT DETAIL Q1" xfId="25" xr:uid="{00000000-0005-0000-0000-000019000000}"/>
    <cellStyle name="믅됞_PRODUCT DETAIL Q1" xfId="26" xr:uid="{00000000-0005-0000-0000-00001A000000}"/>
    <cellStyle name="백분율_HOBONG" xfId="27" xr:uid="{00000000-0005-0000-0000-00001B000000}"/>
    <cellStyle name="뷭?_BOOKSHIP" xfId="28" xr:uid="{00000000-0005-0000-0000-00001C000000}"/>
    <cellStyle name="콤마 [0]_1202" xfId="29" xr:uid="{00000000-0005-0000-0000-00001D000000}"/>
    <cellStyle name="콤마_1202" xfId="30" xr:uid="{00000000-0005-0000-0000-00001E000000}"/>
    <cellStyle name="통화 [0]_1202" xfId="31" xr:uid="{00000000-0005-0000-0000-00001F000000}"/>
    <cellStyle name="통화_1202" xfId="32" xr:uid="{00000000-0005-0000-0000-000020000000}"/>
    <cellStyle name="표준_(정보부문)월별인원계획" xfId="33" xr:uid="{00000000-0005-0000-0000-000021000000}"/>
  </cellStyles>
  <dxfs count="0"/>
  <tableStyles count="0" defaultTableStyle="TableStyleMedium9" defaultPivotStyle="PivotStyleLight16"/>
  <colors>
    <mruColors>
      <color rgb="FFFF99FF"/>
      <color rgb="FF0000FF"/>
      <color rgb="FFFFFF99"/>
      <color rgb="FFCCFFFF"/>
      <color rgb="FFFF00FF"/>
      <color rgb="FFFFCC00"/>
      <color rgb="FF0099FF"/>
      <color rgb="FFCCECFF"/>
      <color rgb="FFFFFF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BINH%20PHUOC/HON%20QUAN/QUY%20HOACH%202030/TRINH%20PHE%20DUYET%20LAN%203/SO%20LIEU/QH2030_HUYENHONQUA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i" refreshedDate="44345.143469212962" createdVersion="4" refreshedVersion="4" recordCount="602" xr:uid="{00000000-000A-0000-FFFF-FFFF0E000000}">
  <cacheSource type="worksheet">
    <worksheetSource ref="A2:FX1042" sheet="LAYDAT" r:id="rId2"/>
  </cacheSource>
  <cacheFields count="216">
    <cacheField name="STT" numFmtId="0">
      <sharedItems containsBlank="1" containsMixedTypes="1" containsNumber="1" containsInteger="1" minValue="1" maxValue="11"/>
    </cacheField>
    <cacheField name="Danh mục công trình" numFmtId="0">
      <sharedItems containsBlank="1"/>
    </cacheField>
    <cacheField name="Tên xã" numFmtId="0">
      <sharedItems containsBlank="1"/>
    </cacheField>
    <cacheField name="Mã Xã" numFmtId="0">
      <sharedItems containsBlank="1" containsMixedTypes="1" containsNumber="1" containsInteger="1" minValue="0" maxValue="0"/>
    </cacheField>
    <cacheField name="MA_HT" numFmtId="0">
      <sharedItems containsBlank="1" count="55">
        <s v="NNP"/>
        <s v="LUA"/>
        <s v="LUC"/>
        <m/>
        <s v="LUK"/>
        <s v="LUN"/>
        <s v="HNK"/>
        <s v="CLN"/>
        <s v="RSX"/>
        <s v="RPH"/>
        <s v="RDD"/>
        <s v="NTS"/>
        <s v="LMU"/>
        <s v="NKH"/>
        <s v="PNN"/>
        <s v="CQP"/>
        <s v="CAN"/>
        <s v="SKK"/>
        <s v="SKT"/>
        <s v="SKN"/>
        <s v="TMD"/>
        <s v="SKC"/>
        <s v="SKS"/>
        <s v="DHT"/>
        <s v="DGT"/>
        <s v="DTL"/>
        <s v="DBV"/>
        <s v="DNL"/>
        <s v="DVH"/>
        <s v="DYT"/>
        <s v="DGD"/>
        <s v="DTT"/>
        <s v="NCK"/>
        <s v="DXH"/>
        <s v="DCH"/>
        <s v="DKG"/>
        <s v="DDT"/>
        <s v="DDL"/>
        <s v="DRA"/>
        <s v="ONT"/>
        <s v="ODT"/>
        <s v="TSC"/>
        <s v="DTS"/>
        <s v="DNG"/>
        <s v="TON"/>
        <s v="NTD"/>
        <s v="SKX"/>
        <s v="DSH"/>
        <s v="DKV"/>
        <s v="TIN"/>
        <s v="SON"/>
        <s v="MNC"/>
        <s v="PNK"/>
        <s v="CSD"/>
        <s v="LNC" u="1"/>
      </sharedItems>
    </cacheField>
    <cacheField name="Diện tích HT" numFmtId="0">
      <sharedItems containsString="0" containsBlank="1" containsNumber="1" containsInteger="1" minValue="0" maxValue="0"/>
    </cacheField>
    <cacheField name="MA_QH" numFmtId="0">
      <sharedItems containsBlank="1" count="54">
        <s v="NNP"/>
        <s v="LUA"/>
        <s v="LUC"/>
        <m/>
        <s v="LUK"/>
        <s v="LUN"/>
        <s v="HNK"/>
        <s v="CLN"/>
        <s v="RSX"/>
        <s v="RPH"/>
        <s v="RDD"/>
        <s v="NTS"/>
        <s v="LMU"/>
        <s v="NKH"/>
        <s v="PNN"/>
        <s v="CQP"/>
        <s v="CAN"/>
        <s v="SKK"/>
        <s v="SKT"/>
        <s v="SKN"/>
        <s v="TMD"/>
        <s v="SKC"/>
        <s v="SKS"/>
        <s v="DHT"/>
        <s v="DGT"/>
        <s v="DTL"/>
        <s v="DBV"/>
        <s v="DNL"/>
        <s v="DVH"/>
        <s v="DYT"/>
        <s v="DGD"/>
        <s v="DTT"/>
        <s v="NCK"/>
        <s v="DXH"/>
        <s v="DCH"/>
        <s v="DKG"/>
        <s v="DDT"/>
        <s v="DDL"/>
        <s v="DRA"/>
        <s v="ONT"/>
        <s v="ODT"/>
        <s v="TSC"/>
        <s v="DTS"/>
        <s v="DNG"/>
        <s v="TON"/>
        <s v="NTD"/>
        <s v="SKX"/>
        <s v="DSH"/>
        <s v="DKV"/>
        <s v="TIN"/>
        <s v="SON"/>
        <s v="MNC"/>
        <s v="PNK"/>
        <s v="CSD"/>
      </sharedItems>
    </cacheField>
    <cacheField name="Diện tích QH" numFmtId="0">
      <sharedItems containsString="0" containsBlank="1" containsNumber="1" containsInteger="1" minValue="0" maxValue="0"/>
    </cacheField>
    <cacheField name="Chênh lệch" numFmtId="0">
      <sharedItems containsString="0" containsBlank="1" containsNumber="1" minValue="0" maxValue="182.5155"/>
    </cacheField>
    <cacheField name="Năm thực hiện" numFmtId="49">
      <sharedItems containsNonDate="0" containsString="0" containsBlank="1"/>
    </cacheField>
    <cacheField name="Thu hồi" numFmtId="0">
      <sharedItems containsString="0" containsBlank="1" containsNumber="1" minValue="-126.03" maxValue="126.03"/>
    </cacheField>
    <cacheField name="chuyển mục đích" numFmtId="0">
      <sharedItems containsString="0" containsBlank="1" containsNumber="1" minValue="0" maxValue="182.5155"/>
    </cacheField>
    <cacheField name="TTK" numFmtId="0">
      <sharedItems containsString="0" containsBlank="1" containsNumber="1" containsInteger="1" minValue="0" maxValue="0"/>
    </cacheField>
    <cacheField name="XAK" numFmtId="0">
      <sharedItems containsString="0" containsBlank="1" containsNumber="1" containsInteger="1" minValue="0" maxValue="0"/>
    </cacheField>
    <cacheField name="XAP" numFmtId="0">
      <sharedItems containsString="0" containsBlank="1" containsNumber="1" containsInteger="1" minValue="0" maxValue="0"/>
    </cacheField>
    <cacheField name="XDN" numFmtId="0">
      <sharedItems containsString="0" containsBlank="1" containsNumber="1" containsInteger="1" minValue="0" maxValue="0"/>
    </cacheField>
    <cacheField name="XMD" numFmtId="0">
      <sharedItems containsString="0" containsBlank="1" containsNumber="1" containsInteger="1" minValue="0" maxValue="0"/>
    </cacheField>
    <cacheField name="XMT" numFmtId="0">
      <sharedItems containsString="0" containsBlank="1" containsNumber="1" containsInteger="1" minValue="0" maxValue="0"/>
    </cacheField>
    <cacheField name="XPA" numFmtId="0">
      <sharedItems containsString="0" containsBlank="1" containsNumber="1" containsInteger="1" minValue="0" maxValue="0"/>
    </cacheField>
    <cacheField name="XTHp" numFmtId="0">
      <sharedItems containsString="0" containsBlank="1" containsNumber="1" containsInteger="1" minValue="0" maxValue="0"/>
    </cacheField>
    <cacheField name="XTHg" numFmtId="0">
      <sharedItems containsString="0" containsBlank="1" containsNumber="1" containsInteger="1" minValue="0" maxValue="0"/>
    </cacheField>
    <cacheField name="XTL" numFmtId="0">
      <sharedItems containsString="0" containsBlank="1" containsNumber="1" containsInteger="1" minValue="0" maxValue="0"/>
    </cacheField>
    <cacheField name="XTQ" numFmtId="0">
      <sharedItems containsString="0" containsBlank="1" containsNumber="1" containsInteger="1" minValue="0" maxValue="0"/>
    </cacheField>
    <cacheField name="XTA" numFmtId="0">
      <sharedItems containsString="0" containsBlank="1" containsNumber="1" containsInteger="1" minValue="0" maxValue="0"/>
    </cacheField>
    <cacheField name="XTB" numFmtId="0">
      <sharedItems containsString="0" containsBlank="1" containsNumber="1" containsInteger="1" minValue="0" maxValue="0"/>
    </cacheField>
    <cacheField name="#" numFmtId="0">
      <sharedItems containsString="0" containsBlank="1" containsNumber="1" containsInteger="1" minValue="0" maxValue="0"/>
    </cacheField>
    <cacheField name="#2" numFmtId="0">
      <sharedItems containsString="0" containsBlank="1" containsNumber="1" containsInteger="1" minValue="0" maxValue="0"/>
    </cacheField>
    <cacheField name="#3" numFmtId="0">
      <sharedItems containsString="0" containsBlank="1" containsNumber="1" containsInteger="1" minValue="0" maxValue="0"/>
    </cacheField>
    <cacheField name="TTK2" numFmtId="0">
      <sharedItems containsString="0" containsBlank="1" containsNumber="1" containsInteger="1" minValue="0" maxValue="0"/>
    </cacheField>
    <cacheField name="XAK2" numFmtId="0">
      <sharedItems containsString="0" containsBlank="1" containsNumber="1" containsInteger="1" minValue="0" maxValue="0"/>
    </cacheField>
    <cacheField name="XAP2" numFmtId="0">
      <sharedItems containsString="0" containsBlank="1" containsNumber="1" containsInteger="1" minValue="0" maxValue="0"/>
    </cacheField>
    <cacheField name="XDN2" numFmtId="0">
      <sharedItems containsString="0" containsBlank="1" containsNumber="1" containsInteger="1" minValue="0" maxValue="0"/>
    </cacheField>
    <cacheField name="XMD2" numFmtId="0">
      <sharedItems containsString="0" containsBlank="1" containsNumber="1" containsInteger="1" minValue="0" maxValue="0"/>
    </cacheField>
    <cacheField name="XMT2" numFmtId="0">
      <sharedItems containsString="0" containsBlank="1" containsNumber="1" containsInteger="1" minValue="0" maxValue="0"/>
    </cacheField>
    <cacheField name="XPA2" numFmtId="0">
      <sharedItems containsString="0" containsBlank="1" containsNumber="1" containsInteger="1" minValue="0" maxValue="0"/>
    </cacheField>
    <cacheField name="XTHp2" numFmtId="0">
      <sharedItems containsString="0" containsBlank="1" containsNumber="1" containsInteger="1" minValue="0" maxValue="0"/>
    </cacheField>
    <cacheField name="XTHg2" numFmtId="0">
      <sharedItems containsString="0" containsBlank="1" containsNumber="1" containsInteger="1" minValue="0" maxValue="0"/>
    </cacheField>
    <cacheField name="XTL2" numFmtId="0">
      <sharedItems containsString="0" containsBlank="1" containsNumber="1" containsInteger="1" minValue="0" maxValue="0"/>
    </cacheField>
    <cacheField name="XTQ2" numFmtId="0">
      <sharedItems containsString="0" containsBlank="1" containsNumber="1" containsInteger="1" minValue="0" maxValue="0"/>
    </cacheField>
    <cacheField name="XTA2" numFmtId="0">
      <sharedItems containsString="0" containsBlank="1" containsNumber="1" containsInteger="1" minValue="0" maxValue="0"/>
    </cacheField>
    <cacheField name="XTB2" numFmtId="0">
      <sharedItems containsString="0" containsBlank="1" containsNumber="1" containsInteger="1" minValue="0" maxValue="0"/>
    </cacheField>
    <cacheField name="#4" numFmtId="0">
      <sharedItems containsString="0" containsBlank="1" containsNumber="1" containsInteger="1" minValue="0" maxValue="0"/>
    </cacheField>
    <cacheField name="#5" numFmtId="0">
      <sharedItems containsString="0" containsBlank="1" containsNumber="1" containsInteger="1" minValue="0" maxValue="0"/>
    </cacheField>
    <cacheField name="#6" numFmtId="0">
      <sharedItems containsString="0" containsBlank="1" containsNumber="1" containsInteger="1" minValue="0" maxValue="0"/>
    </cacheField>
    <cacheField name="TH 16" numFmtId="0">
      <sharedItems containsString="0" containsBlank="1" containsNumber="1" containsInteger="1" minValue="0" maxValue="0"/>
    </cacheField>
    <cacheField name="CMD 16" numFmtId="0">
      <sharedItems containsString="0" containsBlank="1" containsNumber="1" containsInteger="1" minValue="0" maxValue="0"/>
    </cacheField>
    <cacheField name="TTK3" numFmtId="0">
      <sharedItems containsString="0" containsBlank="1" containsNumber="1" containsInteger="1" minValue="0" maxValue="0"/>
    </cacheField>
    <cacheField name="XAK3" numFmtId="0">
      <sharedItems containsString="0" containsBlank="1" containsNumber="1" containsInteger="1" minValue="0" maxValue="0"/>
    </cacheField>
    <cacheField name="XAP3" numFmtId="0">
      <sharedItems containsString="0" containsBlank="1" containsNumber="1" containsInteger="1" minValue="0" maxValue="0"/>
    </cacheField>
    <cacheField name="XDN3" numFmtId="0">
      <sharedItems containsString="0" containsBlank="1" containsNumber="1" containsInteger="1" minValue="0" maxValue="0"/>
    </cacheField>
    <cacheField name="XMD3" numFmtId="0">
      <sharedItems containsString="0" containsBlank="1" containsNumber="1" containsInteger="1" minValue="0" maxValue="0"/>
    </cacheField>
    <cacheField name="XMT3" numFmtId="0">
      <sharedItems containsString="0" containsBlank="1" containsNumber="1" containsInteger="1" minValue="0" maxValue="0"/>
    </cacheField>
    <cacheField name="XPA3" numFmtId="0">
      <sharedItems containsString="0" containsBlank="1" containsNumber="1" containsInteger="1" minValue="0" maxValue="0"/>
    </cacheField>
    <cacheField name="XTHp3" numFmtId="0">
      <sharedItems containsString="0" containsBlank="1" containsNumber="1" containsInteger="1" minValue="0" maxValue="0"/>
    </cacheField>
    <cacheField name="XTHg3" numFmtId="0">
      <sharedItems containsString="0" containsBlank="1" containsNumber="1" containsInteger="1" minValue="0" maxValue="0"/>
    </cacheField>
    <cacheField name="XTL3" numFmtId="0">
      <sharedItems containsString="0" containsBlank="1" containsNumber="1" containsInteger="1" minValue="0" maxValue="0"/>
    </cacheField>
    <cacheField name="XTQ3" numFmtId="0">
      <sharedItems containsString="0" containsBlank="1" containsNumber="1" containsInteger="1" minValue="0" maxValue="0"/>
    </cacheField>
    <cacheField name="XTA3" numFmtId="0">
      <sharedItems containsString="0" containsBlank="1" containsNumber="1" containsInteger="1" minValue="0" maxValue="0"/>
    </cacheField>
    <cacheField name="XTB3" numFmtId="0">
      <sharedItems containsString="0" containsBlank="1" containsNumber="1" containsInteger="1" minValue="0" maxValue="0"/>
    </cacheField>
    <cacheField name="#7" numFmtId="0">
      <sharedItems containsString="0" containsBlank="1" containsNumber="1" containsInteger="1" minValue="0" maxValue="0"/>
    </cacheField>
    <cacheField name="#8" numFmtId="0">
      <sharedItems containsString="0" containsBlank="1" containsNumber="1" containsInteger="1" minValue="0" maxValue="0"/>
    </cacheField>
    <cacheField name="#9" numFmtId="0">
      <sharedItems containsString="0" containsBlank="1" containsNumber="1" containsInteger="1" minValue="0" maxValue="0"/>
    </cacheField>
    <cacheField name="TTK4" numFmtId="0">
      <sharedItems containsString="0" containsBlank="1" containsNumber="1" containsInteger="1" minValue="0" maxValue="0"/>
    </cacheField>
    <cacheField name="XAK4" numFmtId="0">
      <sharedItems containsString="0" containsBlank="1" containsNumber="1" containsInteger="1" minValue="0" maxValue="0"/>
    </cacheField>
    <cacheField name="XAP4" numFmtId="0">
      <sharedItems containsString="0" containsBlank="1" containsNumber="1" containsInteger="1" minValue="0" maxValue="0"/>
    </cacheField>
    <cacheField name="XDN4" numFmtId="0">
      <sharedItems containsString="0" containsBlank="1" containsNumber="1" containsInteger="1" minValue="0" maxValue="0"/>
    </cacheField>
    <cacheField name="XMD4" numFmtId="0">
      <sharedItems containsString="0" containsBlank="1" containsNumber="1" containsInteger="1" minValue="0" maxValue="0"/>
    </cacheField>
    <cacheField name="XMT4" numFmtId="0">
      <sharedItems containsString="0" containsBlank="1" containsNumber="1" containsInteger="1" minValue="0" maxValue="0"/>
    </cacheField>
    <cacheField name="XPA4" numFmtId="0">
      <sharedItems containsString="0" containsBlank="1" containsNumber="1" containsInteger="1" minValue="0" maxValue="0"/>
    </cacheField>
    <cacheField name="XTHp4" numFmtId="0">
      <sharedItems containsString="0" containsBlank="1" containsNumber="1" containsInteger="1" minValue="0" maxValue="0"/>
    </cacheField>
    <cacheField name="XTHg4" numFmtId="0">
      <sharedItems containsString="0" containsBlank="1" containsNumber="1" containsInteger="1" minValue="0" maxValue="0"/>
    </cacheField>
    <cacheField name="XTL4" numFmtId="0">
      <sharedItems containsString="0" containsBlank="1" containsNumber="1" containsInteger="1" minValue="0" maxValue="0"/>
    </cacheField>
    <cacheField name="XTQ4" numFmtId="0">
      <sharedItems containsString="0" containsBlank="1" containsNumber="1" containsInteger="1" minValue="0" maxValue="0"/>
    </cacheField>
    <cacheField name="XTA4" numFmtId="0">
      <sharedItems containsString="0" containsBlank="1" containsNumber="1" containsInteger="1" minValue="0" maxValue="0"/>
    </cacheField>
    <cacheField name="XTB4" numFmtId="0">
      <sharedItems containsString="0" containsBlank="1" containsNumber="1" containsInteger="1" minValue="0" maxValue="0"/>
    </cacheField>
    <cacheField name="#10" numFmtId="0">
      <sharedItems containsString="0" containsBlank="1" containsNumber="1" containsInteger="1" minValue="0" maxValue="0"/>
    </cacheField>
    <cacheField name="#11" numFmtId="0">
      <sharedItems containsString="0" containsBlank="1" containsNumber="1" containsInteger="1" minValue="0" maxValue="0"/>
    </cacheField>
    <cacheField name="#12" numFmtId="0">
      <sharedItems containsString="0" containsBlank="1" containsNumber="1" containsInteger="1" minValue="0" maxValue="0"/>
    </cacheField>
    <cacheField name="TH 17" numFmtId="0">
      <sharedItems containsString="0" containsBlank="1" containsNumber="1" containsInteger="1" minValue="0" maxValue="0"/>
    </cacheField>
    <cacheField name="CMD 17" numFmtId="0">
      <sharedItems containsString="0" containsBlank="1" containsNumber="1" containsInteger="1" minValue="0" maxValue="0"/>
    </cacheField>
    <cacheField name="TNG" numFmtId="0">
      <sharedItems containsString="0" containsBlank="1" containsNumber="1" containsInteger="1" minValue="0" maxValue="0"/>
    </cacheField>
    <cacheField name="XBC" numFmtId="0">
      <sharedItems containsString="0" containsBlank="1" containsNumber="1" containsInteger="1" minValue="0" maxValue="0"/>
    </cacheField>
    <cacheField name="XBB" numFmtId="0">
      <sharedItems containsString="0" containsBlank="1" containsNumber="1" containsInteger="1" minValue="0" maxValue="0"/>
    </cacheField>
    <cacheField name="XBG" numFmtId="0">
      <sharedItems containsString="0" containsBlank="1" containsNumber="1" containsInteger="1" minValue="0" maxValue="0"/>
    </cacheField>
    <cacheField name="XBT" numFmtId="0">
      <sharedItems containsString="0" containsBlank="1" containsNumber="1" containsInteger="1" minValue="0" maxValue="0"/>
    </cacheField>
    <cacheField name="XCB" numFmtId="0">
      <sharedItems containsString="0" containsBlank="1" containsNumber="1" containsInteger="1" minValue="0" maxValue="0"/>
    </cacheField>
    <cacheField name="XDB" numFmtId="0">
      <sharedItems containsString="0" containsBlank="1" containsNumber="1" containsInteger="1" minValue="0" maxValue="0"/>
    </cacheField>
    <cacheField name="XKL" numFmtId="0">
      <sharedItems containsString="0" containsBlank="1" containsNumber="1" containsInteger="1" minValue="0" maxValue="0"/>
    </cacheField>
    <cacheField name="XLL" numFmtId="0">
      <sharedItems containsString="0" containsBlank="1" containsNumber="1" containsInteger="1" minValue="0" maxValue="0"/>
    </cacheField>
    <cacheField name="XNT" numFmtId="0">
      <sharedItems containsString="0" containsBlank="1" containsNumber="1" containsInteger="1" minValue="0" maxValue="0"/>
    </cacheField>
    <cacheField name="XQT" numFmtId="0">
      <sharedItems containsString="0" containsBlank="1" containsNumber="1" containsInteger="1" minValue="0" maxValue="0"/>
    </cacheField>
    <cacheField name="XSB" numFmtId="0">
      <sharedItems containsString="0" containsBlank="1" containsNumber="1" containsInteger="1" minValue="0" maxValue="0"/>
    </cacheField>
    <cacheField name="XSN" numFmtId="0">
      <sharedItems containsString="0" containsBlank="1" containsNumber="1" containsInteger="1" minValue="0" maxValue="0"/>
    </cacheField>
    <cacheField name="XSR" numFmtId="0">
      <sharedItems containsString="0" containsBlank="1" containsNumber="1" containsInteger="1" minValue="0" maxValue="0"/>
    </cacheField>
    <cacheField name="XXB" numFmtId="0">
      <sharedItems containsString="0" containsBlank="1" containsNumber="1" containsInteger="1" minValue="0" maxValue="0"/>
    </cacheField>
    <cacheField name="XXS" numFmtId="0">
      <sharedItems containsString="0" containsBlank="1" containsNumber="1" containsInteger="1" minValue="0" maxValue="0"/>
    </cacheField>
    <cacheField name="TNG2" numFmtId="0">
      <sharedItems containsString="0" containsBlank="1" containsNumber="1" containsInteger="1" minValue="0" maxValue="0"/>
    </cacheField>
    <cacheField name="XBC2" numFmtId="0">
      <sharedItems containsString="0" containsBlank="1" containsNumber="1" containsInteger="1" minValue="0" maxValue="0"/>
    </cacheField>
    <cacheField name="XBB2" numFmtId="0">
      <sharedItems containsString="0" containsBlank="1" containsNumber="1" containsInteger="1" minValue="0" maxValue="0"/>
    </cacheField>
    <cacheField name="XBG2" numFmtId="0">
      <sharedItems containsString="0" containsBlank="1" containsNumber="1" containsInteger="1" minValue="0" maxValue="0"/>
    </cacheField>
    <cacheField name="XBT2" numFmtId="0">
      <sharedItems containsString="0" containsBlank="1" containsNumber="1" containsInteger="1" minValue="0" maxValue="0"/>
    </cacheField>
    <cacheField name="XCB2" numFmtId="0">
      <sharedItems containsString="0" containsBlank="1" containsNumber="1" containsInteger="1" minValue="0" maxValue="0"/>
    </cacheField>
    <cacheField name="XDB2" numFmtId="0">
      <sharedItems containsString="0" containsBlank="1" containsNumber="1" containsInteger="1" minValue="0" maxValue="0"/>
    </cacheField>
    <cacheField name="XKL2" numFmtId="0">
      <sharedItems containsString="0" containsBlank="1" containsNumber="1" containsInteger="1" minValue="0" maxValue="0"/>
    </cacheField>
    <cacheField name="XLL2" numFmtId="0">
      <sharedItems containsString="0" containsBlank="1" containsNumber="1" containsInteger="1" minValue="0" maxValue="0"/>
    </cacheField>
    <cacheField name="XNT2" numFmtId="0">
      <sharedItems containsString="0" containsBlank="1" containsNumber="1" containsInteger="1" minValue="0" maxValue="0"/>
    </cacheField>
    <cacheField name="XQT2" numFmtId="0">
      <sharedItems containsString="0" containsBlank="1" containsNumber="1" containsInteger="1" minValue="0" maxValue="0"/>
    </cacheField>
    <cacheField name="XSB2" numFmtId="0">
      <sharedItems containsString="0" containsBlank="1" containsNumber="1" containsInteger="1" minValue="0" maxValue="0"/>
    </cacheField>
    <cacheField name="XSN2" numFmtId="0">
      <sharedItems containsString="0" containsBlank="1" containsNumber="1" containsInteger="1" minValue="0" maxValue="0"/>
    </cacheField>
    <cacheField name="XSR2" numFmtId="0">
      <sharedItems containsString="0" containsBlank="1" containsNumber="1" containsInteger="1" minValue="0" maxValue="0"/>
    </cacheField>
    <cacheField name="XXB2" numFmtId="0">
      <sharedItems containsString="0" containsBlank="1" containsNumber="1" containsInteger="1" minValue="0" maxValue="0"/>
    </cacheField>
    <cacheField name="XXS2" numFmtId="0">
      <sharedItems containsString="0" containsBlank="1" containsNumber="1" containsInteger="1" minValue="0" maxValue="0"/>
    </cacheField>
    <cacheField name="TH 18" numFmtId="0">
      <sharedItems containsString="0" containsBlank="1" containsNumber="1" containsInteger="1" minValue="0" maxValue="0"/>
    </cacheField>
    <cacheField name="CMD 18" numFmtId="0">
      <sharedItems containsString="0" containsBlank="1" containsNumber="1" containsInteger="1" minValue="0" maxValue="0"/>
    </cacheField>
    <cacheField name="TNG3" numFmtId="0">
      <sharedItems containsString="0" containsBlank="1" containsNumber="1" containsInteger="1" minValue="0" maxValue="0"/>
    </cacheField>
    <cacheField name="XBC3" numFmtId="0">
      <sharedItems containsString="0" containsBlank="1" containsNumber="1" containsInteger="1" minValue="0" maxValue="0"/>
    </cacheField>
    <cacheField name="XBB3" numFmtId="0">
      <sharedItems containsString="0" containsBlank="1" containsNumber="1" containsInteger="1" minValue="0" maxValue="0"/>
    </cacheField>
    <cacheField name="XBG3" numFmtId="0">
      <sharedItems containsString="0" containsBlank="1" containsNumber="1" containsInteger="1" minValue="0" maxValue="0"/>
    </cacheField>
    <cacheField name="XBT3" numFmtId="0">
      <sharedItems containsString="0" containsBlank="1" containsNumber="1" containsInteger="1" minValue="0" maxValue="0"/>
    </cacheField>
    <cacheField name="XCB3" numFmtId="0">
      <sharedItems containsString="0" containsBlank="1" containsNumber="1" containsInteger="1" minValue="0" maxValue="0"/>
    </cacheField>
    <cacheField name="XDB3" numFmtId="0">
      <sharedItems containsString="0" containsBlank="1" containsNumber="1" containsInteger="1" minValue="0" maxValue="0"/>
    </cacheField>
    <cacheField name="XKL3" numFmtId="0">
      <sharedItems containsString="0" containsBlank="1" containsNumber="1" containsInteger="1" minValue="0" maxValue="0"/>
    </cacheField>
    <cacheField name="XLL3" numFmtId="0">
      <sharedItems containsString="0" containsBlank="1" containsNumber="1" containsInteger="1" minValue="0" maxValue="0"/>
    </cacheField>
    <cacheField name="XNT3" numFmtId="0">
      <sharedItems containsString="0" containsBlank="1" containsNumber="1" containsInteger="1" minValue="0" maxValue="0"/>
    </cacheField>
    <cacheField name="XQT3" numFmtId="0">
      <sharedItems containsString="0" containsBlank="1" containsNumber="1" containsInteger="1" minValue="0" maxValue="0"/>
    </cacheField>
    <cacheField name="XSB3" numFmtId="0">
      <sharedItems containsString="0" containsBlank="1" containsNumber="1" containsInteger="1" minValue="0" maxValue="0"/>
    </cacheField>
    <cacheField name="XSN3" numFmtId="0">
      <sharedItems containsString="0" containsBlank="1" containsNumber="1" containsInteger="1" minValue="0" maxValue="0"/>
    </cacheField>
    <cacheField name="XSR3" numFmtId="0">
      <sharedItems containsString="0" containsBlank="1" containsNumber="1" containsInteger="1" minValue="0" maxValue="0"/>
    </cacheField>
    <cacheField name="XXB3" numFmtId="0">
      <sharedItems containsString="0" containsBlank="1" containsNumber="1" containsInteger="1" minValue="0" maxValue="0"/>
    </cacheField>
    <cacheField name="XXS3" numFmtId="0">
      <sharedItems containsString="0" containsBlank="1" containsNumber="1" containsInteger="1" minValue="0" maxValue="0"/>
    </cacheField>
    <cacheField name="TNG4" numFmtId="0">
      <sharedItems containsString="0" containsBlank="1" containsNumber="1" containsInteger="1" minValue="0" maxValue="0"/>
    </cacheField>
    <cacheField name="XBC4" numFmtId="0">
      <sharedItems containsString="0" containsBlank="1" containsNumber="1" containsInteger="1" minValue="0" maxValue="0"/>
    </cacheField>
    <cacheField name="XBB4" numFmtId="0">
      <sharedItems containsString="0" containsBlank="1" containsNumber="1" containsInteger="1" minValue="0" maxValue="0"/>
    </cacheField>
    <cacheField name="XBG4" numFmtId="0">
      <sharedItems containsString="0" containsBlank="1" containsNumber="1" containsInteger="1" minValue="0" maxValue="0"/>
    </cacheField>
    <cacheField name="XBT4" numFmtId="0">
      <sharedItems containsString="0" containsBlank="1" containsNumber="1" containsInteger="1" minValue="0" maxValue="0"/>
    </cacheField>
    <cacheField name="XCB4" numFmtId="0">
      <sharedItems containsString="0" containsBlank="1" containsNumber="1" containsInteger="1" minValue="0" maxValue="0"/>
    </cacheField>
    <cacheField name="XDB4" numFmtId="0">
      <sharedItems containsString="0" containsBlank="1" containsNumber="1" containsInteger="1" minValue="0" maxValue="0"/>
    </cacheField>
    <cacheField name="XKL4" numFmtId="0">
      <sharedItems containsString="0" containsBlank="1" containsNumber="1" containsInteger="1" minValue="0" maxValue="0"/>
    </cacheField>
    <cacheField name="XLL4" numFmtId="0">
      <sharedItems containsString="0" containsBlank="1" containsNumber="1" containsInteger="1" minValue="0" maxValue="0"/>
    </cacheField>
    <cacheField name="XNT4" numFmtId="0">
      <sharedItems containsString="0" containsBlank="1" containsNumber="1" containsInteger="1" minValue="0" maxValue="0"/>
    </cacheField>
    <cacheField name="XQT4" numFmtId="0">
      <sharedItems containsString="0" containsBlank="1" containsNumber="1" containsInteger="1" minValue="0" maxValue="0"/>
    </cacheField>
    <cacheField name="XSB4" numFmtId="0">
      <sharedItems containsString="0" containsBlank="1" containsNumber="1" containsInteger="1" minValue="0" maxValue="0"/>
    </cacheField>
    <cacheField name="XSN4" numFmtId="0">
      <sharedItems containsString="0" containsBlank="1" containsNumber="1" containsInteger="1" minValue="0" maxValue="0"/>
    </cacheField>
    <cacheField name="XSR4" numFmtId="0">
      <sharedItems containsString="0" containsBlank="1" containsNumber="1" containsInteger="1" minValue="0" maxValue="0"/>
    </cacheField>
    <cacheField name="XXB4" numFmtId="0">
      <sharedItems containsString="0" containsBlank="1" containsNumber="1" containsInteger="1" minValue="0" maxValue="0"/>
    </cacheField>
    <cacheField name="XXS4" numFmtId="0">
      <sharedItems containsString="0" containsBlank="1" containsNumber="1" containsInteger="1" minValue="0" maxValue="0"/>
    </cacheField>
    <cacheField name="TH 19" numFmtId="0">
      <sharedItems containsString="0" containsBlank="1" containsNumber="1" containsInteger="1" minValue="0" maxValue="0"/>
    </cacheField>
    <cacheField name="CMD 19" numFmtId="0">
      <sharedItems containsString="0" containsBlank="1" containsNumber="1" containsInteger="1" minValue="0" maxValue="0"/>
    </cacheField>
    <cacheField name="TNG5" numFmtId="0">
      <sharedItems containsString="0" containsBlank="1" containsNumber="1" containsInteger="1" minValue="0" maxValue="0"/>
    </cacheField>
    <cacheField name="XBC5" numFmtId="0">
      <sharedItems containsString="0" containsBlank="1" containsNumber="1" containsInteger="1" minValue="0" maxValue="0"/>
    </cacheField>
    <cacheField name="XBB5" numFmtId="0">
      <sharedItems containsString="0" containsBlank="1" containsNumber="1" containsInteger="1" minValue="0" maxValue="0"/>
    </cacheField>
    <cacheField name="XBG5" numFmtId="0">
      <sharedItems containsString="0" containsBlank="1" containsNumber="1" containsInteger="1" minValue="0" maxValue="0"/>
    </cacheField>
    <cacheField name="XBT5" numFmtId="0">
      <sharedItems containsString="0" containsBlank="1" containsNumber="1" containsInteger="1" minValue="0" maxValue="0"/>
    </cacheField>
    <cacheField name="XCB5" numFmtId="0">
      <sharedItems containsString="0" containsBlank="1" containsNumber="1" containsInteger="1" minValue="0" maxValue="0"/>
    </cacheField>
    <cacheField name="XDB5" numFmtId="0">
      <sharedItems containsString="0" containsBlank="1" containsNumber="1" containsInteger="1" minValue="0" maxValue="0"/>
    </cacheField>
    <cacheField name="XKL5" numFmtId="0">
      <sharedItems containsString="0" containsBlank="1" containsNumber="1" containsInteger="1" minValue="0" maxValue="0"/>
    </cacheField>
    <cacheField name="XLL5" numFmtId="0">
      <sharedItems containsString="0" containsBlank="1" containsNumber="1" containsInteger="1" minValue="0" maxValue="0"/>
    </cacheField>
    <cacheField name="XNT5" numFmtId="0">
      <sharedItems containsString="0" containsBlank="1" containsNumber="1" containsInteger="1" minValue="0" maxValue="0"/>
    </cacheField>
    <cacheField name="XQT5" numFmtId="0">
      <sharedItems containsString="0" containsBlank="1" containsNumber="1" containsInteger="1" minValue="0" maxValue="0"/>
    </cacheField>
    <cacheField name="XSB5" numFmtId="0">
      <sharedItems containsString="0" containsBlank="1" containsNumber="1" containsInteger="1" minValue="0" maxValue="0"/>
    </cacheField>
    <cacheField name="XSN5" numFmtId="0">
      <sharedItems containsString="0" containsBlank="1" containsNumber="1" containsInteger="1" minValue="0" maxValue="0"/>
    </cacheField>
    <cacheField name="XSR5" numFmtId="0">
      <sharedItems containsString="0" containsBlank="1" containsNumber="1" containsInteger="1" minValue="0" maxValue="0"/>
    </cacheField>
    <cacheField name="XXB5" numFmtId="0">
      <sharedItems containsString="0" containsBlank="1" containsNumber="1" containsInteger="1" minValue="0" maxValue="0"/>
    </cacheField>
    <cacheField name="XXS5" numFmtId="0">
      <sharedItems containsString="0" containsBlank="1" containsNumber="1" containsInteger="1" minValue="0" maxValue="0"/>
    </cacheField>
    <cacheField name="TNG6" numFmtId="0">
      <sharedItems containsString="0" containsBlank="1" containsNumber="1" containsInteger="1" minValue="0" maxValue="0"/>
    </cacheField>
    <cacheField name="XBC6" numFmtId="0">
      <sharedItems containsString="0" containsBlank="1" containsNumber="1" containsInteger="1" minValue="0" maxValue="0"/>
    </cacheField>
    <cacheField name="XBB6" numFmtId="0">
      <sharedItems containsString="0" containsBlank="1" containsNumber="1" containsInteger="1" minValue="0" maxValue="0"/>
    </cacheField>
    <cacheField name="XBG6" numFmtId="0">
      <sharedItems containsString="0" containsBlank="1" containsNumber="1" containsInteger="1" minValue="0" maxValue="0"/>
    </cacheField>
    <cacheField name="XBT6" numFmtId="0">
      <sharedItems containsString="0" containsBlank="1" containsNumber="1" containsInteger="1" minValue="0" maxValue="0"/>
    </cacheField>
    <cacheField name="XCB6" numFmtId="0">
      <sharedItems containsString="0" containsBlank="1" containsNumber="1" containsInteger="1" minValue="0" maxValue="0"/>
    </cacheField>
    <cacheField name="XDB6" numFmtId="0">
      <sharedItems containsString="0" containsBlank="1" containsNumber="1" containsInteger="1" minValue="0" maxValue="0"/>
    </cacheField>
    <cacheField name="XKL6" numFmtId="0">
      <sharedItems containsString="0" containsBlank="1" containsNumber="1" containsInteger="1" minValue="0" maxValue="0"/>
    </cacheField>
    <cacheField name="XLL6" numFmtId="0">
      <sharedItems containsString="0" containsBlank="1" containsNumber="1" containsInteger="1" minValue="0" maxValue="0"/>
    </cacheField>
    <cacheField name="XNT6" numFmtId="0">
      <sharedItems containsString="0" containsBlank="1" containsNumber="1" containsInteger="1" minValue="0" maxValue="0"/>
    </cacheField>
    <cacheField name="XQT6" numFmtId="0">
      <sharedItems containsString="0" containsBlank="1" containsNumber="1" containsInteger="1" minValue="0" maxValue="0"/>
    </cacheField>
    <cacheField name="XSB6" numFmtId="0">
      <sharedItems containsString="0" containsBlank="1" containsNumber="1" containsInteger="1" minValue="0" maxValue="0"/>
    </cacheField>
    <cacheField name="XSN6" numFmtId="0">
      <sharedItems containsString="0" containsBlank="1" containsNumber="1" containsInteger="1" minValue="0" maxValue="0"/>
    </cacheField>
    <cacheField name="XSR6" numFmtId="0">
      <sharedItems containsString="0" containsBlank="1" containsNumber="1" containsInteger="1" minValue="0" maxValue="0"/>
    </cacheField>
    <cacheField name="XXB6" numFmtId="0">
      <sharedItems containsString="0" containsBlank="1" containsNumber="1" containsInteger="1" minValue="0" maxValue="0"/>
    </cacheField>
    <cacheField name="XXS6" numFmtId="0">
      <sharedItems containsString="0" containsBlank="1" containsNumber="1" containsInteger="1" minValue="0" maxValue="0"/>
    </cacheField>
    <cacheField name="TH 20" numFmtId="0">
      <sharedItems containsString="0" containsBlank="1" containsNumber="1" containsInteger="1" minValue="0" maxValue="0"/>
    </cacheField>
    <cacheField name="CMD 20" numFmtId="0">
      <sharedItems containsString="0" containsBlank="1" containsNumber="1" containsInteger="1" minValue="0" maxValue="0"/>
    </cacheField>
    <cacheField name="TNG7" numFmtId="0">
      <sharedItems containsString="0" containsBlank="1" containsNumber="1" containsInteger="1" minValue="0" maxValue="0"/>
    </cacheField>
    <cacheField name="XBC7" numFmtId="0">
      <sharedItems containsString="0" containsBlank="1" containsNumber="1" containsInteger="1" minValue="0" maxValue="0"/>
    </cacheField>
    <cacheField name="XBB7" numFmtId="0">
      <sharedItems containsString="0" containsBlank="1" containsNumber="1" containsInteger="1" minValue="0" maxValue="0"/>
    </cacheField>
    <cacheField name="XBG7" numFmtId="0">
      <sharedItems containsString="0" containsBlank="1" containsNumber="1" containsInteger="1" minValue="0" maxValue="0"/>
    </cacheField>
    <cacheField name="XBT7" numFmtId="0">
      <sharedItems containsString="0" containsBlank="1" containsNumber="1" containsInteger="1" minValue="0" maxValue="0"/>
    </cacheField>
    <cacheField name="XCB7" numFmtId="0">
      <sharedItems containsString="0" containsBlank="1" containsNumber="1" containsInteger="1" minValue="0" maxValue="0"/>
    </cacheField>
    <cacheField name="XDB7" numFmtId="0">
      <sharedItems containsString="0" containsBlank="1" containsNumber="1" containsInteger="1" minValue="0" maxValue="0"/>
    </cacheField>
    <cacheField name="XKL7" numFmtId="0">
      <sharedItems containsString="0" containsBlank="1" containsNumber="1" containsInteger="1" minValue="0" maxValue="0"/>
    </cacheField>
    <cacheField name="XLL7" numFmtId="0">
      <sharedItems containsString="0" containsBlank="1" containsNumber="1" containsInteger="1" minValue="0" maxValue="0"/>
    </cacheField>
    <cacheField name="XNT7" numFmtId="0">
      <sharedItems containsString="0" containsBlank="1" containsNumber="1" containsInteger="1" minValue="0" maxValue="0"/>
    </cacheField>
    <cacheField name="XQT7" numFmtId="0">
      <sharedItems containsString="0" containsBlank="1" containsNumber="1" containsInteger="1" minValue="0" maxValue="0"/>
    </cacheField>
    <cacheField name="XSB7" numFmtId="0">
      <sharedItems containsString="0" containsBlank="1" containsNumber="1" containsInteger="1" minValue="0" maxValue="0"/>
    </cacheField>
    <cacheField name="XSN7" numFmtId="0">
      <sharedItems containsString="0" containsBlank="1" containsNumber="1" containsInteger="1" minValue="0" maxValue="0"/>
    </cacheField>
    <cacheField name="XSR7" numFmtId="0">
      <sharedItems containsString="0" containsBlank="1" containsNumber="1" containsInteger="1" minValue="0" maxValue="0"/>
    </cacheField>
    <cacheField name="XXB7" numFmtId="0">
      <sharedItems containsString="0" containsBlank="1" containsNumber="1" containsInteger="1" minValue="0" maxValue="0"/>
    </cacheField>
    <cacheField name="XXS7" numFmtId="0">
      <sharedItems containsString="0" containsBlank="1" containsNumber="1" containsInteger="1" minValue="0" maxValue="0"/>
    </cacheField>
    <cacheField name="TNG8" numFmtId="0">
      <sharedItems containsString="0" containsBlank="1" containsNumber="1" containsInteger="1" minValue="0" maxValue="0"/>
    </cacheField>
    <cacheField name="XBC8" numFmtId="0">
      <sharedItems containsString="0" containsBlank="1" containsNumber="1" containsInteger="1" minValue="0" maxValue="0"/>
    </cacheField>
    <cacheField name="XBB8" numFmtId="0">
      <sharedItems containsString="0" containsBlank="1" containsNumber="1" containsInteger="1" minValue="0" maxValue="0"/>
    </cacheField>
    <cacheField name="XBG8" numFmtId="0">
      <sharedItems containsString="0" containsBlank="1" containsNumber="1" containsInteger="1" minValue="0" maxValue="0"/>
    </cacheField>
    <cacheField name="XBT8" numFmtId="0">
      <sharedItems containsString="0" containsBlank="1" containsNumber="1" containsInteger="1" minValue="0" maxValue="0"/>
    </cacheField>
    <cacheField name="XCB8" numFmtId="0">
      <sharedItems containsString="0" containsBlank="1" containsNumber="1" containsInteger="1" minValue="0" maxValue="0"/>
    </cacheField>
    <cacheField name="XDB8" numFmtId="0">
      <sharedItems containsString="0" containsBlank="1" containsNumber="1" containsInteger="1" minValue="0" maxValue="0"/>
    </cacheField>
    <cacheField name="XKL8" numFmtId="0">
      <sharedItems containsString="0" containsBlank="1" containsNumber="1" containsInteger="1" minValue="0" maxValue="0"/>
    </cacheField>
    <cacheField name="XLL8" numFmtId="0">
      <sharedItems containsString="0" containsBlank="1" containsNumber="1" containsInteger="1" minValue="0" maxValue="0"/>
    </cacheField>
    <cacheField name="XNT8" numFmtId="0">
      <sharedItems containsString="0" containsBlank="1" containsNumber="1" containsInteger="1" minValue="0" maxValue="0"/>
    </cacheField>
    <cacheField name="XQT8" numFmtId="0">
      <sharedItems containsString="0" containsBlank="1" containsNumber="1" containsInteger="1" minValue="0" maxValue="0"/>
    </cacheField>
    <cacheField name="XSB8" numFmtId="0">
      <sharedItems containsString="0" containsBlank="1" containsNumber="1" containsInteger="1" minValue="0" maxValue="0"/>
    </cacheField>
    <cacheField name="XSN8" numFmtId="0">
      <sharedItems containsString="0" containsBlank="1" containsNumber="1" containsInteger="1" minValue="0" maxValue="0"/>
    </cacheField>
    <cacheField name="XSR8" numFmtId="0">
      <sharedItems containsString="0" containsBlank="1" containsNumber="1" containsInteger="1" minValue="0" maxValue="0"/>
    </cacheField>
    <cacheField name="XXB8" numFmtId="0">
      <sharedItems containsString="0" containsBlank="1" containsNumber="1" containsInteger="1" minValue="0" maxValue="0"/>
    </cacheField>
    <cacheField name="XXS8" numFmtId="0">
      <sharedItems containsString="0" containsBlank="1" containsNumber="1" containsInteger="1" minValue="0" maxValue="0"/>
    </cacheField>
    <cacheField name="Thu hồi2" numFmtId="0">
      <sharedItems containsString="0" containsBlank="1" containsNumber="1" containsInteger="1" minValue="0" maxValue="0"/>
    </cacheField>
    <cacheField name="Chuyển MD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2">
  <r>
    <s v="I"/>
    <s v="ĐẤT NÔNG NGHIỆP"/>
    <m/>
    <n v="0"/>
    <x v="0"/>
    <m/>
    <x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"/>
    <m/>
    <n v="0"/>
    <x v="1"/>
    <m/>
    <x v="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- Đất chuyên trồng lúa nước"/>
    <m/>
    <n v="0"/>
    <x v="2"/>
    <m/>
    <x v="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Thị trấn Tân Khai"/>
    <s v="TTK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An Khương"/>
    <s v="XAK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An Phú"/>
    <s v="XAP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Đồng Nơ"/>
    <s v="XDN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Minh Đức"/>
    <s v="XMD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Minh Tâm"/>
    <s v="XMT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Phước An"/>
    <s v="XPA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ân Hiệp"/>
    <s v="XTHp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ân Hưng"/>
    <s v="XTHg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ân Lợi"/>
    <s v="XTL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ân Quan"/>
    <s v="XTQ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hanh An"/>
    <s v="XTA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s v="Xã Thanh Bình"/>
    <s v="XTB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uyên trồng lúa nướ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- Đất lúa còn lại"/>
    <m/>
    <n v="0"/>
    <x v="4"/>
    <m/>
    <x v="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lúa nước còn lại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- Đất lúa nương"/>
    <m/>
    <n v="0"/>
    <x v="5"/>
    <m/>
    <x v="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6"/>
    <m/>
    <x v="6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HÀNG NĂM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 "/>
    <m/>
    <n v="0"/>
    <x v="7"/>
    <m/>
    <x v="7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ồng cây lâu năm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8"/>
    <m/>
    <x v="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SẢN XUẤT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9"/>
    <m/>
    <x v="9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PHÒNG HỘ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10"/>
    <m/>
    <x v="1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RỪNG ĐẶC DỤNG"/>
    <m/>
    <n v="0"/>
    <x v="3"/>
    <n v="0"/>
    <x v="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HỦY SẢN"/>
    <m/>
    <n v="0"/>
    <x v="11"/>
    <m/>
    <x v="1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uôi trồng thủy sản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LÀM MUỐI"/>
    <m/>
    <n v="0"/>
    <x v="12"/>
    <m/>
    <x v="1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13"/>
    <m/>
    <x v="1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ÔNG NGHIỆP KHÁC"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I"/>
    <s v="ĐẤT PHI NÔNG NGHIỆP"/>
    <m/>
    <n v="0"/>
    <x v="14"/>
    <m/>
    <x v="1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QUỐC PHÒNG"/>
    <m/>
    <n v="0"/>
    <x v="15"/>
    <m/>
    <x v="1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AN NINH"/>
    <m/>
    <n v="0"/>
    <x v="16"/>
    <m/>
    <x v="16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KHU CÔNG NGHIỆP"/>
    <m/>
    <n v="0"/>
    <x v="17"/>
    <n v="0"/>
    <x v="17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KHU CHẾ XUẤT"/>
    <m/>
    <n v="0"/>
    <x v="18"/>
    <n v="0"/>
    <x v="1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ỤM CÔNG NGHIỆP"/>
    <m/>
    <n v="0"/>
    <x v="19"/>
    <m/>
    <x v="19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HƯƠNG MẠI DỊCH VỤ"/>
    <m/>
    <n v="0"/>
    <x v="20"/>
    <m/>
    <x v="2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Ơ SỞ SẢN XUẤT PNN"/>
    <m/>
    <n v="0"/>
    <x v="21"/>
    <m/>
    <x v="2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HO HOẠT ĐỘNG KHAI THÁC KHOANG SẢN "/>
    <m/>
    <n v="0"/>
    <x v="22"/>
    <m/>
    <x v="2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PHÁT TRIỂN HẠ TẦNG"/>
    <m/>
    <n v="0"/>
    <x v="23"/>
    <m/>
    <x v="2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Đất giao thông "/>
    <m/>
    <n v="0"/>
    <x v="24"/>
    <m/>
    <x v="2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"/>
    <s v="Đất thủy lợi "/>
    <m/>
    <n v="0"/>
    <x v="25"/>
    <m/>
    <x v="2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Đất bưu chính viễn thông "/>
    <m/>
    <n v="0"/>
    <x v="26"/>
    <m/>
    <x v="26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"/>
    <s v="Đất công trình năng lượng"/>
    <m/>
    <n v="0"/>
    <x v="27"/>
    <m/>
    <x v="27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Đất văn hóa"/>
    <m/>
    <n v="0"/>
    <x v="28"/>
    <m/>
    <x v="2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"/>
    <s v="Đất y tế"/>
    <m/>
    <n v="0"/>
    <x v="29"/>
    <m/>
    <x v="29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Đất giáo dục, đào tạo"/>
    <m/>
    <n v="0"/>
    <x v="30"/>
    <m/>
    <x v="3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"/>
    <s v="Đất thể dục thể thao"/>
    <m/>
    <n v="0"/>
    <x v="31"/>
    <m/>
    <x v="3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"/>
    <s v="Đất nghiên cứu khoa học"/>
    <m/>
    <n v="0"/>
    <x v="32"/>
    <m/>
    <x v="3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"/>
    <s v="Đất dịch vụ xã hội"/>
    <m/>
    <n v="0"/>
    <x v="33"/>
    <m/>
    <x v="3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"/>
    <s v="Đất chợ"/>
    <m/>
    <n v="0"/>
    <x v="34"/>
    <m/>
    <x v="3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xây dựng kho dự trữ quốc gia"/>
    <m/>
    <n v="0"/>
    <x v="35"/>
    <m/>
    <x v="3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DI TÍCH ỊCH SỬ - VĂN HÓA"/>
    <m/>
    <n v="0"/>
    <x v="36"/>
    <m/>
    <x v="36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DANH LAM THẮNG CẢNH"/>
    <m/>
    <n v="0"/>
    <x v="37"/>
    <m/>
    <x v="37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BÃI THẢI XỬ LÍ CHẤT THẢI"/>
    <m/>
    <n v="0"/>
    <x v="38"/>
    <m/>
    <x v="3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Ở  NÔNG THÔN"/>
    <m/>
    <n v="0"/>
    <x v="39"/>
    <m/>
    <x v="39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Ở ĐÔ THỊ"/>
    <m/>
    <n v="0"/>
    <x v="40"/>
    <m/>
    <x v="4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Ụ SỞ CƠ QUAN"/>
    <m/>
    <n v="0"/>
    <x v="41"/>
    <m/>
    <x v="4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TRỤ SỞ ĐƠN VỊ SỰ NGHIỆP"/>
    <m/>
    <n v="0"/>
    <x v="42"/>
    <m/>
    <x v="4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XÂY DỰNG TRỤ SỞ NGOẠI GIAO"/>
    <m/>
    <n v="0"/>
    <x v="43"/>
    <m/>
    <x v="4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Ơ SỞ TÔN GIÁO"/>
    <m/>
    <n v="0"/>
    <x v="44"/>
    <m/>
    <x v="4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NGHĨA TRANG, NGHĨA ĐỊA"/>
    <m/>
    <n v="0"/>
    <x v="45"/>
    <m/>
    <x v="4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VẬT LIỆU XÂY DỰNG, LÀM GỐM"/>
    <m/>
    <n v="0"/>
    <x v="46"/>
    <m/>
    <x v="46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n v="0"/>
    <x v="3"/>
    <m/>
    <x v="3"/>
    <m/>
    <n v="0"/>
    <m/>
    <m/>
    <n v="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SINH HOẠT CỘNG ĐỒNG"/>
    <m/>
    <n v="0"/>
    <x v="47"/>
    <m/>
    <x v="47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VUI CHƠI GIẢI TRÍ CÔNG CỘNG"/>
    <m/>
    <n v="0"/>
    <x v="48"/>
    <m/>
    <x v="4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CƠ SỞ TÍN NGƯỠNG"/>
    <m/>
    <n v="0"/>
    <x v="49"/>
    <m/>
    <x v="49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SÔNG SUỐI"/>
    <m/>
    <n v="0"/>
    <x v="50"/>
    <m/>
    <x v="5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MẶT NƯỚC CHUYÊN DÙNG"/>
    <m/>
    <n v="0"/>
    <x v="51"/>
    <m/>
    <x v="5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s v="ĐẤT PHI NÔNG NGHIỆP CÒN LẠI"/>
    <m/>
    <n v="0"/>
    <x v="52"/>
    <m/>
    <x v="5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II"/>
    <s v="ĐẤT CHƯA SỬ DỤNG "/>
    <m/>
    <n v="0"/>
    <x v="53"/>
    <m/>
    <x v="5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n v="0"/>
    <x v="3"/>
    <m/>
    <x v="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m/>
    <m/>
    <m/>
    <x v="3"/>
    <m/>
    <x v="3"/>
    <m/>
    <n v="182.5155"/>
    <m/>
    <n v="0"/>
    <n v="182.5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x v="3"/>
    <m/>
    <x v="3"/>
    <m/>
    <m/>
    <m/>
    <n v="12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x v="3"/>
    <m/>
    <x v="3"/>
    <m/>
    <m/>
    <m/>
    <n v="-12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C00-000000000000}" name="PivotTable1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TNG4" fld="130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500-000000000000}" name="PivotTable8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NT4" fld="139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600-000000000000}" name="PivotTable9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QT4" fld="140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700-000000000000}" name="PivotTable10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SB4" fld="141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800-000000000000}" name="PivotTable11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SN4" fld="142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900-000000000000}" name="PivotTable12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SR4" fld="143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A00-000000000000}" name="PivotTable13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XB4" fld="144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B00-000000000000}" name="PivotTable14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XS4" fld="145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C00-000000000000}" name="PivotTable15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dataField="1"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CMD 16" fld="45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D00-000000000000}" name="PivotTable2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BC4" fld="131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E00-000000000000}" name="PivotTable3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BB4" fld="132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F00-000000000000}" name="PivotTable1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BG4" fld="133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000-000000000000}" name="PivotTable2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BT4" fld="134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100-000000000000}" name="PivotTable3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CB4" fld="135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200-000000000000}" name="PivotTable5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DB4" fld="136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300-000000000000}" name="PivotTable6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KL4" fld="137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3400-000000000000}" name="PivotTable7" cacheId="0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BD59" firstHeaderRow="1" firstDataRow="2" firstDataCol="1"/>
  <pivotFields count="2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m="1" x="54"/>
        <item x="35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55">
        <item x="16"/>
        <item x="7"/>
        <item x="15"/>
        <item x="53"/>
        <item x="26"/>
        <item x="34"/>
        <item x="37"/>
        <item x="36"/>
        <item x="30"/>
        <item x="24"/>
        <item x="23"/>
        <item x="48"/>
        <item x="43"/>
        <item x="27"/>
        <item x="38"/>
        <item x="47"/>
        <item x="25"/>
        <item x="42"/>
        <item x="31"/>
        <item x="28"/>
        <item x="33"/>
        <item x="29"/>
        <item x="6"/>
        <item x="12"/>
        <item x="1"/>
        <item x="2"/>
        <item x="4"/>
        <item x="5"/>
        <item x="51"/>
        <item x="32"/>
        <item x="13"/>
        <item x="0"/>
        <item x="45"/>
        <item x="11"/>
        <item x="40"/>
        <item x="39"/>
        <item x="52"/>
        <item x="14"/>
        <item x="10"/>
        <item x="9"/>
        <item x="8"/>
        <item x="21"/>
        <item x="17"/>
        <item x="19"/>
        <item x="22"/>
        <item x="18"/>
        <item x="46"/>
        <item x="50"/>
        <item x="49"/>
        <item x="20"/>
        <item x="44"/>
        <item x="41"/>
        <item x="3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 t="grand">
      <x/>
    </i>
  </rowItems>
  <colFields count="1">
    <field x="6"/>
  </colFields>
  <col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dataFields count="1">
    <dataField name="Sum of XLL4" fld="138" baseField="4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FF00"/>
  </sheetPr>
  <dimension ref="A1:H61"/>
  <sheetViews>
    <sheetView topLeftCell="A64" zoomScale="90" zoomScaleNormal="90" workbookViewId="0">
      <selection sqref="A1:XFD1048576"/>
    </sheetView>
  </sheetViews>
  <sheetFormatPr defaultColWidth="9" defaultRowHeight="13.2"/>
  <cols>
    <col min="1" max="1" width="4.19921875" style="633" customWidth="1"/>
    <col min="2" max="2" width="34.59765625" style="628" customWidth="1"/>
    <col min="3" max="3" width="4.09765625" style="621" customWidth="1"/>
    <col min="4" max="4" width="9.09765625" style="628" customWidth="1"/>
    <col min="5" max="5" width="7.69921875" style="628" customWidth="1"/>
    <col min="6" max="6" width="10" style="628" customWidth="1"/>
    <col min="7" max="7" width="8.5" style="628" customWidth="1"/>
    <col min="8" max="8" width="8.69921875" style="628" customWidth="1"/>
    <col min="9" max="16384" width="9" style="628"/>
  </cols>
  <sheetData>
    <row r="1" spans="1:8" s="615" customFormat="1" ht="13.8">
      <c r="A1" s="614" t="s">
        <v>627</v>
      </c>
      <c r="B1" s="614"/>
      <c r="C1" s="614"/>
      <c r="D1" s="614"/>
      <c r="E1" s="614"/>
      <c r="F1" s="614"/>
      <c r="G1" s="614"/>
      <c r="H1" s="614"/>
    </row>
    <row r="2" spans="1:8" s="135" customFormat="1" ht="13.8">
      <c r="A2" s="616" t="s">
        <v>340</v>
      </c>
      <c r="B2" s="616"/>
      <c r="C2" s="616"/>
      <c r="D2" s="616"/>
      <c r="E2" s="616"/>
      <c r="F2" s="616"/>
      <c r="G2" s="616"/>
      <c r="H2" s="616"/>
    </row>
    <row r="3" spans="1:8" s="619" customFormat="1">
      <c r="A3" s="617" t="s">
        <v>626</v>
      </c>
      <c r="B3" s="618" t="s">
        <v>1</v>
      </c>
      <c r="C3" s="618" t="s">
        <v>2</v>
      </c>
      <c r="D3" s="618" t="s">
        <v>628</v>
      </c>
      <c r="E3" s="618"/>
      <c r="F3" s="618" t="s">
        <v>629</v>
      </c>
      <c r="G3" s="618"/>
      <c r="H3" s="545" t="s">
        <v>265</v>
      </c>
    </row>
    <row r="4" spans="1:8" s="620" customFormat="1">
      <c r="A4" s="617"/>
      <c r="B4" s="618"/>
      <c r="C4" s="618"/>
      <c r="D4" s="545" t="s">
        <v>630</v>
      </c>
      <c r="E4" s="545" t="s">
        <v>4</v>
      </c>
      <c r="F4" s="545" t="s">
        <v>630</v>
      </c>
      <c r="G4" s="545" t="s">
        <v>4</v>
      </c>
      <c r="H4" s="545"/>
    </row>
    <row r="5" spans="1:8" s="621" customFormat="1">
      <c r="A5" s="617"/>
      <c r="B5" s="618"/>
      <c r="C5" s="618"/>
      <c r="D5" s="618"/>
      <c r="E5" s="545"/>
      <c r="F5" s="618"/>
      <c r="G5" s="545"/>
      <c r="H5" s="545"/>
    </row>
    <row r="6" spans="1:8" s="624" customFormat="1" ht="10.199999999999999">
      <c r="A6" s="622" t="s">
        <v>5</v>
      </c>
      <c r="B6" s="623" t="s">
        <v>6</v>
      </c>
      <c r="C6" s="623" t="s">
        <v>7</v>
      </c>
      <c r="D6" s="623" t="s">
        <v>164</v>
      </c>
      <c r="E6" s="623" t="s">
        <v>8</v>
      </c>
      <c r="F6" s="248">
        <v>-6</v>
      </c>
      <c r="G6" s="248">
        <v>-7</v>
      </c>
      <c r="H6" s="248" t="s">
        <v>266</v>
      </c>
    </row>
    <row r="7" spans="1:8" s="620" customFormat="1">
      <c r="A7" s="625"/>
      <c r="B7" s="460" t="s">
        <v>20</v>
      </c>
      <c r="C7" s="461"/>
      <c r="D7" s="462">
        <v>66414.220723000006</v>
      </c>
      <c r="E7" s="462">
        <v>100</v>
      </c>
      <c r="F7" s="462">
        <v>66414.220723000006</v>
      </c>
      <c r="G7" s="462">
        <v>100</v>
      </c>
      <c r="H7" s="462">
        <v>0</v>
      </c>
    </row>
    <row r="8" spans="1:8" s="619" customFormat="1">
      <c r="A8" s="626">
        <v>1</v>
      </c>
      <c r="B8" s="460" t="s">
        <v>21</v>
      </c>
      <c r="C8" s="463" t="s">
        <v>22</v>
      </c>
      <c r="D8" s="462">
        <v>58690.14425016821</v>
      </c>
      <c r="E8" s="462">
        <v>88.369845510877383</v>
      </c>
      <c r="F8" s="462">
        <v>47273.624558101634</v>
      </c>
      <c r="G8" s="462">
        <v>71.179973269987102</v>
      </c>
      <c r="H8" s="462">
        <v>-11416.519692066577</v>
      </c>
    </row>
    <row r="9" spans="1:8">
      <c r="A9" s="627"/>
      <c r="B9" s="464" t="s">
        <v>187</v>
      </c>
      <c r="C9" s="465"/>
      <c r="D9" s="466"/>
      <c r="E9" s="466"/>
      <c r="F9" s="466"/>
      <c r="G9" s="466"/>
      <c r="H9" s="466"/>
    </row>
    <row r="10" spans="1:8">
      <c r="A10" s="629" t="s">
        <v>23</v>
      </c>
      <c r="B10" s="467" t="s">
        <v>24</v>
      </c>
      <c r="C10" s="468" t="s">
        <v>25</v>
      </c>
      <c r="D10" s="469">
        <v>1020.4820000000001</v>
      </c>
      <c r="E10" s="469">
        <v>1.5365414046732848</v>
      </c>
      <c r="F10" s="469">
        <v>499.82014200000003</v>
      </c>
      <c r="G10" s="469">
        <v>0.75257999952246157</v>
      </c>
      <c r="H10" s="469">
        <v>-520.66185800000005</v>
      </c>
    </row>
    <row r="11" spans="1:8" s="631" customFormat="1">
      <c r="A11" s="630"/>
      <c r="B11" s="470" t="s">
        <v>306</v>
      </c>
      <c r="C11" s="471" t="s">
        <v>27</v>
      </c>
      <c r="D11" s="472">
        <v>74.087230000000005</v>
      </c>
      <c r="E11" s="472">
        <v>0.11155326252942505</v>
      </c>
      <c r="F11" s="469">
        <v>73.087230000000005</v>
      </c>
      <c r="G11" s="472">
        <v>0.11004756090541472</v>
      </c>
      <c r="H11" s="472">
        <v>-1</v>
      </c>
    </row>
    <row r="12" spans="1:8" s="631" customFormat="1">
      <c r="A12" s="629" t="s">
        <v>32</v>
      </c>
      <c r="B12" s="473" t="s">
        <v>33</v>
      </c>
      <c r="C12" s="468" t="s">
        <v>34</v>
      </c>
      <c r="D12" s="469">
        <v>235.54100699999998</v>
      </c>
      <c r="E12" s="469">
        <v>0.35465447676092271</v>
      </c>
      <c r="F12" s="469">
        <v>231.08399199999997</v>
      </c>
      <c r="G12" s="469">
        <v>0.34794354203718442</v>
      </c>
      <c r="H12" s="469">
        <v>-4.4570150000000126</v>
      </c>
    </row>
    <row r="13" spans="1:8">
      <c r="A13" s="629" t="s">
        <v>35</v>
      </c>
      <c r="B13" s="467" t="s">
        <v>36</v>
      </c>
      <c r="C13" s="468" t="s">
        <v>37</v>
      </c>
      <c r="D13" s="469">
        <v>50521.898718323195</v>
      </c>
      <c r="E13" s="469">
        <v>76.070904948263404</v>
      </c>
      <c r="F13" s="469">
        <v>43664.30324757607</v>
      </c>
      <c r="G13" s="469">
        <v>65.745412311153757</v>
      </c>
      <c r="H13" s="469">
        <v>-6857.5954707471246</v>
      </c>
    </row>
    <row r="14" spans="1:8">
      <c r="A14" s="629" t="s">
        <v>38</v>
      </c>
      <c r="B14" s="474" t="s">
        <v>41</v>
      </c>
      <c r="C14" s="468" t="s">
        <v>42</v>
      </c>
      <c r="D14" s="469">
        <v>512.88672500000007</v>
      </c>
      <c r="E14" s="469">
        <v>0.77225437476582715</v>
      </c>
      <c r="F14" s="469">
        <v>0</v>
      </c>
      <c r="G14" s="469">
        <v>0</v>
      </c>
      <c r="H14" s="469">
        <v>-512.88672500000007</v>
      </c>
    </row>
    <row r="15" spans="1:8">
      <c r="A15" s="629" t="s">
        <v>40</v>
      </c>
      <c r="B15" s="474" t="s">
        <v>44</v>
      </c>
      <c r="C15" s="468" t="s">
        <v>42</v>
      </c>
      <c r="D15" s="469">
        <v>0</v>
      </c>
      <c r="E15" s="469">
        <v>0</v>
      </c>
      <c r="F15" s="469">
        <v>0</v>
      </c>
      <c r="G15" s="469">
        <v>0</v>
      </c>
      <c r="H15" s="469">
        <v>0</v>
      </c>
    </row>
    <row r="16" spans="1:8">
      <c r="A16" s="629" t="s">
        <v>43</v>
      </c>
      <c r="B16" s="474" t="s">
        <v>221</v>
      </c>
      <c r="C16" s="468" t="s">
        <v>39</v>
      </c>
      <c r="D16" s="469">
        <v>5864.1843749999998</v>
      </c>
      <c r="E16" s="469">
        <v>8.829711936933359</v>
      </c>
      <c r="F16" s="469">
        <v>0</v>
      </c>
      <c r="G16" s="469">
        <v>0</v>
      </c>
      <c r="H16" s="469">
        <v>-5864.1843749999998</v>
      </c>
    </row>
    <row r="17" spans="1:8">
      <c r="A17" s="630"/>
      <c r="B17" s="475" t="s">
        <v>342</v>
      </c>
      <c r="C17" s="471" t="s">
        <v>293</v>
      </c>
      <c r="D17" s="472">
        <v>0</v>
      </c>
      <c r="E17" s="472">
        <v>0</v>
      </c>
      <c r="F17" s="469">
        <v>0</v>
      </c>
      <c r="G17" s="472">
        <v>0</v>
      </c>
      <c r="H17" s="472"/>
    </row>
    <row r="18" spans="1:8">
      <c r="A18" s="629" t="s">
        <v>46</v>
      </c>
      <c r="B18" s="467" t="s">
        <v>47</v>
      </c>
      <c r="C18" s="468" t="s">
        <v>48</v>
      </c>
      <c r="D18" s="469">
        <v>44.726283845006691</v>
      </c>
      <c r="E18" s="469">
        <v>6.7344438221372468E-2</v>
      </c>
      <c r="F18" s="469">
        <v>48.960183845006696</v>
      </c>
      <c r="G18" s="469">
        <v>7.3719428327269715E-2</v>
      </c>
      <c r="H18" s="469">
        <v>4.2339000000000055</v>
      </c>
    </row>
    <row r="19" spans="1:8">
      <c r="A19" s="629" t="s">
        <v>49</v>
      </c>
      <c r="B19" s="467" t="s">
        <v>50</v>
      </c>
      <c r="C19" s="468" t="s">
        <v>51</v>
      </c>
      <c r="D19" s="469">
        <v>0</v>
      </c>
      <c r="E19" s="469">
        <v>0</v>
      </c>
      <c r="F19" s="469">
        <v>0</v>
      </c>
      <c r="G19" s="469">
        <v>0</v>
      </c>
      <c r="H19" s="469">
        <v>0</v>
      </c>
    </row>
    <row r="20" spans="1:8">
      <c r="A20" s="632" t="s">
        <v>52</v>
      </c>
      <c r="B20" s="476" t="s">
        <v>53</v>
      </c>
      <c r="C20" s="477" t="s">
        <v>54</v>
      </c>
      <c r="D20" s="478">
        <v>490.425141</v>
      </c>
      <c r="E20" s="478">
        <v>0.73843393125918311</v>
      </c>
      <c r="F20" s="469">
        <v>2829.4569926805443</v>
      </c>
      <c r="G20" s="478">
        <v>4.2603179889464116</v>
      </c>
      <c r="H20" s="478">
        <v>2339.0318516805442</v>
      </c>
    </row>
    <row r="21" spans="1:8" s="619" customFormat="1">
      <c r="A21" s="626">
        <v>2</v>
      </c>
      <c r="B21" s="460" t="s">
        <v>55</v>
      </c>
      <c r="C21" s="463" t="s">
        <v>56</v>
      </c>
      <c r="D21" s="462">
        <v>7724.0764728317881</v>
      </c>
      <c r="E21" s="462">
        <v>11.630154489122617</v>
      </c>
      <c r="F21" s="462">
        <v>19140.596164898372</v>
      </c>
      <c r="G21" s="462">
        <v>28.820026730012906</v>
      </c>
      <c r="H21" s="462">
        <v>11416.519692066584</v>
      </c>
    </row>
    <row r="22" spans="1:8">
      <c r="A22" s="627"/>
      <c r="B22" s="464" t="s">
        <v>187</v>
      </c>
      <c r="C22" s="465"/>
      <c r="D22" s="466"/>
      <c r="E22" s="466"/>
      <c r="F22" s="479"/>
      <c r="G22" s="466"/>
      <c r="H22" s="466"/>
    </row>
    <row r="23" spans="1:8">
      <c r="A23" s="629" t="s">
        <v>57</v>
      </c>
      <c r="B23" s="480" t="s">
        <v>71</v>
      </c>
      <c r="C23" s="468" t="s">
        <v>72</v>
      </c>
      <c r="D23" s="469">
        <v>374.66124597094733</v>
      </c>
      <c r="E23" s="469">
        <v>0.56412804651217996</v>
      </c>
      <c r="F23" s="469">
        <v>931.79124597094733</v>
      </c>
      <c r="G23" s="469">
        <v>1.4029995922970415</v>
      </c>
      <c r="H23" s="469">
        <v>557.13</v>
      </c>
    </row>
    <row r="24" spans="1:8">
      <c r="A24" s="629" t="s">
        <v>59</v>
      </c>
      <c r="B24" s="480" t="s">
        <v>74</v>
      </c>
      <c r="C24" s="468" t="s">
        <v>75</v>
      </c>
      <c r="D24" s="469">
        <v>1080.1335779999999</v>
      </c>
      <c r="E24" s="469">
        <v>1.6263588825426618</v>
      </c>
      <c r="F24" s="469">
        <v>1084.5451889999997</v>
      </c>
      <c r="G24" s="469">
        <v>1.6330014523898633</v>
      </c>
      <c r="H24" s="469">
        <v>4.4116109999997661</v>
      </c>
    </row>
    <row r="25" spans="1:8">
      <c r="A25" s="629" t="s">
        <v>61</v>
      </c>
      <c r="B25" s="467" t="s">
        <v>77</v>
      </c>
      <c r="C25" s="468" t="s">
        <v>78</v>
      </c>
      <c r="D25" s="469">
        <v>862.78483199999994</v>
      </c>
      <c r="E25" s="469">
        <v>1.2990965227138587</v>
      </c>
      <c r="F25" s="469">
        <v>3841.9784989999998</v>
      </c>
      <c r="G25" s="469">
        <v>5.7848732653569757</v>
      </c>
      <c r="H25" s="469">
        <v>2979.193667</v>
      </c>
    </row>
    <row r="26" spans="1:8">
      <c r="A26" s="629" t="s">
        <v>64</v>
      </c>
      <c r="B26" s="467" t="s">
        <v>83</v>
      </c>
      <c r="C26" s="468" t="s">
        <v>84</v>
      </c>
      <c r="D26" s="469">
        <v>0</v>
      </c>
      <c r="E26" s="469">
        <v>0</v>
      </c>
      <c r="F26" s="469">
        <v>605</v>
      </c>
      <c r="G26" s="469">
        <v>0.91094948252623487</v>
      </c>
      <c r="H26" s="469">
        <v>605</v>
      </c>
    </row>
    <row r="27" spans="1:8">
      <c r="A27" s="629" t="s">
        <v>67</v>
      </c>
      <c r="B27" s="467" t="s">
        <v>86</v>
      </c>
      <c r="C27" s="468" t="s">
        <v>87</v>
      </c>
      <c r="D27" s="469">
        <v>8.2458519999999993</v>
      </c>
      <c r="E27" s="469">
        <v>1.2415792747748625E-2</v>
      </c>
      <c r="F27" s="469">
        <v>201.789264</v>
      </c>
      <c r="G27" s="469">
        <v>0.30383442251264425</v>
      </c>
      <c r="H27" s="469">
        <v>193.54341199999999</v>
      </c>
    </row>
    <row r="28" spans="1:8">
      <c r="A28" s="629" t="s">
        <v>70</v>
      </c>
      <c r="B28" s="467" t="s">
        <v>89</v>
      </c>
      <c r="C28" s="468" t="s">
        <v>90</v>
      </c>
      <c r="D28" s="469">
        <v>457.06079299999999</v>
      </c>
      <c r="E28" s="469">
        <v>0.68819717829153804</v>
      </c>
      <c r="F28" s="469">
        <v>767.32716299999993</v>
      </c>
      <c r="G28" s="469">
        <v>1.1553657554763204</v>
      </c>
      <c r="H28" s="469">
        <v>310.26636999999994</v>
      </c>
    </row>
    <row r="29" spans="1:8">
      <c r="A29" s="629" t="s">
        <v>73</v>
      </c>
      <c r="B29" s="467" t="s">
        <v>343</v>
      </c>
      <c r="C29" s="468" t="s">
        <v>95</v>
      </c>
      <c r="D29" s="469">
        <v>275.29837200000003</v>
      </c>
      <c r="E29" s="469">
        <v>0.41451720580779328</v>
      </c>
      <c r="F29" s="469">
        <v>1313.0183719999998</v>
      </c>
      <c r="G29" s="469">
        <v>1.9770138950757674</v>
      </c>
      <c r="H29" s="469">
        <v>1037.7199999999998</v>
      </c>
    </row>
    <row r="30" spans="1:8">
      <c r="A30" s="629" t="s">
        <v>76</v>
      </c>
      <c r="B30" s="224" t="s">
        <v>241</v>
      </c>
      <c r="C30" s="468" t="s">
        <v>92</v>
      </c>
      <c r="D30" s="469">
        <v>47.51398300000001</v>
      </c>
      <c r="E30" s="469">
        <v>7.1541881366298063E-2</v>
      </c>
      <c r="F30" s="469">
        <v>579.53398299999992</v>
      </c>
      <c r="G30" s="469">
        <v>0.87260525937226074</v>
      </c>
      <c r="H30" s="469">
        <v>532.01999999999987</v>
      </c>
    </row>
    <row r="31" spans="1:8">
      <c r="A31" s="629" t="s">
        <v>79</v>
      </c>
      <c r="B31" s="467" t="s">
        <v>344</v>
      </c>
      <c r="C31" s="468" t="s">
        <v>118</v>
      </c>
      <c r="D31" s="469">
        <v>2201.0391847058477</v>
      </c>
      <c r="E31" s="469">
        <v>3.3141082749219142</v>
      </c>
      <c r="F31" s="469">
        <v>5412.0076577963609</v>
      </c>
      <c r="G31" s="469">
        <v>8.1488687195001912</v>
      </c>
      <c r="H31" s="469">
        <v>3210.9684730905133</v>
      </c>
    </row>
    <row r="32" spans="1:8" s="631" customFormat="1">
      <c r="A32" s="630"/>
      <c r="B32" s="481" t="s">
        <v>187</v>
      </c>
      <c r="C32" s="471"/>
      <c r="D32" s="472"/>
      <c r="E32" s="472"/>
      <c r="F32" s="472"/>
      <c r="G32" s="472"/>
      <c r="H32" s="472"/>
    </row>
    <row r="33" spans="1:8" s="631" customFormat="1">
      <c r="A33" s="630" t="s">
        <v>345</v>
      </c>
      <c r="B33" s="481" t="s">
        <v>294</v>
      </c>
      <c r="C33" s="471" t="s">
        <v>120</v>
      </c>
      <c r="D33" s="472">
        <v>1581.3146290000002</v>
      </c>
      <c r="E33" s="472">
        <v>2.3809880049565542</v>
      </c>
      <c r="F33" s="472">
        <v>3433.7541590000001</v>
      </c>
      <c r="G33" s="472">
        <v>5.170209213658441</v>
      </c>
      <c r="H33" s="472">
        <v>1852.4395299999999</v>
      </c>
    </row>
    <row r="34" spans="1:8" s="631" customFormat="1">
      <c r="A34" s="630" t="s">
        <v>345</v>
      </c>
      <c r="B34" s="481" t="s">
        <v>295</v>
      </c>
      <c r="C34" s="471" t="s">
        <v>122</v>
      </c>
      <c r="D34" s="472">
        <v>108.31426900000001</v>
      </c>
      <c r="E34" s="472">
        <v>0.16308897073678913</v>
      </c>
      <c r="F34" s="472">
        <v>336.71456900000004</v>
      </c>
      <c r="G34" s="472">
        <v>0.50699167337123019</v>
      </c>
      <c r="H34" s="472">
        <v>228.40030000000002</v>
      </c>
    </row>
    <row r="35" spans="1:8" s="631" customFormat="1">
      <c r="A35" s="630" t="s">
        <v>345</v>
      </c>
      <c r="B35" s="481" t="s">
        <v>296</v>
      </c>
      <c r="C35" s="471" t="s">
        <v>128</v>
      </c>
      <c r="D35" s="472">
        <v>27.272508999999999</v>
      </c>
      <c r="E35" s="472">
        <v>4.1064261092135679E-2</v>
      </c>
      <c r="F35" s="472">
        <v>47.495559619999106</v>
      </c>
      <c r="G35" s="472">
        <v>7.1514141253110952E-2</v>
      </c>
      <c r="H35" s="472">
        <v>20.223050619999107</v>
      </c>
    </row>
    <row r="36" spans="1:8" s="631" customFormat="1">
      <c r="A36" s="630" t="s">
        <v>345</v>
      </c>
      <c r="B36" s="481" t="s">
        <v>297</v>
      </c>
      <c r="C36" s="471" t="s">
        <v>130</v>
      </c>
      <c r="D36" s="472">
        <v>32.223337999999998</v>
      </c>
      <c r="E36" s="472">
        <v>4.8518732357632988E-2</v>
      </c>
      <c r="F36" s="472">
        <v>9.9352423002474186</v>
      </c>
      <c r="G36" s="472">
        <v>1.4959510466418423E-2</v>
      </c>
      <c r="H36" s="472">
        <v>-22.288095699752581</v>
      </c>
    </row>
    <row r="37" spans="1:8" s="631" customFormat="1">
      <c r="A37" s="630" t="s">
        <v>345</v>
      </c>
      <c r="B37" s="481" t="s">
        <v>298</v>
      </c>
      <c r="C37" s="471" t="s">
        <v>132</v>
      </c>
      <c r="D37" s="472">
        <v>65.462155705847735</v>
      </c>
      <c r="E37" s="472">
        <v>9.8566474157510436E-2</v>
      </c>
      <c r="F37" s="472">
        <v>105.1195570089003</v>
      </c>
      <c r="G37" s="472">
        <v>0.15827868770354508</v>
      </c>
      <c r="H37" s="472">
        <v>39.657401303052566</v>
      </c>
    </row>
    <row r="38" spans="1:8" s="631" customFormat="1">
      <c r="A38" s="630" t="s">
        <v>345</v>
      </c>
      <c r="B38" s="481" t="s">
        <v>299</v>
      </c>
      <c r="C38" s="471" t="s">
        <v>134</v>
      </c>
      <c r="D38" s="472">
        <v>22.222180999999999</v>
      </c>
      <c r="E38" s="472">
        <v>3.3459974020750953E-2</v>
      </c>
      <c r="F38" s="472">
        <v>83.903034402438436</v>
      </c>
      <c r="G38" s="472">
        <v>0.12633293515914409</v>
      </c>
      <c r="H38" s="472">
        <v>61.680853402438437</v>
      </c>
    </row>
    <row r="39" spans="1:8" s="631" customFormat="1">
      <c r="A39" s="630" t="s">
        <v>345</v>
      </c>
      <c r="B39" s="481" t="s">
        <v>300</v>
      </c>
      <c r="C39" s="471" t="s">
        <v>124</v>
      </c>
      <c r="D39" s="472">
        <v>221.21611300000001</v>
      </c>
      <c r="E39" s="472">
        <v>0.33308546060134725</v>
      </c>
      <c r="F39" s="472">
        <v>1003.5967840000002</v>
      </c>
      <c r="G39" s="472">
        <v>1.5111173075203201</v>
      </c>
      <c r="H39" s="472">
        <v>782.38067100000012</v>
      </c>
    </row>
    <row r="40" spans="1:8" s="631" customFormat="1">
      <c r="A40" s="630" t="s">
        <v>345</v>
      </c>
      <c r="B40" s="481" t="s">
        <v>301</v>
      </c>
      <c r="C40" s="471" t="s">
        <v>126</v>
      </c>
      <c r="D40" s="472">
        <v>1.6456760000000001</v>
      </c>
      <c r="E40" s="472">
        <v>2.4778970257947836E-3</v>
      </c>
      <c r="F40" s="472">
        <v>3.232745</v>
      </c>
      <c r="G40" s="472">
        <v>4.8675493965111959E-3</v>
      </c>
      <c r="H40" s="472">
        <v>1.5870689999999998</v>
      </c>
    </row>
    <row r="41" spans="1:8" s="631" customFormat="1">
      <c r="A41" s="630" t="s">
        <v>345</v>
      </c>
      <c r="B41" s="481" t="s">
        <v>302</v>
      </c>
      <c r="C41" s="471" t="s">
        <v>305</v>
      </c>
      <c r="D41" s="472">
        <v>0</v>
      </c>
      <c r="E41" s="472">
        <v>0</v>
      </c>
      <c r="F41" s="472">
        <v>0</v>
      </c>
      <c r="G41" s="472">
        <v>0</v>
      </c>
      <c r="H41" s="472">
        <v>0</v>
      </c>
    </row>
    <row r="42" spans="1:8" s="631" customFormat="1" ht="12.6" customHeight="1">
      <c r="A42" s="630" t="s">
        <v>345</v>
      </c>
      <c r="B42" s="481" t="s">
        <v>631</v>
      </c>
      <c r="C42" s="471" t="s">
        <v>97</v>
      </c>
      <c r="D42" s="472">
        <v>1.572659</v>
      </c>
      <c r="E42" s="472">
        <v>2.3679552103144231E-3</v>
      </c>
      <c r="F42" s="472">
        <v>11.072659</v>
      </c>
      <c r="G42" s="472">
        <v>1.6672120638412329E-2</v>
      </c>
      <c r="H42" s="472">
        <v>9.5</v>
      </c>
    </row>
    <row r="43" spans="1:8" s="631" customFormat="1">
      <c r="A43" s="630" t="s">
        <v>345</v>
      </c>
      <c r="B43" s="481" t="s">
        <v>271</v>
      </c>
      <c r="C43" s="471" t="s">
        <v>103</v>
      </c>
      <c r="D43" s="472">
        <v>24.573335</v>
      </c>
      <c r="E43" s="472">
        <v>3.7000110416849287E-2</v>
      </c>
      <c r="F43" s="472">
        <v>50.97064356410263</v>
      </c>
      <c r="G43" s="472">
        <v>7.6746580791319768E-2</v>
      </c>
      <c r="H43" s="472">
        <v>26.39730856410263</v>
      </c>
    </row>
    <row r="44" spans="1:8" s="631" customFormat="1">
      <c r="A44" s="630" t="s">
        <v>345</v>
      </c>
      <c r="B44" s="481" t="s">
        <v>105</v>
      </c>
      <c r="C44" s="471" t="s">
        <v>106</v>
      </c>
      <c r="D44" s="472">
        <v>13.322333999999996</v>
      </c>
      <c r="E44" s="472">
        <v>2.0059459939407706E-2</v>
      </c>
      <c r="F44" s="472">
        <v>42.990245000000002</v>
      </c>
      <c r="G44" s="472">
        <v>6.4730481713100932E-2</v>
      </c>
      <c r="H44" s="472">
        <v>29.667911000000004</v>
      </c>
    </row>
    <row r="45" spans="1:8" s="631" customFormat="1">
      <c r="A45" s="630" t="s">
        <v>345</v>
      </c>
      <c r="B45" s="481" t="s">
        <v>518</v>
      </c>
      <c r="C45" s="471" t="s">
        <v>111</v>
      </c>
      <c r="D45" s="472">
        <v>97.492464000000012</v>
      </c>
      <c r="E45" s="472">
        <v>0.14679456137356628</v>
      </c>
      <c r="F45" s="472">
        <v>236.70720156092497</v>
      </c>
      <c r="G45" s="472">
        <v>0.35641041780521948</v>
      </c>
      <c r="H45" s="472">
        <v>139.21473756092496</v>
      </c>
    </row>
    <row r="46" spans="1:8" s="631" customFormat="1">
      <c r="A46" s="630" t="s">
        <v>345</v>
      </c>
      <c r="B46" s="481" t="s">
        <v>303</v>
      </c>
      <c r="C46" s="471" t="s">
        <v>136</v>
      </c>
      <c r="D46" s="472">
        <v>0</v>
      </c>
      <c r="E46" s="472">
        <v>0</v>
      </c>
      <c r="F46" s="472">
        <v>0</v>
      </c>
      <c r="G46" s="472">
        <v>0</v>
      </c>
      <c r="H46" s="472">
        <v>0</v>
      </c>
    </row>
    <row r="47" spans="1:8" s="631" customFormat="1">
      <c r="A47" s="630" t="s">
        <v>345</v>
      </c>
      <c r="B47" s="481" t="s">
        <v>304</v>
      </c>
      <c r="C47" s="471" t="s">
        <v>138</v>
      </c>
      <c r="D47" s="472">
        <v>0</v>
      </c>
      <c r="E47" s="472">
        <v>0</v>
      </c>
      <c r="F47" s="472">
        <v>22.657395789750886</v>
      </c>
      <c r="G47" s="472">
        <v>3.4115277636472173E-2</v>
      </c>
      <c r="H47" s="472">
        <v>22.657395789750886</v>
      </c>
    </row>
    <row r="48" spans="1:8" s="631" customFormat="1">
      <c r="A48" s="630" t="s">
        <v>345</v>
      </c>
      <c r="B48" s="481" t="s">
        <v>263</v>
      </c>
      <c r="C48" s="471" t="s">
        <v>140</v>
      </c>
      <c r="D48" s="472">
        <v>4.4075220000000002</v>
      </c>
      <c r="E48" s="472">
        <v>6.6364130332611498E-3</v>
      </c>
      <c r="F48" s="472">
        <v>23.85786254999644</v>
      </c>
      <c r="G48" s="472">
        <v>3.5922822386944289E-2</v>
      </c>
      <c r="H48" s="472">
        <v>19.45034054999644</v>
      </c>
    </row>
    <row r="49" spans="1:8">
      <c r="A49" s="629" t="s">
        <v>82</v>
      </c>
      <c r="B49" s="467" t="s">
        <v>99</v>
      </c>
      <c r="C49" s="468" t="s">
        <v>100</v>
      </c>
      <c r="D49" s="469">
        <v>0</v>
      </c>
      <c r="E49" s="469">
        <v>0</v>
      </c>
      <c r="F49" s="469">
        <v>0</v>
      </c>
      <c r="G49" s="469">
        <v>0</v>
      </c>
      <c r="H49" s="469">
        <v>0</v>
      </c>
    </row>
    <row r="50" spans="1:8">
      <c r="A50" s="629" t="s">
        <v>85</v>
      </c>
      <c r="B50" s="467" t="s">
        <v>142</v>
      </c>
      <c r="C50" s="468" t="s">
        <v>143</v>
      </c>
      <c r="D50" s="469">
        <v>12.401898000000001</v>
      </c>
      <c r="E50" s="469">
        <v>1.8673557959410163E-2</v>
      </c>
      <c r="F50" s="469">
        <v>28.569083071064043</v>
      </c>
      <c r="G50" s="469">
        <v>4.3016514776586461E-2</v>
      </c>
      <c r="H50" s="469">
        <v>16.16718507106404</v>
      </c>
    </row>
    <row r="51" spans="1:8">
      <c r="A51" s="629" t="s">
        <v>88</v>
      </c>
      <c r="B51" s="467" t="s">
        <v>145</v>
      </c>
      <c r="C51" s="468" t="s">
        <v>146</v>
      </c>
      <c r="D51" s="469">
        <v>9.9138779999999986</v>
      </c>
      <c r="E51" s="469">
        <v>1.4927342204840039E-2</v>
      </c>
      <c r="F51" s="469">
        <v>30.777085645000859</v>
      </c>
      <c r="G51" s="469">
        <v>4.6341107837982058E-2</v>
      </c>
      <c r="H51" s="469">
        <v>20.863207645000863</v>
      </c>
    </row>
    <row r="52" spans="1:8">
      <c r="A52" s="629" t="s">
        <v>91</v>
      </c>
      <c r="B52" s="467" t="s">
        <v>238</v>
      </c>
      <c r="C52" s="468" t="s">
        <v>58</v>
      </c>
      <c r="D52" s="469">
        <v>559.67882700000007</v>
      </c>
      <c r="E52" s="469">
        <v>0.84270931873808297</v>
      </c>
      <c r="F52" s="469">
        <v>2008.4460915</v>
      </c>
      <c r="G52" s="469">
        <v>3.0241205417087009</v>
      </c>
      <c r="H52" s="469">
        <v>1448.7672644999998</v>
      </c>
    </row>
    <row r="53" spans="1:8">
      <c r="A53" s="629" t="s">
        <v>93</v>
      </c>
      <c r="B53" s="467" t="s">
        <v>239</v>
      </c>
      <c r="C53" s="468" t="s">
        <v>60</v>
      </c>
      <c r="D53" s="469">
        <v>130.01883699999999</v>
      </c>
      <c r="E53" s="469">
        <v>0.19576957402283121</v>
      </c>
      <c r="F53" s="469">
        <v>611.84295525000016</v>
      </c>
      <c r="G53" s="469">
        <v>0.92125293135918995</v>
      </c>
      <c r="H53" s="469">
        <v>481.8241182500002</v>
      </c>
    </row>
    <row r="54" spans="1:8">
      <c r="A54" s="629" t="s">
        <v>96</v>
      </c>
      <c r="B54" s="467" t="s">
        <v>62</v>
      </c>
      <c r="C54" s="468" t="s">
        <v>63</v>
      </c>
      <c r="D54" s="469">
        <v>36.096491999999998</v>
      </c>
      <c r="E54" s="469">
        <v>5.4350546625474998E-2</v>
      </c>
      <c r="F54" s="469">
        <v>41.214172000000012</v>
      </c>
      <c r="G54" s="469">
        <v>6.2056245712640082E-2</v>
      </c>
      <c r="H54" s="469">
        <v>5.1176800000000142</v>
      </c>
    </row>
    <row r="55" spans="1:8">
      <c r="A55" s="629" t="s">
        <v>98</v>
      </c>
      <c r="B55" s="467" t="s">
        <v>632</v>
      </c>
      <c r="C55" s="468" t="s">
        <v>66</v>
      </c>
      <c r="D55" s="469">
        <v>0.48929600000000001</v>
      </c>
      <c r="E55" s="469">
        <v>7.367337818217465E-4</v>
      </c>
      <c r="F55" s="469">
        <v>0.48929600000000001</v>
      </c>
      <c r="G55" s="469">
        <v>7.367337818217465E-4</v>
      </c>
      <c r="H55" s="469">
        <v>0</v>
      </c>
    </row>
    <row r="56" spans="1:8">
      <c r="A56" s="629" t="s">
        <v>101</v>
      </c>
      <c r="B56" s="467" t="s">
        <v>68</v>
      </c>
      <c r="C56" s="468" t="s">
        <v>69</v>
      </c>
      <c r="D56" s="469">
        <v>0</v>
      </c>
      <c r="E56" s="469">
        <v>0</v>
      </c>
      <c r="F56" s="469">
        <v>0</v>
      </c>
      <c r="G56" s="469">
        <v>0</v>
      </c>
      <c r="H56" s="469">
        <v>0</v>
      </c>
    </row>
    <row r="57" spans="1:8">
      <c r="A57" s="629" t="s">
        <v>104</v>
      </c>
      <c r="B57" s="467" t="s">
        <v>108</v>
      </c>
      <c r="C57" s="468" t="s">
        <v>109</v>
      </c>
      <c r="D57" s="469">
        <v>0.27047700000000002</v>
      </c>
      <c r="E57" s="469">
        <v>4.0725765815743546E-4</v>
      </c>
      <c r="F57" s="469">
        <v>4.0704770000000003</v>
      </c>
      <c r="G57" s="469">
        <v>6.1289238293965971E-3</v>
      </c>
      <c r="H57" s="469">
        <v>3.8000000000000003</v>
      </c>
    </row>
    <row r="58" spans="1:8">
      <c r="A58" s="629" t="s">
        <v>107</v>
      </c>
      <c r="B58" s="467" t="s">
        <v>242</v>
      </c>
      <c r="C58" s="468" t="s">
        <v>116</v>
      </c>
      <c r="D58" s="469">
        <v>1342.4534100000001</v>
      </c>
      <c r="E58" s="469">
        <v>2.0213342795951728</v>
      </c>
      <c r="F58" s="469">
        <v>1265.7911100000001</v>
      </c>
      <c r="G58" s="469">
        <v>1.9059037299848074</v>
      </c>
      <c r="H58" s="469">
        <v>-76.662299999999959</v>
      </c>
    </row>
    <row r="59" spans="1:8">
      <c r="A59" s="629" t="s">
        <v>110</v>
      </c>
      <c r="B59" s="467" t="s">
        <v>272</v>
      </c>
      <c r="C59" s="468" t="s">
        <v>114</v>
      </c>
      <c r="D59" s="469">
        <v>323.38511615499334</v>
      </c>
      <c r="E59" s="469">
        <v>0.48692149457533485</v>
      </c>
      <c r="F59" s="469">
        <v>317.92102115499335</v>
      </c>
      <c r="G59" s="469">
        <v>0.47869419786008821</v>
      </c>
      <c r="H59" s="469">
        <v>-5.4640949999999862</v>
      </c>
    </row>
    <row r="60" spans="1:8">
      <c r="A60" s="632" t="s">
        <v>112</v>
      </c>
      <c r="B60" s="482" t="s">
        <v>148</v>
      </c>
      <c r="C60" s="477" t="s">
        <v>149</v>
      </c>
      <c r="D60" s="478">
        <v>2.630401</v>
      </c>
      <c r="E60" s="478">
        <v>3.960599057498332E-3</v>
      </c>
      <c r="F60" s="478">
        <v>94.483499510008656</v>
      </c>
      <c r="G60" s="478">
        <v>0.14226395865439695</v>
      </c>
      <c r="H60" s="478">
        <v>91.85309851000865</v>
      </c>
    </row>
    <row r="61" spans="1:8" s="619" customFormat="1">
      <c r="A61" s="626" t="s">
        <v>150</v>
      </c>
      <c r="B61" s="460" t="s">
        <v>151</v>
      </c>
      <c r="C61" s="463" t="s">
        <v>152</v>
      </c>
      <c r="D61" s="462">
        <v>0</v>
      </c>
      <c r="E61" s="462">
        <v>0</v>
      </c>
      <c r="F61" s="462">
        <v>0</v>
      </c>
      <c r="G61" s="462">
        <v>0</v>
      </c>
      <c r="H61" s="462">
        <v>0</v>
      </c>
    </row>
  </sheetData>
  <mergeCells count="12">
    <mergeCell ref="A3:A5"/>
    <mergeCell ref="B3:B5"/>
    <mergeCell ref="C3:C5"/>
    <mergeCell ref="A1:H1"/>
    <mergeCell ref="A2:H2"/>
    <mergeCell ref="H3:H5"/>
    <mergeCell ref="F4:F5"/>
    <mergeCell ref="G4:G5"/>
    <mergeCell ref="D3:E3"/>
    <mergeCell ref="D4:D5"/>
    <mergeCell ref="E4:E5"/>
    <mergeCell ref="F3:G3"/>
  </mergeCells>
  <phoneticPr fontId="2" type="noConversion"/>
  <printOptions horizontalCentered="1"/>
  <pageMargins left="0.78740157480314965" right="0.39370078740157483" top="0.78740157480314965" bottom="0.78740157480314965" header="0" footer="0"/>
  <pageSetup paperSize="9" scale="9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>
    <tabColor rgb="FFFF0000"/>
  </sheetPr>
  <dimension ref="A3:BD59"/>
  <sheetViews>
    <sheetView workbookViewId="0"/>
  </sheetViews>
  <sheetFormatPr defaultRowHeight="13.8"/>
  <cols>
    <col min="1" max="1" width="12" customWidth="1"/>
    <col min="2" max="2" width="9.09765625" customWidth="1"/>
    <col min="3" max="55" width="9.09765625" bestFit="1" customWidth="1"/>
    <col min="56" max="56" width="10.3984375" bestFit="1" customWidth="1"/>
  </cols>
  <sheetData>
    <row r="3" spans="1:56">
      <c r="A3" s="156" t="s">
        <v>274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>
    <tabColor rgb="FFFF0000"/>
  </sheetPr>
  <dimension ref="A3:BD59"/>
  <sheetViews>
    <sheetView workbookViewId="0"/>
  </sheetViews>
  <sheetFormatPr defaultRowHeight="13.8"/>
  <cols>
    <col min="1" max="1" width="12" customWidth="1"/>
    <col min="2" max="2" width="9.09765625" bestFit="1" customWidth="1"/>
    <col min="3" max="54" width="9.09765625" customWidth="1"/>
    <col min="55" max="55" width="9.09765625" bestFit="1" customWidth="1"/>
    <col min="56" max="56" width="10.3984375" bestFit="1" customWidth="1"/>
    <col min="57" max="107" width="12" bestFit="1" customWidth="1"/>
    <col min="108" max="108" width="15.59765625" bestFit="1" customWidth="1"/>
    <col min="109" max="109" width="16.59765625" bestFit="1" customWidth="1"/>
  </cols>
  <sheetData>
    <row r="3" spans="1:56">
      <c r="A3" s="156" t="s">
        <v>275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>
    <tabColor rgb="FFFF0000"/>
  </sheetPr>
  <dimension ref="A3:BD59"/>
  <sheetViews>
    <sheetView workbookViewId="0"/>
  </sheetViews>
  <sheetFormatPr defaultRowHeight="13.8"/>
  <cols>
    <col min="1" max="1" width="11.8984375" customWidth="1"/>
    <col min="2" max="55" width="9.09765625" bestFit="1" customWidth="1"/>
    <col min="56" max="56" width="10.3984375" bestFit="1" customWidth="1"/>
  </cols>
  <sheetData>
    <row r="3" spans="1:56">
      <c r="A3" s="156" t="s">
        <v>276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>
    <tabColor rgb="FFFF0000"/>
  </sheetPr>
  <dimension ref="A3:BD59"/>
  <sheetViews>
    <sheetView workbookViewId="0"/>
  </sheetViews>
  <sheetFormatPr defaultRowHeight="13.8"/>
  <cols>
    <col min="1" max="1" width="12" bestFit="1" customWidth="1"/>
    <col min="2" max="55" width="9.09765625" bestFit="1" customWidth="1"/>
    <col min="56" max="56" width="10.3984375" bestFit="1" customWidth="1"/>
  </cols>
  <sheetData>
    <row r="3" spans="1:56">
      <c r="A3" s="156" t="s">
        <v>277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>
    <tabColor rgb="FFFF0000"/>
  </sheetPr>
  <dimension ref="A3:BD59"/>
  <sheetViews>
    <sheetView workbookViewId="0"/>
  </sheetViews>
  <sheetFormatPr defaultRowHeight="13.8"/>
  <cols>
    <col min="1" max="1" width="11.69921875" bestFit="1" customWidth="1"/>
    <col min="2" max="55" width="9.09765625" bestFit="1" customWidth="1"/>
    <col min="56" max="56" width="10.3984375" bestFit="1" customWidth="1"/>
  </cols>
  <sheetData>
    <row r="3" spans="1:56">
      <c r="A3" s="156" t="s">
        <v>278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>
    <tabColor rgb="FFFF0000"/>
  </sheetPr>
  <dimension ref="A3:BD59"/>
  <sheetViews>
    <sheetView workbookViewId="0"/>
  </sheetViews>
  <sheetFormatPr defaultRowHeight="13.8"/>
  <cols>
    <col min="1" max="1" width="12" bestFit="1" customWidth="1"/>
    <col min="2" max="55" width="9.09765625" bestFit="1" customWidth="1"/>
    <col min="56" max="56" width="10.3984375" bestFit="1" customWidth="1"/>
  </cols>
  <sheetData>
    <row r="3" spans="1:56">
      <c r="A3" s="156" t="s">
        <v>279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>
    <tabColor rgb="FFFF0000"/>
  </sheetPr>
  <dimension ref="A3:BD59"/>
  <sheetViews>
    <sheetView workbookViewId="0"/>
  </sheetViews>
  <sheetFormatPr defaultRowHeight="13.8"/>
  <cols>
    <col min="1" max="1" width="12" bestFit="1" customWidth="1"/>
    <col min="2" max="55" width="9.09765625" bestFit="1" customWidth="1"/>
    <col min="56" max="56" width="10.3984375" bestFit="1" customWidth="1"/>
  </cols>
  <sheetData>
    <row r="3" spans="1:56">
      <c r="A3" s="156" t="s">
        <v>280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>
    <tabColor rgb="FFFF0000"/>
  </sheetPr>
  <dimension ref="A3:BD59"/>
  <sheetViews>
    <sheetView workbookViewId="0"/>
  </sheetViews>
  <sheetFormatPr defaultRowHeight="13.8"/>
  <cols>
    <col min="1" max="1" width="11.59765625" customWidth="1"/>
    <col min="2" max="55" width="9.09765625" bestFit="1" customWidth="1"/>
    <col min="56" max="56" width="10.3984375" bestFit="1" customWidth="1"/>
  </cols>
  <sheetData>
    <row r="3" spans="1:56">
      <c r="A3" s="156" t="s">
        <v>281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>
    <tabColor rgb="FFFF0000"/>
  </sheetPr>
  <dimension ref="A3:BD59"/>
  <sheetViews>
    <sheetView workbookViewId="0"/>
  </sheetViews>
  <sheetFormatPr defaultRowHeight="13.8"/>
  <cols>
    <col min="1" max="1" width="11.3984375" customWidth="1"/>
    <col min="2" max="2" width="9.09765625" bestFit="1" customWidth="1"/>
    <col min="3" max="3" width="9.09765625" customWidth="1"/>
    <col min="4" max="55" width="9.09765625" bestFit="1" customWidth="1"/>
    <col min="56" max="56" width="10.3984375" bestFit="1" customWidth="1"/>
  </cols>
  <sheetData>
    <row r="3" spans="1:56">
      <c r="A3" s="156" t="s">
        <v>282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>
    <tabColor rgb="FFFF0000"/>
  </sheetPr>
  <dimension ref="A3:BD59"/>
  <sheetViews>
    <sheetView workbookViewId="0"/>
  </sheetViews>
  <sheetFormatPr defaultRowHeight="13.8"/>
  <cols>
    <col min="1" max="1" width="11.69921875" bestFit="1" customWidth="1"/>
    <col min="2" max="55" width="9.09765625" bestFit="1" customWidth="1"/>
    <col min="56" max="56" width="10.3984375" bestFit="1" customWidth="1"/>
  </cols>
  <sheetData>
    <row r="3" spans="1:56">
      <c r="A3" s="156" t="s">
        <v>283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8FBE-6EE5-4061-B9EE-33AE70C0D32E}">
  <sheetPr>
    <tabColor rgb="FFCCFFFF"/>
  </sheetPr>
  <dimension ref="A1:R63"/>
  <sheetViews>
    <sheetView topLeftCell="C1" workbookViewId="0">
      <selection activeCell="S8" sqref="S1:W1048576"/>
    </sheetView>
  </sheetViews>
  <sheetFormatPr defaultColWidth="9" defaultRowHeight="13.2"/>
  <cols>
    <col min="1" max="1" width="4.09765625" style="241" customWidth="1"/>
    <col min="2" max="2" width="30.8984375" style="242" customWidth="1"/>
    <col min="3" max="3" width="4.8984375" style="243" customWidth="1"/>
    <col min="4" max="4" width="10" style="242" customWidth="1"/>
    <col min="5" max="5" width="6.69921875" style="242" customWidth="1"/>
    <col min="6" max="6" width="8.5" style="242" customWidth="1"/>
    <col min="7" max="7" width="8.19921875" style="242" customWidth="1"/>
    <col min="8" max="8" width="8.69921875" style="242" customWidth="1"/>
    <col min="9" max="9" width="8.5" style="242" customWidth="1"/>
    <col min="10" max="10" width="7.8984375" style="242" customWidth="1"/>
    <col min="11" max="11" width="8.3984375" style="242" customWidth="1"/>
    <col min="12" max="12" width="8.19921875" style="242" customWidth="1"/>
    <col min="13" max="13" width="8.59765625" style="242" customWidth="1"/>
    <col min="14" max="14" width="8.5" style="242" customWidth="1"/>
    <col min="15" max="15" width="7.8984375" style="242" bestFit="1" customWidth="1"/>
    <col min="16" max="16" width="8.19921875" style="242" customWidth="1"/>
    <col min="17" max="17" width="7.8984375" style="242" customWidth="1"/>
    <col min="18" max="18" width="8.3984375" style="242" customWidth="1"/>
    <col min="19" max="16384" width="9" style="242"/>
  </cols>
  <sheetData>
    <row r="1" spans="1:18" s="249" customFormat="1" ht="14.25" customHeight="1">
      <c r="A1" s="541" t="s">
        <v>327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</row>
    <row r="2" spans="1:18" s="250" customFormat="1" ht="13.8">
      <c r="A2" s="542" t="s">
        <v>341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</row>
    <row r="3" spans="1:18" s="250" customFormat="1" ht="13.8">
      <c r="A3" s="542" t="s">
        <v>340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  <c r="N3" s="542"/>
      <c r="O3" s="542"/>
      <c r="P3" s="542"/>
      <c r="Q3" s="542"/>
      <c r="R3" s="542"/>
    </row>
    <row r="4" spans="1:18" s="251" customFormat="1">
      <c r="A4" s="543" t="s">
        <v>167</v>
      </c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</row>
    <row r="5" spans="1:18" s="217" customFormat="1">
      <c r="A5" s="544" t="s">
        <v>0</v>
      </c>
      <c r="B5" s="545" t="s">
        <v>1</v>
      </c>
      <c r="C5" s="545" t="s">
        <v>2</v>
      </c>
      <c r="D5" s="545" t="s">
        <v>331</v>
      </c>
      <c r="E5" s="545" t="s">
        <v>4</v>
      </c>
      <c r="F5" s="545" t="s">
        <v>183</v>
      </c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5"/>
      <c r="R5" s="545"/>
    </row>
    <row r="6" spans="1:18" s="243" customFormat="1" ht="26.4">
      <c r="A6" s="544"/>
      <c r="B6" s="545"/>
      <c r="C6" s="545"/>
      <c r="D6" s="545"/>
      <c r="E6" s="545"/>
      <c r="F6" s="218" t="s">
        <v>393</v>
      </c>
      <c r="G6" s="218" t="s">
        <v>369</v>
      </c>
      <c r="H6" s="218" t="s">
        <v>390</v>
      </c>
      <c r="I6" s="218" t="s">
        <v>365</v>
      </c>
      <c r="J6" s="218" t="s">
        <v>367</v>
      </c>
      <c r="K6" s="218" t="s">
        <v>370</v>
      </c>
      <c r="L6" s="218" t="s">
        <v>372</v>
      </c>
      <c r="M6" s="218" t="s">
        <v>379</v>
      </c>
      <c r="N6" s="218" t="s">
        <v>408</v>
      </c>
      <c r="O6" s="218" t="s">
        <v>380</v>
      </c>
      <c r="P6" s="218" t="s">
        <v>417</v>
      </c>
      <c r="Q6" s="218" t="s">
        <v>391</v>
      </c>
      <c r="R6" s="218" t="s">
        <v>389</v>
      </c>
    </row>
    <row r="7" spans="1:18" s="243" customFormat="1" hidden="1">
      <c r="A7" s="290"/>
      <c r="B7" s="219"/>
      <c r="C7" s="291"/>
      <c r="D7" s="291"/>
      <c r="E7" s="291"/>
      <c r="F7" s="218">
        <v>1</v>
      </c>
      <c r="G7" s="218">
        <v>2</v>
      </c>
      <c r="H7" s="218">
        <v>3</v>
      </c>
      <c r="I7" s="218">
        <v>4</v>
      </c>
      <c r="J7" s="218">
        <v>5</v>
      </c>
      <c r="K7" s="218">
        <v>6</v>
      </c>
      <c r="L7" s="218">
        <v>7</v>
      </c>
      <c r="M7" s="218">
        <v>8</v>
      </c>
      <c r="N7" s="218">
        <v>9</v>
      </c>
      <c r="O7" s="218">
        <v>10</v>
      </c>
      <c r="P7" s="218">
        <v>11</v>
      </c>
      <c r="Q7" s="218">
        <v>12</v>
      </c>
      <c r="R7" s="218">
        <v>13</v>
      </c>
    </row>
    <row r="8" spans="1:18" s="252" customFormat="1" ht="10.199999999999999">
      <c r="A8" s="244" t="s">
        <v>5</v>
      </c>
      <c r="B8" s="245" t="s">
        <v>6</v>
      </c>
      <c r="C8" s="245" t="s">
        <v>7</v>
      </c>
      <c r="D8" s="245" t="s">
        <v>184</v>
      </c>
      <c r="E8" s="245"/>
      <c r="F8" s="245" t="s">
        <v>8</v>
      </c>
      <c r="G8" s="246" t="s">
        <v>9</v>
      </c>
      <c r="H8" s="246" t="s">
        <v>10</v>
      </c>
      <c r="I8" s="246" t="s">
        <v>11</v>
      </c>
      <c r="J8" s="246" t="s">
        <v>12</v>
      </c>
      <c r="K8" s="246" t="s">
        <v>13</v>
      </c>
      <c r="L8" s="246" t="s">
        <v>14</v>
      </c>
      <c r="M8" s="246" t="s">
        <v>15</v>
      </c>
      <c r="N8" s="246" t="s">
        <v>16</v>
      </c>
      <c r="O8" s="246" t="s">
        <v>17</v>
      </c>
      <c r="P8" s="246" t="s">
        <v>18</v>
      </c>
      <c r="Q8" s="247" t="s">
        <v>19</v>
      </c>
      <c r="R8" s="248">
        <v>-17</v>
      </c>
    </row>
    <row r="9" spans="1:18" s="217" customFormat="1" ht="12.75" customHeight="1">
      <c r="A9" s="220"/>
      <c r="B9" s="219" t="s">
        <v>20</v>
      </c>
      <c r="C9" s="221"/>
      <c r="D9" s="222">
        <v>66414.220723000006</v>
      </c>
      <c r="E9" s="386">
        <v>100</v>
      </c>
      <c r="F9" s="222">
        <v>4273.0898820000002</v>
      </c>
      <c r="G9" s="222">
        <v>4713.3926000000001</v>
      </c>
      <c r="H9" s="222">
        <v>1146.9204159999999</v>
      </c>
      <c r="I9" s="222">
        <v>4595.3931899999998</v>
      </c>
      <c r="J9" s="222">
        <v>4122.6355910000002</v>
      </c>
      <c r="K9" s="222">
        <v>5292.4972879999996</v>
      </c>
      <c r="L9" s="222">
        <v>7295.3117059999986</v>
      </c>
      <c r="M9" s="222">
        <v>4445.8486910000001</v>
      </c>
      <c r="N9" s="222">
        <v>7192.917273</v>
      </c>
      <c r="O9" s="222">
        <v>9638.9277630000015</v>
      </c>
      <c r="P9" s="222">
        <v>4585.0214100000003</v>
      </c>
      <c r="Q9" s="222">
        <v>2879.9476669999999</v>
      </c>
      <c r="R9" s="222">
        <v>6232.3172459999996</v>
      </c>
    </row>
    <row r="10" spans="1:18" s="251" customFormat="1" ht="12.75" customHeight="1">
      <c r="A10" s="290">
        <v>1</v>
      </c>
      <c r="B10" s="219" t="s">
        <v>21</v>
      </c>
      <c r="C10" s="291" t="s">
        <v>22</v>
      </c>
      <c r="D10" s="222">
        <v>58690.14425016821</v>
      </c>
      <c r="E10" s="222">
        <v>88.369845510877369</v>
      </c>
      <c r="F10" s="222">
        <v>3476.5459649999998</v>
      </c>
      <c r="G10" s="222">
        <v>3903.5337920000002</v>
      </c>
      <c r="H10" s="222">
        <v>962.56682999999998</v>
      </c>
      <c r="I10" s="222">
        <v>4221.9844409999996</v>
      </c>
      <c r="J10" s="222">
        <v>3860.6130258450071</v>
      </c>
      <c r="K10" s="222">
        <v>5043.3540839999996</v>
      </c>
      <c r="L10" s="222">
        <v>5452.8678099999988</v>
      </c>
      <c r="M10" s="222">
        <v>4085.5968540290532</v>
      </c>
      <c r="N10" s="222">
        <v>6428.864493</v>
      </c>
      <c r="O10" s="222">
        <v>9139.0769242941533</v>
      </c>
      <c r="P10" s="222">
        <v>3971.5784100000001</v>
      </c>
      <c r="Q10" s="222">
        <v>2691.453614</v>
      </c>
      <c r="R10" s="222">
        <v>5452.1080069999998</v>
      </c>
    </row>
    <row r="11" spans="1:18" ht="12.75" customHeight="1">
      <c r="A11" s="223" t="s">
        <v>23</v>
      </c>
      <c r="B11" s="224" t="s">
        <v>24</v>
      </c>
      <c r="C11" s="225" t="s">
        <v>25</v>
      </c>
      <c r="D11" s="226">
        <v>1020.4820000000001</v>
      </c>
      <c r="E11" s="226">
        <v>1.5365414046732848</v>
      </c>
      <c r="F11" s="226">
        <v>11.445351</v>
      </c>
      <c r="G11" s="226">
        <v>0</v>
      </c>
      <c r="H11" s="226">
        <v>100.878</v>
      </c>
      <c r="I11" s="226">
        <v>297.17612199999996</v>
      </c>
      <c r="J11" s="226">
        <v>6.070208</v>
      </c>
      <c r="K11" s="226">
        <v>30.27</v>
      </c>
      <c r="L11" s="226">
        <v>96.61703</v>
      </c>
      <c r="M11" s="226">
        <v>190.14910500000002</v>
      </c>
      <c r="N11" s="226">
        <v>0</v>
      </c>
      <c r="O11" s="226">
        <v>42.44</v>
      </c>
      <c r="P11" s="226">
        <v>57.81</v>
      </c>
      <c r="Q11" s="226">
        <v>14.97062</v>
      </c>
      <c r="R11" s="226">
        <v>172.655564</v>
      </c>
    </row>
    <row r="12" spans="1:18" s="253" customFormat="1" ht="12.75" customHeight="1">
      <c r="A12" s="227"/>
      <c r="B12" s="228" t="s">
        <v>306</v>
      </c>
      <c r="C12" s="229" t="s">
        <v>27</v>
      </c>
      <c r="D12" s="343">
        <v>74.087230000000005</v>
      </c>
      <c r="E12" s="343">
        <v>0.11155326252942505</v>
      </c>
      <c r="F12" s="226">
        <v>0</v>
      </c>
      <c r="G12" s="226">
        <v>0</v>
      </c>
      <c r="H12" s="226">
        <v>0</v>
      </c>
      <c r="I12" s="226">
        <v>0</v>
      </c>
      <c r="J12" s="226">
        <v>0</v>
      </c>
      <c r="K12" s="226">
        <v>0</v>
      </c>
      <c r="L12" s="226">
        <v>0</v>
      </c>
      <c r="M12" s="226">
        <v>74.087230000000005</v>
      </c>
      <c r="N12" s="226">
        <v>0</v>
      </c>
      <c r="O12" s="226">
        <v>0</v>
      </c>
      <c r="P12" s="226">
        <v>0</v>
      </c>
      <c r="Q12" s="226">
        <v>0</v>
      </c>
      <c r="R12" s="226">
        <v>0</v>
      </c>
    </row>
    <row r="13" spans="1:18" s="253" customFormat="1" ht="12.75" hidden="1" customHeight="1">
      <c r="A13" s="227"/>
      <c r="B13" s="228" t="s">
        <v>709</v>
      </c>
      <c r="C13" s="229" t="s">
        <v>29</v>
      </c>
      <c r="D13" s="343">
        <v>946.39476999999999</v>
      </c>
      <c r="E13" s="343">
        <v>1.4249881421438597</v>
      </c>
      <c r="F13" s="343">
        <v>11.445351</v>
      </c>
      <c r="G13" s="343">
        <v>0</v>
      </c>
      <c r="H13" s="343">
        <v>100.878</v>
      </c>
      <c r="I13" s="343">
        <v>297.17612199999996</v>
      </c>
      <c r="J13" s="343">
        <v>6.070208</v>
      </c>
      <c r="K13" s="343">
        <v>30.27</v>
      </c>
      <c r="L13" s="343">
        <v>96.61703</v>
      </c>
      <c r="M13" s="343">
        <v>116.061875</v>
      </c>
      <c r="N13" s="343">
        <v>0</v>
      </c>
      <c r="O13" s="343">
        <v>42.44</v>
      </c>
      <c r="P13" s="343">
        <v>57.81</v>
      </c>
      <c r="Q13" s="343">
        <v>14.97062</v>
      </c>
      <c r="R13" s="343">
        <v>172.655564</v>
      </c>
    </row>
    <row r="14" spans="1:18" ht="12.75" customHeight="1">
      <c r="A14" s="223" t="s">
        <v>32</v>
      </c>
      <c r="B14" s="230" t="s">
        <v>33</v>
      </c>
      <c r="C14" s="225" t="s">
        <v>34</v>
      </c>
      <c r="D14" s="226">
        <v>235.54100699999998</v>
      </c>
      <c r="E14" s="226">
        <v>0.35465447676092271</v>
      </c>
      <c r="F14" s="226">
        <v>66.078681000000003</v>
      </c>
      <c r="G14" s="226">
        <v>12.185812</v>
      </c>
      <c r="H14" s="226">
        <v>2.1458699999999999</v>
      </c>
      <c r="I14" s="226">
        <v>28.622114</v>
      </c>
      <c r="J14" s="226">
        <v>17.372019999999999</v>
      </c>
      <c r="K14" s="226">
        <v>12.213896</v>
      </c>
      <c r="L14" s="226">
        <v>21.945886000000002</v>
      </c>
      <c r="M14" s="226">
        <v>21.226887999999999</v>
      </c>
      <c r="N14" s="226">
        <v>16.197889</v>
      </c>
      <c r="O14" s="226">
        <v>0</v>
      </c>
      <c r="P14" s="226">
        <v>12.167310000000001</v>
      </c>
      <c r="Q14" s="226">
        <v>0</v>
      </c>
      <c r="R14" s="226">
        <v>25.384640999999998</v>
      </c>
    </row>
    <row r="15" spans="1:18" s="253" customFormat="1" ht="12.75" customHeight="1">
      <c r="A15" s="223" t="s">
        <v>35</v>
      </c>
      <c r="B15" s="231" t="s">
        <v>36</v>
      </c>
      <c r="C15" s="225" t="s">
        <v>37</v>
      </c>
      <c r="D15" s="226">
        <v>50521.898718323195</v>
      </c>
      <c r="E15" s="226">
        <v>76.070904948263404</v>
      </c>
      <c r="F15" s="226">
        <v>3390.9300250000001</v>
      </c>
      <c r="G15" s="226">
        <v>2194.7546349999998</v>
      </c>
      <c r="H15" s="226">
        <v>858.49617000000001</v>
      </c>
      <c r="I15" s="226">
        <v>3849.977073</v>
      </c>
      <c r="J15" s="226">
        <v>3775.0152500000004</v>
      </c>
      <c r="K15" s="226">
        <v>3263.7977419999997</v>
      </c>
      <c r="L15" s="226">
        <v>5170.4400959999994</v>
      </c>
      <c r="M15" s="226">
        <v>3874.202768029053</v>
      </c>
      <c r="N15" s="226">
        <v>3470.2479370000001</v>
      </c>
      <c r="O15" s="226">
        <v>8940.6521562941525</v>
      </c>
      <c r="P15" s="226">
        <v>3873.4956099999999</v>
      </c>
      <c r="Q15" s="226">
        <v>2654.4188349999999</v>
      </c>
      <c r="R15" s="226">
        <v>5205.470421</v>
      </c>
    </row>
    <row r="16" spans="1:18" ht="12.75" customHeight="1">
      <c r="A16" s="223" t="s">
        <v>38</v>
      </c>
      <c r="B16" s="224" t="s">
        <v>41</v>
      </c>
      <c r="C16" s="225" t="s">
        <v>42</v>
      </c>
      <c r="D16" s="226">
        <v>512.88672500000007</v>
      </c>
      <c r="E16" s="226">
        <v>0.77225437476582715</v>
      </c>
      <c r="F16" s="226">
        <v>0</v>
      </c>
      <c r="G16" s="226">
        <v>0</v>
      </c>
      <c r="H16" s="226">
        <v>0</v>
      </c>
      <c r="I16" s="226">
        <v>0</v>
      </c>
      <c r="J16" s="226">
        <v>0</v>
      </c>
      <c r="K16" s="226">
        <v>72.067524000000006</v>
      </c>
      <c r="L16" s="226">
        <v>29.087444000000001</v>
      </c>
      <c r="M16" s="226">
        <v>0</v>
      </c>
      <c r="N16" s="226">
        <v>411.73175700000002</v>
      </c>
      <c r="O16" s="226">
        <v>0</v>
      </c>
      <c r="P16" s="226">
        <v>0</v>
      </c>
      <c r="Q16" s="226">
        <v>0</v>
      </c>
      <c r="R16" s="226">
        <v>0</v>
      </c>
    </row>
    <row r="17" spans="1:18" ht="12.75" customHeight="1">
      <c r="A17" s="223" t="s">
        <v>40</v>
      </c>
      <c r="B17" s="232" t="s">
        <v>44</v>
      </c>
      <c r="C17" s="225" t="s">
        <v>45</v>
      </c>
      <c r="D17" s="226">
        <v>0</v>
      </c>
      <c r="E17" s="226">
        <v>0</v>
      </c>
      <c r="F17" s="226">
        <v>0</v>
      </c>
      <c r="G17" s="226">
        <v>0</v>
      </c>
      <c r="H17" s="226">
        <v>0</v>
      </c>
      <c r="I17" s="226">
        <v>0</v>
      </c>
      <c r="J17" s="226">
        <v>0</v>
      </c>
      <c r="K17" s="226">
        <v>0</v>
      </c>
      <c r="L17" s="226">
        <v>0</v>
      </c>
      <c r="M17" s="226">
        <v>0</v>
      </c>
      <c r="N17" s="226">
        <v>0</v>
      </c>
      <c r="O17" s="226">
        <v>0</v>
      </c>
      <c r="P17" s="226">
        <v>0</v>
      </c>
      <c r="Q17" s="226">
        <v>0</v>
      </c>
      <c r="R17" s="226">
        <v>0</v>
      </c>
    </row>
    <row r="18" spans="1:18" ht="12.75" customHeight="1">
      <c r="A18" s="223" t="s">
        <v>43</v>
      </c>
      <c r="B18" s="232" t="s">
        <v>221</v>
      </c>
      <c r="C18" s="225" t="s">
        <v>39</v>
      </c>
      <c r="D18" s="226">
        <v>5864.1843749999998</v>
      </c>
      <c r="E18" s="226">
        <v>8.829711936933359</v>
      </c>
      <c r="F18" s="226">
        <v>0</v>
      </c>
      <c r="G18" s="226">
        <v>1696.593345</v>
      </c>
      <c r="H18" s="226">
        <v>0</v>
      </c>
      <c r="I18" s="226">
        <v>0</v>
      </c>
      <c r="J18" s="226">
        <v>0</v>
      </c>
      <c r="K18" s="226">
        <v>1563.671263</v>
      </c>
      <c r="L18" s="226">
        <v>81.585235999999995</v>
      </c>
      <c r="M18" s="226">
        <v>0</v>
      </c>
      <c r="N18" s="226">
        <v>2522.334531</v>
      </c>
      <c r="O18" s="226">
        <v>0</v>
      </c>
      <c r="P18" s="226">
        <v>0</v>
      </c>
      <c r="Q18" s="226">
        <v>0</v>
      </c>
      <c r="R18" s="226">
        <v>0</v>
      </c>
    </row>
    <row r="19" spans="1:18" s="253" customFormat="1" ht="12.75" hidden="1" customHeight="1">
      <c r="A19" s="227"/>
      <c r="B19" s="233" t="s">
        <v>221</v>
      </c>
      <c r="C19" s="229" t="s">
        <v>39</v>
      </c>
      <c r="D19" s="343">
        <v>5864.1843749999998</v>
      </c>
      <c r="E19" s="343">
        <v>8.829711936933359</v>
      </c>
      <c r="F19" s="343">
        <v>0</v>
      </c>
      <c r="G19" s="343">
        <v>1696.593345</v>
      </c>
      <c r="H19" s="343">
        <v>0</v>
      </c>
      <c r="I19" s="343">
        <v>0</v>
      </c>
      <c r="J19" s="343">
        <v>0</v>
      </c>
      <c r="K19" s="343">
        <v>1563.671263</v>
      </c>
      <c r="L19" s="343">
        <v>81.585235999999995</v>
      </c>
      <c r="M19" s="343">
        <v>0</v>
      </c>
      <c r="N19" s="343">
        <v>2522.334531</v>
      </c>
      <c r="O19" s="343">
        <v>0</v>
      </c>
      <c r="P19" s="343">
        <v>0</v>
      </c>
      <c r="Q19" s="343">
        <v>0</v>
      </c>
      <c r="R19" s="343">
        <v>0</v>
      </c>
    </row>
    <row r="20" spans="1:18" s="253" customFormat="1" ht="26.4">
      <c r="A20" s="227"/>
      <c r="B20" s="233" t="s">
        <v>342</v>
      </c>
      <c r="C20" s="229" t="s">
        <v>293</v>
      </c>
      <c r="D20" s="343">
        <v>0</v>
      </c>
      <c r="E20" s="343">
        <v>0</v>
      </c>
      <c r="F20" s="226">
        <v>0</v>
      </c>
      <c r="G20" s="226">
        <v>0</v>
      </c>
      <c r="H20" s="226">
        <v>0</v>
      </c>
      <c r="I20" s="226">
        <v>0</v>
      </c>
      <c r="J20" s="226">
        <v>0</v>
      </c>
      <c r="K20" s="226">
        <v>0</v>
      </c>
      <c r="L20" s="226">
        <v>0</v>
      </c>
      <c r="M20" s="226">
        <v>0</v>
      </c>
      <c r="N20" s="226">
        <v>0</v>
      </c>
      <c r="O20" s="226">
        <v>0</v>
      </c>
      <c r="P20" s="226">
        <v>0</v>
      </c>
      <c r="Q20" s="226">
        <v>0</v>
      </c>
      <c r="R20" s="226">
        <v>0</v>
      </c>
    </row>
    <row r="21" spans="1:18">
      <c r="A21" s="223" t="s">
        <v>46</v>
      </c>
      <c r="B21" s="232" t="s">
        <v>47</v>
      </c>
      <c r="C21" s="225" t="s">
        <v>48</v>
      </c>
      <c r="D21" s="226">
        <v>44.726283845006691</v>
      </c>
      <c r="E21" s="226">
        <v>6.7344438221372468E-2</v>
      </c>
      <c r="F21" s="226">
        <v>7.7919580000000002</v>
      </c>
      <c r="G21" s="226">
        <v>0</v>
      </c>
      <c r="H21" s="226">
        <v>1.0467900000000001</v>
      </c>
      <c r="I21" s="226">
        <v>5.427753</v>
      </c>
      <c r="J21" s="226">
        <v>9.0874028450066984</v>
      </c>
      <c r="K21" s="226">
        <v>6.742559</v>
      </c>
      <c r="L21" s="226">
        <v>2.603812</v>
      </c>
      <c r="M21" s="226">
        <v>1.8093000000000001E-2</v>
      </c>
      <c r="N21" s="226">
        <v>0</v>
      </c>
      <c r="O21" s="226">
        <v>0.27413199999999999</v>
      </c>
      <c r="P21" s="226">
        <v>0.97624</v>
      </c>
      <c r="Q21" s="226">
        <v>3.3782510000000001</v>
      </c>
      <c r="R21" s="226">
        <v>7.3792929999999997</v>
      </c>
    </row>
    <row r="22" spans="1:18" ht="12.75" customHeight="1">
      <c r="A22" s="223" t="s">
        <v>49</v>
      </c>
      <c r="B22" s="224" t="s">
        <v>50</v>
      </c>
      <c r="C22" s="225" t="s">
        <v>51</v>
      </c>
      <c r="D22" s="226">
        <v>0</v>
      </c>
      <c r="E22" s="226">
        <v>0</v>
      </c>
      <c r="F22" s="226">
        <v>0</v>
      </c>
      <c r="G22" s="226">
        <v>0</v>
      </c>
      <c r="H22" s="226">
        <v>0</v>
      </c>
      <c r="I22" s="226">
        <v>0</v>
      </c>
      <c r="J22" s="226">
        <v>0</v>
      </c>
      <c r="K22" s="226">
        <v>0</v>
      </c>
      <c r="L22" s="226">
        <v>0</v>
      </c>
      <c r="M22" s="226">
        <v>0</v>
      </c>
      <c r="N22" s="226">
        <v>0</v>
      </c>
      <c r="O22" s="226">
        <v>0</v>
      </c>
      <c r="P22" s="226">
        <v>0</v>
      </c>
      <c r="Q22" s="226">
        <v>0</v>
      </c>
      <c r="R22" s="226">
        <v>0</v>
      </c>
    </row>
    <row r="23" spans="1:18" ht="12.75" customHeight="1">
      <c r="A23" s="234" t="s">
        <v>52</v>
      </c>
      <c r="B23" s="235" t="s">
        <v>53</v>
      </c>
      <c r="C23" s="236" t="s">
        <v>54</v>
      </c>
      <c r="D23" s="237">
        <v>490.425141</v>
      </c>
      <c r="E23" s="237">
        <v>0.73843393125918311</v>
      </c>
      <c r="F23" s="237">
        <v>0.29994999999999999</v>
      </c>
      <c r="G23" s="237">
        <v>0</v>
      </c>
      <c r="H23" s="237">
        <v>0</v>
      </c>
      <c r="I23" s="237">
        <v>40.781379000000001</v>
      </c>
      <c r="J23" s="237">
        <v>53.068145000000001</v>
      </c>
      <c r="K23" s="237">
        <v>94.591099999999997</v>
      </c>
      <c r="L23" s="237">
        <v>50.588306000000003</v>
      </c>
      <c r="M23" s="237">
        <v>0</v>
      </c>
      <c r="N23" s="237">
        <v>8.3523790000000009</v>
      </c>
      <c r="O23" s="237">
        <v>155.71063599999999</v>
      </c>
      <c r="P23" s="237">
        <v>27.129249999999999</v>
      </c>
      <c r="Q23" s="237">
        <v>18.685908000000001</v>
      </c>
      <c r="R23" s="237">
        <v>41.218088000000002</v>
      </c>
    </row>
    <row r="24" spans="1:18" s="251" customFormat="1" ht="12.75" customHeight="1">
      <c r="A24" s="290">
        <v>2</v>
      </c>
      <c r="B24" s="238" t="s">
        <v>55</v>
      </c>
      <c r="C24" s="291" t="s">
        <v>56</v>
      </c>
      <c r="D24" s="222">
        <v>7724.0764728317881</v>
      </c>
      <c r="E24" s="222">
        <v>11.630154489122617</v>
      </c>
      <c r="F24" s="222">
        <v>796.54391700000008</v>
      </c>
      <c r="G24" s="222">
        <v>809.85880800000007</v>
      </c>
      <c r="H24" s="222">
        <v>184.35358600000001</v>
      </c>
      <c r="I24" s="222">
        <v>373.40874899999994</v>
      </c>
      <c r="J24" s="222">
        <v>262.02256515499329</v>
      </c>
      <c r="K24" s="222">
        <v>249.14320400000003</v>
      </c>
      <c r="L24" s="222">
        <v>1842.4438959999995</v>
      </c>
      <c r="M24" s="222">
        <v>360.25183697094729</v>
      </c>
      <c r="N24" s="222">
        <v>764.05277999999998</v>
      </c>
      <c r="O24" s="222">
        <v>499.85083870584782</v>
      </c>
      <c r="P24" s="222">
        <v>613.44299999999998</v>
      </c>
      <c r="Q24" s="222">
        <v>188.49405299999998</v>
      </c>
      <c r="R24" s="222">
        <v>780.20923900000003</v>
      </c>
    </row>
    <row r="25" spans="1:18" ht="12.75" customHeight="1">
      <c r="A25" s="223" t="s">
        <v>57</v>
      </c>
      <c r="B25" s="239" t="s">
        <v>71</v>
      </c>
      <c r="C25" s="225" t="s">
        <v>72</v>
      </c>
      <c r="D25" s="237">
        <v>374.66124597094733</v>
      </c>
      <c r="E25" s="226">
        <v>0.56412804651217996</v>
      </c>
      <c r="F25" s="226">
        <v>3.7876569999999998</v>
      </c>
      <c r="G25" s="226">
        <v>0</v>
      </c>
      <c r="H25" s="226">
        <v>29.389436</v>
      </c>
      <c r="I25" s="226">
        <v>0</v>
      </c>
      <c r="J25" s="226">
        <v>0</v>
      </c>
      <c r="K25" s="226">
        <v>0</v>
      </c>
      <c r="L25" s="226">
        <v>0</v>
      </c>
      <c r="M25" s="226">
        <v>79.68863297094731</v>
      </c>
      <c r="N25" s="226">
        <v>0</v>
      </c>
      <c r="O25" s="226">
        <v>0</v>
      </c>
      <c r="P25" s="226">
        <v>261.79552000000001</v>
      </c>
      <c r="Q25" s="226">
        <v>0</v>
      </c>
      <c r="R25" s="226">
        <v>0</v>
      </c>
    </row>
    <row r="26" spans="1:18" ht="12.75" customHeight="1">
      <c r="A26" s="223" t="s">
        <v>59</v>
      </c>
      <c r="B26" s="239" t="s">
        <v>74</v>
      </c>
      <c r="C26" s="225" t="s">
        <v>75</v>
      </c>
      <c r="D26" s="237">
        <v>1080.1335779999999</v>
      </c>
      <c r="E26" s="226">
        <v>1.626358882542662</v>
      </c>
      <c r="F26" s="226">
        <v>4.5070009999999998</v>
      </c>
      <c r="G26" s="226">
        <v>0</v>
      </c>
      <c r="H26" s="226">
        <v>0</v>
      </c>
      <c r="I26" s="226">
        <v>0</v>
      </c>
      <c r="J26" s="226">
        <v>0</v>
      </c>
      <c r="K26" s="226">
        <v>5.5223240000000002</v>
      </c>
      <c r="L26" s="226">
        <v>1070.104253</v>
      </c>
      <c r="M26" s="226">
        <v>0</v>
      </c>
      <c r="N26" s="226">
        <v>0</v>
      </c>
      <c r="O26" s="226">
        <v>0</v>
      </c>
      <c r="P26" s="226">
        <v>0</v>
      </c>
      <c r="Q26" s="226">
        <v>0</v>
      </c>
      <c r="R26" s="226">
        <v>0</v>
      </c>
    </row>
    <row r="27" spans="1:18" ht="12.75" customHeight="1">
      <c r="A27" s="223" t="s">
        <v>61</v>
      </c>
      <c r="B27" s="239" t="s">
        <v>77</v>
      </c>
      <c r="C27" s="225" t="s">
        <v>78</v>
      </c>
      <c r="D27" s="237">
        <v>862.78483199999994</v>
      </c>
      <c r="E27" s="226">
        <v>1.2990965227138587</v>
      </c>
      <c r="F27" s="226">
        <v>160.005899</v>
      </c>
      <c r="G27" s="226">
        <v>654.69633299999998</v>
      </c>
      <c r="H27" s="226">
        <v>48.082599999999999</v>
      </c>
      <c r="I27" s="226">
        <v>0</v>
      </c>
      <c r="J27" s="226">
        <v>0</v>
      </c>
      <c r="K27" s="226">
        <v>0</v>
      </c>
      <c r="L27" s="226">
        <v>0</v>
      </c>
      <c r="M27" s="226">
        <v>0</v>
      </c>
      <c r="N27" s="226">
        <v>0</v>
      </c>
      <c r="O27" s="226">
        <v>0</v>
      </c>
      <c r="P27" s="226">
        <v>0</v>
      </c>
      <c r="Q27" s="226">
        <v>0</v>
      </c>
      <c r="R27" s="226">
        <v>0</v>
      </c>
    </row>
    <row r="28" spans="1:18" ht="12.75" customHeight="1">
      <c r="A28" s="223" t="s">
        <v>64</v>
      </c>
      <c r="B28" s="224" t="s">
        <v>83</v>
      </c>
      <c r="C28" s="225" t="s">
        <v>84</v>
      </c>
      <c r="D28" s="237">
        <v>0</v>
      </c>
      <c r="E28" s="226">
        <v>0</v>
      </c>
      <c r="F28" s="226">
        <v>0</v>
      </c>
      <c r="G28" s="226">
        <v>0</v>
      </c>
      <c r="H28" s="226">
        <v>0</v>
      </c>
      <c r="I28" s="226">
        <v>0</v>
      </c>
      <c r="J28" s="226">
        <v>0</v>
      </c>
      <c r="K28" s="226">
        <v>0</v>
      </c>
      <c r="L28" s="226">
        <v>0</v>
      </c>
      <c r="M28" s="226">
        <v>0</v>
      </c>
      <c r="N28" s="226">
        <v>0</v>
      </c>
      <c r="O28" s="226">
        <v>0</v>
      </c>
      <c r="P28" s="226">
        <v>0</v>
      </c>
      <c r="Q28" s="226">
        <v>0</v>
      </c>
      <c r="R28" s="226">
        <v>0</v>
      </c>
    </row>
    <row r="29" spans="1:18" ht="12.75" customHeight="1">
      <c r="A29" s="223" t="s">
        <v>67</v>
      </c>
      <c r="B29" s="224" t="s">
        <v>86</v>
      </c>
      <c r="C29" s="225" t="s">
        <v>87</v>
      </c>
      <c r="D29" s="237">
        <v>8.2458519999999993</v>
      </c>
      <c r="E29" s="226">
        <v>1.2415792747748625E-2</v>
      </c>
      <c r="F29" s="226">
        <v>3.2523550000000001</v>
      </c>
      <c r="G29" s="226">
        <v>0.246618</v>
      </c>
      <c r="H29" s="226">
        <v>0.17563999999999999</v>
      </c>
      <c r="I29" s="226">
        <v>0.200012</v>
      </c>
      <c r="J29" s="226">
        <v>1.8641000000000001E-2</v>
      </c>
      <c r="K29" s="226">
        <v>5.8250000000000003E-2</v>
      </c>
      <c r="L29" s="226">
        <v>0.65903900000000004</v>
      </c>
      <c r="M29" s="226">
        <v>0.362259</v>
      </c>
      <c r="N29" s="226">
        <v>0.67886000000000002</v>
      </c>
      <c r="O29" s="226">
        <v>0.34820200000000001</v>
      </c>
      <c r="P29" s="226">
        <v>4.4510000000000001E-2</v>
      </c>
      <c r="Q29" s="226">
        <v>0.54848799999999998</v>
      </c>
      <c r="R29" s="226">
        <v>1.6529780000000001</v>
      </c>
    </row>
    <row r="30" spans="1:18" ht="12.75" customHeight="1">
      <c r="A30" s="223" t="s">
        <v>70</v>
      </c>
      <c r="B30" s="224" t="s">
        <v>89</v>
      </c>
      <c r="C30" s="225" t="s">
        <v>90</v>
      </c>
      <c r="D30" s="237">
        <v>457.06079299999999</v>
      </c>
      <c r="E30" s="226">
        <v>0.68819717829153815</v>
      </c>
      <c r="F30" s="226">
        <v>84.041015999999999</v>
      </c>
      <c r="G30" s="226">
        <v>0</v>
      </c>
      <c r="H30" s="226">
        <v>0.43787999999999999</v>
      </c>
      <c r="I30" s="226">
        <v>16.306878000000001</v>
      </c>
      <c r="J30" s="226">
        <v>5.0962069999999997</v>
      </c>
      <c r="K30" s="226">
        <v>0.815585</v>
      </c>
      <c r="L30" s="226">
        <v>303.78823399999999</v>
      </c>
      <c r="M30" s="226">
        <v>1.595596</v>
      </c>
      <c r="N30" s="226">
        <v>0</v>
      </c>
      <c r="O30" s="226">
        <v>13.919485</v>
      </c>
      <c r="P30" s="226">
        <v>16.112200000000001</v>
      </c>
      <c r="Q30" s="226">
        <v>2.848633</v>
      </c>
      <c r="R30" s="226">
        <v>12.099079</v>
      </c>
    </row>
    <row r="31" spans="1:18" ht="12.75" customHeight="1">
      <c r="A31" s="223" t="s">
        <v>73</v>
      </c>
      <c r="B31" s="224" t="s">
        <v>343</v>
      </c>
      <c r="C31" s="225" t="s">
        <v>95</v>
      </c>
      <c r="D31" s="237">
        <v>275.29837200000003</v>
      </c>
      <c r="E31" s="226">
        <v>0.41451720580779328</v>
      </c>
      <c r="F31" s="226">
        <v>0</v>
      </c>
      <c r="G31" s="226">
        <v>0</v>
      </c>
      <c r="H31" s="226">
        <v>0</v>
      </c>
      <c r="I31" s="226">
        <v>73.029508000000007</v>
      </c>
      <c r="J31" s="226">
        <v>45.92</v>
      </c>
      <c r="K31" s="226">
        <v>15.004117000000001</v>
      </c>
      <c r="L31" s="226">
        <v>99.54</v>
      </c>
      <c r="M31" s="226">
        <v>0</v>
      </c>
      <c r="N31" s="226">
        <v>0</v>
      </c>
      <c r="O31" s="226">
        <v>0</v>
      </c>
      <c r="P31" s="226">
        <v>0</v>
      </c>
      <c r="Q31" s="226">
        <v>0</v>
      </c>
      <c r="R31" s="226">
        <v>41.804746999999999</v>
      </c>
    </row>
    <row r="32" spans="1:18">
      <c r="A32" s="223" t="s">
        <v>76</v>
      </c>
      <c r="B32" s="224" t="s">
        <v>241</v>
      </c>
      <c r="C32" s="225" t="s">
        <v>92</v>
      </c>
      <c r="D32" s="237">
        <v>47.51398300000001</v>
      </c>
      <c r="E32" s="226">
        <v>7.1541881366298063E-2</v>
      </c>
      <c r="F32" s="226">
        <v>10.075805000000001</v>
      </c>
      <c r="G32" s="226">
        <v>0</v>
      </c>
      <c r="H32" s="226">
        <v>0</v>
      </c>
      <c r="I32" s="226">
        <v>3.5679449999999999</v>
      </c>
      <c r="J32" s="226">
        <v>0</v>
      </c>
      <c r="K32" s="226">
        <v>0</v>
      </c>
      <c r="L32" s="226">
        <v>0</v>
      </c>
      <c r="M32" s="226">
        <v>0</v>
      </c>
      <c r="N32" s="226">
        <v>21.434463000000001</v>
      </c>
      <c r="O32" s="226">
        <v>0</v>
      </c>
      <c r="P32" s="226">
        <v>1.9250100000000001</v>
      </c>
      <c r="Q32" s="226">
        <v>4.5187759999999999</v>
      </c>
      <c r="R32" s="226">
        <v>5.9919840000000004</v>
      </c>
    </row>
    <row r="33" spans="1:18">
      <c r="A33" s="223" t="s">
        <v>79</v>
      </c>
      <c r="B33" s="224" t="s">
        <v>641</v>
      </c>
      <c r="C33" s="225" t="s">
        <v>118</v>
      </c>
      <c r="D33" s="237">
        <v>2201.0391847058477</v>
      </c>
      <c r="E33" s="226">
        <v>3.3141082749219137</v>
      </c>
      <c r="F33" s="226">
        <v>311.66968700000001</v>
      </c>
      <c r="G33" s="226">
        <v>103.91124600000002</v>
      </c>
      <c r="H33" s="226">
        <v>57.142569999999999</v>
      </c>
      <c r="I33" s="226">
        <v>119.225477</v>
      </c>
      <c r="J33" s="226">
        <v>92.082756000000003</v>
      </c>
      <c r="K33" s="226">
        <v>143.27855800000003</v>
      </c>
      <c r="L33" s="226">
        <v>161.52064200000001</v>
      </c>
      <c r="M33" s="226">
        <v>159.75599800000001</v>
      </c>
      <c r="N33" s="226">
        <v>95.236153999999999</v>
      </c>
      <c r="O33" s="226">
        <v>202.04861770584773</v>
      </c>
      <c r="P33" s="226">
        <v>180.71914999999998</v>
      </c>
      <c r="Q33" s="226">
        <v>131.54667000000001</v>
      </c>
      <c r="R33" s="226">
        <v>442.901659</v>
      </c>
    </row>
    <row r="34" spans="1:18" s="253" customFormat="1">
      <c r="A34" s="227"/>
      <c r="B34" s="228" t="s">
        <v>187</v>
      </c>
      <c r="C34" s="229"/>
      <c r="D34" s="240"/>
      <c r="E34" s="343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</row>
    <row r="35" spans="1:18" s="253" customFormat="1">
      <c r="A35" s="227" t="s">
        <v>345</v>
      </c>
      <c r="B35" s="228" t="s">
        <v>294</v>
      </c>
      <c r="C35" s="229" t="s">
        <v>120</v>
      </c>
      <c r="D35" s="240">
        <v>1581.3146290000002</v>
      </c>
      <c r="E35" s="343">
        <v>2.3809880049565542</v>
      </c>
      <c r="F35" s="240">
        <v>209.429789</v>
      </c>
      <c r="G35" s="240">
        <v>96.002426</v>
      </c>
      <c r="H35" s="240">
        <v>50.921639999999996</v>
      </c>
      <c r="I35" s="240">
        <v>90.540531000000001</v>
      </c>
      <c r="J35" s="240">
        <v>85.152877000000004</v>
      </c>
      <c r="K35" s="240">
        <v>97.522425999999996</v>
      </c>
      <c r="L35" s="240">
        <v>137.31597300000001</v>
      </c>
      <c r="M35" s="240">
        <v>133.461409</v>
      </c>
      <c r="N35" s="240">
        <v>85.807367999999997</v>
      </c>
      <c r="O35" s="240">
        <v>176.75472600000001</v>
      </c>
      <c r="P35" s="240">
        <v>145.10651999999999</v>
      </c>
      <c r="Q35" s="240">
        <v>77.324143000000007</v>
      </c>
      <c r="R35" s="240">
        <v>195.97480100000001</v>
      </c>
    </row>
    <row r="36" spans="1:18" s="253" customFormat="1">
      <c r="A36" s="227" t="s">
        <v>345</v>
      </c>
      <c r="B36" s="228" t="s">
        <v>295</v>
      </c>
      <c r="C36" s="229" t="s">
        <v>122</v>
      </c>
      <c r="D36" s="240">
        <v>108.31426900000001</v>
      </c>
      <c r="E36" s="343">
        <v>0.1630889707367891</v>
      </c>
      <c r="F36" s="240">
        <v>62.132249999999999</v>
      </c>
      <c r="G36" s="240">
        <v>0</v>
      </c>
      <c r="H36" s="240">
        <v>0</v>
      </c>
      <c r="I36" s="240">
        <v>0</v>
      </c>
      <c r="J36" s="240">
        <v>0</v>
      </c>
      <c r="K36" s="240">
        <v>6.5035040000000004</v>
      </c>
      <c r="L36" s="240">
        <v>0</v>
      </c>
      <c r="M36" s="240">
        <v>0</v>
      </c>
      <c r="N36" s="240">
        <v>0</v>
      </c>
      <c r="O36" s="240">
        <v>0</v>
      </c>
      <c r="P36" s="240">
        <v>0.21177000000000001</v>
      </c>
      <c r="Q36" s="240">
        <v>39.444101000000003</v>
      </c>
      <c r="R36" s="240">
        <v>2.2644000000000001E-2</v>
      </c>
    </row>
    <row r="37" spans="1:18" s="253" customFormat="1" ht="12.75" customHeight="1">
      <c r="A37" s="227" t="s">
        <v>345</v>
      </c>
      <c r="B37" s="228" t="s">
        <v>296</v>
      </c>
      <c r="C37" s="229" t="s">
        <v>128</v>
      </c>
      <c r="D37" s="240">
        <v>27.272508999999999</v>
      </c>
      <c r="E37" s="343">
        <v>4.1064261092135672E-2</v>
      </c>
      <c r="F37" s="240">
        <v>3.7362679999999999</v>
      </c>
      <c r="G37" s="240">
        <v>0.41027200000000003</v>
      </c>
      <c r="H37" s="240">
        <v>0.48927999999999999</v>
      </c>
      <c r="I37" s="240">
        <v>13.678281999999999</v>
      </c>
      <c r="J37" s="240">
        <v>0</v>
      </c>
      <c r="K37" s="240">
        <v>0</v>
      </c>
      <c r="L37" s="240">
        <v>0</v>
      </c>
      <c r="M37" s="240">
        <v>0.76320200000000005</v>
      </c>
      <c r="N37" s="240">
        <v>0</v>
      </c>
      <c r="O37" s="240">
        <v>9.3435000000000004E-2</v>
      </c>
      <c r="P37" s="240">
        <v>8.1017700000000001</v>
      </c>
      <c r="Q37" s="240">
        <v>0</v>
      </c>
      <c r="R37" s="240">
        <v>0</v>
      </c>
    </row>
    <row r="38" spans="1:18" s="253" customFormat="1" ht="12.75" customHeight="1">
      <c r="A38" s="227" t="s">
        <v>345</v>
      </c>
      <c r="B38" s="228" t="s">
        <v>297</v>
      </c>
      <c r="C38" s="229" t="s">
        <v>130</v>
      </c>
      <c r="D38" s="240">
        <v>32.223337999999998</v>
      </c>
      <c r="E38" s="343">
        <v>4.8518732357632988E-2</v>
      </c>
      <c r="F38" s="240">
        <v>4.6976519999999997</v>
      </c>
      <c r="G38" s="240">
        <v>0.50022299999999997</v>
      </c>
      <c r="H38" s="240">
        <v>0.27367999999999998</v>
      </c>
      <c r="I38" s="240">
        <v>0.181168</v>
      </c>
      <c r="J38" s="240">
        <v>0.49564399999999997</v>
      </c>
      <c r="K38" s="240">
        <v>23.007594999999998</v>
      </c>
      <c r="L38" s="240">
        <v>0.51041800000000004</v>
      </c>
      <c r="M38" s="240">
        <v>0.23974899999999999</v>
      </c>
      <c r="N38" s="240">
        <v>0.43063600000000002</v>
      </c>
      <c r="O38" s="240">
        <v>0.28657100000000002</v>
      </c>
      <c r="P38" s="240">
        <v>1.1758599999999999</v>
      </c>
      <c r="Q38" s="240">
        <v>0.18885399999999999</v>
      </c>
      <c r="R38" s="240">
        <v>0.235288</v>
      </c>
    </row>
    <row r="39" spans="1:18" s="253" customFormat="1" ht="12.75" customHeight="1">
      <c r="A39" s="227" t="s">
        <v>345</v>
      </c>
      <c r="B39" s="228" t="s">
        <v>298</v>
      </c>
      <c r="C39" s="229" t="s">
        <v>132</v>
      </c>
      <c r="D39" s="240">
        <v>65.462155705847735</v>
      </c>
      <c r="E39" s="343">
        <v>9.8566474157510423E-2</v>
      </c>
      <c r="F39" s="240">
        <v>10.518236</v>
      </c>
      <c r="G39" s="240">
        <v>3.52305</v>
      </c>
      <c r="H39" s="240">
        <v>4.7199900000000001</v>
      </c>
      <c r="I39" s="240">
        <v>2.710359</v>
      </c>
      <c r="J39" s="240">
        <v>3.882539</v>
      </c>
      <c r="K39" s="240">
        <v>2.5464699999999998</v>
      </c>
      <c r="L39" s="240">
        <v>3.291388</v>
      </c>
      <c r="M39" s="240">
        <v>4.2338370000000003</v>
      </c>
      <c r="N39" s="240">
        <v>4.3417560000000002</v>
      </c>
      <c r="O39" s="240">
        <v>4.2226877058477399</v>
      </c>
      <c r="P39" s="240">
        <v>9.1787500000000009</v>
      </c>
      <c r="Q39" s="240">
        <v>4.5701499999999999</v>
      </c>
      <c r="R39" s="240">
        <v>7.7229429999999999</v>
      </c>
    </row>
    <row r="40" spans="1:18" s="253" customFormat="1" ht="12.75" customHeight="1">
      <c r="A40" s="227" t="s">
        <v>345</v>
      </c>
      <c r="B40" s="228" t="s">
        <v>299</v>
      </c>
      <c r="C40" s="229" t="s">
        <v>134</v>
      </c>
      <c r="D40" s="240">
        <v>22.222180999999999</v>
      </c>
      <c r="E40" s="343">
        <v>3.3459974020750953E-2</v>
      </c>
      <c r="F40" s="240">
        <v>0.72840700000000003</v>
      </c>
      <c r="G40" s="240">
        <v>0.95833199999999996</v>
      </c>
      <c r="H40" s="240">
        <v>0.56005000000000005</v>
      </c>
      <c r="I40" s="240">
        <v>1.6788879999999999</v>
      </c>
      <c r="J40" s="240">
        <v>0</v>
      </c>
      <c r="K40" s="240">
        <v>3.4505539999999999</v>
      </c>
      <c r="L40" s="240">
        <v>1.201144</v>
      </c>
      <c r="M40" s="240">
        <v>2.1348240000000001</v>
      </c>
      <c r="N40" s="240">
        <v>0.798987</v>
      </c>
      <c r="O40" s="240">
        <v>2.6445590000000001</v>
      </c>
      <c r="P40" s="240">
        <v>2.85894</v>
      </c>
      <c r="Q40" s="240">
        <v>0</v>
      </c>
      <c r="R40" s="240">
        <v>5.2074959999999999</v>
      </c>
    </row>
    <row r="41" spans="1:18" s="253" customFormat="1" ht="12.75" customHeight="1">
      <c r="A41" s="227" t="s">
        <v>345</v>
      </c>
      <c r="B41" s="228" t="s">
        <v>300</v>
      </c>
      <c r="C41" s="229" t="s">
        <v>124</v>
      </c>
      <c r="D41" s="240">
        <v>221.21611300000001</v>
      </c>
      <c r="E41" s="343">
        <v>0.33308546060134731</v>
      </c>
      <c r="F41" s="240">
        <v>0.81078899999999998</v>
      </c>
      <c r="G41" s="240">
        <v>7.6955999999999997E-2</v>
      </c>
      <c r="H41" s="240">
        <v>1.23E-2</v>
      </c>
      <c r="I41" s="240">
        <v>0.70649899999999999</v>
      </c>
      <c r="J41" s="240">
        <v>7.2984999999999994E-2</v>
      </c>
      <c r="K41" s="240">
        <v>2.6322000000000002E-2</v>
      </c>
      <c r="L41" s="240">
        <v>0.13744400000000001</v>
      </c>
      <c r="M41" s="240">
        <v>7.5139999999999998E-2</v>
      </c>
      <c r="N41" s="240">
        <v>3.0374999999999999E-2</v>
      </c>
      <c r="O41" s="240">
        <v>0</v>
      </c>
      <c r="P41" s="240">
        <v>2.445E-2</v>
      </c>
      <c r="Q41" s="240">
        <v>0</v>
      </c>
      <c r="R41" s="240">
        <v>219.242853</v>
      </c>
    </row>
    <row r="42" spans="1:18" s="253" customFormat="1" ht="12.75" customHeight="1">
      <c r="A42" s="227" t="s">
        <v>345</v>
      </c>
      <c r="B42" s="228" t="s">
        <v>301</v>
      </c>
      <c r="C42" s="229" t="s">
        <v>126</v>
      </c>
      <c r="D42" s="240">
        <v>1.6456760000000001</v>
      </c>
      <c r="E42" s="343">
        <v>2.477897025794784E-3</v>
      </c>
      <c r="F42" s="240">
        <v>0.75707800000000003</v>
      </c>
      <c r="G42" s="240">
        <v>0</v>
      </c>
      <c r="H42" s="240">
        <v>3.7879999999999997E-2</v>
      </c>
      <c r="I42" s="240">
        <v>3.4011E-2</v>
      </c>
      <c r="J42" s="240">
        <v>1.0957E-2</v>
      </c>
      <c r="K42" s="240">
        <v>0.23086999999999999</v>
      </c>
      <c r="L42" s="240">
        <v>0</v>
      </c>
      <c r="M42" s="240">
        <v>0.152007</v>
      </c>
      <c r="N42" s="240">
        <v>0.194576</v>
      </c>
      <c r="O42" s="240">
        <v>2.7542000000000001E-2</v>
      </c>
      <c r="P42" s="240">
        <v>1.38E-2</v>
      </c>
      <c r="Q42" s="240">
        <v>0.15413399999999999</v>
      </c>
      <c r="R42" s="240">
        <v>3.2821000000000003E-2</v>
      </c>
    </row>
    <row r="43" spans="1:18" s="253" customFormat="1" ht="12.75" customHeight="1">
      <c r="A43" s="227" t="s">
        <v>345</v>
      </c>
      <c r="B43" s="228" t="s">
        <v>302</v>
      </c>
      <c r="C43" s="229" t="s">
        <v>305</v>
      </c>
      <c r="D43" s="240">
        <v>0</v>
      </c>
      <c r="E43" s="343">
        <v>0</v>
      </c>
      <c r="F43" s="240">
        <v>0</v>
      </c>
      <c r="G43" s="240">
        <v>0</v>
      </c>
      <c r="H43" s="240">
        <v>0</v>
      </c>
      <c r="I43" s="240">
        <v>0</v>
      </c>
      <c r="J43" s="240">
        <v>0</v>
      </c>
      <c r="K43" s="240">
        <v>0</v>
      </c>
      <c r="L43" s="240">
        <v>0</v>
      </c>
      <c r="M43" s="240">
        <v>0</v>
      </c>
      <c r="N43" s="240">
        <v>0</v>
      </c>
      <c r="O43" s="240">
        <v>0</v>
      </c>
      <c r="P43" s="240">
        <v>0</v>
      </c>
      <c r="Q43" s="240">
        <v>0</v>
      </c>
      <c r="R43" s="240">
        <v>0</v>
      </c>
    </row>
    <row r="44" spans="1:18" s="253" customFormat="1" ht="12.75" customHeight="1">
      <c r="A44" s="227" t="s">
        <v>345</v>
      </c>
      <c r="B44" s="228" t="s">
        <v>270</v>
      </c>
      <c r="C44" s="229" t="s">
        <v>97</v>
      </c>
      <c r="D44" s="240">
        <v>1.572659</v>
      </c>
      <c r="E44" s="343">
        <v>2.3679552103144231E-3</v>
      </c>
      <c r="F44" s="240">
        <v>1.2836419999999999</v>
      </c>
      <c r="G44" s="240">
        <v>0</v>
      </c>
      <c r="H44" s="240">
        <v>0</v>
      </c>
      <c r="I44" s="240">
        <v>0</v>
      </c>
      <c r="J44" s="240">
        <v>0</v>
      </c>
      <c r="K44" s="240">
        <v>0</v>
      </c>
      <c r="L44" s="240">
        <v>0</v>
      </c>
      <c r="M44" s="240">
        <v>0</v>
      </c>
      <c r="N44" s="240">
        <v>0</v>
      </c>
      <c r="O44" s="240">
        <v>0</v>
      </c>
      <c r="P44" s="240">
        <v>0</v>
      </c>
      <c r="Q44" s="240">
        <v>0</v>
      </c>
      <c r="R44" s="240">
        <v>0.28901700000000002</v>
      </c>
    </row>
    <row r="45" spans="1:18" s="253" customFormat="1" ht="12.75" customHeight="1">
      <c r="A45" s="227" t="s">
        <v>345</v>
      </c>
      <c r="B45" s="228" t="s">
        <v>271</v>
      </c>
      <c r="C45" s="229" t="s">
        <v>103</v>
      </c>
      <c r="D45" s="240">
        <v>24.573335</v>
      </c>
      <c r="E45" s="343">
        <v>3.700011041684928E-2</v>
      </c>
      <c r="F45" s="240">
        <v>0</v>
      </c>
      <c r="G45" s="240">
        <v>0</v>
      </c>
      <c r="H45" s="240">
        <v>0</v>
      </c>
      <c r="I45" s="240">
        <v>0</v>
      </c>
      <c r="J45" s="240">
        <v>0</v>
      </c>
      <c r="K45" s="240">
        <v>0</v>
      </c>
      <c r="L45" s="240">
        <v>16.127824</v>
      </c>
      <c r="M45" s="240">
        <v>0</v>
      </c>
      <c r="N45" s="240">
        <v>0</v>
      </c>
      <c r="O45" s="240">
        <v>3.1400990000000002</v>
      </c>
      <c r="P45" s="240">
        <v>0</v>
      </c>
      <c r="Q45" s="240">
        <v>4.4605439999999996</v>
      </c>
      <c r="R45" s="240">
        <v>0.84486799999999995</v>
      </c>
    </row>
    <row r="46" spans="1:18" s="253" customFormat="1" ht="12.75" customHeight="1">
      <c r="A46" s="227" t="s">
        <v>345</v>
      </c>
      <c r="B46" s="228" t="s">
        <v>105</v>
      </c>
      <c r="C46" s="229" t="s">
        <v>106</v>
      </c>
      <c r="D46" s="240">
        <v>13.322333999999996</v>
      </c>
      <c r="E46" s="343">
        <v>2.0059459939407706E-2</v>
      </c>
      <c r="F46" s="240">
        <v>1.639337</v>
      </c>
      <c r="G46" s="240">
        <v>0.28276699999999999</v>
      </c>
      <c r="H46" s="240">
        <v>0.12775</v>
      </c>
      <c r="I46" s="240">
        <v>1.291301</v>
      </c>
      <c r="J46" s="240">
        <v>0.39835999999999999</v>
      </c>
      <c r="K46" s="240">
        <v>0.78195400000000004</v>
      </c>
      <c r="L46" s="240">
        <v>0.500081</v>
      </c>
      <c r="M46" s="240">
        <v>2.312522</v>
      </c>
      <c r="N46" s="240">
        <v>1.6311599999999999</v>
      </c>
      <c r="O46" s="240">
        <v>1.469069</v>
      </c>
      <c r="P46" s="240">
        <v>1.10301</v>
      </c>
      <c r="Q46" s="240">
        <v>0.75462700000000005</v>
      </c>
      <c r="R46" s="240">
        <v>1.0303960000000001</v>
      </c>
    </row>
    <row r="47" spans="1:18" s="253" customFormat="1" ht="26.4">
      <c r="A47" s="227" t="s">
        <v>345</v>
      </c>
      <c r="B47" s="228" t="s">
        <v>518</v>
      </c>
      <c r="C47" s="229" t="s">
        <v>111</v>
      </c>
      <c r="D47" s="240">
        <v>97.492464000000012</v>
      </c>
      <c r="E47" s="343">
        <v>0.14679456137356628</v>
      </c>
      <c r="F47" s="240">
        <v>15.256302</v>
      </c>
      <c r="G47" s="240">
        <v>1.0004599999999999</v>
      </c>
      <c r="H47" s="240">
        <v>0</v>
      </c>
      <c r="I47" s="240">
        <v>8.4044380000000007</v>
      </c>
      <c r="J47" s="240">
        <v>2.069394</v>
      </c>
      <c r="K47" s="240">
        <v>8.90015</v>
      </c>
      <c r="L47" s="240">
        <v>2.4363700000000001</v>
      </c>
      <c r="M47" s="240">
        <v>15.924815000000001</v>
      </c>
      <c r="N47" s="240">
        <v>2.001296</v>
      </c>
      <c r="O47" s="240">
        <v>12.672292000000001</v>
      </c>
      <c r="P47" s="240">
        <v>12.944279999999999</v>
      </c>
      <c r="Q47" s="240">
        <v>4.4601360000000003</v>
      </c>
      <c r="R47" s="240">
        <v>11.422530999999999</v>
      </c>
    </row>
    <row r="48" spans="1:18" s="253" customFormat="1" ht="12.75" customHeight="1">
      <c r="A48" s="227" t="s">
        <v>345</v>
      </c>
      <c r="B48" s="228" t="s">
        <v>303</v>
      </c>
      <c r="C48" s="229" t="s">
        <v>136</v>
      </c>
      <c r="D48" s="240">
        <v>0</v>
      </c>
      <c r="E48" s="343">
        <v>0</v>
      </c>
      <c r="F48" s="240">
        <v>0</v>
      </c>
      <c r="G48" s="240">
        <v>0</v>
      </c>
      <c r="H48" s="240">
        <v>0</v>
      </c>
      <c r="I48" s="240">
        <v>0</v>
      </c>
      <c r="J48" s="240">
        <v>0</v>
      </c>
      <c r="K48" s="240">
        <v>0</v>
      </c>
      <c r="L48" s="240">
        <v>0</v>
      </c>
      <c r="M48" s="240">
        <v>0</v>
      </c>
      <c r="N48" s="240">
        <v>0</v>
      </c>
      <c r="O48" s="240">
        <v>0</v>
      </c>
      <c r="P48" s="240">
        <v>0</v>
      </c>
      <c r="Q48" s="240">
        <v>0</v>
      </c>
      <c r="R48" s="240">
        <v>0</v>
      </c>
    </row>
    <row r="49" spans="1:18" s="253" customFormat="1" ht="12.75" customHeight="1">
      <c r="A49" s="227" t="s">
        <v>345</v>
      </c>
      <c r="B49" s="228" t="s">
        <v>304</v>
      </c>
      <c r="C49" s="229" t="s">
        <v>138</v>
      </c>
      <c r="D49" s="240">
        <v>0</v>
      </c>
      <c r="E49" s="343">
        <v>0</v>
      </c>
      <c r="F49" s="240">
        <v>0</v>
      </c>
      <c r="G49" s="240">
        <v>0</v>
      </c>
      <c r="H49" s="240">
        <v>0</v>
      </c>
      <c r="I49" s="240">
        <v>0</v>
      </c>
      <c r="J49" s="240">
        <v>0</v>
      </c>
      <c r="K49" s="240">
        <v>0</v>
      </c>
      <c r="L49" s="240">
        <v>0</v>
      </c>
      <c r="M49" s="240">
        <v>0</v>
      </c>
      <c r="N49" s="240">
        <v>0</v>
      </c>
      <c r="O49" s="240">
        <v>0</v>
      </c>
      <c r="P49" s="240">
        <v>0</v>
      </c>
      <c r="Q49" s="240">
        <v>0</v>
      </c>
      <c r="R49" s="240">
        <v>0</v>
      </c>
    </row>
    <row r="50" spans="1:18" s="253" customFormat="1" ht="12.75" customHeight="1">
      <c r="A50" s="227" t="s">
        <v>345</v>
      </c>
      <c r="B50" s="228" t="s">
        <v>263</v>
      </c>
      <c r="C50" s="229" t="s">
        <v>140</v>
      </c>
      <c r="D50" s="240">
        <v>4.4075220000000002</v>
      </c>
      <c r="E50" s="343">
        <v>6.6364130332611506E-3</v>
      </c>
      <c r="F50" s="240">
        <v>0.67993700000000001</v>
      </c>
      <c r="G50" s="240">
        <v>1.15676</v>
      </c>
      <c r="H50" s="240">
        <v>0</v>
      </c>
      <c r="I50" s="240">
        <v>0</v>
      </c>
      <c r="J50" s="240">
        <v>0</v>
      </c>
      <c r="K50" s="240">
        <v>0.30871300000000002</v>
      </c>
      <c r="L50" s="240">
        <v>0</v>
      </c>
      <c r="M50" s="240">
        <v>0.45849299999999998</v>
      </c>
      <c r="N50" s="240">
        <v>0</v>
      </c>
      <c r="O50" s="240">
        <v>0.73763699999999999</v>
      </c>
      <c r="P50" s="240">
        <v>0</v>
      </c>
      <c r="Q50" s="240">
        <v>0.18998100000000001</v>
      </c>
      <c r="R50" s="240">
        <v>0.87600100000000003</v>
      </c>
    </row>
    <row r="51" spans="1:18" ht="12.75" customHeight="1">
      <c r="A51" s="223" t="s">
        <v>82</v>
      </c>
      <c r="B51" s="224" t="s">
        <v>99</v>
      </c>
      <c r="C51" s="225" t="s">
        <v>100</v>
      </c>
      <c r="D51" s="237">
        <v>0</v>
      </c>
      <c r="E51" s="226">
        <v>0</v>
      </c>
      <c r="F51" s="240">
        <v>0</v>
      </c>
      <c r="G51" s="240">
        <v>0</v>
      </c>
      <c r="H51" s="240">
        <v>0</v>
      </c>
      <c r="I51" s="240">
        <v>0</v>
      </c>
      <c r="J51" s="240">
        <v>0</v>
      </c>
      <c r="K51" s="240">
        <v>0</v>
      </c>
      <c r="L51" s="240">
        <v>0</v>
      </c>
      <c r="M51" s="240">
        <v>0</v>
      </c>
      <c r="N51" s="240">
        <v>0</v>
      </c>
      <c r="O51" s="240">
        <v>0</v>
      </c>
      <c r="P51" s="240">
        <v>0</v>
      </c>
      <c r="Q51" s="240">
        <v>0</v>
      </c>
      <c r="R51" s="240">
        <v>0</v>
      </c>
    </row>
    <row r="52" spans="1:18" ht="12.75" customHeight="1">
      <c r="A52" s="223" t="s">
        <v>85</v>
      </c>
      <c r="B52" s="224" t="s">
        <v>142</v>
      </c>
      <c r="C52" s="225" t="s">
        <v>143</v>
      </c>
      <c r="D52" s="237">
        <v>12.401898000000001</v>
      </c>
      <c r="E52" s="226">
        <v>1.8673557959410163E-2</v>
      </c>
      <c r="F52" s="240">
        <v>1.39863</v>
      </c>
      <c r="G52" s="240">
        <v>0.72608799999999996</v>
      </c>
      <c r="H52" s="240">
        <v>0.24615000000000001</v>
      </c>
      <c r="I52" s="240">
        <v>1.2236180000000001</v>
      </c>
      <c r="J52" s="240">
        <v>0.85155099999999995</v>
      </c>
      <c r="K52" s="240">
        <v>8.8983999999999994E-2</v>
      </c>
      <c r="L52" s="240">
        <v>1.805844</v>
      </c>
      <c r="M52" s="240">
        <v>0.56385300000000005</v>
      </c>
      <c r="N52" s="240">
        <v>0.65560099999999999</v>
      </c>
      <c r="O52" s="240">
        <v>0.65997300000000003</v>
      </c>
      <c r="P52" s="240">
        <v>1.6326000000000001</v>
      </c>
      <c r="Q52" s="240">
        <v>1.114331</v>
      </c>
      <c r="R52" s="240">
        <v>1.4346749999999999</v>
      </c>
    </row>
    <row r="53" spans="1:18" ht="12.75" customHeight="1">
      <c r="A53" s="223" t="s">
        <v>88</v>
      </c>
      <c r="B53" s="224" t="s">
        <v>145</v>
      </c>
      <c r="C53" s="225" t="s">
        <v>146</v>
      </c>
      <c r="D53" s="237">
        <v>9.9138779999999986</v>
      </c>
      <c r="E53" s="226">
        <v>1.4927342204840039E-2</v>
      </c>
      <c r="F53" s="240">
        <v>9.6366929999999993</v>
      </c>
      <c r="G53" s="240">
        <v>0.27718500000000001</v>
      </c>
      <c r="H53" s="240">
        <v>0</v>
      </c>
      <c r="I53" s="240">
        <v>0</v>
      </c>
      <c r="J53" s="240">
        <v>0</v>
      </c>
      <c r="K53" s="240">
        <v>0</v>
      </c>
      <c r="L53" s="240">
        <v>0</v>
      </c>
      <c r="M53" s="240">
        <v>0</v>
      </c>
      <c r="N53" s="240">
        <v>0</v>
      </c>
      <c r="O53" s="240">
        <v>0</v>
      </c>
      <c r="P53" s="240">
        <v>0</v>
      </c>
      <c r="Q53" s="240">
        <v>0</v>
      </c>
      <c r="R53" s="240">
        <v>0</v>
      </c>
    </row>
    <row r="54" spans="1:18" ht="12.75" customHeight="1">
      <c r="A54" s="223" t="s">
        <v>91</v>
      </c>
      <c r="B54" s="224" t="s">
        <v>238</v>
      </c>
      <c r="C54" s="225" t="s">
        <v>58</v>
      </c>
      <c r="D54" s="237">
        <v>559.67882700000007</v>
      </c>
      <c r="E54" s="226">
        <v>0.84270931873808297</v>
      </c>
      <c r="F54" s="240">
        <v>0</v>
      </c>
      <c r="G54" s="240">
        <v>24.047162</v>
      </c>
      <c r="H54" s="240">
        <v>34.58135</v>
      </c>
      <c r="I54" s="240">
        <v>24.369330999999999</v>
      </c>
      <c r="J54" s="240">
        <v>27.519725000000001</v>
      </c>
      <c r="K54" s="240">
        <v>15.879123999999999</v>
      </c>
      <c r="L54" s="240">
        <v>43.898175999999999</v>
      </c>
      <c r="M54" s="240">
        <v>41.627834999999997</v>
      </c>
      <c r="N54" s="240">
        <v>122.75997099999999</v>
      </c>
      <c r="O54" s="240">
        <v>57.812877999999998</v>
      </c>
      <c r="P54" s="240">
        <v>109.408</v>
      </c>
      <c r="Q54" s="240">
        <v>23.005766000000001</v>
      </c>
      <c r="R54" s="240">
        <v>34.769508999999999</v>
      </c>
    </row>
    <row r="55" spans="1:18" ht="12.75" customHeight="1">
      <c r="A55" s="223" t="s">
        <v>93</v>
      </c>
      <c r="B55" s="224" t="s">
        <v>239</v>
      </c>
      <c r="C55" s="225" t="s">
        <v>60</v>
      </c>
      <c r="D55" s="237">
        <v>130.01883699999999</v>
      </c>
      <c r="E55" s="226">
        <v>0.19576957402283118</v>
      </c>
      <c r="F55" s="240">
        <v>130.01883699999999</v>
      </c>
      <c r="G55" s="240">
        <v>0</v>
      </c>
      <c r="H55" s="240">
        <v>0</v>
      </c>
      <c r="I55" s="240">
        <v>0</v>
      </c>
      <c r="J55" s="240">
        <v>0</v>
      </c>
      <c r="K55" s="240">
        <v>0</v>
      </c>
      <c r="L55" s="240">
        <v>0</v>
      </c>
      <c r="M55" s="240">
        <v>0</v>
      </c>
      <c r="N55" s="240">
        <v>0</v>
      </c>
      <c r="O55" s="240">
        <v>0</v>
      </c>
      <c r="P55" s="240">
        <v>0</v>
      </c>
      <c r="Q55" s="240">
        <v>0</v>
      </c>
      <c r="R55" s="240">
        <v>0</v>
      </c>
    </row>
    <row r="56" spans="1:18" ht="12.75" customHeight="1">
      <c r="A56" s="223" t="s">
        <v>96</v>
      </c>
      <c r="B56" s="224" t="s">
        <v>62</v>
      </c>
      <c r="C56" s="225" t="s">
        <v>63</v>
      </c>
      <c r="D56" s="237">
        <v>36.096491999999998</v>
      </c>
      <c r="E56" s="226">
        <v>5.4350546625474998E-2</v>
      </c>
      <c r="F56" s="240">
        <v>20.971610999999999</v>
      </c>
      <c r="G56" s="240">
        <v>1.972343</v>
      </c>
      <c r="H56" s="240">
        <v>0.49669999999999997</v>
      </c>
      <c r="I56" s="240">
        <v>0.77539800000000003</v>
      </c>
      <c r="J56" s="240">
        <v>0.8992</v>
      </c>
      <c r="K56" s="240">
        <v>1.8447150000000001</v>
      </c>
      <c r="L56" s="240">
        <v>1.1514150000000001</v>
      </c>
      <c r="M56" s="240">
        <v>0.45865699999999998</v>
      </c>
      <c r="N56" s="240">
        <v>2.879572</v>
      </c>
      <c r="O56" s="240">
        <v>0.90919799999999995</v>
      </c>
      <c r="P56" s="240">
        <v>1.19933</v>
      </c>
      <c r="Q56" s="240">
        <v>1.12856</v>
      </c>
      <c r="R56" s="240">
        <v>1.4097930000000001</v>
      </c>
    </row>
    <row r="57" spans="1:18" ht="12.75" customHeight="1">
      <c r="A57" s="223" t="s">
        <v>98</v>
      </c>
      <c r="B57" s="224" t="s">
        <v>632</v>
      </c>
      <c r="C57" s="225" t="s">
        <v>66</v>
      </c>
      <c r="D57" s="237">
        <v>0.48929600000000001</v>
      </c>
      <c r="E57" s="226">
        <v>7.367337818217465E-4</v>
      </c>
      <c r="F57" s="240">
        <v>0.48929600000000001</v>
      </c>
      <c r="G57" s="240">
        <v>0</v>
      </c>
      <c r="H57" s="240">
        <v>0</v>
      </c>
      <c r="I57" s="240">
        <v>0</v>
      </c>
      <c r="J57" s="240">
        <v>0</v>
      </c>
      <c r="K57" s="240">
        <v>0</v>
      </c>
      <c r="L57" s="240">
        <v>0</v>
      </c>
      <c r="M57" s="240">
        <v>0</v>
      </c>
      <c r="N57" s="240">
        <v>0</v>
      </c>
      <c r="O57" s="240">
        <v>0</v>
      </c>
      <c r="P57" s="240">
        <v>0</v>
      </c>
      <c r="Q57" s="240">
        <v>0</v>
      </c>
      <c r="R57" s="240">
        <v>0</v>
      </c>
    </row>
    <row r="58" spans="1:18" ht="12.75" customHeight="1">
      <c r="A58" s="223" t="s">
        <v>101</v>
      </c>
      <c r="B58" s="224" t="s">
        <v>68</v>
      </c>
      <c r="C58" s="225" t="s">
        <v>69</v>
      </c>
      <c r="D58" s="237">
        <v>0</v>
      </c>
      <c r="E58" s="226">
        <v>0</v>
      </c>
      <c r="F58" s="240">
        <v>0</v>
      </c>
      <c r="G58" s="240">
        <v>0</v>
      </c>
      <c r="H58" s="240">
        <v>0</v>
      </c>
      <c r="I58" s="240">
        <v>0</v>
      </c>
      <c r="J58" s="240">
        <v>0</v>
      </c>
      <c r="K58" s="240">
        <v>0</v>
      </c>
      <c r="L58" s="240">
        <v>0</v>
      </c>
      <c r="M58" s="240">
        <v>0</v>
      </c>
      <c r="N58" s="240">
        <v>0</v>
      </c>
      <c r="O58" s="240">
        <v>0</v>
      </c>
      <c r="P58" s="240">
        <v>0</v>
      </c>
      <c r="Q58" s="240">
        <v>0</v>
      </c>
      <c r="R58" s="240">
        <v>0</v>
      </c>
    </row>
    <row r="59" spans="1:18" ht="12.75" customHeight="1">
      <c r="A59" s="223" t="s">
        <v>104</v>
      </c>
      <c r="B59" s="224" t="s">
        <v>348</v>
      </c>
      <c r="C59" s="225" t="s">
        <v>109</v>
      </c>
      <c r="D59" s="237">
        <v>0.27047700000000002</v>
      </c>
      <c r="E59" s="226">
        <v>4.0725765815743546E-4</v>
      </c>
      <c r="F59" s="240">
        <v>0</v>
      </c>
      <c r="G59" s="240">
        <v>0</v>
      </c>
      <c r="H59" s="240">
        <v>0</v>
      </c>
      <c r="I59" s="240">
        <v>0</v>
      </c>
      <c r="J59" s="240">
        <v>0</v>
      </c>
      <c r="K59" s="240">
        <v>0</v>
      </c>
      <c r="L59" s="240">
        <v>0</v>
      </c>
      <c r="M59" s="240">
        <v>0</v>
      </c>
      <c r="N59" s="240">
        <v>0.200291</v>
      </c>
      <c r="O59" s="240">
        <v>4.0466000000000002E-2</v>
      </c>
      <c r="P59" s="240">
        <v>2.972E-2</v>
      </c>
      <c r="Q59" s="240">
        <v>0</v>
      </c>
      <c r="R59" s="240">
        <v>0</v>
      </c>
    </row>
    <row r="60" spans="1:18" ht="12.75" customHeight="1">
      <c r="A60" s="223" t="s">
        <v>107</v>
      </c>
      <c r="B60" s="224" t="s">
        <v>242</v>
      </c>
      <c r="C60" s="225" t="s">
        <v>116</v>
      </c>
      <c r="D60" s="237">
        <v>1342.4534100000001</v>
      </c>
      <c r="E60" s="226">
        <v>2.0213342795951728</v>
      </c>
      <c r="F60" s="240">
        <v>35.833129999999997</v>
      </c>
      <c r="G60" s="240">
        <v>14.195423999999999</v>
      </c>
      <c r="H60" s="240">
        <v>12.68885</v>
      </c>
      <c r="I60" s="240">
        <v>49.048017000000002</v>
      </c>
      <c r="J60" s="240">
        <v>30.272255000000001</v>
      </c>
      <c r="K60" s="240">
        <v>66.486547000000002</v>
      </c>
      <c r="L60" s="240">
        <v>80.496714999999995</v>
      </c>
      <c r="M60" s="240">
        <v>76.199005999999997</v>
      </c>
      <c r="N60" s="240">
        <v>511.15332000000001</v>
      </c>
      <c r="O60" s="240">
        <v>163.57554200000001</v>
      </c>
      <c r="P60" s="240">
        <v>40.57696</v>
      </c>
      <c r="Q60" s="240">
        <v>23.782829</v>
      </c>
      <c r="R60" s="240">
        <v>238.14481499999999</v>
      </c>
    </row>
    <row r="61" spans="1:18" ht="12.75" customHeight="1">
      <c r="A61" s="223" t="s">
        <v>110</v>
      </c>
      <c r="B61" s="224" t="s">
        <v>272</v>
      </c>
      <c r="C61" s="225" t="s">
        <v>114</v>
      </c>
      <c r="D61" s="237">
        <v>323.38511615499334</v>
      </c>
      <c r="E61" s="226">
        <v>0.48692149457533479</v>
      </c>
      <c r="F61" s="240">
        <v>20.856300000000001</v>
      </c>
      <c r="G61" s="240">
        <v>9.7864090000000008</v>
      </c>
      <c r="H61" s="240">
        <v>1.9300000000000001E-2</v>
      </c>
      <c r="I61" s="240">
        <v>85.470065000000005</v>
      </c>
      <c r="J61" s="240">
        <v>59.362230154993306</v>
      </c>
      <c r="K61" s="240">
        <v>0</v>
      </c>
      <c r="L61" s="240">
        <v>79.479578000000004</v>
      </c>
      <c r="M61" s="240">
        <v>0</v>
      </c>
      <c r="N61" s="240">
        <v>9.0545480000000005</v>
      </c>
      <c r="O61" s="240">
        <v>59.356686000000003</v>
      </c>
      <c r="P61" s="240">
        <v>0</v>
      </c>
      <c r="Q61" s="240">
        <v>0</v>
      </c>
      <c r="R61" s="240">
        <v>0</v>
      </c>
    </row>
    <row r="62" spans="1:18" ht="12.75" customHeight="1">
      <c r="A62" s="234" t="s">
        <v>112</v>
      </c>
      <c r="B62" s="235" t="s">
        <v>148</v>
      </c>
      <c r="C62" s="236" t="s">
        <v>149</v>
      </c>
      <c r="D62" s="237">
        <v>2.630401</v>
      </c>
      <c r="E62" s="237">
        <v>3.960599057498332E-3</v>
      </c>
      <c r="F62" s="237">
        <v>0</v>
      </c>
      <c r="G62" s="237">
        <v>0</v>
      </c>
      <c r="H62" s="237">
        <v>1.09311</v>
      </c>
      <c r="I62" s="237">
        <v>0.1925</v>
      </c>
      <c r="J62" s="237">
        <v>0</v>
      </c>
      <c r="K62" s="237">
        <v>0.16500000000000001</v>
      </c>
      <c r="L62" s="237">
        <v>0</v>
      </c>
      <c r="M62" s="237">
        <v>0</v>
      </c>
      <c r="N62" s="237">
        <v>0</v>
      </c>
      <c r="O62" s="237">
        <v>1.179791</v>
      </c>
      <c r="P62" s="237">
        <v>0</v>
      </c>
      <c r="Q62" s="237">
        <v>0</v>
      </c>
      <c r="R62" s="237">
        <v>0</v>
      </c>
    </row>
    <row r="63" spans="1:18" s="251" customFormat="1" ht="12.75" customHeight="1">
      <c r="A63" s="290" t="s">
        <v>150</v>
      </c>
      <c r="B63" s="219" t="s">
        <v>151</v>
      </c>
      <c r="C63" s="291" t="s">
        <v>152</v>
      </c>
      <c r="D63" s="222">
        <v>0</v>
      </c>
      <c r="E63" s="222">
        <v>0</v>
      </c>
      <c r="F63" s="222">
        <v>0</v>
      </c>
      <c r="G63" s="222">
        <v>0</v>
      </c>
      <c r="H63" s="222">
        <v>0</v>
      </c>
      <c r="I63" s="222">
        <v>0</v>
      </c>
      <c r="J63" s="222">
        <v>0</v>
      </c>
      <c r="K63" s="222">
        <v>0</v>
      </c>
      <c r="L63" s="222">
        <v>0</v>
      </c>
      <c r="M63" s="222">
        <v>0</v>
      </c>
      <c r="N63" s="222">
        <v>0</v>
      </c>
      <c r="O63" s="222">
        <v>0</v>
      </c>
      <c r="P63" s="222">
        <v>0</v>
      </c>
      <c r="Q63" s="222">
        <v>0</v>
      </c>
      <c r="R63" s="222">
        <v>0</v>
      </c>
    </row>
  </sheetData>
  <mergeCells count="10">
    <mergeCell ref="A1:R1"/>
    <mergeCell ref="A2:R2"/>
    <mergeCell ref="A3:R3"/>
    <mergeCell ref="A4:R4"/>
    <mergeCell ref="A5:A6"/>
    <mergeCell ref="B5:B6"/>
    <mergeCell ref="C5:C6"/>
    <mergeCell ref="D5:D6"/>
    <mergeCell ref="E5:E6"/>
    <mergeCell ref="F5:R5"/>
  </mergeCells>
  <printOptions horizontalCentered="1"/>
  <pageMargins left="0.19685039370078741" right="0.19685039370078741" top="0.78740157480314965" bottom="0.39370078740157483" header="0" footer="0"/>
  <pageSetup paperSize="9"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>
    <tabColor rgb="FFFF0000"/>
  </sheetPr>
  <dimension ref="A3:BD59"/>
  <sheetViews>
    <sheetView workbookViewId="0"/>
  </sheetViews>
  <sheetFormatPr defaultRowHeight="13.8"/>
  <cols>
    <col min="1" max="1" width="12" bestFit="1" customWidth="1"/>
    <col min="2" max="55" width="9.09765625" bestFit="1" customWidth="1"/>
    <col min="56" max="56" width="10.3984375" bestFit="1" customWidth="1"/>
  </cols>
  <sheetData>
    <row r="3" spans="1:56">
      <c r="A3" s="156" t="s">
        <v>284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>
    <tabColor rgb="FFFF0000"/>
  </sheetPr>
  <dimension ref="A3:BD59"/>
  <sheetViews>
    <sheetView workbookViewId="0"/>
  </sheetViews>
  <sheetFormatPr defaultRowHeight="13.8"/>
  <cols>
    <col min="1" max="1" width="11.8984375" bestFit="1" customWidth="1"/>
    <col min="2" max="55" width="9.09765625" bestFit="1" customWidth="1"/>
    <col min="56" max="56" width="10.3984375" bestFit="1" customWidth="1"/>
  </cols>
  <sheetData>
    <row r="3" spans="1:56">
      <c r="A3" s="156" t="s">
        <v>285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>
    <tabColor rgb="FFFF0000"/>
  </sheetPr>
  <dimension ref="A3:BD59"/>
  <sheetViews>
    <sheetView workbookViewId="0"/>
  </sheetViews>
  <sheetFormatPr defaultRowHeight="13.8"/>
  <cols>
    <col min="1" max="1" width="11.8984375" bestFit="1" customWidth="1"/>
    <col min="2" max="55" width="9.09765625" bestFit="1" customWidth="1"/>
    <col min="56" max="56" width="10.3984375" bestFit="1" customWidth="1"/>
  </cols>
  <sheetData>
    <row r="3" spans="1:56">
      <c r="A3" s="156" t="s">
        <v>286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>
    <tabColor rgb="FFFF0000"/>
  </sheetPr>
  <dimension ref="A3:BD59"/>
  <sheetViews>
    <sheetView workbookViewId="0"/>
  </sheetViews>
  <sheetFormatPr defaultRowHeight="13.8"/>
  <cols>
    <col min="1" max="1" width="12" bestFit="1" customWidth="1"/>
    <col min="2" max="55" width="9.09765625" bestFit="1" customWidth="1"/>
    <col min="56" max="56" width="10.3984375" bestFit="1" customWidth="1"/>
  </cols>
  <sheetData>
    <row r="3" spans="1:56">
      <c r="A3" s="156" t="s">
        <v>287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>
    <tabColor rgb="FFFF0000"/>
  </sheetPr>
  <dimension ref="A3:BD59"/>
  <sheetViews>
    <sheetView workbookViewId="0"/>
  </sheetViews>
  <sheetFormatPr defaultRowHeight="13.8"/>
  <cols>
    <col min="1" max="1" width="11.69921875" bestFit="1" customWidth="1"/>
    <col min="2" max="55" width="9.09765625" bestFit="1" customWidth="1"/>
    <col min="56" max="56" width="10.3984375" bestFit="1" customWidth="1"/>
  </cols>
  <sheetData>
    <row r="3" spans="1:56">
      <c r="A3" s="156" t="s">
        <v>288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>
    <tabColor rgb="FFFF0000"/>
  </sheetPr>
  <dimension ref="A3:BD59"/>
  <sheetViews>
    <sheetView workbookViewId="0"/>
  </sheetViews>
  <sheetFormatPr defaultRowHeight="13.8"/>
  <cols>
    <col min="1" max="1" width="11.69921875" bestFit="1" customWidth="1"/>
    <col min="2" max="55" width="9.09765625" bestFit="1" customWidth="1"/>
    <col min="56" max="56" width="10.3984375" bestFit="1" customWidth="1"/>
  </cols>
  <sheetData>
    <row r="3" spans="1:56">
      <c r="A3" s="156" t="s">
        <v>291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>
    <tabColor rgb="FFFF0000"/>
  </sheetPr>
  <dimension ref="A3:BD59"/>
  <sheetViews>
    <sheetView workbookViewId="0"/>
  </sheetViews>
  <sheetFormatPr defaultRowHeight="13.8"/>
  <cols>
    <col min="1" max="1" width="14" customWidth="1"/>
    <col min="2" max="55" width="9.09765625" bestFit="1" customWidth="1"/>
    <col min="56" max="56" width="10.3984375" bestFit="1" customWidth="1"/>
  </cols>
  <sheetData>
    <row r="3" spans="1:56">
      <c r="A3" s="156" t="s">
        <v>289</v>
      </c>
      <c r="B3" s="156" t="s">
        <v>260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8"/>
    </row>
    <row r="4" spans="1:56">
      <c r="A4" s="156" t="s">
        <v>259</v>
      </c>
      <c r="B4" s="155" t="s">
        <v>75</v>
      </c>
      <c r="C4" s="159" t="s">
        <v>37</v>
      </c>
      <c r="D4" s="159" t="s">
        <v>72</v>
      </c>
      <c r="E4" s="159" t="s">
        <v>152</v>
      </c>
      <c r="F4" s="159" t="s">
        <v>126</v>
      </c>
      <c r="G4" s="159" t="s">
        <v>140</v>
      </c>
      <c r="H4" s="159" t="s">
        <v>100</v>
      </c>
      <c r="I4" s="159" t="s">
        <v>97</v>
      </c>
      <c r="J4" s="159" t="s">
        <v>132</v>
      </c>
      <c r="K4" s="159" t="s">
        <v>120</v>
      </c>
      <c r="L4" s="159" t="s">
        <v>118</v>
      </c>
      <c r="M4" s="159" t="s">
        <v>146</v>
      </c>
      <c r="N4" s="159" t="s">
        <v>69</v>
      </c>
      <c r="O4" s="159" t="s">
        <v>124</v>
      </c>
      <c r="P4" s="159" t="s">
        <v>103</v>
      </c>
      <c r="Q4" s="159" t="s">
        <v>143</v>
      </c>
      <c r="R4" s="159" t="s">
        <v>122</v>
      </c>
      <c r="S4" s="159" t="s">
        <v>66</v>
      </c>
      <c r="T4" s="159" t="s">
        <v>134</v>
      </c>
      <c r="U4" s="159" t="s">
        <v>128</v>
      </c>
      <c r="V4" s="159" t="s">
        <v>138</v>
      </c>
      <c r="W4" s="159" t="s">
        <v>130</v>
      </c>
      <c r="X4" s="159" t="s">
        <v>34</v>
      </c>
      <c r="Y4" s="159" t="s">
        <v>51</v>
      </c>
      <c r="Z4" s="159" t="s">
        <v>25</v>
      </c>
      <c r="AA4" s="159" t="s">
        <v>27</v>
      </c>
      <c r="AB4" s="159" t="s">
        <v>29</v>
      </c>
      <c r="AC4" s="159" t="s">
        <v>31</v>
      </c>
      <c r="AD4" s="159" t="s">
        <v>114</v>
      </c>
      <c r="AE4" s="159" t="s">
        <v>244</v>
      </c>
      <c r="AF4" s="159" t="s">
        <v>54</v>
      </c>
      <c r="AG4" s="159" t="s">
        <v>22</v>
      </c>
      <c r="AH4" s="159" t="s">
        <v>111</v>
      </c>
      <c r="AI4" s="159" t="s">
        <v>48</v>
      </c>
      <c r="AJ4" s="159" t="s">
        <v>60</v>
      </c>
      <c r="AK4" s="159" t="s">
        <v>58</v>
      </c>
      <c r="AL4" s="159" t="s">
        <v>149</v>
      </c>
      <c r="AM4" s="159" t="s">
        <v>56</v>
      </c>
      <c r="AN4" s="159" t="s">
        <v>45</v>
      </c>
      <c r="AO4" s="159" t="s">
        <v>42</v>
      </c>
      <c r="AP4" s="159" t="s">
        <v>39</v>
      </c>
      <c r="AQ4" s="159" t="s">
        <v>90</v>
      </c>
      <c r="AR4" s="159" t="s">
        <v>78</v>
      </c>
      <c r="AS4" s="159" t="s">
        <v>84</v>
      </c>
      <c r="AT4" s="159" t="s">
        <v>95</v>
      </c>
      <c r="AU4" s="159" t="s">
        <v>81</v>
      </c>
      <c r="AV4" s="159" t="s">
        <v>92</v>
      </c>
      <c r="AW4" s="159" t="s">
        <v>116</v>
      </c>
      <c r="AX4" s="159" t="s">
        <v>109</v>
      </c>
      <c r="AY4" s="159" t="s">
        <v>87</v>
      </c>
      <c r="AZ4" s="159" t="s">
        <v>106</v>
      </c>
      <c r="BA4" s="159" t="s">
        <v>63</v>
      </c>
      <c r="BB4" s="159" t="s">
        <v>261</v>
      </c>
      <c r="BC4" s="159" t="s">
        <v>305</v>
      </c>
      <c r="BD4" s="167" t="s">
        <v>262</v>
      </c>
    </row>
    <row r="5" spans="1:56">
      <c r="A5" s="155" t="s">
        <v>75</v>
      </c>
      <c r="B5" s="160">
        <v>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8">
        <v>0</v>
      </c>
    </row>
    <row r="6" spans="1:56">
      <c r="A6" s="162" t="s">
        <v>37</v>
      </c>
      <c r="B6" s="163"/>
      <c r="C6" s="143">
        <v>0</v>
      </c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69">
        <v>0</v>
      </c>
    </row>
    <row r="7" spans="1:56">
      <c r="A7" s="162" t="s">
        <v>72</v>
      </c>
      <c r="B7" s="163"/>
      <c r="C7" s="143"/>
      <c r="D7" s="143">
        <v>0</v>
      </c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69">
        <v>0</v>
      </c>
    </row>
    <row r="8" spans="1:56">
      <c r="A8" s="162" t="s">
        <v>152</v>
      </c>
      <c r="B8" s="163"/>
      <c r="C8" s="143"/>
      <c r="D8" s="143"/>
      <c r="E8" s="143">
        <v>0</v>
      </c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69">
        <v>0</v>
      </c>
    </row>
    <row r="9" spans="1:56">
      <c r="A9" s="162" t="s">
        <v>126</v>
      </c>
      <c r="B9" s="163"/>
      <c r="C9" s="143"/>
      <c r="D9" s="143"/>
      <c r="E9" s="143"/>
      <c r="F9" s="143">
        <v>0</v>
      </c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69">
        <v>0</v>
      </c>
    </row>
    <row r="10" spans="1:56">
      <c r="A10" s="162" t="s">
        <v>140</v>
      </c>
      <c r="B10" s="163"/>
      <c r="C10" s="143"/>
      <c r="D10" s="143"/>
      <c r="E10" s="143"/>
      <c r="F10" s="143"/>
      <c r="G10" s="143">
        <v>0</v>
      </c>
      <c r="H10" s="143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69">
        <v>0</v>
      </c>
    </row>
    <row r="11" spans="1:56">
      <c r="A11" s="162" t="s">
        <v>100</v>
      </c>
      <c r="B11" s="163"/>
      <c r="C11" s="143"/>
      <c r="D11" s="143"/>
      <c r="E11" s="143"/>
      <c r="F11" s="143"/>
      <c r="G11" s="143"/>
      <c r="H11" s="143">
        <v>0</v>
      </c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69">
        <v>0</v>
      </c>
    </row>
    <row r="12" spans="1:56">
      <c r="A12" s="162" t="s">
        <v>97</v>
      </c>
      <c r="B12" s="163"/>
      <c r="C12" s="143"/>
      <c r="D12" s="143"/>
      <c r="E12" s="143"/>
      <c r="F12" s="143"/>
      <c r="G12" s="143"/>
      <c r="H12" s="143"/>
      <c r="I12" s="143">
        <v>0</v>
      </c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69">
        <v>0</v>
      </c>
    </row>
    <row r="13" spans="1:56">
      <c r="A13" s="162" t="s">
        <v>132</v>
      </c>
      <c r="B13" s="163"/>
      <c r="C13" s="143"/>
      <c r="D13" s="143"/>
      <c r="E13" s="143"/>
      <c r="F13" s="143"/>
      <c r="G13" s="143"/>
      <c r="H13" s="143"/>
      <c r="I13" s="143"/>
      <c r="J13" s="143">
        <v>0</v>
      </c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69">
        <v>0</v>
      </c>
    </row>
    <row r="14" spans="1:56">
      <c r="A14" s="162" t="s">
        <v>120</v>
      </c>
      <c r="B14" s="163"/>
      <c r="C14" s="143"/>
      <c r="D14" s="143"/>
      <c r="E14" s="143"/>
      <c r="F14" s="143"/>
      <c r="G14" s="143"/>
      <c r="H14" s="143"/>
      <c r="I14" s="143"/>
      <c r="J14" s="143"/>
      <c r="K14" s="143">
        <v>0</v>
      </c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69">
        <v>0</v>
      </c>
    </row>
    <row r="15" spans="1:56">
      <c r="A15" s="162" t="s">
        <v>118</v>
      </c>
      <c r="B15" s="163"/>
      <c r="C15" s="143"/>
      <c r="D15" s="143"/>
      <c r="E15" s="143"/>
      <c r="F15" s="143"/>
      <c r="G15" s="143"/>
      <c r="H15" s="143"/>
      <c r="I15" s="143"/>
      <c r="J15" s="143"/>
      <c r="K15" s="143"/>
      <c r="L15" s="143">
        <v>0</v>
      </c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69">
        <v>0</v>
      </c>
    </row>
    <row r="16" spans="1:56">
      <c r="A16" s="162" t="s">
        <v>146</v>
      </c>
      <c r="B16" s="16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>
        <v>0</v>
      </c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69">
        <v>0</v>
      </c>
    </row>
    <row r="17" spans="1:56">
      <c r="A17" s="162" t="s">
        <v>69</v>
      </c>
      <c r="B17" s="16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>
        <v>0</v>
      </c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69">
        <v>0</v>
      </c>
    </row>
    <row r="18" spans="1:56">
      <c r="A18" s="162" t="s">
        <v>124</v>
      </c>
      <c r="B18" s="16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>
        <v>0</v>
      </c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69">
        <v>0</v>
      </c>
    </row>
    <row r="19" spans="1:56">
      <c r="A19" s="162" t="s">
        <v>103</v>
      </c>
      <c r="B19" s="16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>
        <v>0</v>
      </c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69">
        <v>0</v>
      </c>
    </row>
    <row r="20" spans="1:56">
      <c r="A20" s="162" t="s">
        <v>143</v>
      </c>
      <c r="B20" s="16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>
        <v>0</v>
      </c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69">
        <v>0</v>
      </c>
    </row>
    <row r="21" spans="1:56">
      <c r="A21" s="162" t="s">
        <v>122</v>
      </c>
      <c r="B21" s="16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>
        <v>0</v>
      </c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69">
        <v>0</v>
      </c>
    </row>
    <row r="22" spans="1:56">
      <c r="A22" s="162" t="s">
        <v>66</v>
      </c>
      <c r="B22" s="16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>
        <v>0</v>
      </c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69">
        <v>0</v>
      </c>
    </row>
    <row r="23" spans="1:56">
      <c r="A23" s="162" t="s">
        <v>134</v>
      </c>
      <c r="B23" s="16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>
        <v>0</v>
      </c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69">
        <v>0</v>
      </c>
    </row>
    <row r="24" spans="1:56">
      <c r="A24" s="162" t="s">
        <v>128</v>
      </c>
      <c r="B24" s="16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>
        <v>0</v>
      </c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69">
        <v>0</v>
      </c>
    </row>
    <row r="25" spans="1:56">
      <c r="A25" s="162" t="s">
        <v>138</v>
      </c>
      <c r="B25" s="16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>
        <v>0</v>
      </c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69">
        <v>0</v>
      </c>
    </row>
    <row r="26" spans="1:56">
      <c r="A26" s="162" t="s">
        <v>130</v>
      </c>
      <c r="B26" s="16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>
        <v>0</v>
      </c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69">
        <v>0</v>
      </c>
    </row>
    <row r="27" spans="1:56">
      <c r="A27" s="162" t="s">
        <v>34</v>
      </c>
      <c r="B27" s="16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>
        <v>0</v>
      </c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69">
        <v>0</v>
      </c>
    </row>
    <row r="28" spans="1:56">
      <c r="A28" s="162" t="s">
        <v>51</v>
      </c>
      <c r="B28" s="16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>
        <v>0</v>
      </c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69">
        <v>0</v>
      </c>
    </row>
    <row r="29" spans="1:56">
      <c r="A29" s="162" t="s">
        <v>25</v>
      </c>
      <c r="B29" s="16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69">
        <v>0</v>
      </c>
    </row>
    <row r="30" spans="1:56">
      <c r="A30" s="162" t="s">
        <v>27</v>
      </c>
      <c r="B30" s="16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>
        <v>0</v>
      </c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69">
        <v>0</v>
      </c>
    </row>
    <row r="31" spans="1:56">
      <c r="A31" s="162" t="s">
        <v>29</v>
      </c>
      <c r="B31" s="16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>
        <v>0</v>
      </c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69">
        <v>0</v>
      </c>
    </row>
    <row r="32" spans="1:56">
      <c r="A32" s="162" t="s">
        <v>31</v>
      </c>
      <c r="B32" s="16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>
        <v>0</v>
      </c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69">
        <v>0</v>
      </c>
    </row>
    <row r="33" spans="1:56">
      <c r="A33" s="162" t="s">
        <v>114</v>
      </c>
      <c r="B33" s="16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>
        <v>0</v>
      </c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69">
        <v>0</v>
      </c>
    </row>
    <row r="34" spans="1:56">
      <c r="A34" s="162" t="s">
        <v>244</v>
      </c>
      <c r="B34" s="16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69">
        <v>0</v>
      </c>
    </row>
    <row r="35" spans="1:56">
      <c r="A35" s="162" t="s">
        <v>54</v>
      </c>
      <c r="B35" s="16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>
        <v>0</v>
      </c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69">
        <v>0</v>
      </c>
    </row>
    <row r="36" spans="1:56">
      <c r="A36" s="162" t="s">
        <v>22</v>
      </c>
      <c r="B36" s="16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>
        <v>0</v>
      </c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69">
        <v>0</v>
      </c>
    </row>
    <row r="37" spans="1:56">
      <c r="A37" s="162" t="s">
        <v>111</v>
      </c>
      <c r="B37" s="16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>
        <v>0</v>
      </c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69">
        <v>0</v>
      </c>
    </row>
    <row r="38" spans="1:56">
      <c r="A38" s="162" t="s">
        <v>48</v>
      </c>
      <c r="B38" s="16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>
        <v>0</v>
      </c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69">
        <v>0</v>
      </c>
    </row>
    <row r="39" spans="1:56">
      <c r="A39" s="162" t="s">
        <v>60</v>
      </c>
      <c r="B39" s="16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>
        <v>0</v>
      </c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69">
        <v>0</v>
      </c>
    </row>
    <row r="40" spans="1:56">
      <c r="A40" s="162" t="s">
        <v>58</v>
      </c>
      <c r="B40" s="16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>
        <v>0</v>
      </c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69">
        <v>0</v>
      </c>
    </row>
    <row r="41" spans="1:56">
      <c r="A41" s="162" t="s">
        <v>149</v>
      </c>
      <c r="B41" s="16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>
        <v>0</v>
      </c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69">
        <v>0</v>
      </c>
    </row>
    <row r="42" spans="1:56">
      <c r="A42" s="162" t="s">
        <v>56</v>
      </c>
      <c r="B42" s="16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>
        <v>0</v>
      </c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69">
        <v>0</v>
      </c>
    </row>
    <row r="43" spans="1:56">
      <c r="A43" s="162" t="s">
        <v>45</v>
      </c>
      <c r="B43" s="16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>
        <v>0</v>
      </c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69">
        <v>0</v>
      </c>
    </row>
    <row r="44" spans="1:56">
      <c r="A44" s="162" t="s">
        <v>42</v>
      </c>
      <c r="B44" s="16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>
        <v>0</v>
      </c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69">
        <v>0</v>
      </c>
    </row>
    <row r="45" spans="1:56">
      <c r="A45" s="162" t="s">
        <v>39</v>
      </c>
      <c r="B45" s="16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>
        <v>0</v>
      </c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69">
        <v>0</v>
      </c>
    </row>
    <row r="46" spans="1:56">
      <c r="A46" s="162" t="s">
        <v>90</v>
      </c>
      <c r="B46" s="16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>
        <v>0</v>
      </c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69">
        <v>0</v>
      </c>
    </row>
    <row r="47" spans="1:56">
      <c r="A47" s="162" t="s">
        <v>78</v>
      </c>
      <c r="B47" s="16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>
        <v>0</v>
      </c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69">
        <v>0</v>
      </c>
    </row>
    <row r="48" spans="1:56">
      <c r="A48" s="162" t="s">
        <v>84</v>
      </c>
      <c r="B48" s="16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>
        <v>0</v>
      </c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69">
        <v>0</v>
      </c>
    </row>
    <row r="49" spans="1:56">
      <c r="A49" s="162" t="s">
        <v>95</v>
      </c>
      <c r="B49" s="16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>
        <v>0</v>
      </c>
      <c r="AU49" s="143"/>
      <c r="AV49" s="143"/>
      <c r="AW49" s="143"/>
      <c r="AX49" s="143"/>
      <c r="AY49" s="143"/>
      <c r="AZ49" s="143"/>
      <c r="BA49" s="143"/>
      <c r="BB49" s="143"/>
      <c r="BC49" s="143"/>
      <c r="BD49" s="169">
        <v>0</v>
      </c>
    </row>
    <row r="50" spans="1:56">
      <c r="A50" s="162" t="s">
        <v>81</v>
      </c>
      <c r="B50" s="16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>
        <v>0</v>
      </c>
      <c r="AV50" s="143"/>
      <c r="AW50" s="143"/>
      <c r="AX50" s="143"/>
      <c r="AY50" s="143"/>
      <c r="AZ50" s="143"/>
      <c r="BA50" s="143"/>
      <c r="BB50" s="143"/>
      <c r="BC50" s="143"/>
      <c r="BD50" s="169">
        <v>0</v>
      </c>
    </row>
    <row r="51" spans="1:56">
      <c r="A51" s="162" t="s">
        <v>92</v>
      </c>
      <c r="B51" s="16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>
        <v>0</v>
      </c>
      <c r="AW51" s="143"/>
      <c r="AX51" s="143"/>
      <c r="AY51" s="143"/>
      <c r="AZ51" s="143"/>
      <c r="BA51" s="143"/>
      <c r="BB51" s="143"/>
      <c r="BC51" s="143"/>
      <c r="BD51" s="169">
        <v>0</v>
      </c>
    </row>
    <row r="52" spans="1:56">
      <c r="A52" s="162" t="s">
        <v>116</v>
      </c>
      <c r="B52" s="16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>
        <v>0</v>
      </c>
      <c r="AX52" s="143"/>
      <c r="AY52" s="143"/>
      <c r="AZ52" s="143"/>
      <c r="BA52" s="143"/>
      <c r="BB52" s="143"/>
      <c r="BC52" s="143"/>
      <c r="BD52" s="169">
        <v>0</v>
      </c>
    </row>
    <row r="53" spans="1:56">
      <c r="A53" s="162" t="s">
        <v>109</v>
      </c>
      <c r="B53" s="16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>
        <v>0</v>
      </c>
      <c r="AY53" s="143"/>
      <c r="AZ53" s="143"/>
      <c r="BA53" s="143"/>
      <c r="BB53" s="143"/>
      <c r="BC53" s="143"/>
      <c r="BD53" s="169">
        <v>0</v>
      </c>
    </row>
    <row r="54" spans="1:56">
      <c r="A54" s="162" t="s">
        <v>87</v>
      </c>
      <c r="B54" s="16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>
        <v>0</v>
      </c>
      <c r="AZ54" s="143"/>
      <c r="BA54" s="143"/>
      <c r="BB54" s="143"/>
      <c r="BC54" s="143"/>
      <c r="BD54" s="169">
        <v>0</v>
      </c>
    </row>
    <row r="55" spans="1:56">
      <c r="A55" s="162" t="s">
        <v>106</v>
      </c>
      <c r="B55" s="16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>
        <v>0</v>
      </c>
      <c r="BA55" s="143"/>
      <c r="BB55" s="143"/>
      <c r="BC55" s="143"/>
      <c r="BD55" s="169">
        <v>0</v>
      </c>
    </row>
    <row r="56" spans="1:56">
      <c r="A56" s="162" t="s">
        <v>63</v>
      </c>
      <c r="B56" s="16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/>
      <c r="BC56" s="143"/>
      <c r="BD56" s="169">
        <v>0</v>
      </c>
    </row>
    <row r="57" spans="1:56">
      <c r="A57" s="162" t="s">
        <v>261</v>
      </c>
      <c r="B57" s="16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>
        <v>0</v>
      </c>
      <c r="BC57" s="143"/>
      <c r="BD57" s="169">
        <v>0</v>
      </c>
    </row>
    <row r="58" spans="1:56">
      <c r="A58" s="162" t="s">
        <v>305</v>
      </c>
      <c r="B58" s="16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>
        <v>0</v>
      </c>
      <c r="BD58" s="169">
        <v>0</v>
      </c>
    </row>
    <row r="59" spans="1:56">
      <c r="A59" s="164" t="s">
        <v>262</v>
      </c>
      <c r="B59" s="165">
        <v>0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70">
        <v>0</v>
      </c>
    </row>
  </sheetData>
  <phoneticPr fontId="2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9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+GETPIVOTDATA("TNG4",'ngaigiao (2016)'!$A$3,"MA_HT","LUC","MA_QH","LUK")</f>
        <v>0</v>
      </c>
      <c r="I8" s="74">
        <f>+GETPIVOTDATA("TNG4",'ngaigiao (2016)'!$A$3,"MA_HT","LUC","MA_QH","LUN")</f>
        <v>0</v>
      </c>
      <c r="J8" s="74">
        <f>+GETPIVOTDATA("TNG4",'ngaigiao (2016)'!$A$3,"MA_HT","LUC","MA_QH","HNK")</f>
        <v>0</v>
      </c>
      <c r="K8" s="74">
        <f>+GETPIVOTDATA("TNG4",'ngaigiao (2016)'!$A$3,"MA_HT","LUC","MA_QH","CLN")</f>
        <v>0</v>
      </c>
      <c r="L8" s="74">
        <f>+GETPIVOTDATA("TNG4",'ngaigiao (2016)'!$A$3,"MA_HT","LUC","MA_QH","RSX")</f>
        <v>0</v>
      </c>
      <c r="M8" s="74">
        <f>+GETPIVOTDATA("TNG4",'ngaigiao (2016)'!$A$3,"MA_HT","LUC","MA_QH","RPH")</f>
        <v>0</v>
      </c>
      <c r="N8" s="74">
        <f>+GETPIVOTDATA("TNG4",'ngaigiao (2016)'!$A$3,"MA_HT","LUC","MA_QH","RDD")</f>
        <v>0</v>
      </c>
      <c r="O8" s="74">
        <f>+GETPIVOTDATA("TNG4",'ngaigiao (2016)'!$A$3,"MA_HT","LUC","MA_QH","NTS")</f>
        <v>0</v>
      </c>
      <c r="P8" s="74">
        <f>+GETPIVOTDATA("TNG4",'ngaigiao (2016)'!$A$3,"MA_HT","LUC","MA_QH","LMU")</f>
        <v>0</v>
      </c>
      <c r="Q8" s="74">
        <f>+GETPIVOTDATA("TNG4",'ngaigiao (2016)'!$A$3,"MA_HT","LUC","MA_QH","NKH")</f>
        <v>0</v>
      </c>
      <c r="R8" s="72">
        <f>SUM(S8:AA8,AN8:BD8)</f>
        <v>0</v>
      </c>
      <c r="S8" s="74">
        <f>+GETPIVOTDATA("TNG4",'ngaigiao (2016)'!$A$3,"MA_HT","LUC","MA_QH","CQP")</f>
        <v>0</v>
      </c>
      <c r="T8" s="74">
        <f>+GETPIVOTDATA("TNG4",'ngaigiao (2016)'!$A$3,"MA_HT","LUC","MA_QH","CAN")</f>
        <v>0</v>
      </c>
      <c r="U8" s="74">
        <f>+GETPIVOTDATA("TNG4",'ngaigiao (2016)'!$A$3,"MA_HT","LUC","MA_QH","SKK")</f>
        <v>0</v>
      </c>
      <c r="V8" s="74">
        <f>+GETPIVOTDATA("TNG4",'ngaigiao (2016)'!$A$3,"MA_HT","LUC","MA_QH","SKT")</f>
        <v>0</v>
      </c>
      <c r="W8" s="74">
        <f>+GETPIVOTDATA("TNG4",'ngaigiao (2016)'!$A$3,"MA_HT","LUC","MA_QH","SKN")</f>
        <v>0</v>
      </c>
      <c r="X8" s="74">
        <f>+GETPIVOTDATA("TNG4",'ngaigiao (2016)'!$A$3,"MA_HT","LUC","MA_QH","TMD")</f>
        <v>0</v>
      </c>
      <c r="Y8" s="74">
        <f>+GETPIVOTDATA("TNG4",'ngaigiao (2016)'!$A$3,"MA_HT","LUC","MA_QH","SKC")</f>
        <v>0</v>
      </c>
      <c r="Z8" s="74">
        <f>+GETPIVOTDATA("TNG4",'ngaigiao (2016)'!$A$3,"MA_HT","LUC","MA_QH","SKS")</f>
        <v>0</v>
      </c>
      <c r="AA8" s="64">
        <f t="shared" si="4"/>
        <v>0</v>
      </c>
      <c r="AB8" s="74">
        <f>+GETPIVOTDATA("TNG4",'ngaigiao (2016)'!$A$3,"MA_HT","LUC","MA_QH","DGT")</f>
        <v>0</v>
      </c>
      <c r="AC8" s="74">
        <f>+GETPIVOTDATA("TNG4",'ngaigiao (2016)'!$A$3,"MA_HT","LUC","MA_QH","DTL")</f>
        <v>0</v>
      </c>
      <c r="AD8" s="74">
        <f>+GETPIVOTDATA("TNG4",'ngaigiao (2016)'!$A$3,"MA_HT","LUC","MA_QH","DNL")</f>
        <v>0</v>
      </c>
      <c r="AE8" s="74">
        <f>+GETPIVOTDATA("TNG4",'ngaigiao (2016)'!$A$3,"MA_HT","LUC","MA_QH","DBV")</f>
        <v>0</v>
      </c>
      <c r="AF8" s="74">
        <f>+GETPIVOTDATA("TNG4",'ngaigiao (2016)'!$A$3,"MA_HT","LUC","MA_QH","DVH")</f>
        <v>0</v>
      </c>
      <c r="AG8" s="74">
        <f>+GETPIVOTDATA("TNG4",'ngaigiao (2016)'!$A$3,"MA_HT","LUC","MA_QH","DYT")</f>
        <v>0</v>
      </c>
      <c r="AH8" s="74">
        <f>+GETPIVOTDATA("TNG4",'ngaigiao (2016)'!$A$3,"MA_HT","LUC","MA_QH","DGD")</f>
        <v>0</v>
      </c>
      <c r="AI8" s="74">
        <f>+GETPIVOTDATA("TNG4",'ngaigiao (2016)'!$A$3,"MA_HT","LUC","MA_QH","DTT")</f>
        <v>0</v>
      </c>
      <c r="AJ8" s="74">
        <f>+GETPIVOTDATA("TNG4",'ngaigiao (2016)'!$A$3,"MA_HT","LUC","MA_QH","NCK")</f>
        <v>0</v>
      </c>
      <c r="AK8" s="74">
        <f>+GETPIVOTDATA("TNG4",'ngaigiao (2016)'!$A$3,"MA_HT","LUC","MA_QH","DXH")</f>
        <v>0</v>
      </c>
      <c r="AL8" s="74">
        <f>+GETPIVOTDATA("TNG4",'ngaigiao (2016)'!$A$3,"MA_HT","LUC","MA_QH","DCH")</f>
        <v>0</v>
      </c>
      <c r="AM8" s="74">
        <f>+GETPIVOTDATA("TNG4",'ngaigiao (2016)'!$A$3,"MA_HT","LUC","MA_QH","DKG")</f>
        <v>0</v>
      </c>
      <c r="AN8" s="74">
        <f>+GETPIVOTDATA("TNG4",'ngaigiao (2016)'!$A$3,"MA_HT","LUC","MA_QH","DDT")</f>
        <v>0</v>
      </c>
      <c r="AO8" s="74">
        <f>+GETPIVOTDATA("TNG4",'ngaigiao (2016)'!$A$3,"MA_HT","LUC","MA_QH","DDL")</f>
        <v>0</v>
      </c>
      <c r="AP8" s="74">
        <f>+GETPIVOTDATA("TNG4",'ngaigiao (2016)'!$A$3,"MA_HT","LUC","MA_QH","DRA")</f>
        <v>0</v>
      </c>
      <c r="AQ8" s="74">
        <f>+GETPIVOTDATA("TNG4",'ngaigiao (2016)'!$A$3,"MA_HT","LUC","MA_QH","ONT")</f>
        <v>0</v>
      </c>
      <c r="AR8" s="74">
        <f>+GETPIVOTDATA("TNG4",'ngaigiao (2016)'!$A$3,"MA_HT","LUC","MA_QH","ODT")</f>
        <v>0</v>
      </c>
      <c r="AS8" s="74">
        <f>+GETPIVOTDATA("TNG4",'ngaigiao (2016)'!$A$3,"MA_HT","LUC","MA_QH","TSC")</f>
        <v>0</v>
      </c>
      <c r="AT8" s="74">
        <f>+GETPIVOTDATA("TNG4",'ngaigiao (2016)'!$A$3,"MA_HT","LUC","MA_QH","DTS")</f>
        <v>0</v>
      </c>
      <c r="AU8" s="74">
        <f>+GETPIVOTDATA("TNG4",'ngaigiao (2016)'!$A$3,"MA_HT","LUC","MA_QH","DNG")</f>
        <v>0</v>
      </c>
      <c r="AV8" s="74">
        <f>+GETPIVOTDATA("TNG4",'ngaigiao (2016)'!$A$3,"MA_HT","LUC","MA_QH","TON")</f>
        <v>0</v>
      </c>
      <c r="AW8" s="74">
        <f>+GETPIVOTDATA("TNG4",'ngaigiao (2016)'!$A$3,"MA_HT","LUC","MA_QH","NTD")</f>
        <v>0</v>
      </c>
      <c r="AX8" s="74">
        <f>+GETPIVOTDATA("TNG4",'ngaigiao (2016)'!$A$3,"MA_HT","LUC","MA_QH","SKX")</f>
        <v>0</v>
      </c>
      <c r="AY8" s="74">
        <f>+GETPIVOTDATA("TNG4",'ngaigiao (2016)'!$A$3,"MA_HT","LUC","MA_QH","DSH")</f>
        <v>0</v>
      </c>
      <c r="AZ8" s="74">
        <f>+GETPIVOTDATA("TNG4",'ngaigiao (2016)'!$A$3,"MA_HT","LUC","MA_QH","DKV")</f>
        <v>0</v>
      </c>
      <c r="BA8" s="139">
        <f>+GETPIVOTDATA("TNG4",'ngaigiao (2016)'!$A$3,"MA_HT","LUC","MA_QH","TIN")</f>
        <v>0</v>
      </c>
      <c r="BB8" s="74">
        <f>+GETPIVOTDATA("TNG4",'ngaigiao (2016)'!$A$3,"MA_HT","LUC","MA_QH","SON")</f>
        <v>0</v>
      </c>
      <c r="BC8" s="74">
        <f>+GETPIVOTDATA("TNG4",'ngaigiao (2016)'!$A$3,"MA_HT","LUC","MA_QH","MNC")</f>
        <v>0</v>
      </c>
      <c r="BD8" s="74">
        <f>+GETPIVOTDATA("TNG4",'ngaigiao (2016)'!$A$3,"MA_HT","LUC","MA_QH","PNK")</f>
        <v>0</v>
      </c>
      <c r="BE8" s="102">
        <f>+GETPIVOTDATA("TNG4",'ngaigiao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+GETPIVOTDATA("TNG4",'ngaigiao (2016)'!$A$3,"MA_HT","LUK","MA_QH","LUC")</f>
        <v>0</v>
      </c>
      <c r="H9" s="100" t="e">
        <f>$D9-$BF9</f>
        <v>#REF!</v>
      </c>
      <c r="I9" s="74">
        <f>+GETPIVOTDATA("TNG4",'ngaigiao (2016)'!$A$3,"MA_HT","LUK","MA_QH","LUN")</f>
        <v>0</v>
      </c>
      <c r="J9" s="74">
        <f>+GETPIVOTDATA("TNG4",'ngaigiao (2016)'!$A$3,"MA_HT","LUK","MA_QH","HNK")</f>
        <v>0</v>
      </c>
      <c r="K9" s="74">
        <f>+GETPIVOTDATA("TNG4",'ngaigiao (2016)'!$A$3,"MA_HT","LUK","MA_QH","CLN")</f>
        <v>0</v>
      </c>
      <c r="L9" s="74">
        <f>+GETPIVOTDATA("TNG4",'ngaigiao (2016)'!$A$3,"MA_HT","LUK","MA_QH","RSX")</f>
        <v>0</v>
      </c>
      <c r="M9" s="74">
        <f>+GETPIVOTDATA("TNG4",'ngaigiao (2016)'!$A$3,"MA_HT","LUK","MA_QH","RPH")</f>
        <v>0</v>
      </c>
      <c r="N9" s="74">
        <f>+GETPIVOTDATA("TNG4",'ngaigiao (2016)'!$A$3,"MA_HT","LUK","MA_QH","RDD")</f>
        <v>0</v>
      </c>
      <c r="O9" s="74">
        <f>+GETPIVOTDATA("TNG4",'ngaigiao (2016)'!$A$3,"MA_HT","LUK","MA_QH","NTS")</f>
        <v>0</v>
      </c>
      <c r="P9" s="74">
        <f>+GETPIVOTDATA("TNG4",'ngaigiao (2016)'!$A$3,"MA_HT","LUK","MA_QH","LMU")</f>
        <v>0</v>
      </c>
      <c r="Q9" s="74">
        <f>+GETPIVOTDATA("TNG4",'ngaigiao (2016)'!$A$3,"MA_HT","LUK","MA_QH","NKH")</f>
        <v>0</v>
      </c>
      <c r="R9" s="72">
        <f t="shared" si="2"/>
        <v>0</v>
      </c>
      <c r="S9" s="74">
        <f>+GETPIVOTDATA("TNG4",'ngaigiao (2016)'!$A$3,"MA_HT","LUK","MA_QH","CQP")</f>
        <v>0</v>
      </c>
      <c r="T9" s="74">
        <f>+GETPIVOTDATA("TNG4",'ngaigiao (2016)'!$A$3,"MA_HT","LUK","MA_QH","CAN")</f>
        <v>0</v>
      </c>
      <c r="U9" s="74">
        <f>+GETPIVOTDATA("TNG4",'ngaigiao (2016)'!$A$3,"MA_HT","LUK","MA_QH","SKK")</f>
        <v>0</v>
      </c>
      <c r="V9" s="74">
        <f>+GETPIVOTDATA("TNG4",'ngaigiao (2016)'!$A$3,"MA_HT","LUK","MA_QH","SKT")</f>
        <v>0</v>
      </c>
      <c r="W9" s="74">
        <f>+GETPIVOTDATA("TNG4",'ngaigiao (2016)'!$A$3,"MA_HT","LUK","MA_QH","SKN")</f>
        <v>0</v>
      </c>
      <c r="X9" s="74">
        <f>+GETPIVOTDATA("TNG4",'ngaigiao (2016)'!$A$3,"MA_HT","LUK","MA_QH","TMD")</f>
        <v>0</v>
      </c>
      <c r="Y9" s="74">
        <f>+GETPIVOTDATA("TNG4",'ngaigiao (2016)'!$A$3,"MA_HT","LUK","MA_QH","SKC")</f>
        <v>0</v>
      </c>
      <c r="Z9" s="74">
        <f>+GETPIVOTDATA("TNG4",'ngaigiao (2016)'!$A$3,"MA_HT","LUK","MA_QH","SKS")</f>
        <v>0</v>
      </c>
      <c r="AA9" s="64">
        <f t="shared" si="4"/>
        <v>0</v>
      </c>
      <c r="AB9" s="74">
        <f>+GETPIVOTDATA("TNG4",'ngaigiao (2016)'!$A$3,"MA_HT","LUK","MA_QH","DGT")</f>
        <v>0</v>
      </c>
      <c r="AC9" s="74">
        <f>+GETPIVOTDATA("TNG4",'ngaigiao (2016)'!$A$3,"MA_HT","LUK","MA_QH","DTL")</f>
        <v>0</v>
      </c>
      <c r="AD9" s="74">
        <f>+GETPIVOTDATA("TNG4",'ngaigiao (2016)'!$A$3,"MA_HT","LUK","MA_QH","DNL")</f>
        <v>0</v>
      </c>
      <c r="AE9" s="74">
        <f>+GETPIVOTDATA("TNG4",'ngaigiao (2016)'!$A$3,"MA_HT","LUK","MA_QH","DBV")</f>
        <v>0</v>
      </c>
      <c r="AF9" s="74">
        <f>+GETPIVOTDATA("TNG4",'ngaigiao (2016)'!$A$3,"MA_HT","LUK","MA_QH","DVH")</f>
        <v>0</v>
      </c>
      <c r="AG9" s="74">
        <f>+GETPIVOTDATA("TNG4",'ngaigiao (2016)'!$A$3,"MA_HT","LUK","MA_QH","DYT")</f>
        <v>0</v>
      </c>
      <c r="AH9" s="74">
        <f>+GETPIVOTDATA("TNG4",'ngaigiao (2016)'!$A$3,"MA_HT","LUK","MA_QH","DGD")</f>
        <v>0</v>
      </c>
      <c r="AI9" s="74">
        <f>+GETPIVOTDATA("TNG4",'ngaigiao (2016)'!$A$3,"MA_HT","LUK","MA_QH","DTT")</f>
        <v>0</v>
      </c>
      <c r="AJ9" s="74">
        <f>+GETPIVOTDATA("TNG4",'ngaigiao (2016)'!$A$3,"MA_HT","LUK","MA_QH","NCK")</f>
        <v>0</v>
      </c>
      <c r="AK9" s="74">
        <f>+GETPIVOTDATA("TNG4",'ngaigiao (2016)'!$A$3,"MA_HT","LUK","MA_QH","DXH")</f>
        <v>0</v>
      </c>
      <c r="AL9" s="74">
        <f>+GETPIVOTDATA("TNG4",'ngaigiao (2016)'!$A$3,"MA_HT","LUK","MA_QH","DCH")</f>
        <v>0</v>
      </c>
      <c r="AM9" s="74">
        <f>+GETPIVOTDATA("TNG4",'ngaigiao (2016)'!$A$3,"MA_HT","LUK","MA_QH","DKG")</f>
        <v>0</v>
      </c>
      <c r="AN9" s="74">
        <f>+GETPIVOTDATA("TNG4",'ngaigiao (2016)'!$A$3,"MA_HT","LUK","MA_QH","DDT")</f>
        <v>0</v>
      </c>
      <c r="AO9" s="74">
        <f>+GETPIVOTDATA("TNG4",'ngaigiao (2016)'!$A$3,"MA_HT","LUK","MA_QH","DDL")</f>
        <v>0</v>
      </c>
      <c r="AP9" s="74">
        <f>+GETPIVOTDATA("TNG4",'ngaigiao (2016)'!$A$3,"MA_HT","LUK","MA_QH","DRA")</f>
        <v>0</v>
      </c>
      <c r="AQ9" s="74">
        <f>+GETPIVOTDATA("TNG4",'ngaigiao (2016)'!$A$3,"MA_HT","LUK","MA_QH","ONT")</f>
        <v>0</v>
      </c>
      <c r="AR9" s="74">
        <f>+GETPIVOTDATA("TNG4",'ngaigiao (2016)'!$A$3,"MA_HT","LUK","MA_QH","ODT")</f>
        <v>0</v>
      </c>
      <c r="AS9" s="74">
        <f>+GETPIVOTDATA("TNG4",'ngaigiao (2016)'!$A$3,"MA_HT","LUK","MA_QH","TSC")</f>
        <v>0</v>
      </c>
      <c r="AT9" s="74">
        <f>+GETPIVOTDATA("TNG4",'ngaigiao (2016)'!$A$3,"MA_HT","LUK","MA_QH","DTS")</f>
        <v>0</v>
      </c>
      <c r="AU9" s="74">
        <f>+GETPIVOTDATA("TNG4",'ngaigiao (2016)'!$A$3,"MA_HT","LUK","MA_QH","DNG")</f>
        <v>0</v>
      </c>
      <c r="AV9" s="74">
        <f>+GETPIVOTDATA("TNG4",'ngaigiao (2016)'!$A$3,"MA_HT","LUK","MA_QH","TON")</f>
        <v>0</v>
      </c>
      <c r="AW9" s="74">
        <f>+GETPIVOTDATA("TNG4",'ngaigiao (2016)'!$A$3,"MA_HT","LUK","MA_QH","NTD")</f>
        <v>0</v>
      </c>
      <c r="AX9" s="74">
        <f>+GETPIVOTDATA("TNG4",'ngaigiao (2016)'!$A$3,"MA_HT","LUK","MA_QH","SKX")</f>
        <v>0</v>
      </c>
      <c r="AY9" s="74">
        <f>+GETPIVOTDATA("TNG4",'ngaigiao (2016)'!$A$3,"MA_HT","LUK","MA_QH","DSH")</f>
        <v>0</v>
      </c>
      <c r="AZ9" s="74">
        <f>+GETPIVOTDATA("TNG4",'ngaigiao (2016)'!$A$3,"MA_HT","LUK","MA_QH","DKV")</f>
        <v>0</v>
      </c>
      <c r="BA9" s="139">
        <f>+GETPIVOTDATA("TNG4",'ngaigiao (2016)'!$A$3,"MA_HT","LUK","MA_QH","TIN")</f>
        <v>0</v>
      </c>
      <c r="BB9" s="74">
        <f>+GETPIVOTDATA("TNG4",'ngaigiao (2016)'!$A$3,"MA_HT","LUK","MA_QH","SON")</f>
        <v>0</v>
      </c>
      <c r="BC9" s="74">
        <f>+GETPIVOTDATA("TNG4",'ngaigiao (2016)'!$A$3,"MA_HT","LUK","MA_QH","MNC")</f>
        <v>0</v>
      </c>
      <c r="BD9" s="74">
        <f>+GETPIVOTDATA("TNG4",'ngaigiao (2016)'!$A$3,"MA_HT","LUK","MA_QH","PNK")</f>
        <v>0</v>
      </c>
      <c r="BE9" s="102">
        <f>+GETPIVOTDATA("TNG4",'ngaigiao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+GETPIVOTDATA("TNG4",'ngaigiao (2016)'!$A$3,"MA_HT","LUN","MA_QH","LUC")</f>
        <v>0</v>
      </c>
      <c r="H10" s="74">
        <f>+GETPIVOTDATA("TNG4",'ngaigiao (2016)'!$A$3,"MA_HT","LUN","MA_QH","LUK")</f>
        <v>0</v>
      </c>
      <c r="I10" s="100" t="e">
        <f>$D10-$BF10</f>
        <v>#REF!</v>
      </c>
      <c r="J10" s="74">
        <f>+GETPIVOTDATA("TNG4",'ngaigiao (2016)'!$A$3,"MA_HT","LUN","MA_QH","HNK")</f>
        <v>0</v>
      </c>
      <c r="K10" s="74">
        <f>+GETPIVOTDATA("TNG4",'ngaigiao (2016)'!$A$3,"MA_HT","LUN","MA_QH","CLN")</f>
        <v>0</v>
      </c>
      <c r="L10" s="74">
        <f>+GETPIVOTDATA("TNG4",'ngaigiao (2016)'!$A$3,"MA_HT","LUN","MA_QH","RSX")</f>
        <v>0</v>
      </c>
      <c r="M10" s="74">
        <f>+GETPIVOTDATA("TNG4",'ngaigiao (2016)'!$A$3,"MA_HT","LUN","MA_QH","RPH")</f>
        <v>0</v>
      </c>
      <c r="N10" s="74">
        <f>+GETPIVOTDATA("TNG4",'ngaigiao (2016)'!$A$3,"MA_HT","LUN","MA_QH","RDD")</f>
        <v>0</v>
      </c>
      <c r="O10" s="74">
        <f>+GETPIVOTDATA("TNG4",'ngaigiao (2016)'!$A$3,"MA_HT","LUN","MA_QH","NTS")</f>
        <v>0</v>
      </c>
      <c r="P10" s="74">
        <f>+GETPIVOTDATA("TNG4",'ngaigiao (2016)'!$A$3,"MA_HT","LUN","MA_QH","LMU")</f>
        <v>0</v>
      </c>
      <c r="Q10" s="74">
        <f>+GETPIVOTDATA("TNG4",'ngaigiao (2016)'!$A$3,"MA_HT","LUN","MA_QH","NKH")</f>
        <v>0</v>
      </c>
      <c r="R10" s="72">
        <f t="shared" si="2"/>
        <v>0</v>
      </c>
      <c r="S10" s="74">
        <f>+GETPIVOTDATA("TNG4",'ngaigiao (2016)'!$A$3,"MA_HT","LUN","MA_QH","CQP")</f>
        <v>0</v>
      </c>
      <c r="T10" s="74">
        <f>+GETPIVOTDATA("TNG4",'ngaigiao (2016)'!$A$3,"MA_HT","LUN","MA_QH","CAN")</f>
        <v>0</v>
      </c>
      <c r="U10" s="74">
        <f>+GETPIVOTDATA("TNG4",'ngaigiao (2016)'!$A$3,"MA_HT","LUN","MA_QH","SKK")</f>
        <v>0</v>
      </c>
      <c r="V10" s="74">
        <f>+GETPIVOTDATA("TNG4",'ngaigiao (2016)'!$A$3,"MA_HT","LUN","MA_QH","SKT")</f>
        <v>0</v>
      </c>
      <c r="W10" s="74">
        <f>+GETPIVOTDATA("TNG4",'ngaigiao (2016)'!$A$3,"MA_HT","LUN","MA_QH","SKN")</f>
        <v>0</v>
      </c>
      <c r="X10" s="74">
        <f>+GETPIVOTDATA("TNG4",'ngaigiao (2016)'!$A$3,"MA_HT","LUN","MA_QH","TMD")</f>
        <v>0</v>
      </c>
      <c r="Y10" s="74">
        <f>+GETPIVOTDATA("TNG4",'ngaigiao (2016)'!$A$3,"MA_HT","LUN","MA_QH","SKC")</f>
        <v>0</v>
      </c>
      <c r="Z10" s="74">
        <f>+GETPIVOTDATA("TNG4",'ngaigiao (2016)'!$A$3,"MA_HT","LUN","MA_QH","SKS")</f>
        <v>0</v>
      </c>
      <c r="AA10" s="64">
        <f t="shared" si="4"/>
        <v>0</v>
      </c>
      <c r="AB10" s="74">
        <f>+GETPIVOTDATA("TNG4",'ngaigiao (2016)'!$A$3,"MA_HT","LUN","MA_QH","DGT")</f>
        <v>0</v>
      </c>
      <c r="AC10" s="74">
        <f>+GETPIVOTDATA("TNG4",'ngaigiao (2016)'!$A$3,"MA_HT","LUN","MA_QH","DTL")</f>
        <v>0</v>
      </c>
      <c r="AD10" s="74">
        <f>+GETPIVOTDATA("TNG4",'ngaigiao (2016)'!$A$3,"MA_HT","LUN","MA_QH","DNL")</f>
        <v>0</v>
      </c>
      <c r="AE10" s="74">
        <f>+GETPIVOTDATA("TNG4",'ngaigiao (2016)'!$A$3,"MA_HT","LUN","MA_QH","DBV")</f>
        <v>0</v>
      </c>
      <c r="AF10" s="74">
        <f>+GETPIVOTDATA("TNG4",'ngaigiao (2016)'!$A$3,"MA_HT","LUN","MA_QH","DVH")</f>
        <v>0</v>
      </c>
      <c r="AG10" s="74">
        <f>+GETPIVOTDATA("TNG4",'ngaigiao (2016)'!$A$3,"MA_HT","LUN","MA_QH","DYT")</f>
        <v>0</v>
      </c>
      <c r="AH10" s="74">
        <f>+GETPIVOTDATA("TNG4",'ngaigiao (2016)'!$A$3,"MA_HT","LUN","MA_QH","DGD")</f>
        <v>0</v>
      </c>
      <c r="AI10" s="74">
        <f>+GETPIVOTDATA("TNG4",'ngaigiao (2016)'!$A$3,"MA_HT","LUN","MA_QH","DTT")</f>
        <v>0</v>
      </c>
      <c r="AJ10" s="74">
        <f>+GETPIVOTDATA("TNG4",'ngaigiao (2016)'!$A$3,"MA_HT","LUN","MA_QH","NCK")</f>
        <v>0</v>
      </c>
      <c r="AK10" s="74">
        <f>+GETPIVOTDATA("TNG4",'ngaigiao (2016)'!$A$3,"MA_HT","LUN","MA_QH","DXH")</f>
        <v>0</v>
      </c>
      <c r="AL10" s="74">
        <f>+GETPIVOTDATA("TNG4",'ngaigiao (2016)'!$A$3,"MA_HT","LUN","MA_QH","DCH")</f>
        <v>0</v>
      </c>
      <c r="AM10" s="74">
        <f>+GETPIVOTDATA("TNG4",'ngaigiao (2016)'!$A$3,"MA_HT","LUN","MA_QH","DKG")</f>
        <v>0</v>
      </c>
      <c r="AN10" s="74">
        <f>+GETPIVOTDATA("TNG4",'ngaigiao (2016)'!$A$3,"MA_HT","LUN","MA_QH","DDT")</f>
        <v>0</v>
      </c>
      <c r="AO10" s="74">
        <f>+GETPIVOTDATA("TNG4",'ngaigiao (2016)'!$A$3,"MA_HT","LUN","MA_QH","DDL")</f>
        <v>0</v>
      </c>
      <c r="AP10" s="74">
        <f>+GETPIVOTDATA("TNG4",'ngaigiao (2016)'!$A$3,"MA_HT","LUN","MA_QH","DRA")</f>
        <v>0</v>
      </c>
      <c r="AQ10" s="74">
        <f>+GETPIVOTDATA("TNG4",'ngaigiao (2016)'!$A$3,"MA_HT","LUN","MA_QH","ONT")</f>
        <v>0</v>
      </c>
      <c r="AR10" s="74">
        <f>+GETPIVOTDATA("TNG4",'ngaigiao (2016)'!$A$3,"MA_HT","LUN","MA_QH","ODT")</f>
        <v>0</v>
      </c>
      <c r="AS10" s="74">
        <f>+GETPIVOTDATA("TNG4",'ngaigiao (2016)'!$A$3,"MA_HT","LUN","MA_QH","TSC")</f>
        <v>0</v>
      </c>
      <c r="AT10" s="74">
        <f>+GETPIVOTDATA("TNG4",'ngaigiao (2016)'!$A$3,"MA_HT","LUN","MA_QH","DTS")</f>
        <v>0</v>
      </c>
      <c r="AU10" s="74">
        <f>+GETPIVOTDATA("TNG4",'ngaigiao (2016)'!$A$3,"MA_HT","LUN","MA_QH","DNG")</f>
        <v>0</v>
      </c>
      <c r="AV10" s="74">
        <f>+GETPIVOTDATA("TNG4",'ngaigiao (2016)'!$A$3,"MA_HT","LUN","MA_QH","TON")</f>
        <v>0</v>
      </c>
      <c r="AW10" s="74">
        <f>+GETPIVOTDATA("TNG4",'ngaigiao (2016)'!$A$3,"MA_HT","LUN","MA_QH","NTD")</f>
        <v>0</v>
      </c>
      <c r="AX10" s="74">
        <f>+GETPIVOTDATA("TNG4",'ngaigiao (2016)'!$A$3,"MA_HT","LUN","MA_QH","SKX")</f>
        <v>0</v>
      </c>
      <c r="AY10" s="74">
        <f>+GETPIVOTDATA("TNG4",'ngaigiao (2016)'!$A$3,"MA_HT","LUN","MA_QH","DSH")</f>
        <v>0</v>
      </c>
      <c r="AZ10" s="74">
        <f>+GETPIVOTDATA("TNG4",'ngaigiao (2016)'!$A$3,"MA_HT","LUN","MA_QH","DKV")</f>
        <v>0</v>
      </c>
      <c r="BA10" s="139">
        <f>+GETPIVOTDATA("TNG4",'ngaigiao (2016)'!$A$3,"MA_HT","LUN","MA_QH","TIN")</f>
        <v>0</v>
      </c>
      <c r="BB10" s="74">
        <f>+GETPIVOTDATA("TNG4",'ngaigiao (2016)'!$A$3,"MA_HT","LUN","MA_QH","SON")</f>
        <v>0</v>
      </c>
      <c r="BC10" s="74">
        <f>+GETPIVOTDATA("TNG4",'ngaigiao (2016)'!$A$3,"MA_HT","LUN","MA_QH","MNC")</f>
        <v>0</v>
      </c>
      <c r="BD10" s="74">
        <f>+GETPIVOTDATA("TNG4",'ngaigiao (2016)'!$A$3,"MA_HT","LUN","MA_QH","PNK")</f>
        <v>0</v>
      </c>
      <c r="BE10" s="102">
        <f>+GETPIVOTDATA("TNG4",'ngaigiao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+GETPIVOTDATA("TNG4",'ngaigiao (2016)'!$A$3,"MA_HT","HNK","MA_QH","LUC")</f>
        <v>0</v>
      </c>
      <c r="H11" s="35">
        <f>+GETPIVOTDATA("TNG4",'ngaigiao (2016)'!$A$3,"MA_HT","HNK","MA_QH","LUK")</f>
        <v>0</v>
      </c>
      <c r="I11" s="35">
        <f>+GETPIVOTDATA("TNG4",'ngaigiao (2016)'!$A$3,"MA_HT","HNK","MA_QH","LUN")</f>
        <v>0</v>
      </c>
      <c r="J11" s="99" t="e">
        <f>$D11-$BF11</f>
        <v>#REF!</v>
      </c>
      <c r="K11" s="35">
        <f>+GETPIVOTDATA("TNG4",'ngaigiao (2016)'!$A$3,"MA_HT","HNK","MA_QH","CLN")</f>
        <v>0</v>
      </c>
      <c r="L11" s="35">
        <f>+GETPIVOTDATA("TNG4",'ngaigiao (2016)'!$A$3,"MA_HT","HNK","MA_QH","RSX")</f>
        <v>0</v>
      </c>
      <c r="M11" s="35">
        <f>+GETPIVOTDATA("TNG4",'ngaigiao (2016)'!$A$3,"MA_HT","HNK","MA_QH","RPH")</f>
        <v>0</v>
      </c>
      <c r="N11" s="35">
        <f>+GETPIVOTDATA("TNG4",'ngaigiao (2016)'!$A$3,"MA_HT","HNK","MA_QH","RDD")</f>
        <v>0</v>
      </c>
      <c r="O11" s="35">
        <f>+GETPIVOTDATA("TNG4",'ngaigiao (2016)'!$A$3,"MA_HT","HNK","MA_QH","NTS")</f>
        <v>0</v>
      </c>
      <c r="P11" s="35">
        <f>+GETPIVOTDATA("TNG4",'ngaigiao (2016)'!$A$3,"MA_HT","HNK","MA_QH","LMU")</f>
        <v>0</v>
      </c>
      <c r="Q11" s="35">
        <f>+GETPIVOTDATA("TNG4",'ngaigiao (2016)'!$A$3,"MA_HT","HNK","MA_QH","NKH")</f>
        <v>0</v>
      </c>
      <c r="R11" s="63">
        <f t="shared" si="2"/>
        <v>0</v>
      </c>
      <c r="S11" s="35">
        <f>+GETPIVOTDATA("TNG4",'ngaigiao (2016)'!$A$3,"MA_HT","HNK","MA_QH","CQP")</f>
        <v>0</v>
      </c>
      <c r="T11" s="35">
        <f>+GETPIVOTDATA("TNG4",'ngaigiao (2016)'!$A$3,"MA_HT","HNK","MA_QH","CAN")</f>
        <v>0</v>
      </c>
      <c r="U11" s="35">
        <f>+GETPIVOTDATA("TNG4",'ngaigiao (2016)'!$A$3,"MA_HT","HNK","MA_QH","SKK")</f>
        <v>0</v>
      </c>
      <c r="V11" s="35">
        <f>+GETPIVOTDATA("TNG4",'ngaigiao (2016)'!$A$3,"MA_HT","HNK","MA_QH","SKT")</f>
        <v>0</v>
      </c>
      <c r="W11" s="35">
        <f>+GETPIVOTDATA("TNG4",'ngaigiao (2016)'!$A$3,"MA_HT","HNK","MA_QH","SKN")</f>
        <v>0</v>
      </c>
      <c r="X11" s="35">
        <f>+GETPIVOTDATA("TNG4",'ngaigiao (2016)'!$A$3,"MA_HT","HNK","MA_QH","TMD")</f>
        <v>0</v>
      </c>
      <c r="Y11" s="35">
        <f>+GETPIVOTDATA("TNG4",'ngaigiao (2016)'!$A$3,"MA_HT","HNK","MA_QH","SKC")</f>
        <v>0</v>
      </c>
      <c r="Z11" s="35">
        <f>+GETPIVOTDATA("TNG4",'ngaigiao (2016)'!$A$3,"MA_HT","HNK","MA_QH","SKS")</f>
        <v>0</v>
      </c>
      <c r="AA11" s="64">
        <f t="shared" si="4"/>
        <v>0</v>
      </c>
      <c r="AB11" s="35">
        <f>+GETPIVOTDATA("TNG4",'ngaigiao (2016)'!$A$3,"MA_HT","HNK","MA_QH","DGT")</f>
        <v>0</v>
      </c>
      <c r="AC11" s="35">
        <f>+GETPIVOTDATA("TNG4",'ngaigiao (2016)'!$A$3,"MA_HT","HNK","MA_QH","DTL")</f>
        <v>0</v>
      </c>
      <c r="AD11" s="35">
        <f>+GETPIVOTDATA("TNG4",'ngaigiao (2016)'!$A$3,"MA_HT","HNK","MA_QH","DNL")</f>
        <v>0</v>
      </c>
      <c r="AE11" s="35">
        <f>+GETPIVOTDATA("TNG4",'ngaigiao (2016)'!$A$3,"MA_HT","HNK","MA_QH","DBV")</f>
        <v>0</v>
      </c>
      <c r="AF11" s="35">
        <f>+GETPIVOTDATA("TNG4",'ngaigiao (2016)'!$A$3,"MA_HT","HNK","MA_QH","DVH")</f>
        <v>0</v>
      </c>
      <c r="AG11" s="35">
        <f>+GETPIVOTDATA("TNG4",'ngaigiao (2016)'!$A$3,"MA_HT","HNK","MA_QH","DYT")</f>
        <v>0</v>
      </c>
      <c r="AH11" s="35">
        <f>+GETPIVOTDATA("TNG4",'ngaigiao (2016)'!$A$3,"MA_HT","HNK","MA_QH","DGD")</f>
        <v>0</v>
      </c>
      <c r="AI11" s="35">
        <f>+GETPIVOTDATA("TNG4",'ngaigiao (2016)'!$A$3,"MA_HT","HNK","MA_QH","DTT")</f>
        <v>0</v>
      </c>
      <c r="AJ11" s="35">
        <f>+GETPIVOTDATA("TNG4",'ngaigiao (2016)'!$A$3,"MA_HT","HNK","MA_QH","NCK")</f>
        <v>0</v>
      </c>
      <c r="AK11" s="35">
        <f>+GETPIVOTDATA("TNG4",'ngaigiao (2016)'!$A$3,"MA_HT","HNK","MA_QH","DXH")</f>
        <v>0</v>
      </c>
      <c r="AL11" s="35">
        <f>+GETPIVOTDATA("TNG4",'ngaigiao (2016)'!$A$3,"MA_HT","HNK","MA_QH","DCH")</f>
        <v>0</v>
      </c>
      <c r="AM11" s="35">
        <f>+GETPIVOTDATA("TNG4",'ngaigiao (2016)'!$A$3,"MA_HT","HNK","MA_QH","DKG")</f>
        <v>0</v>
      </c>
      <c r="AN11" s="35">
        <f>+GETPIVOTDATA("TNG4",'ngaigiao (2016)'!$A$3,"MA_HT","HNK","MA_QH","DDT")</f>
        <v>0</v>
      </c>
      <c r="AO11" s="35">
        <f>+GETPIVOTDATA("TNG4",'ngaigiao (2016)'!$A$3,"MA_HT","HNK","MA_QH","DDL")</f>
        <v>0</v>
      </c>
      <c r="AP11" s="35">
        <f>+GETPIVOTDATA("TNG4",'ngaigiao (2016)'!$A$3,"MA_HT","HNK","MA_QH","DRA")</f>
        <v>0</v>
      </c>
      <c r="AQ11" s="35">
        <f>+GETPIVOTDATA("TNG4",'ngaigiao (2016)'!$A$3,"MA_HT","HNK","MA_QH","ONT")</f>
        <v>0</v>
      </c>
      <c r="AR11" s="35">
        <f>+GETPIVOTDATA("TNG4",'ngaigiao (2016)'!$A$3,"MA_HT","HNK","MA_QH","ODT")</f>
        <v>0</v>
      </c>
      <c r="AS11" s="35">
        <f>+GETPIVOTDATA("TNG4",'ngaigiao (2016)'!$A$3,"MA_HT","HNK","MA_QH","TSC")</f>
        <v>0</v>
      </c>
      <c r="AT11" s="35">
        <f>+GETPIVOTDATA("TNG4",'ngaigiao (2016)'!$A$3,"MA_HT","HNK","MA_QH","DTS")</f>
        <v>0</v>
      </c>
      <c r="AU11" s="35">
        <f>+GETPIVOTDATA("TNG4",'ngaigiao (2016)'!$A$3,"MA_HT","HNK","MA_QH","DNG")</f>
        <v>0</v>
      </c>
      <c r="AV11" s="35">
        <f>+GETPIVOTDATA("TNG4",'ngaigiao (2016)'!$A$3,"MA_HT","HNK","MA_QH","TON")</f>
        <v>0</v>
      </c>
      <c r="AW11" s="35">
        <f>+GETPIVOTDATA("TNG4",'ngaigiao (2016)'!$A$3,"MA_HT","HNK","MA_QH","NTD")</f>
        <v>0</v>
      </c>
      <c r="AX11" s="35">
        <f>+GETPIVOTDATA("TNG4",'ngaigiao (2016)'!$A$3,"MA_HT","HNK","MA_QH","SKX")</f>
        <v>0</v>
      </c>
      <c r="AY11" s="35">
        <f>+GETPIVOTDATA("TNG4",'ngaigiao (2016)'!$A$3,"MA_HT","HNK","MA_QH","DSH")</f>
        <v>0</v>
      </c>
      <c r="AZ11" s="35">
        <f>+GETPIVOTDATA("TNG4",'ngaigiao (2016)'!$A$3,"MA_HT","HNK","MA_QH","DKV")</f>
        <v>0</v>
      </c>
      <c r="BA11" s="140">
        <f>+GETPIVOTDATA("TNG4",'ngaigiao (2016)'!$A$3,"MA_HT","HNK","MA_QH","TIN")</f>
        <v>0</v>
      </c>
      <c r="BB11" s="74">
        <f>+GETPIVOTDATA("TNG4",'ngaigiao (2016)'!$A$3,"MA_HT","HNK","MA_QH","SON")</f>
        <v>0</v>
      </c>
      <c r="BC11" s="74">
        <f>+GETPIVOTDATA("TNG4",'ngaigiao (2016)'!$A$3,"MA_HT","HNK","MA_QH","MNC")</f>
        <v>0</v>
      </c>
      <c r="BD11" s="35">
        <f>+GETPIVOTDATA("TNG4",'ngaigiao (2016)'!$A$3,"MA_HT","HNK","MA_QH","PNK")</f>
        <v>0</v>
      </c>
      <c r="BE11" s="58">
        <f>+GETPIVOTDATA("TNG4",'ngaigiao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+GETPIVOTDATA("TNG4",'ngaigiao (2016)'!$A$3,"MA_HT","CLN","MA_QH","LUC")</f>
        <v>0</v>
      </c>
      <c r="H12" s="35">
        <f>+GETPIVOTDATA("TNG4",'ngaigiao (2016)'!$A$3,"MA_HT","CLN","MA_QH","LUK")</f>
        <v>0</v>
      </c>
      <c r="I12" s="35">
        <f>+GETPIVOTDATA("TNG4",'ngaigiao (2016)'!$A$3,"MA_HT","CLN","MA_QH","LUN")</f>
        <v>0</v>
      </c>
      <c r="J12" s="35">
        <f>+GETPIVOTDATA("TNG4",'ngaigiao (2016)'!$A$3,"MA_HT","CLN","MA_QH","HNK")</f>
        <v>0</v>
      </c>
      <c r="K12" s="99" t="e">
        <f>$D12-$BF12</f>
        <v>#REF!</v>
      </c>
      <c r="L12" s="35">
        <f>+GETPIVOTDATA("TNG4",'ngaigiao (2016)'!$A$3,"MA_HT","CLN","MA_QH","RSX")</f>
        <v>0</v>
      </c>
      <c r="M12" s="35">
        <f>+GETPIVOTDATA("TNG4",'ngaigiao (2016)'!$A$3,"MA_HT","CLN","MA_QH","RPH")</f>
        <v>0</v>
      </c>
      <c r="N12" s="35">
        <f>+GETPIVOTDATA("TNG4",'ngaigiao (2016)'!$A$3,"MA_HT","CLN","MA_QH","RDD")</f>
        <v>0</v>
      </c>
      <c r="O12" s="35">
        <f>+GETPIVOTDATA("TNG4",'ngaigiao (2016)'!$A$3,"MA_HT","CLN","MA_QH","NTS")</f>
        <v>0</v>
      </c>
      <c r="P12" s="35">
        <f>+GETPIVOTDATA("TNG4",'ngaigiao (2016)'!$A$3,"MA_HT","CLN","MA_QH","LMU")</f>
        <v>0</v>
      </c>
      <c r="Q12" s="35">
        <f>+GETPIVOTDATA("TNG4",'ngaigiao (2016)'!$A$3,"MA_HT","CLN","MA_QH","NKH")</f>
        <v>0</v>
      </c>
      <c r="R12" s="63">
        <f t="shared" si="2"/>
        <v>0</v>
      </c>
      <c r="S12" s="35">
        <f>+GETPIVOTDATA("TNG4",'ngaigiao (2016)'!$A$3,"MA_HT","CLN","MA_QH","CQP")</f>
        <v>0</v>
      </c>
      <c r="T12" s="35">
        <f>+GETPIVOTDATA("TNG4",'ngaigiao (2016)'!$A$3,"MA_HT","CLN","MA_QH","CAN")</f>
        <v>0</v>
      </c>
      <c r="U12" s="35">
        <f>+GETPIVOTDATA("TNG4",'ngaigiao (2016)'!$A$3,"MA_HT","CLN","MA_QH","SKK")</f>
        <v>0</v>
      </c>
      <c r="V12" s="35">
        <f>+GETPIVOTDATA("TNG4",'ngaigiao (2016)'!$A$3,"MA_HT","CLN","MA_QH","SKT")</f>
        <v>0</v>
      </c>
      <c r="W12" s="35">
        <f>+GETPIVOTDATA("TNG4",'ngaigiao (2016)'!$A$3,"MA_HT","CLN","MA_QH","SKN")</f>
        <v>0</v>
      </c>
      <c r="X12" s="35">
        <f>+GETPIVOTDATA("TNG4",'ngaigiao (2016)'!$A$3,"MA_HT","CLN","MA_QH","TMD")</f>
        <v>0</v>
      </c>
      <c r="Y12" s="35">
        <f>+GETPIVOTDATA("TNG4",'ngaigiao (2016)'!$A$3,"MA_HT","CLN","MA_QH","SKC")</f>
        <v>0</v>
      </c>
      <c r="Z12" s="35">
        <f>+GETPIVOTDATA("TNG4",'ngaigiao (2016)'!$A$3,"MA_HT","CLN","MA_QH","SKS")</f>
        <v>0</v>
      </c>
      <c r="AA12" s="64">
        <f t="shared" si="4"/>
        <v>0</v>
      </c>
      <c r="AB12" s="35">
        <f>+GETPIVOTDATA("TNG4",'ngaigiao (2016)'!$A$3,"MA_HT","CLN","MA_QH","DGT")</f>
        <v>0</v>
      </c>
      <c r="AC12" s="35">
        <f>+GETPIVOTDATA("TNG4",'ngaigiao (2016)'!$A$3,"MA_HT","CLN","MA_QH","DTL")</f>
        <v>0</v>
      </c>
      <c r="AD12" s="35">
        <f>+GETPIVOTDATA("TNG4",'ngaigiao (2016)'!$A$3,"MA_HT","CLN","MA_QH","DNL")</f>
        <v>0</v>
      </c>
      <c r="AE12" s="35">
        <f>+GETPIVOTDATA("TNG4",'ngaigiao (2016)'!$A$3,"MA_HT","CLN","MA_QH","DBV")</f>
        <v>0</v>
      </c>
      <c r="AF12" s="35">
        <f>+GETPIVOTDATA("TNG4",'ngaigiao (2016)'!$A$3,"MA_HT","CLN","MA_QH","DVH")</f>
        <v>0</v>
      </c>
      <c r="AG12" s="35">
        <f>+GETPIVOTDATA("TNG4",'ngaigiao (2016)'!$A$3,"MA_HT","CLN","MA_QH","DYT")</f>
        <v>0</v>
      </c>
      <c r="AH12" s="35">
        <f>+GETPIVOTDATA("TNG4",'ngaigiao (2016)'!$A$3,"MA_HT","CLN","MA_QH","DGD")</f>
        <v>0</v>
      </c>
      <c r="AI12" s="35">
        <f>+GETPIVOTDATA("TNG4",'ngaigiao (2016)'!$A$3,"MA_HT","CLN","MA_QH","DTT")</f>
        <v>0</v>
      </c>
      <c r="AJ12" s="35">
        <f>+GETPIVOTDATA("TNG4",'ngaigiao (2016)'!$A$3,"MA_HT","CLN","MA_QH","NCK")</f>
        <v>0</v>
      </c>
      <c r="AK12" s="35">
        <f>+GETPIVOTDATA("TNG4",'ngaigiao (2016)'!$A$3,"MA_HT","CLN","MA_QH","DXH")</f>
        <v>0</v>
      </c>
      <c r="AL12" s="35">
        <f>+GETPIVOTDATA("TNG4",'ngaigiao (2016)'!$A$3,"MA_HT","CLN","MA_QH","DCH")</f>
        <v>0</v>
      </c>
      <c r="AM12" s="35">
        <f>+GETPIVOTDATA("TNG4",'ngaigiao (2016)'!$A$3,"MA_HT","CLN","MA_QH","DKG")</f>
        <v>0</v>
      </c>
      <c r="AN12" s="35">
        <f>+GETPIVOTDATA("TNG4",'ngaigiao (2016)'!$A$3,"MA_HT","CLN","MA_QH","DDT")</f>
        <v>0</v>
      </c>
      <c r="AO12" s="35">
        <f>+GETPIVOTDATA("TNG4",'ngaigiao (2016)'!$A$3,"MA_HT","CLN","MA_QH","DDL")</f>
        <v>0</v>
      </c>
      <c r="AP12" s="35">
        <f>+GETPIVOTDATA("TNG4",'ngaigiao (2016)'!$A$3,"MA_HT","CLN","MA_QH","DRA")</f>
        <v>0</v>
      </c>
      <c r="AQ12" s="35">
        <f>+GETPIVOTDATA("TNG4",'ngaigiao (2016)'!$A$3,"MA_HT","CLN","MA_QH","ONT")</f>
        <v>0</v>
      </c>
      <c r="AR12" s="35">
        <f>+GETPIVOTDATA("TNG4",'ngaigiao (2016)'!$A$3,"MA_HT","CLN","MA_QH","ODT")</f>
        <v>0</v>
      </c>
      <c r="AS12" s="35">
        <f>+GETPIVOTDATA("TNG4",'ngaigiao (2016)'!$A$3,"MA_HT","CLN","MA_QH","TSC")</f>
        <v>0</v>
      </c>
      <c r="AT12" s="35">
        <f>+GETPIVOTDATA("TNG4",'ngaigiao (2016)'!$A$3,"MA_HT","CLN","MA_QH","DTS")</f>
        <v>0</v>
      </c>
      <c r="AU12" s="35">
        <f>+GETPIVOTDATA("TNG4",'ngaigiao (2016)'!$A$3,"MA_HT","CLN","MA_QH","DNG")</f>
        <v>0</v>
      </c>
      <c r="AV12" s="35">
        <f>+GETPIVOTDATA("TNG4",'ngaigiao (2016)'!$A$3,"MA_HT","CLN","MA_QH","TON")</f>
        <v>0</v>
      </c>
      <c r="AW12" s="35">
        <f>+GETPIVOTDATA("TNG4",'ngaigiao (2016)'!$A$3,"MA_HT","CLN","MA_QH","NTD")</f>
        <v>0</v>
      </c>
      <c r="AX12" s="35">
        <f>+GETPIVOTDATA("TNG4",'ngaigiao (2016)'!$A$3,"MA_HT","CLN","MA_QH","SKX")</f>
        <v>0</v>
      </c>
      <c r="AY12" s="35">
        <f>+GETPIVOTDATA("TNG4",'ngaigiao (2016)'!$A$3,"MA_HT","CLN","MA_QH","DSH")</f>
        <v>0</v>
      </c>
      <c r="AZ12" s="35">
        <f>+GETPIVOTDATA("TNG4",'ngaigiao (2016)'!$A$3,"MA_HT","CLN","MA_QH","DKV")</f>
        <v>0</v>
      </c>
      <c r="BA12" s="140">
        <f>+GETPIVOTDATA("TNG4",'ngaigiao (2016)'!$A$3,"MA_HT","CLN","MA_QH","TIN")</f>
        <v>0</v>
      </c>
      <c r="BB12" s="74">
        <f>+GETPIVOTDATA("TNG4",'ngaigiao (2016)'!$A$3,"MA_HT","CLN","MA_QH","SON")</f>
        <v>0</v>
      </c>
      <c r="BC12" s="74">
        <f>+GETPIVOTDATA("TNG4",'ngaigiao (2016)'!$A$3,"MA_HT","CLN","MA_QH","MNC")</f>
        <v>0</v>
      </c>
      <c r="BD12" s="35">
        <f>+GETPIVOTDATA("TNG4",'ngaigiao (2016)'!$A$3,"MA_HT","CLN","MA_QH","PNK")</f>
        <v>0</v>
      </c>
      <c r="BE12" s="58">
        <f>+GETPIVOTDATA("TNG4",'ngaigiao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+GETPIVOTDATA("TNG4",'ngaigiao (2016)'!$A$3,"MA_HT","RSX","MA_QH","LUC")</f>
        <v>0</v>
      </c>
      <c r="H13" s="35">
        <f>+GETPIVOTDATA("TNG4",'ngaigiao (2016)'!$A$3,"MA_HT","RSX","MA_QH","LUK")</f>
        <v>0</v>
      </c>
      <c r="I13" s="35">
        <f>+GETPIVOTDATA("TNG4",'ngaigiao (2016)'!$A$3,"MA_HT","RSX","MA_QH","LUN")</f>
        <v>0</v>
      </c>
      <c r="J13" s="35">
        <f>+GETPIVOTDATA("TNG4",'ngaigiao (2016)'!$A$3,"MA_HT","RSX","MA_QH","HNK")</f>
        <v>0</v>
      </c>
      <c r="K13" s="35">
        <f>+GETPIVOTDATA("TNG4",'ngaigiao (2016)'!$A$3,"MA_HT","RSX","MA_QH","CLN")</f>
        <v>0</v>
      </c>
      <c r="L13" s="99" t="e">
        <f>$D13-$BF13</f>
        <v>#REF!</v>
      </c>
      <c r="M13" s="35">
        <f>+GETPIVOTDATA("TNG4",'ngaigiao (2016)'!$A$3,"MA_HT","RSX","MA_QH","RPH")</f>
        <v>0</v>
      </c>
      <c r="N13" s="35">
        <f>+GETPIVOTDATA("TNG4",'ngaigiao (2016)'!$A$3,"MA_HT","RSX","MA_QH","RDD")</f>
        <v>0</v>
      </c>
      <c r="O13" s="35">
        <f>+GETPIVOTDATA("TNG4",'ngaigiao (2016)'!$A$3,"MA_HT","RSX","MA_QH","NTS")</f>
        <v>0</v>
      </c>
      <c r="P13" s="35">
        <f>+GETPIVOTDATA("TNG4",'ngaigiao (2016)'!$A$3,"MA_HT","RSX","MA_QH","LMU")</f>
        <v>0</v>
      </c>
      <c r="Q13" s="35">
        <f>+GETPIVOTDATA("TNG4",'ngaigiao (2016)'!$A$3,"MA_HT","RSX","MA_QH","NKH")</f>
        <v>0</v>
      </c>
      <c r="R13" s="63">
        <f t="shared" si="2"/>
        <v>0</v>
      </c>
      <c r="S13" s="35">
        <f>+GETPIVOTDATA("TNG4",'ngaigiao (2016)'!$A$3,"MA_HT","RSX","MA_QH","CQP")</f>
        <v>0</v>
      </c>
      <c r="T13" s="35">
        <f>+GETPIVOTDATA("TNG4",'ngaigiao (2016)'!$A$3,"MA_HT","RSX","MA_QH","CAN")</f>
        <v>0</v>
      </c>
      <c r="U13" s="35">
        <f>+GETPIVOTDATA("TNG4",'ngaigiao (2016)'!$A$3,"MA_HT","RSX","MA_QH","SKK")</f>
        <v>0</v>
      </c>
      <c r="V13" s="35">
        <f>+GETPIVOTDATA("TNG4",'ngaigiao (2016)'!$A$3,"MA_HT","RSX","MA_QH","SKT")</f>
        <v>0</v>
      </c>
      <c r="W13" s="35">
        <f>+GETPIVOTDATA("TNG4",'ngaigiao (2016)'!$A$3,"MA_HT","RSX","MA_QH","SKN")</f>
        <v>0</v>
      </c>
      <c r="X13" s="35">
        <f>+GETPIVOTDATA("TNG4",'ngaigiao (2016)'!$A$3,"MA_HT","RSX","MA_QH","TMD")</f>
        <v>0</v>
      </c>
      <c r="Y13" s="35">
        <f>+GETPIVOTDATA("TNG4",'ngaigiao (2016)'!$A$3,"MA_HT","RSX","MA_QH","SKC")</f>
        <v>0</v>
      </c>
      <c r="Z13" s="35">
        <f>+GETPIVOTDATA("TNG4",'ngaigiao (2016)'!$A$3,"MA_HT","RSX","MA_QH","SKS")</f>
        <v>0</v>
      </c>
      <c r="AA13" s="64">
        <f t="shared" si="4"/>
        <v>0</v>
      </c>
      <c r="AB13" s="35">
        <f>+GETPIVOTDATA("TNG4",'ngaigiao (2016)'!$A$3,"MA_HT","RSX","MA_QH","DGT")</f>
        <v>0</v>
      </c>
      <c r="AC13" s="35">
        <f>+GETPIVOTDATA("TNG4",'ngaigiao (2016)'!$A$3,"MA_HT","RSX","MA_QH","DTL")</f>
        <v>0</v>
      </c>
      <c r="AD13" s="35">
        <f>+GETPIVOTDATA("TNG4",'ngaigiao (2016)'!$A$3,"MA_HT","RSX","MA_QH","DNL")</f>
        <v>0</v>
      </c>
      <c r="AE13" s="35">
        <f>+GETPIVOTDATA("TNG4",'ngaigiao (2016)'!$A$3,"MA_HT","RSX","MA_QH","DBV")</f>
        <v>0</v>
      </c>
      <c r="AF13" s="35">
        <f>+GETPIVOTDATA("TNG4",'ngaigiao (2016)'!$A$3,"MA_HT","RSX","MA_QH","DVH")</f>
        <v>0</v>
      </c>
      <c r="AG13" s="35">
        <f>+GETPIVOTDATA("TNG4",'ngaigiao (2016)'!$A$3,"MA_HT","RSX","MA_QH","DYT")</f>
        <v>0</v>
      </c>
      <c r="AH13" s="35">
        <f>+GETPIVOTDATA("TNG4",'ngaigiao (2016)'!$A$3,"MA_HT","RSX","MA_QH","DGD")</f>
        <v>0</v>
      </c>
      <c r="AI13" s="35">
        <f>+GETPIVOTDATA("TNG4",'ngaigiao (2016)'!$A$3,"MA_HT","RSX","MA_QH","DTT")</f>
        <v>0</v>
      </c>
      <c r="AJ13" s="35">
        <f>+GETPIVOTDATA("TNG4",'ngaigiao (2016)'!$A$3,"MA_HT","RSX","MA_QH","NCK")</f>
        <v>0</v>
      </c>
      <c r="AK13" s="35">
        <f>+GETPIVOTDATA("TNG4",'ngaigiao (2016)'!$A$3,"MA_HT","RSX","MA_QH","DXH")</f>
        <v>0</v>
      </c>
      <c r="AL13" s="35">
        <f>+GETPIVOTDATA("TNG4",'ngaigiao (2016)'!$A$3,"MA_HT","RSX","MA_QH","DCH")</f>
        <v>0</v>
      </c>
      <c r="AM13" s="35">
        <f>+GETPIVOTDATA("TNG4",'ngaigiao (2016)'!$A$3,"MA_HT","RSX","MA_QH","DKG")</f>
        <v>0</v>
      </c>
      <c r="AN13" s="35">
        <f>+GETPIVOTDATA("TNG4",'ngaigiao (2016)'!$A$3,"MA_HT","RSX","MA_QH","DDT")</f>
        <v>0</v>
      </c>
      <c r="AO13" s="35">
        <f>+GETPIVOTDATA("TNG4",'ngaigiao (2016)'!$A$3,"MA_HT","RSX","MA_QH","DDL")</f>
        <v>0</v>
      </c>
      <c r="AP13" s="35">
        <f>+GETPIVOTDATA("TNG4",'ngaigiao (2016)'!$A$3,"MA_HT","RSX","MA_QH","DRA")</f>
        <v>0</v>
      </c>
      <c r="AQ13" s="35">
        <f>+GETPIVOTDATA("TNG4",'ngaigiao (2016)'!$A$3,"MA_HT","RSX","MA_QH","ONT")</f>
        <v>0</v>
      </c>
      <c r="AR13" s="35">
        <f>+GETPIVOTDATA("TNG4",'ngaigiao (2016)'!$A$3,"MA_HT","RSX","MA_QH","ODT")</f>
        <v>0</v>
      </c>
      <c r="AS13" s="35">
        <f>+GETPIVOTDATA("TNG4",'ngaigiao (2016)'!$A$3,"MA_HT","RSX","MA_QH","TSC")</f>
        <v>0</v>
      </c>
      <c r="AT13" s="35">
        <f>+GETPIVOTDATA("TNG4",'ngaigiao (2016)'!$A$3,"MA_HT","RSX","MA_QH","DTS")</f>
        <v>0</v>
      </c>
      <c r="AU13" s="35">
        <f>+GETPIVOTDATA("TNG4",'ngaigiao (2016)'!$A$3,"MA_HT","RSX","MA_QH","DNG")</f>
        <v>0</v>
      </c>
      <c r="AV13" s="35">
        <f>+GETPIVOTDATA("TNG4",'ngaigiao (2016)'!$A$3,"MA_HT","RSX","MA_QH","TON")</f>
        <v>0</v>
      </c>
      <c r="AW13" s="35">
        <f>+GETPIVOTDATA("TNG4",'ngaigiao (2016)'!$A$3,"MA_HT","RSX","MA_QH","NTD")</f>
        <v>0</v>
      </c>
      <c r="AX13" s="35">
        <f>+GETPIVOTDATA("TNG4",'ngaigiao (2016)'!$A$3,"MA_HT","RSX","MA_QH","SKX")</f>
        <v>0</v>
      </c>
      <c r="AY13" s="35">
        <f>+GETPIVOTDATA("TNG4",'ngaigiao (2016)'!$A$3,"MA_HT","RSX","MA_QH","DSH")</f>
        <v>0</v>
      </c>
      <c r="AZ13" s="35">
        <f>+GETPIVOTDATA("TNG4",'ngaigiao (2016)'!$A$3,"MA_HT","RSX","MA_QH","DKV")</f>
        <v>0</v>
      </c>
      <c r="BA13" s="140">
        <f>+GETPIVOTDATA("TNG4",'ngaigiao (2016)'!$A$3,"MA_HT","RSX","MA_QH","TIN")</f>
        <v>0</v>
      </c>
      <c r="BB13" s="74">
        <f>+GETPIVOTDATA("TNG4",'ngaigiao (2016)'!$A$3,"MA_HT","RSX","MA_QH","SON")</f>
        <v>0</v>
      </c>
      <c r="BC13" s="74">
        <f>+GETPIVOTDATA("TNG4",'ngaigiao (2016)'!$A$3,"MA_HT","RSX","MA_QH","MNC")</f>
        <v>0</v>
      </c>
      <c r="BD13" s="35">
        <f>+GETPIVOTDATA("TNG4",'ngaigiao (2016)'!$A$3,"MA_HT","RSX","MA_QH","PNK")</f>
        <v>0</v>
      </c>
      <c r="BE13" s="58">
        <f>+GETPIVOTDATA("TNG4",'ngaigiao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+GETPIVOTDATA("TNG4",'ngaigiao (2016)'!$A$3,"MA_HT","RPH","MA_QH","LUC")</f>
        <v>0</v>
      </c>
      <c r="H14" s="35">
        <f>+GETPIVOTDATA("TNG4",'ngaigiao (2016)'!$A$3,"MA_HT","RPH","MA_QH","LUK")</f>
        <v>0</v>
      </c>
      <c r="I14" s="35">
        <f>+GETPIVOTDATA("TNG4",'ngaigiao (2016)'!$A$3,"MA_HT","RPH","MA_QH","LUN")</f>
        <v>0</v>
      </c>
      <c r="J14" s="35">
        <f>+GETPIVOTDATA("TNG4",'ngaigiao (2016)'!$A$3,"MA_HT","RPH","MA_QH","HNK")</f>
        <v>0</v>
      </c>
      <c r="K14" s="35">
        <f>+GETPIVOTDATA("TNG4",'ngaigiao (2016)'!$A$3,"MA_HT","RPH","MA_QH","CLN")</f>
        <v>0</v>
      </c>
      <c r="L14" s="35">
        <f>+GETPIVOTDATA("TNG4",'ngaigiao (2016)'!$A$3,"MA_HT","RPH","MA_QH","RSX")</f>
        <v>0</v>
      </c>
      <c r="M14" s="99" t="e">
        <f>$D14-$BF14</f>
        <v>#REF!</v>
      </c>
      <c r="N14" s="35">
        <f>+GETPIVOTDATA("TNG4",'ngaigiao (2016)'!$A$3,"MA_HT","RPH","MA_QH","RDD")</f>
        <v>0</v>
      </c>
      <c r="O14" s="35">
        <f>+GETPIVOTDATA("TNG4",'ngaigiao (2016)'!$A$3,"MA_HT","RPH","MA_QH","NTS")</f>
        <v>0</v>
      </c>
      <c r="P14" s="35">
        <f>+GETPIVOTDATA("TNG4",'ngaigiao (2016)'!$A$3,"MA_HT","RPH","MA_QH","LMU")</f>
        <v>0</v>
      </c>
      <c r="Q14" s="35">
        <f>+GETPIVOTDATA("TNG4",'ngaigiao (2016)'!$A$3,"MA_HT","RPH","MA_QH","NKH")</f>
        <v>0</v>
      </c>
      <c r="R14" s="63">
        <f t="shared" si="2"/>
        <v>0</v>
      </c>
      <c r="S14" s="35">
        <f>+GETPIVOTDATA("TNG4",'ngaigiao (2016)'!$A$3,"MA_HT","RPH","MA_QH","CQP")</f>
        <v>0</v>
      </c>
      <c r="T14" s="35">
        <f>+GETPIVOTDATA("TNG4",'ngaigiao (2016)'!$A$3,"MA_HT","RPH","MA_QH","CAN")</f>
        <v>0</v>
      </c>
      <c r="U14" s="35">
        <f>+GETPIVOTDATA("TNG4",'ngaigiao (2016)'!$A$3,"MA_HT","RPH","MA_QH","SKK")</f>
        <v>0</v>
      </c>
      <c r="V14" s="35">
        <f>+GETPIVOTDATA("TNG4",'ngaigiao (2016)'!$A$3,"MA_HT","RPH","MA_QH","SKT")</f>
        <v>0</v>
      </c>
      <c r="W14" s="35">
        <f>+GETPIVOTDATA("TNG4",'ngaigiao (2016)'!$A$3,"MA_HT","RPH","MA_QH","SKN")</f>
        <v>0</v>
      </c>
      <c r="X14" s="35">
        <f>+GETPIVOTDATA("TNG4",'ngaigiao (2016)'!$A$3,"MA_HT","RPH","MA_QH","TMD")</f>
        <v>0</v>
      </c>
      <c r="Y14" s="35">
        <f>+GETPIVOTDATA("TNG4",'ngaigiao (2016)'!$A$3,"MA_HT","RPH","MA_QH","SKC")</f>
        <v>0</v>
      </c>
      <c r="Z14" s="35">
        <f>+GETPIVOTDATA("TNG4",'ngaigiao (2016)'!$A$3,"MA_HT","RPH","MA_QH","SKS")</f>
        <v>0</v>
      </c>
      <c r="AA14" s="64">
        <f t="shared" si="4"/>
        <v>0</v>
      </c>
      <c r="AB14" s="35">
        <f>+GETPIVOTDATA("TNG4",'ngaigiao (2016)'!$A$3,"MA_HT","RPH","MA_QH","DGT")</f>
        <v>0</v>
      </c>
      <c r="AC14" s="35">
        <f>+GETPIVOTDATA("TNG4",'ngaigiao (2016)'!$A$3,"MA_HT","RPH","MA_QH","DTL")</f>
        <v>0</v>
      </c>
      <c r="AD14" s="35">
        <f>+GETPIVOTDATA("TNG4",'ngaigiao (2016)'!$A$3,"MA_HT","RPH","MA_QH","DNL")</f>
        <v>0</v>
      </c>
      <c r="AE14" s="35">
        <f>+GETPIVOTDATA("TNG4",'ngaigiao (2016)'!$A$3,"MA_HT","RPH","MA_QH","DBV")</f>
        <v>0</v>
      </c>
      <c r="AF14" s="35">
        <f>+GETPIVOTDATA("TNG4",'ngaigiao (2016)'!$A$3,"MA_HT","RPH","MA_QH","DVH")</f>
        <v>0</v>
      </c>
      <c r="AG14" s="35">
        <f>+GETPIVOTDATA("TNG4",'ngaigiao (2016)'!$A$3,"MA_HT","RPH","MA_QH","DYT")</f>
        <v>0</v>
      </c>
      <c r="AH14" s="35">
        <f>+GETPIVOTDATA("TNG4",'ngaigiao (2016)'!$A$3,"MA_HT","RPH","MA_QH","DGD")</f>
        <v>0</v>
      </c>
      <c r="AI14" s="35">
        <f>+GETPIVOTDATA("TNG4",'ngaigiao (2016)'!$A$3,"MA_HT","RPH","MA_QH","DTT")</f>
        <v>0</v>
      </c>
      <c r="AJ14" s="35">
        <f>+GETPIVOTDATA("TNG4",'ngaigiao (2016)'!$A$3,"MA_HT","RPH","MA_QH","NCK")</f>
        <v>0</v>
      </c>
      <c r="AK14" s="35">
        <f>+GETPIVOTDATA("TNG4",'ngaigiao (2016)'!$A$3,"MA_HT","RPH","MA_QH","DXH")</f>
        <v>0</v>
      </c>
      <c r="AL14" s="35">
        <f>+GETPIVOTDATA("TNG4",'ngaigiao (2016)'!$A$3,"MA_HT","RPH","MA_QH","DCH")</f>
        <v>0</v>
      </c>
      <c r="AM14" s="35">
        <f>+GETPIVOTDATA("TNG4",'ngaigiao (2016)'!$A$3,"MA_HT","RPH","MA_QH","DKG")</f>
        <v>0</v>
      </c>
      <c r="AN14" s="35">
        <f>+GETPIVOTDATA("TNG4",'ngaigiao (2016)'!$A$3,"MA_HT","RPH","MA_QH","DDT")</f>
        <v>0</v>
      </c>
      <c r="AO14" s="35">
        <f>+GETPIVOTDATA("TNG4",'ngaigiao (2016)'!$A$3,"MA_HT","RPH","MA_QH","DDL")</f>
        <v>0</v>
      </c>
      <c r="AP14" s="35">
        <f>+GETPIVOTDATA("TNG4",'ngaigiao (2016)'!$A$3,"MA_HT","RPH","MA_QH","DRA")</f>
        <v>0</v>
      </c>
      <c r="AQ14" s="35">
        <f>+GETPIVOTDATA("TNG4",'ngaigiao (2016)'!$A$3,"MA_HT","RPH","MA_QH","ONT")</f>
        <v>0</v>
      </c>
      <c r="AR14" s="35">
        <f>+GETPIVOTDATA("TNG4",'ngaigiao (2016)'!$A$3,"MA_HT","RPH","MA_QH","ODT")</f>
        <v>0</v>
      </c>
      <c r="AS14" s="35">
        <f>+GETPIVOTDATA("TNG4",'ngaigiao (2016)'!$A$3,"MA_HT","RPH","MA_QH","TSC")</f>
        <v>0</v>
      </c>
      <c r="AT14" s="35">
        <f>+GETPIVOTDATA("TNG4",'ngaigiao (2016)'!$A$3,"MA_HT","RPH","MA_QH","DTS")</f>
        <v>0</v>
      </c>
      <c r="AU14" s="35">
        <f>+GETPIVOTDATA("TNG4",'ngaigiao (2016)'!$A$3,"MA_HT","RPH","MA_QH","DNG")</f>
        <v>0</v>
      </c>
      <c r="AV14" s="35">
        <f>+GETPIVOTDATA("TNG4",'ngaigiao (2016)'!$A$3,"MA_HT","RPH","MA_QH","TON")</f>
        <v>0</v>
      </c>
      <c r="AW14" s="35">
        <f>+GETPIVOTDATA("TNG4",'ngaigiao (2016)'!$A$3,"MA_HT","RPH","MA_QH","NTD")</f>
        <v>0</v>
      </c>
      <c r="AX14" s="35">
        <f>+GETPIVOTDATA("TNG4",'ngaigiao (2016)'!$A$3,"MA_HT","RPH","MA_QH","SKX")</f>
        <v>0</v>
      </c>
      <c r="AY14" s="35">
        <f>+GETPIVOTDATA("TNG4",'ngaigiao (2016)'!$A$3,"MA_HT","RPH","MA_QH","DSH")</f>
        <v>0</v>
      </c>
      <c r="AZ14" s="35">
        <f>+GETPIVOTDATA("TNG4",'ngaigiao (2016)'!$A$3,"MA_HT","RPH","MA_QH","DKV")</f>
        <v>0</v>
      </c>
      <c r="BA14" s="140">
        <f>+GETPIVOTDATA("TNG4",'ngaigiao (2016)'!$A$3,"MA_HT","RPH","MA_QH","TIN")</f>
        <v>0</v>
      </c>
      <c r="BB14" s="74">
        <f>+GETPIVOTDATA("TNG4",'ngaigiao (2016)'!$A$3,"MA_HT","RPH","MA_QH","SON")</f>
        <v>0</v>
      </c>
      <c r="BC14" s="74">
        <f>+GETPIVOTDATA("TNG4",'ngaigiao (2016)'!$A$3,"MA_HT","RPH","MA_QH","MNC")</f>
        <v>0</v>
      </c>
      <c r="BD14" s="35">
        <f>+GETPIVOTDATA("TNG4",'ngaigiao (2016)'!$A$3,"MA_HT","RPH","MA_QH","PNK")</f>
        <v>0</v>
      </c>
      <c r="BE14" s="58">
        <f>+GETPIVOTDATA("TNG4",'ngaigiao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+GETPIVOTDATA("TNG4",'ngaigiao (2016)'!$A$3,"MA_HT","RDD","MA_QH","LUC")</f>
        <v>0</v>
      </c>
      <c r="H15" s="35">
        <f>+GETPIVOTDATA("TNG4",'ngaigiao (2016)'!$A$3,"MA_HT","RDD","MA_QH","LUK")</f>
        <v>0</v>
      </c>
      <c r="I15" s="35">
        <f>+GETPIVOTDATA("TNG4",'ngaigiao (2016)'!$A$3,"MA_HT","RDD","MA_QH","LUN")</f>
        <v>0</v>
      </c>
      <c r="J15" s="35">
        <f>+GETPIVOTDATA("TNG4",'ngaigiao (2016)'!$A$3,"MA_HT","RDD","MA_QH","HNK")</f>
        <v>0</v>
      </c>
      <c r="K15" s="35">
        <f>+GETPIVOTDATA("TNG4",'ngaigiao (2016)'!$A$3,"MA_HT","RDD","MA_QH","CLN")</f>
        <v>0</v>
      </c>
      <c r="L15" s="35">
        <f>+GETPIVOTDATA("TNG4",'ngaigiao (2016)'!$A$3,"MA_HT","RDD","MA_QH","RSX")</f>
        <v>0</v>
      </c>
      <c r="M15" s="35">
        <f>+GETPIVOTDATA("TNG4",'ngaigiao (2016)'!$A$3,"MA_HT","RDD","MA_QH","RPH")</f>
        <v>0</v>
      </c>
      <c r="N15" s="99" t="e">
        <f>$D15-$BF15</f>
        <v>#REF!</v>
      </c>
      <c r="O15" s="35">
        <f>+GETPIVOTDATA("TNG4",'ngaigiao (2016)'!$A$3,"MA_HT","RDD","MA_QH","NTS")</f>
        <v>0</v>
      </c>
      <c r="P15" s="35">
        <f>+GETPIVOTDATA("TNG4",'ngaigiao (2016)'!$A$3,"MA_HT","RDD","MA_QH","LMU")</f>
        <v>0</v>
      </c>
      <c r="Q15" s="35">
        <f>+GETPIVOTDATA("TNG4",'ngaigiao (2016)'!$A$3,"MA_HT","RDD","MA_QH","NKH")</f>
        <v>0</v>
      </c>
      <c r="R15" s="63">
        <f t="shared" si="2"/>
        <v>0</v>
      </c>
      <c r="S15" s="35">
        <f>+GETPIVOTDATA("TNG4",'ngaigiao (2016)'!$A$3,"MA_HT","RDD","MA_QH","CQP")</f>
        <v>0</v>
      </c>
      <c r="T15" s="35">
        <f>+GETPIVOTDATA("TNG4",'ngaigiao (2016)'!$A$3,"MA_HT","RDD","MA_QH","CAN")</f>
        <v>0</v>
      </c>
      <c r="U15" s="35">
        <f>+GETPIVOTDATA("TNG4",'ngaigiao (2016)'!$A$3,"MA_HT","RDD","MA_QH","SKK")</f>
        <v>0</v>
      </c>
      <c r="V15" s="35">
        <f>+GETPIVOTDATA("TNG4",'ngaigiao (2016)'!$A$3,"MA_HT","RDD","MA_QH","SKT")</f>
        <v>0</v>
      </c>
      <c r="W15" s="35">
        <f>+GETPIVOTDATA("TNG4",'ngaigiao (2016)'!$A$3,"MA_HT","RDD","MA_QH","SKN")</f>
        <v>0</v>
      </c>
      <c r="X15" s="35">
        <f>+GETPIVOTDATA("TNG4",'ngaigiao (2016)'!$A$3,"MA_HT","RDD","MA_QH","TMD")</f>
        <v>0</v>
      </c>
      <c r="Y15" s="35">
        <f>+GETPIVOTDATA("TNG4",'ngaigiao (2016)'!$A$3,"MA_HT","RDD","MA_QH","SKC")</f>
        <v>0</v>
      </c>
      <c r="Z15" s="35">
        <f>+GETPIVOTDATA("TNG4",'ngaigiao (2016)'!$A$3,"MA_HT","RDD","MA_QH","SKS")</f>
        <v>0</v>
      </c>
      <c r="AA15" s="64">
        <f t="shared" si="4"/>
        <v>0</v>
      </c>
      <c r="AB15" s="35">
        <f>+GETPIVOTDATA("TNG4",'ngaigiao (2016)'!$A$3,"MA_HT","RDD","MA_QH","DGT")</f>
        <v>0</v>
      </c>
      <c r="AC15" s="35">
        <f>+GETPIVOTDATA("TNG4",'ngaigiao (2016)'!$A$3,"MA_HT","RDD","MA_QH","DTL")</f>
        <v>0</v>
      </c>
      <c r="AD15" s="35">
        <f>+GETPIVOTDATA("TNG4",'ngaigiao (2016)'!$A$3,"MA_HT","RDD","MA_QH","DNL")</f>
        <v>0</v>
      </c>
      <c r="AE15" s="35">
        <f>+GETPIVOTDATA("TNG4",'ngaigiao (2016)'!$A$3,"MA_HT","RDD","MA_QH","DBV")</f>
        <v>0</v>
      </c>
      <c r="AF15" s="35">
        <f>+GETPIVOTDATA("TNG4",'ngaigiao (2016)'!$A$3,"MA_HT","RDD","MA_QH","DVH")</f>
        <v>0</v>
      </c>
      <c r="AG15" s="35">
        <f>+GETPIVOTDATA("TNG4",'ngaigiao (2016)'!$A$3,"MA_HT","RDD","MA_QH","DYT")</f>
        <v>0</v>
      </c>
      <c r="AH15" s="35">
        <f>+GETPIVOTDATA("TNG4",'ngaigiao (2016)'!$A$3,"MA_HT","RDD","MA_QH","DGD")</f>
        <v>0</v>
      </c>
      <c r="AI15" s="35">
        <f>+GETPIVOTDATA("TNG4",'ngaigiao (2016)'!$A$3,"MA_HT","RDD","MA_QH","DTT")</f>
        <v>0</v>
      </c>
      <c r="AJ15" s="35">
        <f>+GETPIVOTDATA("TNG4",'ngaigiao (2016)'!$A$3,"MA_HT","RDD","MA_QH","NCK")</f>
        <v>0</v>
      </c>
      <c r="AK15" s="35">
        <f>+GETPIVOTDATA("TNG4",'ngaigiao (2016)'!$A$3,"MA_HT","RDD","MA_QH","DXH")</f>
        <v>0</v>
      </c>
      <c r="AL15" s="35">
        <f>+GETPIVOTDATA("TNG4",'ngaigiao (2016)'!$A$3,"MA_HT","RDD","MA_QH","DCH")</f>
        <v>0</v>
      </c>
      <c r="AM15" s="35">
        <f>+GETPIVOTDATA("TNG4",'ngaigiao (2016)'!$A$3,"MA_HT","RDD","MA_QH","DKG")</f>
        <v>0</v>
      </c>
      <c r="AN15" s="35">
        <f>+GETPIVOTDATA("TNG4",'ngaigiao (2016)'!$A$3,"MA_HT","RDD","MA_QH","DDT")</f>
        <v>0</v>
      </c>
      <c r="AO15" s="35">
        <f>+GETPIVOTDATA("TNG4",'ngaigiao (2016)'!$A$3,"MA_HT","RDD","MA_QH","DDL")</f>
        <v>0</v>
      </c>
      <c r="AP15" s="35">
        <f>+GETPIVOTDATA("TNG4",'ngaigiao (2016)'!$A$3,"MA_HT","RDD","MA_QH","DRA")</f>
        <v>0</v>
      </c>
      <c r="AQ15" s="35">
        <f>+GETPIVOTDATA("TNG4",'ngaigiao (2016)'!$A$3,"MA_HT","RDD","MA_QH","ONT")</f>
        <v>0</v>
      </c>
      <c r="AR15" s="35">
        <f>+GETPIVOTDATA("TNG4",'ngaigiao (2016)'!$A$3,"MA_HT","RDD","MA_QH","ODT")</f>
        <v>0</v>
      </c>
      <c r="AS15" s="35">
        <f>+GETPIVOTDATA("TNG4",'ngaigiao (2016)'!$A$3,"MA_HT","RDD","MA_QH","TSC")</f>
        <v>0</v>
      </c>
      <c r="AT15" s="35">
        <f>+GETPIVOTDATA("TNG4",'ngaigiao (2016)'!$A$3,"MA_HT","RDD","MA_QH","DTS")</f>
        <v>0</v>
      </c>
      <c r="AU15" s="35">
        <f>+GETPIVOTDATA("TNG4",'ngaigiao (2016)'!$A$3,"MA_HT","RDD","MA_QH","DNG")</f>
        <v>0</v>
      </c>
      <c r="AV15" s="35">
        <f>+GETPIVOTDATA("TNG4",'ngaigiao (2016)'!$A$3,"MA_HT","RDD","MA_QH","TON")</f>
        <v>0</v>
      </c>
      <c r="AW15" s="35">
        <f>+GETPIVOTDATA("TNG4",'ngaigiao (2016)'!$A$3,"MA_HT","RDD","MA_QH","NTD")</f>
        <v>0</v>
      </c>
      <c r="AX15" s="35">
        <f>+GETPIVOTDATA("TNG4",'ngaigiao (2016)'!$A$3,"MA_HT","RDD","MA_QH","SKX")</f>
        <v>0</v>
      </c>
      <c r="AY15" s="35">
        <f>+GETPIVOTDATA("TNG4",'ngaigiao (2016)'!$A$3,"MA_HT","RDD","MA_QH","DSH")</f>
        <v>0</v>
      </c>
      <c r="AZ15" s="35">
        <f>+GETPIVOTDATA("TNG4",'ngaigiao (2016)'!$A$3,"MA_HT","RDD","MA_QH","DKV")</f>
        <v>0</v>
      </c>
      <c r="BA15" s="140">
        <f>+GETPIVOTDATA("TNG4",'ngaigiao (2016)'!$A$3,"MA_HT","RDD","MA_QH","TIN")</f>
        <v>0</v>
      </c>
      <c r="BB15" s="74">
        <f>+GETPIVOTDATA("TNG4",'ngaigiao (2016)'!$A$3,"MA_HT","RDD","MA_QH","SON")</f>
        <v>0</v>
      </c>
      <c r="BC15" s="74">
        <f>+GETPIVOTDATA("TNG4",'ngaigiao (2016)'!$A$3,"MA_HT","RDD","MA_QH","MNC")</f>
        <v>0</v>
      </c>
      <c r="BD15" s="35">
        <f>+GETPIVOTDATA("TNG4",'ngaigiao (2016)'!$A$3,"MA_HT","RDD","MA_QH","PNK")</f>
        <v>0</v>
      </c>
      <c r="BE15" s="58">
        <f>+GETPIVOTDATA("TNG4",'ngaigiao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+GETPIVOTDATA("TNG4",'ngaigiao (2016)'!$A$3,"MA_HT","NTS","MA_QH","LUC")</f>
        <v>0</v>
      </c>
      <c r="H16" s="35">
        <f>+GETPIVOTDATA("TNG4",'ngaigiao (2016)'!$A$3,"MA_HT","NTS","MA_QH","LUK")</f>
        <v>0</v>
      </c>
      <c r="I16" s="35">
        <f>+GETPIVOTDATA("TNG4",'ngaigiao (2016)'!$A$3,"MA_HT","NTS","MA_QH","LUN")</f>
        <v>0</v>
      </c>
      <c r="J16" s="35">
        <f>+GETPIVOTDATA("TNG4",'ngaigiao (2016)'!$A$3,"MA_HT","NTS","MA_QH","HNK")</f>
        <v>0</v>
      </c>
      <c r="K16" s="35">
        <f>+GETPIVOTDATA("TNG4",'ngaigiao (2016)'!$A$3,"MA_HT","NTS","MA_QH","CLN")</f>
        <v>0</v>
      </c>
      <c r="L16" s="35">
        <f>+GETPIVOTDATA("TNG4",'ngaigiao (2016)'!$A$3,"MA_HT","NTS","MA_QH","RSX")</f>
        <v>0</v>
      </c>
      <c r="M16" s="35">
        <f>+GETPIVOTDATA("TNG4",'ngaigiao (2016)'!$A$3,"MA_HT","NTS","MA_QH","RPH")</f>
        <v>0</v>
      </c>
      <c r="N16" s="35">
        <f>+GETPIVOTDATA("TNG4",'ngaigiao (2016)'!$A$3,"MA_HT","NTS","MA_QH","RDD")</f>
        <v>0</v>
      </c>
      <c r="O16" s="99" t="e">
        <f>$D16-$BF16</f>
        <v>#REF!</v>
      </c>
      <c r="P16" s="35">
        <f>+GETPIVOTDATA("TNG4",'ngaigiao (2016)'!$A$3,"MA_HT","NTS","MA_QH","LMU")</f>
        <v>0</v>
      </c>
      <c r="Q16" s="35">
        <f>+GETPIVOTDATA("TNG4",'ngaigiao (2016)'!$A$3,"MA_HT","NTS","MA_QH","NKH")</f>
        <v>0</v>
      </c>
      <c r="R16" s="63">
        <f t="shared" si="2"/>
        <v>0</v>
      </c>
      <c r="S16" s="35">
        <f>+GETPIVOTDATA("TNG4",'ngaigiao (2016)'!$A$3,"MA_HT","NTS","MA_QH","CQP")</f>
        <v>0</v>
      </c>
      <c r="T16" s="35">
        <f>+GETPIVOTDATA("TNG4",'ngaigiao (2016)'!$A$3,"MA_HT","NTS","MA_QH","CAN")</f>
        <v>0</v>
      </c>
      <c r="U16" s="35">
        <f>+GETPIVOTDATA("TNG4",'ngaigiao (2016)'!$A$3,"MA_HT","NTS","MA_QH","SKK")</f>
        <v>0</v>
      </c>
      <c r="V16" s="35">
        <f>+GETPIVOTDATA("TNG4",'ngaigiao (2016)'!$A$3,"MA_HT","NTS","MA_QH","SKT")</f>
        <v>0</v>
      </c>
      <c r="W16" s="35">
        <f>+GETPIVOTDATA("TNG4",'ngaigiao (2016)'!$A$3,"MA_HT","NTS","MA_QH","SKN")</f>
        <v>0</v>
      </c>
      <c r="X16" s="35">
        <f>+GETPIVOTDATA("TNG4",'ngaigiao (2016)'!$A$3,"MA_HT","NTS","MA_QH","TMD")</f>
        <v>0</v>
      </c>
      <c r="Y16" s="35">
        <f>+GETPIVOTDATA("TNG4",'ngaigiao (2016)'!$A$3,"MA_HT","NTS","MA_QH","SKC")</f>
        <v>0</v>
      </c>
      <c r="Z16" s="35">
        <f>+GETPIVOTDATA("TNG4",'ngaigiao (2016)'!$A$3,"MA_HT","NTS","MA_QH","SKS")</f>
        <v>0</v>
      </c>
      <c r="AA16" s="64">
        <f t="shared" si="4"/>
        <v>0</v>
      </c>
      <c r="AB16" s="35">
        <f>+GETPIVOTDATA("TNG4",'ngaigiao (2016)'!$A$3,"MA_HT","NTS","MA_QH","DGT")</f>
        <v>0</v>
      </c>
      <c r="AC16" s="35">
        <f>+GETPIVOTDATA("TNG4",'ngaigiao (2016)'!$A$3,"MA_HT","NTS","MA_QH","DTL")</f>
        <v>0</v>
      </c>
      <c r="AD16" s="35">
        <f>+GETPIVOTDATA("TNG4",'ngaigiao (2016)'!$A$3,"MA_HT","NTS","MA_QH","DNL")</f>
        <v>0</v>
      </c>
      <c r="AE16" s="35">
        <f>+GETPIVOTDATA("TNG4",'ngaigiao (2016)'!$A$3,"MA_HT","NTS","MA_QH","DBV")</f>
        <v>0</v>
      </c>
      <c r="AF16" s="35">
        <f>+GETPIVOTDATA("TNG4",'ngaigiao (2016)'!$A$3,"MA_HT","NTS","MA_QH","DVH")</f>
        <v>0</v>
      </c>
      <c r="AG16" s="35">
        <f>+GETPIVOTDATA("TNG4",'ngaigiao (2016)'!$A$3,"MA_HT","NTS","MA_QH","DYT")</f>
        <v>0</v>
      </c>
      <c r="AH16" s="35">
        <f>+GETPIVOTDATA("TNG4",'ngaigiao (2016)'!$A$3,"MA_HT","NTS","MA_QH","DGD")</f>
        <v>0</v>
      </c>
      <c r="AI16" s="35">
        <f>+GETPIVOTDATA("TNG4",'ngaigiao (2016)'!$A$3,"MA_HT","NTS","MA_QH","DTT")</f>
        <v>0</v>
      </c>
      <c r="AJ16" s="35">
        <f>+GETPIVOTDATA("TNG4",'ngaigiao (2016)'!$A$3,"MA_HT","NTS","MA_QH","NCK")</f>
        <v>0</v>
      </c>
      <c r="AK16" s="35">
        <f>+GETPIVOTDATA("TNG4",'ngaigiao (2016)'!$A$3,"MA_HT","NTS","MA_QH","DXH")</f>
        <v>0</v>
      </c>
      <c r="AL16" s="35">
        <f>+GETPIVOTDATA("TNG4",'ngaigiao (2016)'!$A$3,"MA_HT","NTS","MA_QH","DCH")</f>
        <v>0</v>
      </c>
      <c r="AM16" s="35">
        <f>+GETPIVOTDATA("TNG4",'ngaigiao (2016)'!$A$3,"MA_HT","NTS","MA_QH","DKG")</f>
        <v>0</v>
      </c>
      <c r="AN16" s="35">
        <f>+GETPIVOTDATA("TNG4",'ngaigiao (2016)'!$A$3,"MA_HT","NTS","MA_QH","DDT")</f>
        <v>0</v>
      </c>
      <c r="AO16" s="35">
        <f>+GETPIVOTDATA("TNG4",'ngaigiao (2016)'!$A$3,"MA_HT","NTS","MA_QH","DDL")</f>
        <v>0</v>
      </c>
      <c r="AP16" s="35">
        <f>+GETPIVOTDATA("TNG4",'ngaigiao (2016)'!$A$3,"MA_HT","NTS","MA_QH","DRA")</f>
        <v>0</v>
      </c>
      <c r="AQ16" s="35">
        <f>+GETPIVOTDATA("TNG4",'ngaigiao (2016)'!$A$3,"MA_HT","NTS","MA_QH","ONT")</f>
        <v>0</v>
      </c>
      <c r="AR16" s="35">
        <f>+GETPIVOTDATA("TNG4",'ngaigiao (2016)'!$A$3,"MA_HT","NTS","MA_QH","ODT")</f>
        <v>0</v>
      </c>
      <c r="AS16" s="35">
        <f>+GETPIVOTDATA("TNG4",'ngaigiao (2016)'!$A$3,"MA_HT","NTS","MA_QH","TSC")</f>
        <v>0</v>
      </c>
      <c r="AT16" s="35">
        <f>+GETPIVOTDATA("TNG4",'ngaigiao (2016)'!$A$3,"MA_HT","NTS","MA_QH","DTS")</f>
        <v>0</v>
      </c>
      <c r="AU16" s="35">
        <f>+GETPIVOTDATA("TNG4",'ngaigiao (2016)'!$A$3,"MA_HT","NTS","MA_QH","DNG")</f>
        <v>0</v>
      </c>
      <c r="AV16" s="35">
        <f>+GETPIVOTDATA("TNG4",'ngaigiao (2016)'!$A$3,"MA_HT","NTS","MA_QH","TON")</f>
        <v>0</v>
      </c>
      <c r="AW16" s="35">
        <f>+GETPIVOTDATA("TNG4",'ngaigiao (2016)'!$A$3,"MA_HT","NTS","MA_QH","NTD")</f>
        <v>0</v>
      </c>
      <c r="AX16" s="35">
        <f>+GETPIVOTDATA("TNG4",'ngaigiao (2016)'!$A$3,"MA_HT","NTS","MA_QH","SKX")</f>
        <v>0</v>
      </c>
      <c r="AY16" s="35">
        <f>+GETPIVOTDATA("TNG4",'ngaigiao (2016)'!$A$3,"MA_HT","NTS","MA_QH","DSH")</f>
        <v>0</v>
      </c>
      <c r="AZ16" s="35">
        <f>+GETPIVOTDATA("TNG4",'ngaigiao (2016)'!$A$3,"MA_HT","NTS","MA_QH","DKV")</f>
        <v>0</v>
      </c>
      <c r="BA16" s="140">
        <f>+GETPIVOTDATA("TNG4",'ngaigiao (2016)'!$A$3,"MA_HT","NTS","MA_QH","TIN")</f>
        <v>0</v>
      </c>
      <c r="BB16" s="74">
        <f>+GETPIVOTDATA("TNG4",'ngaigiao (2016)'!$A$3,"MA_HT","NTS","MA_QH","SON")</f>
        <v>0</v>
      </c>
      <c r="BC16" s="74">
        <f>+GETPIVOTDATA("TNG4",'ngaigiao (2016)'!$A$3,"MA_HT","NTS","MA_QH","MNC")</f>
        <v>0</v>
      </c>
      <c r="BD16" s="35">
        <f>+GETPIVOTDATA("TNG4",'ngaigiao (2016)'!$A$3,"MA_HT","NTS","MA_QH","PNK")</f>
        <v>0</v>
      </c>
      <c r="BE16" s="58">
        <f>+GETPIVOTDATA("TNG4",'ngaigiao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+GETPIVOTDATA("TNG4",'ngaigiao (2016)'!$A$3,"MA_HT","LMU","MA_QH","LUC")</f>
        <v>0</v>
      </c>
      <c r="H17" s="35">
        <f>+GETPIVOTDATA("TNG4",'ngaigiao (2016)'!$A$3,"MA_HT","LMU","MA_QH","LUK")</f>
        <v>0</v>
      </c>
      <c r="I17" s="35">
        <f>+GETPIVOTDATA("TNG4",'ngaigiao (2016)'!$A$3,"MA_HT","LMU","MA_QH","LUN")</f>
        <v>0</v>
      </c>
      <c r="J17" s="35">
        <f>+GETPIVOTDATA("TNG4",'ngaigiao (2016)'!$A$3,"MA_HT","LMU","MA_QH","HNK")</f>
        <v>0</v>
      </c>
      <c r="K17" s="35">
        <f>+GETPIVOTDATA("TNG4",'ngaigiao (2016)'!$A$3,"MA_HT","LMU","MA_QH","CLN")</f>
        <v>0</v>
      </c>
      <c r="L17" s="35">
        <f>+GETPIVOTDATA("TNG4",'ngaigiao (2016)'!$A$3,"MA_HT","LMU","MA_QH","RSX")</f>
        <v>0</v>
      </c>
      <c r="M17" s="35">
        <f>+GETPIVOTDATA("TNG4",'ngaigiao (2016)'!$A$3,"MA_HT","LMU","MA_QH","RPH")</f>
        <v>0</v>
      </c>
      <c r="N17" s="35">
        <f>+GETPIVOTDATA("TNG4",'ngaigiao (2016)'!$A$3,"MA_HT","LMU","MA_QH","RDD")</f>
        <v>0</v>
      </c>
      <c r="O17" s="35">
        <f>+GETPIVOTDATA("TNG4",'ngaigiao (2016)'!$A$3,"MA_HT","LMU","MA_QH","NTS")</f>
        <v>0</v>
      </c>
      <c r="P17" s="99" t="e">
        <f>$D17-$BF17</f>
        <v>#REF!</v>
      </c>
      <c r="Q17" s="35">
        <f>+GETPIVOTDATA("TNG4",'ngaigiao (2016)'!$A$3,"MA_HT","LMU","MA_QH","NKH")</f>
        <v>0</v>
      </c>
      <c r="R17" s="63">
        <f t="shared" si="2"/>
        <v>0</v>
      </c>
      <c r="S17" s="35">
        <f>+GETPIVOTDATA("TNG4",'ngaigiao (2016)'!$A$3,"MA_HT","LMU","MA_QH","CQP")</f>
        <v>0</v>
      </c>
      <c r="T17" s="35">
        <f>+GETPIVOTDATA("TNG4",'ngaigiao (2016)'!$A$3,"MA_HT","LMU","MA_QH","CAN")</f>
        <v>0</v>
      </c>
      <c r="U17" s="35">
        <f>+GETPIVOTDATA("TNG4",'ngaigiao (2016)'!$A$3,"MA_HT","LMU","MA_QH","SKK")</f>
        <v>0</v>
      </c>
      <c r="V17" s="35">
        <f>+GETPIVOTDATA("TNG4",'ngaigiao (2016)'!$A$3,"MA_HT","LMU","MA_QH","SKT")</f>
        <v>0</v>
      </c>
      <c r="W17" s="35">
        <f>+GETPIVOTDATA("TNG4",'ngaigiao (2016)'!$A$3,"MA_HT","LMU","MA_QH","SKN")</f>
        <v>0</v>
      </c>
      <c r="X17" s="35">
        <f>+GETPIVOTDATA("TNG4",'ngaigiao (2016)'!$A$3,"MA_HT","LMU","MA_QH","TMD")</f>
        <v>0</v>
      </c>
      <c r="Y17" s="35">
        <f>+GETPIVOTDATA("TNG4",'ngaigiao (2016)'!$A$3,"MA_HT","LMU","MA_QH","SKC")</f>
        <v>0</v>
      </c>
      <c r="Z17" s="35">
        <f>+GETPIVOTDATA("TNG4",'ngaigiao (2016)'!$A$3,"MA_HT","LMU","MA_QH","SKS")</f>
        <v>0</v>
      </c>
      <c r="AA17" s="64">
        <f t="shared" si="4"/>
        <v>0</v>
      </c>
      <c r="AB17" s="35">
        <f>+GETPIVOTDATA("TNG4",'ngaigiao (2016)'!$A$3,"MA_HT","LMU","MA_QH","DGT")</f>
        <v>0</v>
      </c>
      <c r="AC17" s="35">
        <f>+GETPIVOTDATA("TNG4",'ngaigiao (2016)'!$A$3,"MA_HT","LMU","MA_QH","DTL")</f>
        <v>0</v>
      </c>
      <c r="AD17" s="35">
        <f>+GETPIVOTDATA("TNG4",'ngaigiao (2016)'!$A$3,"MA_HT","LMU","MA_QH","DNL")</f>
        <v>0</v>
      </c>
      <c r="AE17" s="35">
        <f>+GETPIVOTDATA("TNG4",'ngaigiao (2016)'!$A$3,"MA_HT","LMU","MA_QH","DBV")</f>
        <v>0</v>
      </c>
      <c r="AF17" s="35">
        <f>+GETPIVOTDATA("TNG4",'ngaigiao (2016)'!$A$3,"MA_HT","LMU","MA_QH","DVH")</f>
        <v>0</v>
      </c>
      <c r="AG17" s="35">
        <f>+GETPIVOTDATA("TNG4",'ngaigiao (2016)'!$A$3,"MA_HT","LMU","MA_QH","DYT")</f>
        <v>0</v>
      </c>
      <c r="AH17" s="35">
        <f>+GETPIVOTDATA("TNG4",'ngaigiao (2016)'!$A$3,"MA_HT","LMU","MA_QH","DGD")</f>
        <v>0</v>
      </c>
      <c r="AI17" s="35">
        <f>+GETPIVOTDATA("TNG4",'ngaigiao (2016)'!$A$3,"MA_HT","LMU","MA_QH","DTT")</f>
        <v>0</v>
      </c>
      <c r="AJ17" s="35">
        <f>+GETPIVOTDATA("TNG4",'ngaigiao (2016)'!$A$3,"MA_HT","LMU","MA_QH","NCK")</f>
        <v>0</v>
      </c>
      <c r="AK17" s="35">
        <f>+GETPIVOTDATA("TNG4",'ngaigiao (2016)'!$A$3,"MA_HT","LMU","MA_QH","DXH")</f>
        <v>0</v>
      </c>
      <c r="AL17" s="35">
        <f>+GETPIVOTDATA("TNG4",'ngaigiao (2016)'!$A$3,"MA_HT","LMU","MA_QH","DCH")</f>
        <v>0</v>
      </c>
      <c r="AM17" s="35">
        <f>+GETPIVOTDATA("TNG4",'ngaigiao (2016)'!$A$3,"MA_HT","LMU","MA_QH","DKG")</f>
        <v>0</v>
      </c>
      <c r="AN17" s="35">
        <f>+GETPIVOTDATA("TNG4",'ngaigiao (2016)'!$A$3,"MA_HT","LMU","MA_QH","DDT")</f>
        <v>0</v>
      </c>
      <c r="AO17" s="35">
        <f>+GETPIVOTDATA("TNG4",'ngaigiao (2016)'!$A$3,"MA_HT","LMU","MA_QH","DDL")</f>
        <v>0</v>
      </c>
      <c r="AP17" s="35">
        <f>+GETPIVOTDATA("TNG4",'ngaigiao (2016)'!$A$3,"MA_HT","LMU","MA_QH","DRA")</f>
        <v>0</v>
      </c>
      <c r="AQ17" s="35">
        <f>+GETPIVOTDATA("TNG4",'ngaigiao (2016)'!$A$3,"MA_HT","LMU","MA_QH","ONT")</f>
        <v>0</v>
      </c>
      <c r="AR17" s="35">
        <f>+GETPIVOTDATA("TNG4",'ngaigiao (2016)'!$A$3,"MA_HT","LMU","MA_QH","ODT")</f>
        <v>0</v>
      </c>
      <c r="AS17" s="35">
        <f>+GETPIVOTDATA("TNG4",'ngaigiao (2016)'!$A$3,"MA_HT","LMU","MA_QH","TSC")</f>
        <v>0</v>
      </c>
      <c r="AT17" s="35">
        <f>+GETPIVOTDATA("TNG4",'ngaigiao (2016)'!$A$3,"MA_HT","LMU","MA_QH","DTS")</f>
        <v>0</v>
      </c>
      <c r="AU17" s="35">
        <f>+GETPIVOTDATA("TNG4",'ngaigiao (2016)'!$A$3,"MA_HT","LMU","MA_QH","DNG")</f>
        <v>0</v>
      </c>
      <c r="AV17" s="35">
        <f>+GETPIVOTDATA("TNG4",'ngaigiao (2016)'!$A$3,"MA_HT","LMU","MA_QH","TON")</f>
        <v>0</v>
      </c>
      <c r="AW17" s="35">
        <f>+GETPIVOTDATA("TNG4",'ngaigiao (2016)'!$A$3,"MA_HT","LMU","MA_QH","NTD")</f>
        <v>0</v>
      </c>
      <c r="AX17" s="35">
        <f>+GETPIVOTDATA("TNG4",'ngaigiao (2016)'!$A$3,"MA_HT","LMU","MA_QH","SKX")</f>
        <v>0</v>
      </c>
      <c r="AY17" s="35">
        <f>+GETPIVOTDATA("TNG4",'ngaigiao (2016)'!$A$3,"MA_HT","LMU","MA_QH","DSH")</f>
        <v>0</v>
      </c>
      <c r="AZ17" s="35">
        <f>+GETPIVOTDATA("TNG4",'ngaigiao (2016)'!$A$3,"MA_HT","LMU","MA_QH","DKV")</f>
        <v>0</v>
      </c>
      <c r="BA17" s="140">
        <f>+GETPIVOTDATA("TNG4",'ngaigiao (2016)'!$A$3,"MA_HT","LMU","MA_QH","TIN")</f>
        <v>0</v>
      </c>
      <c r="BB17" s="74">
        <f>+GETPIVOTDATA("TNG4",'ngaigiao (2016)'!$A$3,"MA_HT","LMU","MA_QH","SON")</f>
        <v>0</v>
      </c>
      <c r="BC17" s="74">
        <f>+GETPIVOTDATA("TNG4",'ngaigiao (2016)'!$A$3,"MA_HT","LMU","MA_QH","MNC")</f>
        <v>0</v>
      </c>
      <c r="BD17" s="35">
        <f>+GETPIVOTDATA("TNG4",'ngaigiao (2016)'!$A$3,"MA_HT","LMU","MA_QH","PNK")</f>
        <v>0</v>
      </c>
      <c r="BE17" s="58">
        <f>+GETPIVOTDATA("TNG4",'ngaigiao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+GETPIVOTDATA("TNG4",'ngaigiao (2016)'!$A$3,"MA_HT","NKH","MA_QH","LUC")</f>
        <v>0</v>
      </c>
      <c r="H18" s="35">
        <f>+GETPIVOTDATA("TNG4",'ngaigiao (2016)'!$A$3,"MA_HT","NKH","MA_QH","LUK")</f>
        <v>0</v>
      </c>
      <c r="I18" s="35">
        <f>+GETPIVOTDATA("TNG4",'ngaigiao (2016)'!$A$3,"MA_HT","NKH","MA_QH","LUN")</f>
        <v>0</v>
      </c>
      <c r="J18" s="35">
        <f>+GETPIVOTDATA("TNG4",'ngaigiao (2016)'!$A$3,"MA_HT","NKH","MA_QH","HNK")</f>
        <v>0</v>
      </c>
      <c r="K18" s="35">
        <f>+GETPIVOTDATA("TNG4",'ngaigiao (2016)'!$A$3,"MA_HT","NKH","MA_QH","CLN")</f>
        <v>0</v>
      </c>
      <c r="L18" s="35">
        <f>+GETPIVOTDATA("TNG4",'ngaigiao (2016)'!$A$3,"MA_HT","NKH","MA_QH","RSX")</f>
        <v>0</v>
      </c>
      <c r="M18" s="35">
        <f>+GETPIVOTDATA("TNG4",'ngaigiao (2016)'!$A$3,"MA_HT","NKH","MA_QH","RPH")</f>
        <v>0</v>
      </c>
      <c r="N18" s="35">
        <f>+GETPIVOTDATA("TNG4",'ngaigiao (2016)'!$A$3,"MA_HT","NKH","MA_QH","RDD")</f>
        <v>0</v>
      </c>
      <c r="O18" s="35">
        <f>+GETPIVOTDATA("TNG4",'ngaigiao (2016)'!$A$3,"MA_HT","NKH","MA_QH","NTS")</f>
        <v>0</v>
      </c>
      <c r="P18" s="35">
        <f>+GETPIVOTDATA("TNG4",'ngaigiao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+GETPIVOTDATA("TNG4",'ngaigiao (2016)'!$A$3,"MA_HT","NKH","MA_QH","CQP")</f>
        <v>0</v>
      </c>
      <c r="T18" s="35">
        <f>+GETPIVOTDATA("TNG4",'ngaigiao (2016)'!$A$3,"MA_HT","NKH","MA_QH","CAN")</f>
        <v>0</v>
      </c>
      <c r="U18" s="35">
        <f>+GETPIVOTDATA("TNG4",'ngaigiao (2016)'!$A$3,"MA_HT","NKH","MA_QH","SKK")</f>
        <v>0</v>
      </c>
      <c r="V18" s="35">
        <f>+GETPIVOTDATA("TNG4",'ngaigiao (2016)'!$A$3,"MA_HT","NKH","MA_QH","SKT")</f>
        <v>0</v>
      </c>
      <c r="W18" s="35">
        <f>+GETPIVOTDATA("TNG4",'ngaigiao (2016)'!$A$3,"MA_HT","NKH","MA_QH","SKN")</f>
        <v>0</v>
      </c>
      <c r="X18" s="35">
        <f>+GETPIVOTDATA("TNG4",'ngaigiao (2016)'!$A$3,"MA_HT","NKH","MA_QH","TMD")</f>
        <v>0</v>
      </c>
      <c r="Y18" s="35">
        <f>+GETPIVOTDATA("TNG4",'ngaigiao (2016)'!$A$3,"MA_HT","NKH","MA_QH","SKC")</f>
        <v>0</v>
      </c>
      <c r="Z18" s="35">
        <f>+GETPIVOTDATA("TNG4",'ngaigiao (2016)'!$A$3,"MA_HT","NKH","MA_QH","SKS")</f>
        <v>0</v>
      </c>
      <c r="AA18" s="64">
        <f t="shared" si="4"/>
        <v>0</v>
      </c>
      <c r="AB18" s="35">
        <f>+GETPIVOTDATA("TNG4",'ngaigiao (2016)'!$A$3,"MA_HT","NKH","MA_QH","DGT")</f>
        <v>0</v>
      </c>
      <c r="AC18" s="35">
        <f>+GETPIVOTDATA("TNG4",'ngaigiao (2016)'!$A$3,"MA_HT","NKH","MA_QH","DTL")</f>
        <v>0</v>
      </c>
      <c r="AD18" s="35">
        <f>+GETPIVOTDATA("TNG4",'ngaigiao (2016)'!$A$3,"MA_HT","NKH","MA_QH","DNL")</f>
        <v>0</v>
      </c>
      <c r="AE18" s="35">
        <f>+GETPIVOTDATA("TNG4",'ngaigiao (2016)'!$A$3,"MA_HT","NKH","MA_QH","DBV")</f>
        <v>0</v>
      </c>
      <c r="AF18" s="35">
        <f>+GETPIVOTDATA("TNG4",'ngaigiao (2016)'!$A$3,"MA_HT","NKH","MA_QH","DVH")</f>
        <v>0</v>
      </c>
      <c r="AG18" s="35">
        <f>+GETPIVOTDATA("TNG4",'ngaigiao (2016)'!$A$3,"MA_HT","NKH","MA_QH","DYT")</f>
        <v>0</v>
      </c>
      <c r="AH18" s="35">
        <f>+GETPIVOTDATA("TNG4",'ngaigiao (2016)'!$A$3,"MA_HT","NKH","MA_QH","DGD")</f>
        <v>0</v>
      </c>
      <c r="AI18" s="35">
        <f>+GETPIVOTDATA("TNG4",'ngaigiao (2016)'!$A$3,"MA_HT","NKH","MA_QH","DTT")</f>
        <v>0</v>
      </c>
      <c r="AJ18" s="35">
        <f>+GETPIVOTDATA("TNG4",'ngaigiao (2016)'!$A$3,"MA_HT","NKH","MA_QH","NCK")</f>
        <v>0</v>
      </c>
      <c r="AK18" s="35">
        <f>+GETPIVOTDATA("TNG4",'ngaigiao (2016)'!$A$3,"MA_HT","NKH","MA_QH","DXH")</f>
        <v>0</v>
      </c>
      <c r="AL18" s="35">
        <f>+GETPIVOTDATA("TNG4",'ngaigiao (2016)'!$A$3,"MA_HT","NKH","MA_QH","DCH")</f>
        <v>0</v>
      </c>
      <c r="AM18" s="35">
        <f>+GETPIVOTDATA("TNG4",'ngaigiao (2016)'!$A$3,"MA_HT","NKH","MA_QH","DKG")</f>
        <v>0</v>
      </c>
      <c r="AN18" s="35">
        <f>+GETPIVOTDATA("TNG4",'ngaigiao (2016)'!$A$3,"MA_HT","NKH","MA_QH","DDT")</f>
        <v>0</v>
      </c>
      <c r="AO18" s="35">
        <f>+GETPIVOTDATA("TNG4",'ngaigiao (2016)'!$A$3,"MA_HT","NKH","MA_QH","DDL")</f>
        <v>0</v>
      </c>
      <c r="AP18" s="35">
        <f>+GETPIVOTDATA("TNG4",'ngaigiao (2016)'!$A$3,"MA_HT","NKH","MA_QH","DRA")</f>
        <v>0</v>
      </c>
      <c r="AQ18" s="35">
        <f>+GETPIVOTDATA("TNG4",'ngaigiao (2016)'!$A$3,"MA_HT","NKH","MA_QH","ONT")</f>
        <v>0</v>
      </c>
      <c r="AR18" s="35">
        <f>+GETPIVOTDATA("TNG4",'ngaigiao (2016)'!$A$3,"MA_HT","NKH","MA_QH","ODT")</f>
        <v>0</v>
      </c>
      <c r="AS18" s="35">
        <f>+GETPIVOTDATA("TNG4",'ngaigiao (2016)'!$A$3,"MA_HT","NKH","MA_QH","TSC")</f>
        <v>0</v>
      </c>
      <c r="AT18" s="35">
        <f>+GETPIVOTDATA("TNG4",'ngaigiao (2016)'!$A$3,"MA_HT","NKH","MA_QH","DTS")</f>
        <v>0</v>
      </c>
      <c r="AU18" s="35">
        <f>+GETPIVOTDATA("TNG4",'ngaigiao (2016)'!$A$3,"MA_HT","NKH","MA_QH","DNG")</f>
        <v>0</v>
      </c>
      <c r="AV18" s="35">
        <f>+GETPIVOTDATA("TNG4",'ngaigiao (2016)'!$A$3,"MA_HT","NKH","MA_QH","TON")</f>
        <v>0</v>
      </c>
      <c r="AW18" s="35">
        <f>+GETPIVOTDATA("TNG4",'ngaigiao (2016)'!$A$3,"MA_HT","NKH","MA_QH","NTD")</f>
        <v>0</v>
      </c>
      <c r="AX18" s="35">
        <f>+GETPIVOTDATA("TNG4",'ngaigiao (2016)'!$A$3,"MA_HT","NKH","MA_QH","SKX")</f>
        <v>0</v>
      </c>
      <c r="AY18" s="35">
        <f>+GETPIVOTDATA("TNG4",'ngaigiao (2016)'!$A$3,"MA_HT","NKH","MA_QH","DSH")</f>
        <v>0</v>
      </c>
      <c r="AZ18" s="35">
        <f>+GETPIVOTDATA("TNG4",'ngaigiao (2016)'!$A$3,"MA_HT","NKH","MA_QH","DKV")</f>
        <v>0</v>
      </c>
      <c r="BA18" s="140">
        <f>+GETPIVOTDATA("TNG4",'ngaigiao (2016)'!$A$3,"MA_HT","NKH","MA_QH","TIN")</f>
        <v>0</v>
      </c>
      <c r="BB18" s="74">
        <f>+GETPIVOTDATA("TNG4",'ngaigiao (2016)'!$A$3,"MA_HT","NKH","MA_QH","SON")</f>
        <v>0</v>
      </c>
      <c r="BC18" s="74">
        <f>+GETPIVOTDATA("TNG4",'ngaigiao (2016)'!$A$3,"MA_HT","NKH","MA_QH","MNC")</f>
        <v>0</v>
      </c>
      <c r="BD18" s="35">
        <f>+GETPIVOTDATA("TNG4",'ngaigiao (2016)'!$A$3,"MA_HT","NKH","MA_QH","PNK")</f>
        <v>0</v>
      </c>
      <c r="BE18" s="58">
        <f>+GETPIVOTDATA("TNG4",'ngaigiao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+GETPIVOTDATA("TNG4",'ngaigiao (2016)'!$A$3,"MA_HT","CQP","MA_QH","LUC")</f>
        <v>0</v>
      </c>
      <c r="H20" s="35">
        <f>+GETPIVOTDATA("TNG4",'ngaigiao (2016)'!$A$3,"MA_HT","CQP","MA_QH","LUK")</f>
        <v>0</v>
      </c>
      <c r="I20" s="35">
        <f>+GETPIVOTDATA("TNG4",'ngaigiao (2016)'!$A$3,"MA_HT","CQP","MA_QH","LUN")</f>
        <v>0</v>
      </c>
      <c r="J20" s="35">
        <f>+GETPIVOTDATA("TNG4",'ngaigiao (2016)'!$A$3,"MA_HT","CQP","MA_QH","HNK")</f>
        <v>0</v>
      </c>
      <c r="K20" s="35">
        <f>+GETPIVOTDATA("TNG4",'ngaigiao (2016)'!$A$3,"MA_HT","CQP","MA_QH","CLN")</f>
        <v>0</v>
      </c>
      <c r="L20" s="35">
        <f>+GETPIVOTDATA("TNG4",'ngaigiao (2016)'!$A$3,"MA_HT","CQP","MA_QH","RSX")</f>
        <v>0</v>
      </c>
      <c r="M20" s="35">
        <f>+GETPIVOTDATA("TNG4",'ngaigiao (2016)'!$A$3,"MA_HT","CQP","MA_QH","RPH")</f>
        <v>0</v>
      </c>
      <c r="N20" s="35">
        <f>+GETPIVOTDATA("TNG4",'ngaigiao (2016)'!$A$3,"MA_HT","CQP","MA_QH","RDD")</f>
        <v>0</v>
      </c>
      <c r="O20" s="35">
        <f>+GETPIVOTDATA("TNG4",'ngaigiao (2016)'!$A$3,"MA_HT","CQP","MA_QH","NTS")</f>
        <v>0</v>
      </c>
      <c r="P20" s="35">
        <f>+GETPIVOTDATA("TNG4",'ngaigiao (2016)'!$A$3,"MA_HT","CQP","MA_QH","LMU")</f>
        <v>0</v>
      </c>
      <c r="Q20" s="35">
        <f>+GETPIVOTDATA("TNG4",'ngaigiao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+GETPIVOTDATA("TNG4",'ngaigiao (2016)'!$A$3,"MA_HT","CQP","MA_QH","CAN")</f>
        <v>0</v>
      </c>
      <c r="U20" s="35">
        <f>+GETPIVOTDATA("TNG4",'ngaigiao (2016)'!$A$3,"MA_HT","CQP","MA_QH","SKK")</f>
        <v>0</v>
      </c>
      <c r="V20" s="35">
        <f>+GETPIVOTDATA("TNG4",'ngaigiao (2016)'!$A$3,"MA_HT","CQP","MA_QH","SKT")</f>
        <v>0</v>
      </c>
      <c r="W20" s="35">
        <f>+GETPIVOTDATA("TNG4",'ngaigiao (2016)'!$A$3,"MA_HT","CQP","MA_QH","SKN")</f>
        <v>0</v>
      </c>
      <c r="X20" s="35">
        <f>+GETPIVOTDATA("TNG4",'ngaigiao (2016)'!$A$3,"MA_HT","CQP","MA_QH","TMD")</f>
        <v>0</v>
      </c>
      <c r="Y20" s="35">
        <f>+GETPIVOTDATA("TNG4",'ngaigiao (2016)'!$A$3,"MA_HT","CQP","MA_QH","SKC")</f>
        <v>0</v>
      </c>
      <c r="Z20" s="35">
        <f>+GETPIVOTDATA("TNG4",'ngaigiao (2016)'!$A$3,"MA_HT","CQP","MA_QH","SKS")</f>
        <v>0</v>
      </c>
      <c r="AA20" s="64">
        <f t="shared" ref="AA20:AA27" si="12">+SUM(AB20:AM20)</f>
        <v>0</v>
      </c>
      <c r="AB20" s="35">
        <f>+GETPIVOTDATA("TNG4",'ngaigiao (2016)'!$A$3,"MA_HT","CQP","MA_QH","DGT")</f>
        <v>0</v>
      </c>
      <c r="AC20" s="35">
        <f>+GETPIVOTDATA("TNG4",'ngaigiao (2016)'!$A$3,"MA_HT","CQP","MA_QH","DTL")</f>
        <v>0</v>
      </c>
      <c r="AD20" s="35">
        <f>+GETPIVOTDATA("TNG4",'ngaigiao (2016)'!$A$3,"MA_HT","CQP","MA_QH","DNL")</f>
        <v>0</v>
      </c>
      <c r="AE20" s="35">
        <f>+GETPIVOTDATA("TNG4",'ngaigiao (2016)'!$A$3,"MA_HT","CQP","MA_QH","DBV")</f>
        <v>0</v>
      </c>
      <c r="AF20" s="35">
        <f>+GETPIVOTDATA("TNG4",'ngaigiao (2016)'!$A$3,"MA_HT","CQP","MA_QH","DVH")</f>
        <v>0</v>
      </c>
      <c r="AG20" s="35">
        <f>+GETPIVOTDATA("TNG4",'ngaigiao (2016)'!$A$3,"MA_HT","CQP","MA_QH","DYT")</f>
        <v>0</v>
      </c>
      <c r="AH20" s="35">
        <f>+GETPIVOTDATA("TNG4",'ngaigiao (2016)'!$A$3,"MA_HT","CQP","MA_QH","DGD")</f>
        <v>0</v>
      </c>
      <c r="AI20" s="35">
        <f>+GETPIVOTDATA("TNG4",'ngaigiao (2016)'!$A$3,"MA_HT","CQP","MA_QH","DTT")</f>
        <v>0</v>
      </c>
      <c r="AJ20" s="35">
        <f>+GETPIVOTDATA("TNG4",'ngaigiao (2016)'!$A$3,"MA_HT","CQP","MA_QH","NCK")</f>
        <v>0</v>
      </c>
      <c r="AK20" s="35">
        <f>+GETPIVOTDATA("TNG4",'ngaigiao (2016)'!$A$3,"MA_HT","CQP","MA_QH","DXH")</f>
        <v>0</v>
      </c>
      <c r="AL20" s="35">
        <f>+GETPIVOTDATA("TNG4",'ngaigiao (2016)'!$A$3,"MA_HT","CQP","MA_QH","DCH")</f>
        <v>0</v>
      </c>
      <c r="AM20" s="35">
        <f>+GETPIVOTDATA("TNG4",'ngaigiao (2016)'!$A$3,"MA_HT","CQP","MA_QH","DKG")</f>
        <v>0</v>
      </c>
      <c r="AN20" s="35">
        <f>+GETPIVOTDATA("TNG4",'ngaigiao (2016)'!$A$3,"MA_HT","CQP","MA_QH","DDT")</f>
        <v>0</v>
      </c>
      <c r="AO20" s="35">
        <f>+GETPIVOTDATA("TNG4",'ngaigiao (2016)'!$A$3,"MA_HT","CQP","MA_QH","DDL")</f>
        <v>0</v>
      </c>
      <c r="AP20" s="35">
        <f>+GETPIVOTDATA("TNG4",'ngaigiao (2016)'!$A$3,"MA_HT","CQP","MA_QH","DRA")</f>
        <v>0</v>
      </c>
      <c r="AQ20" s="35">
        <f>+GETPIVOTDATA("TNG4",'ngaigiao (2016)'!$A$3,"MA_HT","CQP","MA_QH","ONT")</f>
        <v>0</v>
      </c>
      <c r="AR20" s="35">
        <f>+GETPIVOTDATA("TNG4",'ngaigiao (2016)'!$A$3,"MA_HT","CQP","MA_QH","ODT")</f>
        <v>0</v>
      </c>
      <c r="AS20" s="35">
        <f>+GETPIVOTDATA("TNG4",'ngaigiao (2016)'!$A$3,"MA_HT","CQP","MA_QH","TSC")</f>
        <v>0</v>
      </c>
      <c r="AT20" s="35">
        <f>+GETPIVOTDATA("TNG4",'ngaigiao (2016)'!$A$3,"MA_HT","CQP","MA_QH","DTS")</f>
        <v>0</v>
      </c>
      <c r="AU20" s="35">
        <f>+GETPIVOTDATA("TNG4",'ngaigiao (2016)'!$A$3,"MA_HT","CQP","MA_QH","DNG")</f>
        <v>0</v>
      </c>
      <c r="AV20" s="35">
        <f>+GETPIVOTDATA("TNG4",'ngaigiao (2016)'!$A$3,"MA_HT","CQP","MA_QH","TON")</f>
        <v>0</v>
      </c>
      <c r="AW20" s="35">
        <f>+GETPIVOTDATA("TNG4",'ngaigiao (2016)'!$A$3,"MA_HT","CQP","MA_QH","NTD")</f>
        <v>0</v>
      </c>
      <c r="AX20" s="35">
        <f>+GETPIVOTDATA("TNG4",'ngaigiao (2016)'!$A$3,"MA_HT","CQP","MA_QH","SKX")</f>
        <v>0</v>
      </c>
      <c r="AY20" s="35">
        <f>+GETPIVOTDATA("TNG4",'ngaigiao (2016)'!$A$3,"MA_HT","CQP","MA_QH","DSH")</f>
        <v>0</v>
      </c>
      <c r="AZ20" s="35">
        <f>+GETPIVOTDATA("TNG4",'ngaigiao (2016)'!$A$3,"MA_HT","CQP","MA_QH","DKV")</f>
        <v>0</v>
      </c>
      <c r="BA20" s="140">
        <f>+GETPIVOTDATA("TNG4",'ngaigiao (2016)'!$A$3,"MA_HT","CQP","MA_QH","TIN")</f>
        <v>0</v>
      </c>
      <c r="BB20" s="74">
        <f>+GETPIVOTDATA("TNG4",'ngaigiao (2016)'!$A$3,"MA_HT","CQP","MA_QH","SON")</f>
        <v>0</v>
      </c>
      <c r="BC20" s="74">
        <f>+GETPIVOTDATA("TNG4",'ngaigiao (2016)'!$A$3,"MA_HT","CQP","MA_QH","MNC")</f>
        <v>0</v>
      </c>
      <c r="BD20" s="35">
        <f>+GETPIVOTDATA("TNG4",'ngaigiao (2016)'!$A$3,"MA_HT","CQP","MA_QH","PNK")</f>
        <v>0</v>
      </c>
      <c r="BE20" s="58">
        <f>+GETPIVOTDATA("TNG4",'ngaigiao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+GETPIVOTDATA("TNG4",'ngaigiao (2016)'!$A$3,"MA_HT","CAN","MA_QH","LUC")</f>
        <v>0</v>
      </c>
      <c r="H21" s="35">
        <f>+GETPIVOTDATA("TNG4",'ngaigiao (2016)'!$A$3,"MA_HT","CAN","MA_QH","LUK")</f>
        <v>0</v>
      </c>
      <c r="I21" s="35">
        <f>+GETPIVOTDATA("TNG4",'ngaigiao (2016)'!$A$3,"MA_HT","CAN","MA_QH","LUN")</f>
        <v>0</v>
      </c>
      <c r="J21" s="35">
        <f>+GETPIVOTDATA("TNG4",'ngaigiao (2016)'!$A$3,"MA_HT","CAN","MA_QH","HNK")</f>
        <v>0</v>
      </c>
      <c r="K21" s="35">
        <f>+GETPIVOTDATA("TNG4",'ngaigiao (2016)'!$A$3,"MA_HT","CAN","MA_QH","CLN")</f>
        <v>0</v>
      </c>
      <c r="L21" s="35">
        <f>+GETPIVOTDATA("TNG4",'ngaigiao (2016)'!$A$3,"MA_HT","CAN","MA_QH","RSX")</f>
        <v>0</v>
      </c>
      <c r="M21" s="35">
        <f>+GETPIVOTDATA("TNG4",'ngaigiao (2016)'!$A$3,"MA_HT","CAN","MA_QH","RPH")</f>
        <v>0</v>
      </c>
      <c r="N21" s="35">
        <f>+GETPIVOTDATA("TNG4",'ngaigiao (2016)'!$A$3,"MA_HT","CAN","MA_QH","RDD")</f>
        <v>0</v>
      </c>
      <c r="O21" s="35">
        <f>+GETPIVOTDATA("TNG4",'ngaigiao (2016)'!$A$3,"MA_HT","CAN","MA_QH","NTS")</f>
        <v>0</v>
      </c>
      <c r="P21" s="35">
        <f>+GETPIVOTDATA("TNG4",'ngaigiao (2016)'!$A$3,"MA_HT","CAN","MA_QH","LMU")</f>
        <v>0</v>
      </c>
      <c r="Q21" s="35">
        <f>+GETPIVOTDATA("TNG4",'ngaigiao (2016)'!$A$3,"MA_HT","CAN","MA_QH","NKH")</f>
        <v>0</v>
      </c>
      <c r="R21" s="63">
        <f>SUM(S21,U21:AA21,AN21:BD21)</f>
        <v>0</v>
      </c>
      <c r="S21" s="35">
        <f>+GETPIVOTDATA("TNG4",'ngaigiao (2016)'!$A$3,"MA_HT","CAN","MA_QH","CQP")</f>
        <v>0</v>
      </c>
      <c r="T21" s="99" t="e">
        <f>$D21-$BF21</f>
        <v>#REF!</v>
      </c>
      <c r="U21" s="35">
        <f>+GETPIVOTDATA("TNG4",'ngaigiao (2016)'!$A$3,"MA_HT","CAN","MA_QH","SKK")</f>
        <v>0</v>
      </c>
      <c r="V21" s="35">
        <f>+GETPIVOTDATA("TNG4",'ngaigiao (2016)'!$A$3,"MA_HT","CAN","MA_QH","SKT")</f>
        <v>0</v>
      </c>
      <c r="W21" s="35">
        <f>+GETPIVOTDATA("TNG4",'ngaigiao (2016)'!$A$3,"MA_HT","CAN","MA_QH","SKN")</f>
        <v>0</v>
      </c>
      <c r="X21" s="35">
        <f>+GETPIVOTDATA("TNG4",'ngaigiao (2016)'!$A$3,"MA_HT","CAN","MA_QH","TMD")</f>
        <v>0</v>
      </c>
      <c r="Y21" s="35">
        <f>+GETPIVOTDATA("TNG4",'ngaigiao (2016)'!$A$3,"MA_HT","CAN","MA_QH","SKC")</f>
        <v>0</v>
      </c>
      <c r="Z21" s="35">
        <f>+GETPIVOTDATA("TNG4",'ngaigiao (2016)'!$A$3,"MA_HT","CAN","MA_QH","SKS")</f>
        <v>0</v>
      </c>
      <c r="AA21" s="64">
        <f t="shared" si="12"/>
        <v>0</v>
      </c>
      <c r="AB21" s="35">
        <f>+GETPIVOTDATA("TNG4",'ngaigiao (2016)'!$A$3,"MA_HT","CAN","MA_QH","DGT")</f>
        <v>0</v>
      </c>
      <c r="AC21" s="35">
        <f>+GETPIVOTDATA("TNG4",'ngaigiao (2016)'!$A$3,"MA_HT","CAN","MA_QH","DTL")</f>
        <v>0</v>
      </c>
      <c r="AD21" s="35">
        <f>+GETPIVOTDATA("TNG4",'ngaigiao (2016)'!$A$3,"MA_HT","CAN","MA_QH","DNL")</f>
        <v>0</v>
      </c>
      <c r="AE21" s="35">
        <f>+GETPIVOTDATA("TNG4",'ngaigiao (2016)'!$A$3,"MA_HT","CAN","MA_QH","DBV")</f>
        <v>0</v>
      </c>
      <c r="AF21" s="35">
        <f>+GETPIVOTDATA("TNG4",'ngaigiao (2016)'!$A$3,"MA_HT","CAN","MA_QH","DVH")</f>
        <v>0</v>
      </c>
      <c r="AG21" s="35">
        <f>+GETPIVOTDATA("TNG4",'ngaigiao (2016)'!$A$3,"MA_HT","CAN","MA_QH","DYT")</f>
        <v>0</v>
      </c>
      <c r="AH21" s="35">
        <f>+GETPIVOTDATA("TNG4",'ngaigiao (2016)'!$A$3,"MA_HT","CAN","MA_QH","DGD")</f>
        <v>0</v>
      </c>
      <c r="AI21" s="35">
        <f>+GETPIVOTDATA("TNG4",'ngaigiao (2016)'!$A$3,"MA_HT","CAN","MA_QH","DTT")</f>
        <v>0</v>
      </c>
      <c r="AJ21" s="35">
        <f>+GETPIVOTDATA("TNG4",'ngaigiao (2016)'!$A$3,"MA_HT","CAN","MA_QH","NCK")</f>
        <v>0</v>
      </c>
      <c r="AK21" s="35">
        <f>+GETPIVOTDATA("TNG4",'ngaigiao (2016)'!$A$3,"MA_HT","CAN","MA_QH","DXH")</f>
        <v>0</v>
      </c>
      <c r="AL21" s="35">
        <f>+GETPIVOTDATA("TNG4",'ngaigiao (2016)'!$A$3,"MA_HT","CAN","MA_QH","DCH")</f>
        <v>0</v>
      </c>
      <c r="AM21" s="35">
        <f>+GETPIVOTDATA("TNG4",'ngaigiao (2016)'!$A$3,"MA_HT","CAN","MA_QH","DKG")</f>
        <v>0</v>
      </c>
      <c r="AN21" s="35">
        <f>+GETPIVOTDATA("TNG4",'ngaigiao (2016)'!$A$3,"MA_HT","CAN","MA_QH","DDT")</f>
        <v>0</v>
      </c>
      <c r="AO21" s="35">
        <f>+GETPIVOTDATA("TNG4",'ngaigiao (2016)'!$A$3,"MA_HT","CAN","MA_QH","DDL")</f>
        <v>0</v>
      </c>
      <c r="AP21" s="35">
        <f>+GETPIVOTDATA("TNG4",'ngaigiao (2016)'!$A$3,"MA_HT","CAN","MA_QH","DRA")</f>
        <v>0</v>
      </c>
      <c r="AQ21" s="35">
        <f>+GETPIVOTDATA("TNG4",'ngaigiao (2016)'!$A$3,"MA_HT","CAN","MA_QH","ONT")</f>
        <v>0</v>
      </c>
      <c r="AR21" s="35">
        <f>+GETPIVOTDATA("TNG4",'ngaigiao (2016)'!$A$3,"MA_HT","CAN","MA_QH","ODT")</f>
        <v>0</v>
      </c>
      <c r="AS21" s="35">
        <f>+GETPIVOTDATA("TNG4",'ngaigiao (2016)'!$A$3,"MA_HT","CAN","MA_QH","TSC")</f>
        <v>0</v>
      </c>
      <c r="AT21" s="35">
        <f>+GETPIVOTDATA("TNG4",'ngaigiao (2016)'!$A$3,"MA_HT","CAN","MA_QH","DTS")</f>
        <v>0</v>
      </c>
      <c r="AU21" s="35">
        <f>+GETPIVOTDATA("TNG4",'ngaigiao (2016)'!$A$3,"MA_HT","CAN","MA_QH","DNG")</f>
        <v>0</v>
      </c>
      <c r="AV21" s="35">
        <f>+GETPIVOTDATA("TNG4",'ngaigiao (2016)'!$A$3,"MA_HT","CAN","MA_QH","TON")</f>
        <v>0</v>
      </c>
      <c r="AW21" s="35">
        <f>+GETPIVOTDATA("TNG4",'ngaigiao (2016)'!$A$3,"MA_HT","CAN","MA_QH","NTD")</f>
        <v>0</v>
      </c>
      <c r="AX21" s="35">
        <f>+GETPIVOTDATA("TNG4",'ngaigiao (2016)'!$A$3,"MA_HT","CAN","MA_QH","SKX")</f>
        <v>0</v>
      </c>
      <c r="AY21" s="35">
        <f>+GETPIVOTDATA("TNG4",'ngaigiao (2016)'!$A$3,"MA_HT","CAN","MA_QH","DSH")</f>
        <v>0</v>
      </c>
      <c r="AZ21" s="35">
        <f>+GETPIVOTDATA("TNG4",'ngaigiao (2016)'!$A$3,"MA_HT","CAN","MA_QH","DKV")</f>
        <v>0</v>
      </c>
      <c r="BA21" s="140">
        <f>+GETPIVOTDATA("TNG4",'ngaigiao (2016)'!$A$3,"MA_HT","CAN","MA_QH","TIN")</f>
        <v>0</v>
      </c>
      <c r="BB21" s="74">
        <f>+GETPIVOTDATA("TNG4",'ngaigiao (2016)'!$A$3,"MA_HT","CAN","MA_QH","SON")</f>
        <v>0</v>
      </c>
      <c r="BC21" s="74">
        <f>+GETPIVOTDATA("TNG4",'ngaigiao (2016)'!$A$3,"MA_HT","CAN","MA_QH","MNC")</f>
        <v>0</v>
      </c>
      <c r="BD21" s="35">
        <f>+GETPIVOTDATA("TNG4",'ngaigiao (2016)'!$A$3,"MA_HT","CAN","MA_QH","PNK")</f>
        <v>0</v>
      </c>
      <c r="BE21" s="58">
        <f>+GETPIVOTDATA("TNG4",'ngaigiao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+GETPIVOTDATA("TNG4",'ngaigiao (2016)'!$A$3,"MA_HT","SKK","MA_QH","LUC")</f>
        <v>0</v>
      </c>
      <c r="H22" s="35">
        <f>+GETPIVOTDATA("TNG4",'ngaigiao (2016)'!$A$3,"MA_HT","SKK","MA_QH","LUK")</f>
        <v>0</v>
      </c>
      <c r="I22" s="35">
        <f>+GETPIVOTDATA("TNG4",'ngaigiao (2016)'!$A$3,"MA_HT","SKK","MA_QH","LUN")</f>
        <v>0</v>
      </c>
      <c r="J22" s="35">
        <f>+GETPIVOTDATA("TNG4",'ngaigiao (2016)'!$A$3,"MA_HT","SKK","MA_QH","HNK")</f>
        <v>0</v>
      </c>
      <c r="K22" s="35">
        <f>+GETPIVOTDATA("TNG4",'ngaigiao (2016)'!$A$3,"MA_HT","SKK","MA_QH","CLN")</f>
        <v>0</v>
      </c>
      <c r="L22" s="35">
        <f>+GETPIVOTDATA("TNG4",'ngaigiao (2016)'!$A$3,"MA_HT","SKK","MA_QH","RSX")</f>
        <v>0</v>
      </c>
      <c r="M22" s="35">
        <f>+GETPIVOTDATA("TNG4",'ngaigiao (2016)'!$A$3,"MA_HT","SKK","MA_QH","RPH")</f>
        <v>0</v>
      </c>
      <c r="N22" s="35">
        <f>+GETPIVOTDATA("TNG4",'ngaigiao (2016)'!$A$3,"MA_HT","SKK","MA_QH","RDD")</f>
        <v>0</v>
      </c>
      <c r="O22" s="35">
        <f>+GETPIVOTDATA("TNG4",'ngaigiao (2016)'!$A$3,"MA_HT","SKK","MA_QH","NTS")</f>
        <v>0</v>
      </c>
      <c r="P22" s="35">
        <f>+GETPIVOTDATA("TNG4",'ngaigiao (2016)'!$A$3,"MA_HT","SKK","MA_QH","LMU")</f>
        <v>0</v>
      </c>
      <c r="Q22" s="35">
        <f>+GETPIVOTDATA("TNG4",'ngaigiao (2016)'!$A$3,"MA_HT","SKK","MA_QH","NKH")</f>
        <v>0</v>
      </c>
      <c r="R22" s="63">
        <f>SUM(S22:T22,V22:AA22,AN22:BD22)</f>
        <v>0</v>
      </c>
      <c r="S22" s="35">
        <f>+GETPIVOTDATA("TNG4",'ngaigiao (2016)'!$A$3,"MA_HT","SKK","MA_QH","CQP")</f>
        <v>0</v>
      </c>
      <c r="T22" s="35">
        <f>+GETPIVOTDATA("TNG4",'ngaigiao (2016)'!$A$3,"MA_HT","SKK","MA_QH","CAN")</f>
        <v>0</v>
      </c>
      <c r="U22" s="99" t="e">
        <f>$D22-$BF22</f>
        <v>#REF!</v>
      </c>
      <c r="V22" s="35">
        <f>+GETPIVOTDATA("TNG4",'ngaigiao (2016)'!$A$3,"MA_HT","SKK","MA_QH","SKT")</f>
        <v>0</v>
      </c>
      <c r="W22" s="35">
        <f>+GETPIVOTDATA("TNG4",'ngaigiao (2016)'!$A$3,"MA_HT","SKK","MA_QH","SKN")</f>
        <v>0</v>
      </c>
      <c r="X22" s="35">
        <f>+GETPIVOTDATA("TNG4",'ngaigiao (2016)'!$A$3,"MA_HT","SKK","MA_QH","TMD")</f>
        <v>0</v>
      </c>
      <c r="Y22" s="35">
        <f>+GETPIVOTDATA("TNG4",'ngaigiao (2016)'!$A$3,"MA_HT","SKK","MA_QH","SKC")</f>
        <v>0</v>
      </c>
      <c r="Z22" s="35">
        <f>+GETPIVOTDATA("TNG4",'ngaigiao (2016)'!$A$3,"MA_HT","SKK","MA_QH","SKS")</f>
        <v>0</v>
      </c>
      <c r="AA22" s="64">
        <f t="shared" si="12"/>
        <v>0</v>
      </c>
      <c r="AB22" s="35">
        <f>+GETPIVOTDATA("TNG4",'ngaigiao (2016)'!$A$3,"MA_HT","SKK","MA_QH","DGT")</f>
        <v>0</v>
      </c>
      <c r="AC22" s="35">
        <f>+GETPIVOTDATA("TNG4",'ngaigiao (2016)'!$A$3,"MA_HT","SKK","MA_QH","DTL")</f>
        <v>0</v>
      </c>
      <c r="AD22" s="35">
        <f>+GETPIVOTDATA("TNG4",'ngaigiao (2016)'!$A$3,"MA_HT","SKK","MA_QH","DNL")</f>
        <v>0</v>
      </c>
      <c r="AE22" s="35">
        <f>+GETPIVOTDATA("TNG4",'ngaigiao (2016)'!$A$3,"MA_HT","SKK","MA_QH","DBV")</f>
        <v>0</v>
      </c>
      <c r="AF22" s="35">
        <f>+GETPIVOTDATA("TNG4",'ngaigiao (2016)'!$A$3,"MA_HT","SKK","MA_QH","DVH")</f>
        <v>0</v>
      </c>
      <c r="AG22" s="35">
        <f>+GETPIVOTDATA("TNG4",'ngaigiao (2016)'!$A$3,"MA_HT","SKK","MA_QH","DYT")</f>
        <v>0</v>
      </c>
      <c r="AH22" s="35">
        <f>+GETPIVOTDATA("TNG4",'ngaigiao (2016)'!$A$3,"MA_HT","SKK","MA_QH","DGD")</f>
        <v>0</v>
      </c>
      <c r="AI22" s="35">
        <f>+GETPIVOTDATA("TNG4",'ngaigiao (2016)'!$A$3,"MA_HT","SKK","MA_QH","DTT")</f>
        <v>0</v>
      </c>
      <c r="AJ22" s="35">
        <f>+GETPIVOTDATA("TNG4",'ngaigiao (2016)'!$A$3,"MA_HT","SKK","MA_QH","NCK")</f>
        <v>0</v>
      </c>
      <c r="AK22" s="35">
        <f>+GETPIVOTDATA("TNG4",'ngaigiao (2016)'!$A$3,"MA_HT","SKK","MA_QH","DXH")</f>
        <v>0</v>
      </c>
      <c r="AL22" s="35">
        <f>+GETPIVOTDATA("TNG4",'ngaigiao (2016)'!$A$3,"MA_HT","SKK","MA_QH","DCH")</f>
        <v>0</v>
      </c>
      <c r="AM22" s="35">
        <f>+GETPIVOTDATA("TNG4",'ngaigiao (2016)'!$A$3,"MA_HT","SKK","MA_QH","DKG")</f>
        <v>0</v>
      </c>
      <c r="AN22" s="35">
        <f>+GETPIVOTDATA("TNG4",'ngaigiao (2016)'!$A$3,"MA_HT","SKK","MA_QH","DDT")</f>
        <v>0</v>
      </c>
      <c r="AO22" s="35">
        <f>+GETPIVOTDATA("TNG4",'ngaigiao (2016)'!$A$3,"MA_HT","SKK","MA_QH","DDL")</f>
        <v>0</v>
      </c>
      <c r="AP22" s="35">
        <f>+GETPIVOTDATA("TNG4",'ngaigiao (2016)'!$A$3,"MA_HT","SKK","MA_QH","DRA")</f>
        <v>0</v>
      </c>
      <c r="AQ22" s="35">
        <f>+GETPIVOTDATA("TNG4",'ngaigiao (2016)'!$A$3,"MA_HT","SKK","MA_QH","ONT")</f>
        <v>0</v>
      </c>
      <c r="AR22" s="35">
        <f>+GETPIVOTDATA("TNG4",'ngaigiao (2016)'!$A$3,"MA_HT","SKK","MA_QH","ODT")</f>
        <v>0</v>
      </c>
      <c r="AS22" s="35">
        <f>+GETPIVOTDATA("TNG4",'ngaigiao (2016)'!$A$3,"MA_HT","SKK","MA_QH","TSC")</f>
        <v>0</v>
      </c>
      <c r="AT22" s="35">
        <f>+GETPIVOTDATA("TNG4",'ngaigiao (2016)'!$A$3,"MA_HT","SKK","MA_QH","DTS")</f>
        <v>0</v>
      </c>
      <c r="AU22" s="35">
        <f>+GETPIVOTDATA("TNG4",'ngaigiao (2016)'!$A$3,"MA_HT","SKK","MA_QH","DNG")</f>
        <v>0</v>
      </c>
      <c r="AV22" s="35">
        <f>+GETPIVOTDATA("TNG4",'ngaigiao (2016)'!$A$3,"MA_HT","SKK","MA_QH","TON")</f>
        <v>0</v>
      </c>
      <c r="AW22" s="35">
        <f>+GETPIVOTDATA("TNG4",'ngaigiao (2016)'!$A$3,"MA_HT","SKK","MA_QH","NTD")</f>
        <v>0</v>
      </c>
      <c r="AX22" s="35">
        <f>+GETPIVOTDATA("TNG4",'ngaigiao (2016)'!$A$3,"MA_HT","SKK","MA_QH","SKX")</f>
        <v>0</v>
      </c>
      <c r="AY22" s="35">
        <f>+GETPIVOTDATA("TNG4",'ngaigiao (2016)'!$A$3,"MA_HT","SKK","MA_QH","DSH")</f>
        <v>0</v>
      </c>
      <c r="AZ22" s="35">
        <f>+GETPIVOTDATA("TNG4",'ngaigiao (2016)'!$A$3,"MA_HT","SKK","MA_QH","DKV")</f>
        <v>0</v>
      </c>
      <c r="BA22" s="140">
        <f>+GETPIVOTDATA("TNG4",'ngaigiao (2016)'!$A$3,"MA_HT","SKK","MA_QH","TIN")</f>
        <v>0</v>
      </c>
      <c r="BB22" s="74">
        <f>+GETPIVOTDATA("TNG4",'ngaigiao (2016)'!$A$3,"MA_HT","SKK","MA_QH","SON")</f>
        <v>0</v>
      </c>
      <c r="BC22" s="74">
        <f>+GETPIVOTDATA("TNG4",'ngaigiao (2016)'!$A$3,"MA_HT","SKK","MA_QH","MNC")</f>
        <v>0</v>
      </c>
      <c r="BD22" s="35">
        <f>+GETPIVOTDATA("TNG4",'ngaigiao (2016)'!$A$3,"MA_HT","SKK","MA_QH","PNK")</f>
        <v>0</v>
      </c>
      <c r="BE22" s="58">
        <f>+GETPIVOTDATA("TNG4",'ngaigiao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+GETPIVOTDATA("TNG4",'ngaigiao (2016)'!$A$3,"MA_HT","SKT","MA_QH","LUC")</f>
        <v>0</v>
      </c>
      <c r="H23" s="35">
        <f>+GETPIVOTDATA("TNG4",'ngaigiao (2016)'!$A$3,"MA_HT","SKT","MA_QH","LUK")</f>
        <v>0</v>
      </c>
      <c r="I23" s="35">
        <f>+GETPIVOTDATA("TNG4",'ngaigiao (2016)'!$A$3,"MA_HT","SKT","MA_QH","LUN")</f>
        <v>0</v>
      </c>
      <c r="J23" s="35">
        <f>+GETPIVOTDATA("TNG4",'ngaigiao (2016)'!$A$3,"MA_HT","SKT","MA_QH","HNK")</f>
        <v>0</v>
      </c>
      <c r="K23" s="35">
        <f>+GETPIVOTDATA("TNG4",'ngaigiao (2016)'!$A$3,"MA_HT","SKT","MA_QH","CLN")</f>
        <v>0</v>
      </c>
      <c r="L23" s="35">
        <f>+GETPIVOTDATA("TNG4",'ngaigiao (2016)'!$A$3,"MA_HT","SKT","MA_QH","RSX")</f>
        <v>0</v>
      </c>
      <c r="M23" s="35">
        <f>+GETPIVOTDATA("TNG4",'ngaigiao (2016)'!$A$3,"MA_HT","SKT","MA_QH","RPH")</f>
        <v>0</v>
      </c>
      <c r="N23" s="35">
        <f>+GETPIVOTDATA("TNG4",'ngaigiao (2016)'!$A$3,"MA_HT","SKT","MA_QH","RDD")</f>
        <v>0</v>
      </c>
      <c r="O23" s="35">
        <f>+GETPIVOTDATA("TNG4",'ngaigiao (2016)'!$A$3,"MA_HT","SKT","MA_QH","NTS")</f>
        <v>0</v>
      </c>
      <c r="P23" s="35">
        <f>+GETPIVOTDATA("TNG4",'ngaigiao (2016)'!$A$3,"MA_HT","SKT","MA_QH","LMU")</f>
        <v>0</v>
      </c>
      <c r="Q23" s="35">
        <f>+GETPIVOTDATA("TNG4",'ngaigiao (2016)'!$A$3,"MA_HT","SKT","MA_QH","NKH")</f>
        <v>0</v>
      </c>
      <c r="R23" s="63">
        <f>SUM(S23:U23,W23:AA23,AN23:BD23)</f>
        <v>0</v>
      </c>
      <c r="S23" s="35">
        <f>+GETPIVOTDATA("TNG4",'ngaigiao (2016)'!$A$3,"MA_HT","SKT","MA_QH","CQP")</f>
        <v>0</v>
      </c>
      <c r="T23" s="35">
        <f>+GETPIVOTDATA("TNG4",'ngaigiao (2016)'!$A$3,"MA_HT","SKT","MA_QH","CAN")</f>
        <v>0</v>
      </c>
      <c r="U23" s="35">
        <f>+GETPIVOTDATA("TNG4",'ngaigiao (2016)'!$A$3,"MA_HT","SKT","MA_QH","SKK")</f>
        <v>0</v>
      </c>
      <c r="V23" s="99" t="e">
        <f>$D23-$BF23</f>
        <v>#REF!</v>
      </c>
      <c r="W23" s="35">
        <f>+GETPIVOTDATA("TNG4",'ngaigiao (2016)'!$A$3,"MA_HT","SKT","MA_QH","SKN")</f>
        <v>0</v>
      </c>
      <c r="X23" s="35">
        <f>+GETPIVOTDATA("TNG4",'ngaigiao (2016)'!$A$3,"MA_HT","SKT","MA_QH","TMD")</f>
        <v>0</v>
      </c>
      <c r="Y23" s="35">
        <f>+GETPIVOTDATA("TNG4",'ngaigiao (2016)'!$A$3,"MA_HT","SKT","MA_QH","SKC")</f>
        <v>0</v>
      </c>
      <c r="Z23" s="35">
        <f>+GETPIVOTDATA("TNG4",'ngaigiao (2016)'!$A$3,"MA_HT","SKT","MA_QH","SKS")</f>
        <v>0</v>
      </c>
      <c r="AA23" s="64">
        <f t="shared" si="12"/>
        <v>0</v>
      </c>
      <c r="AB23" s="35">
        <f>+GETPIVOTDATA("TNG4",'ngaigiao (2016)'!$A$3,"MA_HT","SKT","MA_QH","DGT")</f>
        <v>0</v>
      </c>
      <c r="AC23" s="35">
        <f>+GETPIVOTDATA("TNG4",'ngaigiao (2016)'!$A$3,"MA_HT","SKT","MA_QH","DTL")</f>
        <v>0</v>
      </c>
      <c r="AD23" s="35">
        <f>+GETPIVOTDATA("TNG4",'ngaigiao (2016)'!$A$3,"MA_HT","SKT","MA_QH","DNL")</f>
        <v>0</v>
      </c>
      <c r="AE23" s="35">
        <f>+GETPIVOTDATA("TNG4",'ngaigiao (2016)'!$A$3,"MA_HT","SKT","MA_QH","DBV")</f>
        <v>0</v>
      </c>
      <c r="AF23" s="35">
        <f>+GETPIVOTDATA("TNG4",'ngaigiao (2016)'!$A$3,"MA_HT","SKT","MA_QH","DVH")</f>
        <v>0</v>
      </c>
      <c r="AG23" s="35">
        <f>+GETPIVOTDATA("TNG4",'ngaigiao (2016)'!$A$3,"MA_HT","SKT","MA_QH","DYT")</f>
        <v>0</v>
      </c>
      <c r="AH23" s="35">
        <f>+GETPIVOTDATA("TNG4",'ngaigiao (2016)'!$A$3,"MA_HT","SKT","MA_QH","DGD")</f>
        <v>0</v>
      </c>
      <c r="AI23" s="35">
        <f>+GETPIVOTDATA("TNG4",'ngaigiao (2016)'!$A$3,"MA_HT","SKT","MA_QH","DTT")</f>
        <v>0</v>
      </c>
      <c r="AJ23" s="35">
        <f>+GETPIVOTDATA("TNG4",'ngaigiao (2016)'!$A$3,"MA_HT","SKT","MA_QH","NCK")</f>
        <v>0</v>
      </c>
      <c r="AK23" s="35">
        <f>+GETPIVOTDATA("TNG4",'ngaigiao (2016)'!$A$3,"MA_HT","SKT","MA_QH","DXH")</f>
        <v>0</v>
      </c>
      <c r="AL23" s="35">
        <f>+GETPIVOTDATA("TNG4",'ngaigiao (2016)'!$A$3,"MA_HT","SKT","MA_QH","DCH")</f>
        <v>0</v>
      </c>
      <c r="AM23" s="35">
        <f>+GETPIVOTDATA("TNG4",'ngaigiao (2016)'!$A$3,"MA_HT","SKT","MA_QH","DKG")</f>
        <v>0</v>
      </c>
      <c r="AN23" s="35">
        <f>+GETPIVOTDATA("TNG4",'ngaigiao (2016)'!$A$3,"MA_HT","SKT","MA_QH","DDT")</f>
        <v>0</v>
      </c>
      <c r="AO23" s="35">
        <f>+GETPIVOTDATA("TNG4",'ngaigiao (2016)'!$A$3,"MA_HT","SKT","MA_QH","DDL")</f>
        <v>0</v>
      </c>
      <c r="AP23" s="35">
        <f>+GETPIVOTDATA("TNG4",'ngaigiao (2016)'!$A$3,"MA_HT","SKT","MA_QH","DRA")</f>
        <v>0</v>
      </c>
      <c r="AQ23" s="35">
        <f>+GETPIVOTDATA("TNG4",'ngaigiao (2016)'!$A$3,"MA_HT","SKT","MA_QH","ONT")</f>
        <v>0</v>
      </c>
      <c r="AR23" s="35">
        <f>+GETPIVOTDATA("TNG4",'ngaigiao (2016)'!$A$3,"MA_HT","SKT","MA_QH","ODT")</f>
        <v>0</v>
      </c>
      <c r="AS23" s="35">
        <f>+GETPIVOTDATA("TNG4",'ngaigiao (2016)'!$A$3,"MA_HT","SKT","MA_QH","TSC")</f>
        <v>0</v>
      </c>
      <c r="AT23" s="35">
        <f>+GETPIVOTDATA("TNG4",'ngaigiao (2016)'!$A$3,"MA_HT","SKT","MA_QH","DTS")</f>
        <v>0</v>
      </c>
      <c r="AU23" s="35">
        <f>+GETPIVOTDATA("TNG4",'ngaigiao (2016)'!$A$3,"MA_HT","SKT","MA_QH","DNG")</f>
        <v>0</v>
      </c>
      <c r="AV23" s="35">
        <f>+GETPIVOTDATA("TNG4",'ngaigiao (2016)'!$A$3,"MA_HT","SKT","MA_QH","TON")</f>
        <v>0</v>
      </c>
      <c r="AW23" s="35">
        <f>+GETPIVOTDATA("TNG4",'ngaigiao (2016)'!$A$3,"MA_HT","SKT","MA_QH","NTD")</f>
        <v>0</v>
      </c>
      <c r="AX23" s="35">
        <f>+GETPIVOTDATA("TNG4",'ngaigiao (2016)'!$A$3,"MA_HT","SKT","MA_QH","SKX")</f>
        <v>0</v>
      </c>
      <c r="AY23" s="35">
        <f>+GETPIVOTDATA("TNG4",'ngaigiao (2016)'!$A$3,"MA_HT","SKT","MA_QH","DSH")</f>
        <v>0</v>
      </c>
      <c r="AZ23" s="35">
        <f>+GETPIVOTDATA("TNG4",'ngaigiao (2016)'!$A$3,"MA_HT","SKT","MA_QH","DKV")</f>
        <v>0</v>
      </c>
      <c r="BA23" s="140">
        <f>+GETPIVOTDATA("TNG4",'ngaigiao (2016)'!$A$3,"MA_HT","SKT","MA_QH","TIN")</f>
        <v>0</v>
      </c>
      <c r="BB23" s="74">
        <f>+GETPIVOTDATA("TNG4",'ngaigiao (2016)'!$A$3,"MA_HT","SKT","MA_QH","SON")</f>
        <v>0</v>
      </c>
      <c r="BC23" s="74">
        <f>+GETPIVOTDATA("TNG4",'ngaigiao (2016)'!$A$3,"MA_HT","SKT","MA_QH","MNC")</f>
        <v>0</v>
      </c>
      <c r="BD23" s="35">
        <f>+GETPIVOTDATA("TNG4",'ngaigiao (2016)'!$A$3,"MA_HT","SKT","MA_QH","PNK")</f>
        <v>0</v>
      </c>
      <c r="BE23" s="58">
        <f>+GETPIVOTDATA("TNG4",'ngaigiao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+GETPIVOTDATA("TNG4",'ngaigiao (2016)'!$A$3,"MA_HT","SKN","MA_QH","LUC")</f>
        <v>0</v>
      </c>
      <c r="H24" s="35">
        <f>+GETPIVOTDATA("TNG4",'ngaigiao (2016)'!$A$3,"MA_HT","SKN","MA_QH","LUK")</f>
        <v>0</v>
      </c>
      <c r="I24" s="35">
        <f>+GETPIVOTDATA("TNG4",'ngaigiao (2016)'!$A$3,"MA_HT","SKN","MA_QH","LUN")</f>
        <v>0</v>
      </c>
      <c r="J24" s="35">
        <f>+GETPIVOTDATA("TNG4",'ngaigiao (2016)'!$A$3,"MA_HT","SKN","MA_QH","HNK")</f>
        <v>0</v>
      </c>
      <c r="K24" s="35">
        <f>+GETPIVOTDATA("TNG4",'ngaigiao (2016)'!$A$3,"MA_HT","SKN","MA_QH","CLN")</f>
        <v>0</v>
      </c>
      <c r="L24" s="35">
        <f>+GETPIVOTDATA("TNG4",'ngaigiao (2016)'!$A$3,"MA_HT","SKN","MA_QH","RSX")</f>
        <v>0</v>
      </c>
      <c r="M24" s="35">
        <f>+GETPIVOTDATA("TNG4",'ngaigiao (2016)'!$A$3,"MA_HT","SKN","MA_QH","RPH")</f>
        <v>0</v>
      </c>
      <c r="N24" s="35">
        <f>+GETPIVOTDATA("TNG4",'ngaigiao (2016)'!$A$3,"MA_HT","SKN","MA_QH","RDD")</f>
        <v>0</v>
      </c>
      <c r="O24" s="35">
        <f>+GETPIVOTDATA("TNG4",'ngaigiao (2016)'!$A$3,"MA_HT","SKN","MA_QH","NTS")</f>
        <v>0</v>
      </c>
      <c r="P24" s="35">
        <f>+GETPIVOTDATA("TNG4",'ngaigiao (2016)'!$A$3,"MA_HT","SKN","MA_QH","LMU")</f>
        <v>0</v>
      </c>
      <c r="Q24" s="35">
        <f>+GETPIVOTDATA("TNG4",'ngaigiao (2016)'!$A$3,"MA_HT","SKN","MA_QH","NKH")</f>
        <v>0</v>
      </c>
      <c r="R24" s="63">
        <f>SUM(S24:V24,X24:AA24,AN24:BD24)</f>
        <v>0</v>
      </c>
      <c r="S24" s="35">
        <f>+GETPIVOTDATA("TNG4",'ngaigiao (2016)'!$A$3,"MA_HT","SKN","MA_QH","CQP")</f>
        <v>0</v>
      </c>
      <c r="T24" s="35">
        <f>+GETPIVOTDATA("TNG4",'ngaigiao (2016)'!$A$3,"MA_HT","SKN","MA_QH","CAN")</f>
        <v>0</v>
      </c>
      <c r="U24" s="35">
        <f>+GETPIVOTDATA("TNG4",'ngaigiao (2016)'!$A$3,"MA_HT","SKN","MA_QH","SKK")</f>
        <v>0</v>
      </c>
      <c r="V24" s="35">
        <f>+GETPIVOTDATA("TNG4",'ngaigiao (2016)'!$A$3,"MA_HT","SKN","MA_QH","SKT")</f>
        <v>0</v>
      </c>
      <c r="W24" s="99" t="e">
        <f>$D24-$BF24</f>
        <v>#REF!</v>
      </c>
      <c r="X24" s="35">
        <f>+GETPIVOTDATA("TNG4",'ngaigiao (2016)'!$A$3,"MA_HT","SKN","MA_QH","TMD")</f>
        <v>0</v>
      </c>
      <c r="Y24" s="35">
        <f>+GETPIVOTDATA("TNG4",'ngaigiao (2016)'!$A$3,"MA_HT","SKN","MA_QH","SKC")</f>
        <v>0</v>
      </c>
      <c r="Z24" s="35">
        <f>+GETPIVOTDATA("TNG4",'ngaigiao (2016)'!$A$3,"MA_HT","SKN","MA_QH","SKS")</f>
        <v>0</v>
      </c>
      <c r="AA24" s="64">
        <f t="shared" si="12"/>
        <v>0</v>
      </c>
      <c r="AB24" s="35">
        <f>+GETPIVOTDATA("TNG4",'ngaigiao (2016)'!$A$3,"MA_HT","SKN","MA_QH","DGT")</f>
        <v>0</v>
      </c>
      <c r="AC24" s="35">
        <f>+GETPIVOTDATA("TNG4",'ngaigiao (2016)'!$A$3,"MA_HT","SKN","MA_QH","DTL")</f>
        <v>0</v>
      </c>
      <c r="AD24" s="35">
        <f>+GETPIVOTDATA("TNG4",'ngaigiao (2016)'!$A$3,"MA_HT","SKN","MA_QH","DNL")</f>
        <v>0</v>
      </c>
      <c r="AE24" s="35">
        <f>+GETPIVOTDATA("TNG4",'ngaigiao (2016)'!$A$3,"MA_HT","SKN","MA_QH","DBV")</f>
        <v>0</v>
      </c>
      <c r="AF24" s="35">
        <f>+GETPIVOTDATA("TNG4",'ngaigiao (2016)'!$A$3,"MA_HT","SKN","MA_QH","DVH")</f>
        <v>0</v>
      </c>
      <c r="AG24" s="35">
        <f>+GETPIVOTDATA("TNG4",'ngaigiao (2016)'!$A$3,"MA_HT","SKN","MA_QH","DYT")</f>
        <v>0</v>
      </c>
      <c r="AH24" s="35">
        <f>+GETPIVOTDATA("TNG4",'ngaigiao (2016)'!$A$3,"MA_HT","SKN","MA_QH","DGD")</f>
        <v>0</v>
      </c>
      <c r="AI24" s="35">
        <f>+GETPIVOTDATA("TNG4",'ngaigiao (2016)'!$A$3,"MA_HT","SKN","MA_QH","DTT")</f>
        <v>0</v>
      </c>
      <c r="AJ24" s="35">
        <f>+GETPIVOTDATA("TNG4",'ngaigiao (2016)'!$A$3,"MA_HT","SKN","MA_QH","NCK")</f>
        <v>0</v>
      </c>
      <c r="AK24" s="35">
        <f>+GETPIVOTDATA("TNG4",'ngaigiao (2016)'!$A$3,"MA_HT","SKN","MA_QH","DXH")</f>
        <v>0</v>
      </c>
      <c r="AL24" s="35">
        <f>+GETPIVOTDATA("TNG4",'ngaigiao (2016)'!$A$3,"MA_HT","SKN","MA_QH","DCH")</f>
        <v>0</v>
      </c>
      <c r="AM24" s="35">
        <f>+GETPIVOTDATA("TNG4",'ngaigiao (2016)'!$A$3,"MA_HT","SKN","MA_QH","DKG")</f>
        <v>0</v>
      </c>
      <c r="AN24" s="35">
        <f>+GETPIVOTDATA("TNG4",'ngaigiao (2016)'!$A$3,"MA_HT","SKN","MA_QH","DDT")</f>
        <v>0</v>
      </c>
      <c r="AO24" s="35">
        <f>+GETPIVOTDATA("TNG4",'ngaigiao (2016)'!$A$3,"MA_HT","SKN","MA_QH","DDL")</f>
        <v>0</v>
      </c>
      <c r="AP24" s="35">
        <f>+GETPIVOTDATA("TNG4",'ngaigiao (2016)'!$A$3,"MA_HT","SKN","MA_QH","DRA")</f>
        <v>0</v>
      </c>
      <c r="AQ24" s="35">
        <f>+GETPIVOTDATA("TNG4",'ngaigiao (2016)'!$A$3,"MA_HT","SKN","MA_QH","ONT")</f>
        <v>0</v>
      </c>
      <c r="AR24" s="35">
        <f>+GETPIVOTDATA("TNG4",'ngaigiao (2016)'!$A$3,"MA_HT","SKN","MA_QH","ODT")</f>
        <v>0</v>
      </c>
      <c r="AS24" s="35">
        <f>+GETPIVOTDATA("TNG4",'ngaigiao (2016)'!$A$3,"MA_HT","SKN","MA_QH","TSC")</f>
        <v>0</v>
      </c>
      <c r="AT24" s="35">
        <f>+GETPIVOTDATA("TNG4",'ngaigiao (2016)'!$A$3,"MA_HT","SKN","MA_QH","DTS")</f>
        <v>0</v>
      </c>
      <c r="AU24" s="35">
        <f>+GETPIVOTDATA("TNG4",'ngaigiao (2016)'!$A$3,"MA_HT","SKN","MA_QH","DNG")</f>
        <v>0</v>
      </c>
      <c r="AV24" s="35">
        <f>+GETPIVOTDATA("TNG4",'ngaigiao (2016)'!$A$3,"MA_HT","SKN","MA_QH","TON")</f>
        <v>0</v>
      </c>
      <c r="AW24" s="35">
        <f>+GETPIVOTDATA("TNG4",'ngaigiao (2016)'!$A$3,"MA_HT","SKN","MA_QH","NTD")</f>
        <v>0</v>
      </c>
      <c r="AX24" s="35">
        <f>+GETPIVOTDATA("TNG4",'ngaigiao (2016)'!$A$3,"MA_HT","SKN","MA_QH","SKX")</f>
        <v>0</v>
      </c>
      <c r="AY24" s="35">
        <f>+GETPIVOTDATA("TNG4",'ngaigiao (2016)'!$A$3,"MA_HT","SKN","MA_QH","DSH")</f>
        <v>0</v>
      </c>
      <c r="AZ24" s="35">
        <f>+GETPIVOTDATA("TNG4",'ngaigiao (2016)'!$A$3,"MA_HT","SKN","MA_QH","DKV")</f>
        <v>0</v>
      </c>
      <c r="BA24" s="140">
        <f>+GETPIVOTDATA("TNG4",'ngaigiao (2016)'!$A$3,"MA_HT","SKN","MA_QH","TIN")</f>
        <v>0</v>
      </c>
      <c r="BB24" s="74">
        <f>+GETPIVOTDATA("TNG4",'ngaigiao (2016)'!$A$3,"MA_HT","SKN","MA_QH","SON")</f>
        <v>0</v>
      </c>
      <c r="BC24" s="74">
        <f>+GETPIVOTDATA("TNG4",'ngaigiao (2016)'!$A$3,"MA_HT","SKN","MA_QH","MNC")</f>
        <v>0</v>
      </c>
      <c r="BD24" s="35">
        <f>+GETPIVOTDATA("TNG4",'ngaigiao (2016)'!$A$3,"MA_HT","SKN","MA_QH","PNK")</f>
        <v>0</v>
      </c>
      <c r="BE24" s="58">
        <f>+GETPIVOTDATA("TNG4",'ngaigiao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+GETPIVOTDATA("TNG4",'ngaigiao (2016)'!$A$3,"MA_HT","TMD","MA_QH","LUC")</f>
        <v>0</v>
      </c>
      <c r="H25" s="35">
        <f>+GETPIVOTDATA("TNG4",'ngaigiao (2016)'!$A$3,"MA_HT","TMD","MA_QH","LUK")</f>
        <v>0</v>
      </c>
      <c r="I25" s="35">
        <f>+GETPIVOTDATA("TNG4",'ngaigiao (2016)'!$A$3,"MA_HT","TMD","MA_QH","LUN")</f>
        <v>0</v>
      </c>
      <c r="J25" s="35">
        <f>+GETPIVOTDATA("TNG4",'ngaigiao (2016)'!$A$3,"MA_HT","TMD","MA_QH","HNK")</f>
        <v>0</v>
      </c>
      <c r="K25" s="35">
        <f>+GETPIVOTDATA("TNG4",'ngaigiao (2016)'!$A$3,"MA_HT","TMD","MA_QH","CLN")</f>
        <v>0</v>
      </c>
      <c r="L25" s="35">
        <f>+GETPIVOTDATA("TNG4",'ngaigiao (2016)'!$A$3,"MA_HT","TMD","MA_QH","RSX")</f>
        <v>0</v>
      </c>
      <c r="M25" s="35">
        <f>+GETPIVOTDATA("TNG4",'ngaigiao (2016)'!$A$3,"MA_HT","TMD","MA_QH","RPH")</f>
        <v>0</v>
      </c>
      <c r="N25" s="35">
        <f>+GETPIVOTDATA("TNG4",'ngaigiao (2016)'!$A$3,"MA_HT","TMD","MA_QH","RDD")</f>
        <v>0</v>
      </c>
      <c r="O25" s="35">
        <f>+GETPIVOTDATA("TNG4",'ngaigiao (2016)'!$A$3,"MA_HT","TMD","MA_QH","NTS")</f>
        <v>0</v>
      </c>
      <c r="P25" s="35">
        <f>+GETPIVOTDATA("TNG4",'ngaigiao (2016)'!$A$3,"MA_HT","TMD","MA_QH","LMU")</f>
        <v>0</v>
      </c>
      <c r="Q25" s="35">
        <f>+GETPIVOTDATA("TNG4",'ngaigiao (2016)'!$A$3,"MA_HT","TMD","MA_QH","NKH")</f>
        <v>0</v>
      </c>
      <c r="R25" s="63">
        <f>SUM(S25:W25,Y25:AA25,AN25:BD25)</f>
        <v>0</v>
      </c>
      <c r="S25" s="35">
        <f>+GETPIVOTDATA("TNG4",'ngaigiao (2016)'!$A$3,"MA_HT","TMD","MA_QH","CQP")</f>
        <v>0</v>
      </c>
      <c r="T25" s="35">
        <f>+GETPIVOTDATA("TNG4",'ngaigiao (2016)'!$A$3,"MA_HT","TMD","MA_QH","CAN")</f>
        <v>0</v>
      </c>
      <c r="U25" s="35">
        <f>+GETPIVOTDATA("TNG4",'ngaigiao (2016)'!$A$3,"MA_HT","TMD","MA_QH","SKK")</f>
        <v>0</v>
      </c>
      <c r="V25" s="35">
        <f>+GETPIVOTDATA("TNG4",'ngaigiao (2016)'!$A$3,"MA_HT","TMD","MA_QH","SKT")</f>
        <v>0</v>
      </c>
      <c r="W25" s="35">
        <f>+GETPIVOTDATA("TNG4",'ngaigiao (2016)'!$A$3,"MA_HT","TMD","MA_QH","SKN")</f>
        <v>0</v>
      </c>
      <c r="X25" s="99" t="e">
        <f>$D25-$BF25</f>
        <v>#REF!</v>
      </c>
      <c r="Y25" s="35">
        <f>+GETPIVOTDATA("TNG4",'ngaigiao (2016)'!$A$3,"MA_HT","TMD","MA_QH","SKC")</f>
        <v>0</v>
      </c>
      <c r="Z25" s="35">
        <f>+GETPIVOTDATA("TNG4",'ngaigiao (2016)'!$A$3,"MA_HT","TMD","MA_QH","SKS")</f>
        <v>0</v>
      </c>
      <c r="AA25" s="64">
        <f t="shared" si="12"/>
        <v>0</v>
      </c>
      <c r="AB25" s="35">
        <f>+GETPIVOTDATA("TNG4",'ngaigiao (2016)'!$A$3,"MA_HT","TMD","MA_QH","DGT")</f>
        <v>0</v>
      </c>
      <c r="AC25" s="35">
        <f>+GETPIVOTDATA("TNG4",'ngaigiao (2016)'!$A$3,"MA_HT","TMD","MA_QH","DTL")</f>
        <v>0</v>
      </c>
      <c r="AD25" s="35">
        <f>+GETPIVOTDATA("TNG4",'ngaigiao (2016)'!$A$3,"MA_HT","TMD","MA_QH","DNL")</f>
        <v>0</v>
      </c>
      <c r="AE25" s="35">
        <f>+GETPIVOTDATA("TNG4",'ngaigiao (2016)'!$A$3,"MA_HT","TMD","MA_QH","DBV")</f>
        <v>0</v>
      </c>
      <c r="AF25" s="35">
        <f>+GETPIVOTDATA("TNG4",'ngaigiao (2016)'!$A$3,"MA_HT","TMD","MA_QH","DVH")</f>
        <v>0</v>
      </c>
      <c r="AG25" s="35">
        <f>+GETPIVOTDATA("TNG4",'ngaigiao (2016)'!$A$3,"MA_HT","TMD","MA_QH","DYT")</f>
        <v>0</v>
      </c>
      <c r="AH25" s="35">
        <f>+GETPIVOTDATA("TNG4",'ngaigiao (2016)'!$A$3,"MA_HT","TMD","MA_QH","DGD")</f>
        <v>0</v>
      </c>
      <c r="AI25" s="35">
        <f>+GETPIVOTDATA("TNG4",'ngaigiao (2016)'!$A$3,"MA_HT","TMD","MA_QH","DTT")</f>
        <v>0</v>
      </c>
      <c r="AJ25" s="35">
        <f>+GETPIVOTDATA("TNG4",'ngaigiao (2016)'!$A$3,"MA_HT","TMD","MA_QH","NCK")</f>
        <v>0</v>
      </c>
      <c r="AK25" s="35">
        <f>+GETPIVOTDATA("TNG4",'ngaigiao (2016)'!$A$3,"MA_HT","TMD","MA_QH","DXH")</f>
        <v>0</v>
      </c>
      <c r="AL25" s="35">
        <f>+GETPIVOTDATA("TNG4",'ngaigiao (2016)'!$A$3,"MA_HT","TMD","MA_QH","DCH")</f>
        <v>0</v>
      </c>
      <c r="AM25" s="35">
        <f>+GETPIVOTDATA("TNG4",'ngaigiao (2016)'!$A$3,"MA_HT","TMD","MA_QH","DKG")</f>
        <v>0</v>
      </c>
      <c r="AN25" s="35">
        <f>+GETPIVOTDATA("TNG4",'ngaigiao (2016)'!$A$3,"MA_HT","TMD","MA_QH","DDT")</f>
        <v>0</v>
      </c>
      <c r="AO25" s="35">
        <f>+GETPIVOTDATA("TNG4",'ngaigiao (2016)'!$A$3,"MA_HT","TMD","MA_QH","DDL")</f>
        <v>0</v>
      </c>
      <c r="AP25" s="35">
        <f>+GETPIVOTDATA("TNG4",'ngaigiao (2016)'!$A$3,"MA_HT","TMD","MA_QH","DRA")</f>
        <v>0</v>
      </c>
      <c r="AQ25" s="35">
        <f>+GETPIVOTDATA("TNG4",'ngaigiao (2016)'!$A$3,"MA_HT","TMD","MA_QH","ONT")</f>
        <v>0</v>
      </c>
      <c r="AR25" s="35">
        <f>+GETPIVOTDATA("TNG4",'ngaigiao (2016)'!$A$3,"MA_HT","TMD","MA_QH","ODT")</f>
        <v>0</v>
      </c>
      <c r="AS25" s="35">
        <f>+GETPIVOTDATA("TNG4",'ngaigiao (2016)'!$A$3,"MA_HT","TMD","MA_QH","TSC")</f>
        <v>0</v>
      </c>
      <c r="AT25" s="35">
        <f>+GETPIVOTDATA("TNG4",'ngaigiao (2016)'!$A$3,"MA_HT","TMD","MA_QH","DTS")</f>
        <v>0</v>
      </c>
      <c r="AU25" s="35">
        <f>+GETPIVOTDATA("TNG4",'ngaigiao (2016)'!$A$3,"MA_HT","TMD","MA_QH","DNG")</f>
        <v>0</v>
      </c>
      <c r="AV25" s="35">
        <f>+GETPIVOTDATA("TNG4",'ngaigiao (2016)'!$A$3,"MA_HT","TMD","MA_QH","TON")</f>
        <v>0</v>
      </c>
      <c r="AW25" s="35">
        <f>+GETPIVOTDATA("TNG4",'ngaigiao (2016)'!$A$3,"MA_HT","TMD","MA_QH","NTD")</f>
        <v>0</v>
      </c>
      <c r="AX25" s="35">
        <f>+GETPIVOTDATA("TNG4",'ngaigiao (2016)'!$A$3,"MA_HT","TMD","MA_QH","SKX")</f>
        <v>0</v>
      </c>
      <c r="AY25" s="35">
        <f>+GETPIVOTDATA("TNG4",'ngaigiao (2016)'!$A$3,"MA_HT","TMD","MA_QH","DSH")</f>
        <v>0</v>
      </c>
      <c r="AZ25" s="35">
        <f>+GETPIVOTDATA("TNG4",'ngaigiao (2016)'!$A$3,"MA_HT","TMD","MA_QH","DKV")</f>
        <v>0</v>
      </c>
      <c r="BA25" s="140">
        <f>+GETPIVOTDATA("TNG4",'ngaigiao (2016)'!$A$3,"MA_HT","TMD","MA_QH","TIN")</f>
        <v>0</v>
      </c>
      <c r="BB25" s="74">
        <f>+GETPIVOTDATA("TNG4",'ngaigiao (2016)'!$A$3,"MA_HT","TMD","MA_QH","SON")</f>
        <v>0</v>
      </c>
      <c r="BC25" s="74">
        <f>+GETPIVOTDATA("TNG4",'ngaigiao (2016)'!$A$3,"MA_HT","TMD","MA_QH","MNC")</f>
        <v>0</v>
      </c>
      <c r="BD25" s="35">
        <f>+GETPIVOTDATA("TNG4",'ngaigiao (2016)'!$A$3,"MA_HT","TMD","MA_QH","PNK")</f>
        <v>0</v>
      </c>
      <c r="BE25" s="58">
        <f>+GETPIVOTDATA("TNG4",'ngaigiao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+GETPIVOTDATA("TNG4",'ngaigiao (2016)'!$A$3,"MA_HT","SKC","MA_QH","LUC")</f>
        <v>0</v>
      </c>
      <c r="H26" s="35">
        <f>+GETPIVOTDATA("TNG4",'ngaigiao (2016)'!$A$3,"MA_HT","SKC","MA_QH","LUK")</f>
        <v>0</v>
      </c>
      <c r="I26" s="35">
        <f>+GETPIVOTDATA("TNG4",'ngaigiao (2016)'!$A$3,"MA_HT","SKC","MA_QH","LUN")</f>
        <v>0</v>
      </c>
      <c r="J26" s="35">
        <f>+GETPIVOTDATA("TNG4",'ngaigiao (2016)'!$A$3,"MA_HT","SKC","MA_QH","HNK")</f>
        <v>0</v>
      </c>
      <c r="K26" s="35">
        <f>+GETPIVOTDATA("TNG4",'ngaigiao (2016)'!$A$3,"MA_HT","SKC","MA_QH","CLN")</f>
        <v>0</v>
      </c>
      <c r="L26" s="35">
        <f>+GETPIVOTDATA("TNG4",'ngaigiao (2016)'!$A$3,"MA_HT","SKC","MA_QH","RSX")</f>
        <v>0</v>
      </c>
      <c r="M26" s="35">
        <f>+GETPIVOTDATA("TNG4",'ngaigiao (2016)'!$A$3,"MA_HT","SKC","MA_QH","RPH")</f>
        <v>0</v>
      </c>
      <c r="N26" s="35">
        <f>+GETPIVOTDATA("TNG4",'ngaigiao (2016)'!$A$3,"MA_HT","SKC","MA_QH","RDD")</f>
        <v>0</v>
      </c>
      <c r="O26" s="35">
        <f>+GETPIVOTDATA("TNG4",'ngaigiao (2016)'!$A$3,"MA_HT","SKC","MA_QH","NTS")</f>
        <v>0</v>
      </c>
      <c r="P26" s="35">
        <f>+GETPIVOTDATA("TNG4",'ngaigiao (2016)'!$A$3,"MA_HT","SKC","MA_QH","LMU")</f>
        <v>0</v>
      </c>
      <c r="Q26" s="35">
        <f>+GETPIVOTDATA("TNG4",'ngaigiao (2016)'!$A$3,"MA_HT","SKC","MA_QH","NKH")</f>
        <v>0</v>
      </c>
      <c r="R26" s="63">
        <f>SUM(S26:X26,Z26,AN26:BD26)</f>
        <v>0</v>
      </c>
      <c r="S26" s="35">
        <f>+GETPIVOTDATA("TNG4",'ngaigiao (2016)'!$A$3,"MA_HT","SKC","MA_QH","CQP")</f>
        <v>0</v>
      </c>
      <c r="T26" s="35">
        <f>+GETPIVOTDATA("TNG4",'ngaigiao (2016)'!$A$3,"MA_HT","SKC","MA_QH","CAN")</f>
        <v>0</v>
      </c>
      <c r="U26" s="35">
        <f>+GETPIVOTDATA("TNG4",'ngaigiao (2016)'!$A$3,"MA_HT","SKC","MA_QH","SKK")</f>
        <v>0</v>
      </c>
      <c r="V26" s="35">
        <f>+GETPIVOTDATA("TNG4",'ngaigiao (2016)'!$A$3,"MA_HT","SKC","MA_QH","SKT")</f>
        <v>0</v>
      </c>
      <c r="W26" s="35">
        <f>+GETPIVOTDATA("TNG4",'ngaigiao (2016)'!$A$3,"MA_HT","SKC","MA_QH","SKN")</f>
        <v>0</v>
      </c>
      <c r="X26" s="35">
        <f>+GETPIVOTDATA("TNG4",'ngaigiao (2016)'!$A$3,"MA_HT","SKC","MA_QH","TMD")</f>
        <v>0</v>
      </c>
      <c r="Y26" s="99" t="e">
        <f>$D26-$BF26</f>
        <v>#REF!</v>
      </c>
      <c r="Z26" s="35">
        <f>+GETPIVOTDATA("TNG4",'ngaigiao (2016)'!$A$3,"MA_HT","SKC","MA_QH","SKS")</f>
        <v>0</v>
      </c>
      <c r="AA26" s="64">
        <f t="shared" si="12"/>
        <v>0</v>
      </c>
      <c r="AB26" s="35">
        <f>+GETPIVOTDATA("TNG4",'ngaigiao (2016)'!$A$3,"MA_HT","SKC","MA_QH","DGT")</f>
        <v>0</v>
      </c>
      <c r="AC26" s="35">
        <f>+GETPIVOTDATA("TNG4",'ngaigiao (2016)'!$A$3,"MA_HT","SKC","MA_QH","DTL")</f>
        <v>0</v>
      </c>
      <c r="AD26" s="35">
        <f>+GETPIVOTDATA("TNG4",'ngaigiao (2016)'!$A$3,"MA_HT","SKC","MA_QH","DNL")</f>
        <v>0</v>
      </c>
      <c r="AE26" s="35">
        <f>+GETPIVOTDATA("TNG4",'ngaigiao (2016)'!$A$3,"MA_HT","SKC","MA_QH","DBV")</f>
        <v>0</v>
      </c>
      <c r="AF26" s="35">
        <f>+GETPIVOTDATA("TNG4",'ngaigiao (2016)'!$A$3,"MA_HT","SKC","MA_QH","DVH")</f>
        <v>0</v>
      </c>
      <c r="AG26" s="35">
        <f>+GETPIVOTDATA("TNG4",'ngaigiao (2016)'!$A$3,"MA_HT","SKC","MA_QH","DYT")</f>
        <v>0</v>
      </c>
      <c r="AH26" s="35">
        <f>+GETPIVOTDATA("TNG4",'ngaigiao (2016)'!$A$3,"MA_HT","SKC","MA_QH","DGD")</f>
        <v>0</v>
      </c>
      <c r="AI26" s="35">
        <f>+GETPIVOTDATA("TNG4",'ngaigiao (2016)'!$A$3,"MA_HT","SKC","MA_QH","DTT")</f>
        <v>0</v>
      </c>
      <c r="AJ26" s="35">
        <f>+GETPIVOTDATA("TNG4",'ngaigiao (2016)'!$A$3,"MA_HT","SKC","MA_QH","NCK")</f>
        <v>0</v>
      </c>
      <c r="AK26" s="35">
        <f>+GETPIVOTDATA("TNG4",'ngaigiao (2016)'!$A$3,"MA_HT","SKC","MA_QH","DXH")</f>
        <v>0</v>
      </c>
      <c r="AL26" s="35">
        <f>+GETPIVOTDATA("TNG4",'ngaigiao (2016)'!$A$3,"MA_HT","SKC","MA_QH","DCH")</f>
        <v>0</v>
      </c>
      <c r="AM26" s="35">
        <f>+GETPIVOTDATA("TNG4",'ngaigiao (2016)'!$A$3,"MA_HT","SKC","MA_QH","DKG")</f>
        <v>0</v>
      </c>
      <c r="AN26" s="35">
        <f>+GETPIVOTDATA("TNG4",'ngaigiao (2016)'!$A$3,"MA_HT","SKC","MA_QH","DDT")</f>
        <v>0</v>
      </c>
      <c r="AO26" s="35">
        <f>+GETPIVOTDATA("TNG4",'ngaigiao (2016)'!$A$3,"MA_HT","SKC","MA_QH","DDL")</f>
        <v>0</v>
      </c>
      <c r="AP26" s="35">
        <f>+GETPIVOTDATA("TNG4",'ngaigiao (2016)'!$A$3,"MA_HT","SKC","MA_QH","DRA")</f>
        <v>0</v>
      </c>
      <c r="AQ26" s="35">
        <f>+GETPIVOTDATA("TNG4",'ngaigiao (2016)'!$A$3,"MA_HT","SKC","MA_QH","ONT")</f>
        <v>0</v>
      </c>
      <c r="AR26" s="35">
        <f>+GETPIVOTDATA("TNG4",'ngaigiao (2016)'!$A$3,"MA_HT","SKC","MA_QH","ODT")</f>
        <v>0</v>
      </c>
      <c r="AS26" s="35">
        <f>+GETPIVOTDATA("TNG4",'ngaigiao (2016)'!$A$3,"MA_HT","SKC","MA_QH","TSC")</f>
        <v>0</v>
      </c>
      <c r="AT26" s="35">
        <f>+GETPIVOTDATA("TNG4",'ngaigiao (2016)'!$A$3,"MA_HT","SKC","MA_QH","DTS")</f>
        <v>0</v>
      </c>
      <c r="AU26" s="35">
        <f>+GETPIVOTDATA("TNG4",'ngaigiao (2016)'!$A$3,"MA_HT","SKC","MA_QH","DNG")</f>
        <v>0</v>
      </c>
      <c r="AV26" s="35">
        <f>+GETPIVOTDATA("TNG4",'ngaigiao (2016)'!$A$3,"MA_HT","SKC","MA_QH","TON")</f>
        <v>0</v>
      </c>
      <c r="AW26" s="35">
        <f>+GETPIVOTDATA("TNG4",'ngaigiao (2016)'!$A$3,"MA_HT","SKC","MA_QH","NTD")</f>
        <v>0</v>
      </c>
      <c r="AX26" s="35">
        <f>+GETPIVOTDATA("TNG4",'ngaigiao (2016)'!$A$3,"MA_HT","SKC","MA_QH","SKX")</f>
        <v>0</v>
      </c>
      <c r="AY26" s="35">
        <f>+GETPIVOTDATA("TNG4",'ngaigiao (2016)'!$A$3,"MA_HT","SKC","MA_QH","DSH")</f>
        <v>0</v>
      </c>
      <c r="AZ26" s="35">
        <f>+GETPIVOTDATA("TNG4",'ngaigiao (2016)'!$A$3,"MA_HT","SKC","MA_QH","DKV")</f>
        <v>0</v>
      </c>
      <c r="BA26" s="140">
        <f>+GETPIVOTDATA("TNG4",'ngaigiao (2016)'!$A$3,"MA_HT","SKC","MA_QH","TIN")</f>
        <v>0</v>
      </c>
      <c r="BB26" s="74">
        <f>+GETPIVOTDATA("TNG4",'ngaigiao (2016)'!$A$3,"MA_HT","SKC","MA_QH","SON")</f>
        <v>0</v>
      </c>
      <c r="BC26" s="74">
        <f>+GETPIVOTDATA("TNG4",'ngaigiao (2016)'!$A$3,"MA_HT","SKC","MA_QH","MNC")</f>
        <v>0</v>
      </c>
      <c r="BD26" s="35">
        <f>+GETPIVOTDATA("TNG4",'ngaigiao (2016)'!$A$3,"MA_HT","SKC","MA_QH","PNK")</f>
        <v>0</v>
      </c>
      <c r="BE26" s="58">
        <f>+GETPIVOTDATA("TNG4",'ngaigiao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+GETPIVOTDATA("TNG4",'ngaigiao (2016)'!$A$3,"MA_HT","SKS","MA_QH","LUC")</f>
        <v>0</v>
      </c>
      <c r="H27" s="35">
        <f>+GETPIVOTDATA("TNG4",'ngaigiao (2016)'!$A$3,"MA_HT","SKS","MA_QH","LUK")</f>
        <v>0</v>
      </c>
      <c r="I27" s="35">
        <f>+GETPIVOTDATA("TNG4",'ngaigiao (2016)'!$A$3,"MA_HT","SKS","MA_QH","LUN")</f>
        <v>0</v>
      </c>
      <c r="J27" s="35">
        <f>+GETPIVOTDATA("TNG4",'ngaigiao (2016)'!$A$3,"MA_HT","SKS","MA_QH","HNK")</f>
        <v>0</v>
      </c>
      <c r="K27" s="35">
        <f>+GETPIVOTDATA("TNG4",'ngaigiao (2016)'!$A$3,"MA_HT","SKS","MA_QH","CLN")</f>
        <v>0</v>
      </c>
      <c r="L27" s="35">
        <f>+GETPIVOTDATA("TNG4",'ngaigiao (2016)'!$A$3,"MA_HT","SKS","MA_QH","RSX")</f>
        <v>0</v>
      </c>
      <c r="M27" s="35">
        <f>+GETPIVOTDATA("TNG4",'ngaigiao (2016)'!$A$3,"MA_HT","SKS","MA_QH","RPH")</f>
        <v>0</v>
      </c>
      <c r="N27" s="35">
        <f>+GETPIVOTDATA("TNG4",'ngaigiao (2016)'!$A$3,"MA_HT","SKS","MA_QH","RDD")</f>
        <v>0</v>
      </c>
      <c r="O27" s="35">
        <f>+GETPIVOTDATA("TNG4",'ngaigiao (2016)'!$A$3,"MA_HT","SKS","MA_QH","NTS")</f>
        <v>0</v>
      </c>
      <c r="P27" s="35">
        <f>+GETPIVOTDATA("TNG4",'ngaigiao (2016)'!$A$3,"MA_HT","SKS","MA_QH","LMU")</f>
        <v>0</v>
      </c>
      <c r="Q27" s="35">
        <f>+GETPIVOTDATA("TNG4",'ngaigiao (2016)'!$A$3,"MA_HT","SKS","MA_QH","NKH")</f>
        <v>0</v>
      </c>
      <c r="R27" s="63">
        <f>SUM(S27:Y27,AA27,AN27:BD27)</f>
        <v>0</v>
      </c>
      <c r="S27" s="35">
        <f>+GETPIVOTDATA("TNG4",'ngaigiao (2016)'!$A$3,"MA_HT","SKS","MA_QH","CQP")</f>
        <v>0</v>
      </c>
      <c r="T27" s="35">
        <f>+GETPIVOTDATA("TNG4",'ngaigiao (2016)'!$A$3,"MA_HT","SKS","MA_QH","CAN")</f>
        <v>0</v>
      </c>
      <c r="U27" s="35">
        <f>+GETPIVOTDATA("TNG4",'ngaigiao (2016)'!$A$3,"MA_HT","SKS","MA_QH","SKK")</f>
        <v>0</v>
      </c>
      <c r="V27" s="35">
        <f>+GETPIVOTDATA("TNG4",'ngaigiao (2016)'!$A$3,"MA_HT","SKS","MA_QH","SKT")</f>
        <v>0</v>
      </c>
      <c r="W27" s="35">
        <f>+GETPIVOTDATA("TNG4",'ngaigiao (2016)'!$A$3,"MA_HT","SKS","MA_QH","SKN")</f>
        <v>0</v>
      </c>
      <c r="X27" s="35">
        <f>+GETPIVOTDATA("TNG4",'ngaigiao (2016)'!$A$3,"MA_HT","SKS","MA_QH","TMD")</f>
        <v>0</v>
      </c>
      <c r="Y27" s="35">
        <f>+GETPIVOTDATA("TNG4",'ngaigiao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+GETPIVOTDATA("TNG4",'ngaigiao (2016)'!$A$3,"MA_HT","SKS","MA_QH","DGT")</f>
        <v>0</v>
      </c>
      <c r="AC27" s="35">
        <f>+GETPIVOTDATA("TNG4",'ngaigiao (2016)'!$A$3,"MA_HT","SKS","MA_QH","DTL")</f>
        <v>0</v>
      </c>
      <c r="AD27" s="35">
        <f>+GETPIVOTDATA("TNG4",'ngaigiao (2016)'!$A$3,"MA_HT","SKS","MA_QH","DNL")</f>
        <v>0</v>
      </c>
      <c r="AE27" s="35">
        <f>+GETPIVOTDATA("TNG4",'ngaigiao (2016)'!$A$3,"MA_HT","SKS","MA_QH","DBV")</f>
        <v>0</v>
      </c>
      <c r="AF27" s="35">
        <f>+GETPIVOTDATA("TNG4",'ngaigiao (2016)'!$A$3,"MA_HT","SKS","MA_QH","DVH")</f>
        <v>0</v>
      </c>
      <c r="AG27" s="35">
        <f>+GETPIVOTDATA("TNG4",'ngaigiao (2016)'!$A$3,"MA_HT","SKS","MA_QH","DYT")</f>
        <v>0</v>
      </c>
      <c r="AH27" s="35">
        <f>+GETPIVOTDATA("TNG4",'ngaigiao (2016)'!$A$3,"MA_HT","SKS","MA_QH","DGD")</f>
        <v>0</v>
      </c>
      <c r="AI27" s="35">
        <f>+GETPIVOTDATA("TNG4",'ngaigiao (2016)'!$A$3,"MA_HT","SKS","MA_QH","DTT")</f>
        <v>0</v>
      </c>
      <c r="AJ27" s="35">
        <f>+GETPIVOTDATA("TNG4",'ngaigiao (2016)'!$A$3,"MA_HT","SKS","MA_QH","NCK")</f>
        <v>0</v>
      </c>
      <c r="AK27" s="35">
        <f>+GETPIVOTDATA("TNG4",'ngaigiao (2016)'!$A$3,"MA_HT","SKS","MA_QH","DXH")</f>
        <v>0</v>
      </c>
      <c r="AL27" s="35">
        <f>+GETPIVOTDATA("TNG4",'ngaigiao (2016)'!$A$3,"MA_HT","SKS","MA_QH","DCH")</f>
        <v>0</v>
      </c>
      <c r="AM27" s="35">
        <f>+GETPIVOTDATA("TNG4",'ngaigiao (2016)'!$A$3,"MA_HT","SKS","MA_QH","DKG")</f>
        <v>0</v>
      </c>
      <c r="AN27" s="35">
        <f>+GETPIVOTDATA("TNG4",'ngaigiao (2016)'!$A$3,"MA_HT","SKS","MA_QH","DDT")</f>
        <v>0</v>
      </c>
      <c r="AO27" s="35">
        <f>+GETPIVOTDATA("TNG4",'ngaigiao (2016)'!$A$3,"MA_HT","SKS","MA_QH","DDL")</f>
        <v>0</v>
      </c>
      <c r="AP27" s="35">
        <f>+GETPIVOTDATA("TNG4",'ngaigiao (2016)'!$A$3,"MA_HT","SKS","MA_QH","DRA")</f>
        <v>0</v>
      </c>
      <c r="AQ27" s="35">
        <f>+GETPIVOTDATA("TNG4",'ngaigiao (2016)'!$A$3,"MA_HT","SKS","MA_QH","ONT")</f>
        <v>0</v>
      </c>
      <c r="AR27" s="35">
        <f>+GETPIVOTDATA("TNG4",'ngaigiao (2016)'!$A$3,"MA_HT","SKS","MA_QH","ODT")</f>
        <v>0</v>
      </c>
      <c r="AS27" s="35">
        <f>+GETPIVOTDATA("TNG4",'ngaigiao (2016)'!$A$3,"MA_HT","SKS","MA_QH","TSC")</f>
        <v>0</v>
      </c>
      <c r="AT27" s="35">
        <f>+GETPIVOTDATA("TNG4",'ngaigiao (2016)'!$A$3,"MA_HT","SKS","MA_QH","DTS")</f>
        <v>0</v>
      </c>
      <c r="AU27" s="35">
        <f>+GETPIVOTDATA("TNG4",'ngaigiao (2016)'!$A$3,"MA_HT","SKS","MA_QH","DNG")</f>
        <v>0</v>
      </c>
      <c r="AV27" s="35">
        <f>+GETPIVOTDATA("TNG4",'ngaigiao (2016)'!$A$3,"MA_HT","SKS","MA_QH","TON")</f>
        <v>0</v>
      </c>
      <c r="AW27" s="35">
        <f>+GETPIVOTDATA("TNG4",'ngaigiao (2016)'!$A$3,"MA_HT","SKS","MA_QH","NTD")</f>
        <v>0</v>
      </c>
      <c r="AX27" s="35">
        <f>+GETPIVOTDATA("TNG4",'ngaigiao (2016)'!$A$3,"MA_HT","SKS","MA_QH","SKX")</f>
        <v>0</v>
      </c>
      <c r="AY27" s="35">
        <f>+GETPIVOTDATA("TNG4",'ngaigiao (2016)'!$A$3,"MA_HT","SKS","MA_QH","DSH")</f>
        <v>0</v>
      </c>
      <c r="AZ27" s="35">
        <f>+GETPIVOTDATA("TNG4",'ngaigiao (2016)'!$A$3,"MA_HT","SKS","MA_QH","DKV")</f>
        <v>0</v>
      </c>
      <c r="BA27" s="140">
        <f>+GETPIVOTDATA("TNG4",'ngaigiao (2016)'!$A$3,"MA_HT","SKS","MA_QH","TIN")</f>
        <v>0</v>
      </c>
      <c r="BB27" s="74">
        <f>+GETPIVOTDATA("TNG4",'ngaigiao (2016)'!$A$3,"MA_HT","SKS","MA_QH","SON")</f>
        <v>0</v>
      </c>
      <c r="BC27" s="74">
        <f>+GETPIVOTDATA("TNG4",'ngaigiao (2016)'!$A$3,"MA_HT","SKS","MA_QH","MNC")</f>
        <v>0</v>
      </c>
      <c r="BD27" s="35">
        <f>+GETPIVOTDATA("TNG4",'ngaigiao (2016)'!$A$3,"MA_HT","SKS","MA_QH","PNK")</f>
        <v>0</v>
      </c>
      <c r="BE27" s="58">
        <f>+GETPIVOTDATA("TNG4",'ngaigiao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+GETPIVOTDATA("TNG4",'ngaigiao (2016)'!$A$3,"MA_HT","DGT","MA_QH","LUC")</f>
        <v>0</v>
      </c>
      <c r="H29" s="74">
        <f>+GETPIVOTDATA("TNG4",'ngaigiao (2016)'!$A$3,"MA_HT","DGT","MA_QH","LUK")</f>
        <v>0</v>
      </c>
      <c r="I29" s="74">
        <f>+GETPIVOTDATA("TNG4",'ngaigiao (2016)'!$A$3,"MA_HT","DGT","MA_QH","LUN")</f>
        <v>0</v>
      </c>
      <c r="J29" s="74">
        <f>+GETPIVOTDATA("TNG4",'ngaigiao (2016)'!$A$3,"MA_HT","DGT","MA_QH","HNK")</f>
        <v>0</v>
      </c>
      <c r="K29" s="74">
        <f>+GETPIVOTDATA("TNG4",'ngaigiao (2016)'!$A$3,"MA_HT","DGT","MA_QH","CLN")</f>
        <v>0</v>
      </c>
      <c r="L29" s="74">
        <f>+GETPIVOTDATA("TNG4",'ngaigiao (2016)'!$A$3,"MA_HT","DGT","MA_QH","RSX")</f>
        <v>0</v>
      </c>
      <c r="M29" s="74">
        <f>+GETPIVOTDATA("TNG4",'ngaigiao (2016)'!$A$3,"MA_HT","DGT","MA_QH","RPH")</f>
        <v>0</v>
      </c>
      <c r="N29" s="74">
        <f>+GETPIVOTDATA("TNG4",'ngaigiao (2016)'!$A$3,"MA_HT","DGT","MA_QH","RDD")</f>
        <v>0</v>
      </c>
      <c r="O29" s="74">
        <f>+GETPIVOTDATA("TNG4",'ngaigiao (2016)'!$A$3,"MA_HT","DGT","MA_QH","NTS")</f>
        <v>0</v>
      </c>
      <c r="P29" s="74">
        <f>+GETPIVOTDATA("TNG4",'ngaigiao (2016)'!$A$3,"MA_HT","DGT","MA_QH","LMU")</f>
        <v>0</v>
      </c>
      <c r="Q29" s="74">
        <f>+GETPIVOTDATA("TNG4",'ngaigiao (2016)'!$A$3,"MA_HT","DGT","MA_QH","NKH")</f>
        <v>0</v>
      </c>
      <c r="R29" s="72">
        <f>SUM(S29:AA29,AN29:BD29)</f>
        <v>0</v>
      </c>
      <c r="S29" s="74">
        <f>+GETPIVOTDATA("TNG4",'ngaigiao (2016)'!$A$3,"MA_HT","DGT","MA_QH","CQP")</f>
        <v>0</v>
      </c>
      <c r="T29" s="74">
        <f>+GETPIVOTDATA("TNG4",'ngaigiao (2016)'!$A$3,"MA_HT","DGT","MA_QH","CAN")</f>
        <v>0</v>
      </c>
      <c r="U29" s="74">
        <f>+GETPIVOTDATA("TNG4",'ngaigiao (2016)'!$A$3,"MA_HT","DGT","MA_QH","SKK")</f>
        <v>0</v>
      </c>
      <c r="V29" s="74">
        <f>+GETPIVOTDATA("TNG4",'ngaigiao (2016)'!$A$3,"MA_HT","DGT","MA_QH","SKT")</f>
        <v>0</v>
      </c>
      <c r="W29" s="74">
        <f>+GETPIVOTDATA("TNG4",'ngaigiao (2016)'!$A$3,"MA_HT","DGT","MA_QH","SKN")</f>
        <v>0</v>
      </c>
      <c r="X29" s="74">
        <f>+GETPIVOTDATA("TNG4",'ngaigiao (2016)'!$A$3,"MA_HT","DGT","MA_QH","TMD")</f>
        <v>0</v>
      </c>
      <c r="Y29" s="74">
        <f>+GETPIVOTDATA("TNG4",'ngaigiao (2016)'!$A$3,"MA_HT","DGT","MA_QH","SKC")</f>
        <v>0</v>
      </c>
      <c r="Z29" s="74">
        <f>+GETPIVOTDATA("TNG4",'ngaigiao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+GETPIVOTDATA("TNG4",'ngaigiao (2016)'!$A$3,"MA_HT","DGT","MA_QH","DTL")</f>
        <v>0</v>
      </c>
      <c r="AD29" s="74">
        <f>+GETPIVOTDATA("TNG4",'ngaigiao (2016)'!$A$3,"MA_HT","DGT","MA_QH","DNL")</f>
        <v>0</v>
      </c>
      <c r="AE29" s="74">
        <f>+GETPIVOTDATA("TNG4",'ngaigiao (2016)'!$A$3,"MA_HT","DGT","MA_QH","DBV")</f>
        <v>0</v>
      </c>
      <c r="AF29" s="74">
        <f>+GETPIVOTDATA("TNG4",'ngaigiao (2016)'!$A$3,"MA_HT","DGT","MA_QH","DVH")</f>
        <v>0</v>
      </c>
      <c r="AG29" s="74">
        <f>+GETPIVOTDATA("TNG4",'ngaigiao (2016)'!$A$3,"MA_HT","DGT","MA_QH","DYT")</f>
        <v>0</v>
      </c>
      <c r="AH29" s="74">
        <f>+GETPIVOTDATA("TNG4",'ngaigiao (2016)'!$A$3,"MA_HT","DGT","MA_QH","DGD")</f>
        <v>0</v>
      </c>
      <c r="AI29" s="74">
        <f>+GETPIVOTDATA("TNG4",'ngaigiao (2016)'!$A$3,"MA_HT","DGT","MA_QH","DTT")</f>
        <v>0</v>
      </c>
      <c r="AJ29" s="74">
        <f>+GETPIVOTDATA("TNG4",'ngaigiao (2016)'!$A$3,"MA_HT","DGT","MA_QH","NCK")</f>
        <v>0</v>
      </c>
      <c r="AK29" s="74">
        <f>+GETPIVOTDATA("TNG4",'ngaigiao (2016)'!$A$3,"MA_HT","DGT","MA_QH","DXH")</f>
        <v>0</v>
      </c>
      <c r="AL29" s="74">
        <f>+GETPIVOTDATA("TNG4",'ngaigiao (2016)'!$A$3,"MA_HT","DGT","MA_QH","DCH")</f>
        <v>0</v>
      </c>
      <c r="AM29" s="74">
        <f>+GETPIVOTDATA("TNG4",'ngaigiao (2016)'!$A$3,"MA_HT","DGT","MA_QH","DKG")</f>
        <v>0</v>
      </c>
      <c r="AN29" s="74">
        <f>+GETPIVOTDATA("TNG4",'ngaigiao (2016)'!$A$3,"MA_HT","DGT","MA_QH","DDT")</f>
        <v>0</v>
      </c>
      <c r="AO29" s="74">
        <f>+GETPIVOTDATA("TNG4",'ngaigiao (2016)'!$A$3,"MA_HT","DGT","MA_QH","DDL")</f>
        <v>0</v>
      </c>
      <c r="AP29" s="74">
        <f>+GETPIVOTDATA("TNG4",'ngaigiao (2016)'!$A$3,"MA_HT","DGT","MA_QH","DRA")</f>
        <v>0</v>
      </c>
      <c r="AQ29" s="74">
        <f>+GETPIVOTDATA("TNG4",'ngaigiao (2016)'!$A$3,"MA_HT","DGT","MA_QH","ONT")</f>
        <v>0</v>
      </c>
      <c r="AR29" s="74">
        <f>+GETPIVOTDATA("TNG4",'ngaigiao (2016)'!$A$3,"MA_HT","DGT","MA_QH","ODT")</f>
        <v>0</v>
      </c>
      <c r="AS29" s="74">
        <f>+GETPIVOTDATA("TNG4",'ngaigiao (2016)'!$A$3,"MA_HT","DGT","MA_QH","TSC")</f>
        <v>0</v>
      </c>
      <c r="AT29" s="74">
        <f>+GETPIVOTDATA("TNG4",'ngaigiao (2016)'!$A$3,"MA_HT","DGT","MA_QH","DTS")</f>
        <v>0</v>
      </c>
      <c r="AU29" s="74">
        <f>+GETPIVOTDATA("TNG4",'ngaigiao (2016)'!$A$3,"MA_HT","DGT","MA_QH","DNG")</f>
        <v>0</v>
      </c>
      <c r="AV29" s="74">
        <f>+GETPIVOTDATA("TNG4",'ngaigiao (2016)'!$A$3,"MA_HT","DGT","MA_QH","TON")</f>
        <v>0</v>
      </c>
      <c r="AW29" s="74">
        <f>+GETPIVOTDATA("TNG4",'ngaigiao (2016)'!$A$3,"MA_HT","DGT","MA_QH","NTD")</f>
        <v>0</v>
      </c>
      <c r="AX29" s="74">
        <f>+GETPIVOTDATA("TNG4",'ngaigiao (2016)'!$A$3,"MA_HT","DGT","MA_QH","SKX")</f>
        <v>0</v>
      </c>
      <c r="AY29" s="74">
        <f>+GETPIVOTDATA("TNG4",'ngaigiao (2016)'!$A$3,"MA_HT","DGT","MA_QH","DSH")</f>
        <v>0</v>
      </c>
      <c r="AZ29" s="74">
        <f>+GETPIVOTDATA("TNG4",'ngaigiao (2016)'!$A$3,"MA_HT","DGT","MA_QH","DKV")</f>
        <v>0</v>
      </c>
      <c r="BA29" s="139">
        <f>+GETPIVOTDATA("TNG4",'ngaigiao (2016)'!$A$3,"MA_HT","DGT","MA_QH","TIN")</f>
        <v>0</v>
      </c>
      <c r="BB29" s="74">
        <f>+GETPIVOTDATA("TNG4",'ngaigiao (2016)'!$A$3,"MA_HT","DGT","MA_QH","SON")</f>
        <v>0</v>
      </c>
      <c r="BC29" s="74">
        <f>+GETPIVOTDATA("TNG4",'ngaigiao (2016)'!$A$3,"MA_HT","DGT","MA_QH","MNC")</f>
        <v>0</v>
      </c>
      <c r="BD29" s="74">
        <f>+GETPIVOTDATA("TNG4",'ngaigiao (2016)'!$A$3,"MA_HT","DGT","MA_QH","PNK")</f>
        <v>0</v>
      </c>
      <c r="BE29" s="102">
        <f>+GETPIVOTDATA("TNG4",'ngaigiao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+GETPIVOTDATA("TNG4",'ngaigiao (2016)'!$A$3,"MA_HT","DTL","MA_QH","LUC")</f>
        <v>0</v>
      </c>
      <c r="H30" s="74">
        <f>+GETPIVOTDATA("TNG4",'ngaigiao (2016)'!$A$3,"MA_HT","DTL","MA_QH","LUK")</f>
        <v>0</v>
      </c>
      <c r="I30" s="74">
        <f>+GETPIVOTDATA("TNG4",'ngaigiao (2016)'!$A$3,"MA_HT","DTL","MA_QH","LUN")</f>
        <v>0</v>
      </c>
      <c r="J30" s="74">
        <f>+GETPIVOTDATA("TNG4",'ngaigiao (2016)'!$A$3,"MA_HT","DTL","MA_QH","HNK")</f>
        <v>0</v>
      </c>
      <c r="K30" s="74">
        <f>+GETPIVOTDATA("TNG4",'ngaigiao (2016)'!$A$3,"MA_HT","DTL","MA_QH","CLN")</f>
        <v>0</v>
      </c>
      <c r="L30" s="74">
        <f>+GETPIVOTDATA("TNG4",'ngaigiao (2016)'!$A$3,"MA_HT","DTL","MA_QH","RSX")</f>
        <v>0</v>
      </c>
      <c r="M30" s="74">
        <f>+GETPIVOTDATA("TNG4",'ngaigiao (2016)'!$A$3,"MA_HT","DTL","MA_QH","RPH")</f>
        <v>0</v>
      </c>
      <c r="N30" s="74">
        <f>+GETPIVOTDATA("TNG4",'ngaigiao (2016)'!$A$3,"MA_HT","DTL","MA_QH","RDD")</f>
        <v>0</v>
      </c>
      <c r="O30" s="74">
        <f>+GETPIVOTDATA("TNG4",'ngaigiao (2016)'!$A$3,"MA_HT","DTL","MA_QH","NTS")</f>
        <v>0</v>
      </c>
      <c r="P30" s="74">
        <f>+GETPIVOTDATA("TNG4",'ngaigiao (2016)'!$A$3,"MA_HT","DTL","MA_QH","LMU")</f>
        <v>0</v>
      </c>
      <c r="Q30" s="74">
        <f>+GETPIVOTDATA("TNG4",'ngaigiao (2016)'!$A$3,"MA_HT","DTL","MA_QH","NKH")</f>
        <v>0</v>
      </c>
      <c r="R30" s="72">
        <f t="shared" ref="R30:R39" si="20">SUM(S30:AA30,AN30:BD30)</f>
        <v>0</v>
      </c>
      <c r="S30" s="74">
        <f>+GETPIVOTDATA("TNG4",'ngaigiao (2016)'!$A$3,"MA_HT","DTL","MA_QH","CQP")</f>
        <v>0</v>
      </c>
      <c r="T30" s="74">
        <f>+GETPIVOTDATA("TNG4",'ngaigiao (2016)'!$A$3,"MA_HT","DTL","MA_QH","CAN")</f>
        <v>0</v>
      </c>
      <c r="U30" s="74">
        <f>+GETPIVOTDATA("TNG4",'ngaigiao (2016)'!$A$3,"MA_HT","DTL","MA_QH","SKK")</f>
        <v>0</v>
      </c>
      <c r="V30" s="74">
        <f>+GETPIVOTDATA("TNG4",'ngaigiao (2016)'!$A$3,"MA_HT","DTL","MA_QH","SKT")</f>
        <v>0</v>
      </c>
      <c r="W30" s="74">
        <f>+GETPIVOTDATA("TNG4",'ngaigiao (2016)'!$A$3,"MA_HT","DTL","MA_QH","SKN")</f>
        <v>0</v>
      </c>
      <c r="X30" s="74">
        <f>+GETPIVOTDATA("TNG4",'ngaigiao (2016)'!$A$3,"MA_HT","DTL","MA_QH","TMD")</f>
        <v>0</v>
      </c>
      <c r="Y30" s="74">
        <f>+GETPIVOTDATA("TNG4",'ngaigiao (2016)'!$A$3,"MA_HT","DTL","MA_QH","SKC")</f>
        <v>0</v>
      </c>
      <c r="Z30" s="74">
        <f>+GETPIVOTDATA("TNG4",'ngaigiao (2016)'!$A$3,"MA_HT","DTL","MA_QH","SKS")</f>
        <v>0</v>
      </c>
      <c r="AA30" s="64">
        <f>+SUM(AB30,AD30:AM30)</f>
        <v>0</v>
      </c>
      <c r="AB30" s="74">
        <f>+GETPIVOTDATA("TNG4",'ngaigiao (2016)'!$A$3,"MA_HT","DTL","MA_QH","DGT")</f>
        <v>0</v>
      </c>
      <c r="AC30" s="100" t="e">
        <f>$D30-$BF30</f>
        <v>#REF!</v>
      </c>
      <c r="AD30" s="74">
        <f>+GETPIVOTDATA("TNG4",'ngaigiao (2016)'!$A$3,"MA_HT","DTL","MA_QH","DNL")</f>
        <v>0</v>
      </c>
      <c r="AE30" s="74">
        <f>+GETPIVOTDATA("TNG4",'ngaigiao (2016)'!$A$3,"MA_HT","DTL","MA_QH","DBV")</f>
        <v>0</v>
      </c>
      <c r="AF30" s="74">
        <f>+GETPIVOTDATA("TNG4",'ngaigiao (2016)'!$A$3,"MA_HT","DTL","MA_QH","DVH")</f>
        <v>0</v>
      </c>
      <c r="AG30" s="74">
        <f>+GETPIVOTDATA("TNG4",'ngaigiao (2016)'!$A$3,"MA_HT","DTL","MA_QH","DYT")</f>
        <v>0</v>
      </c>
      <c r="AH30" s="74">
        <f>+GETPIVOTDATA("TNG4",'ngaigiao (2016)'!$A$3,"MA_HT","DTL","MA_QH","DGD")</f>
        <v>0</v>
      </c>
      <c r="AI30" s="74">
        <f>+GETPIVOTDATA("TNG4",'ngaigiao (2016)'!$A$3,"MA_HT","DTL","MA_QH","DTT")</f>
        <v>0</v>
      </c>
      <c r="AJ30" s="74">
        <f>+GETPIVOTDATA("TNG4",'ngaigiao (2016)'!$A$3,"MA_HT","DTL","MA_QH","NCK")</f>
        <v>0</v>
      </c>
      <c r="AK30" s="74">
        <f>+GETPIVOTDATA("TNG4",'ngaigiao (2016)'!$A$3,"MA_HT","DTL","MA_QH","DXH")</f>
        <v>0</v>
      </c>
      <c r="AL30" s="74">
        <f>+GETPIVOTDATA("TNG4",'ngaigiao (2016)'!$A$3,"MA_HT","DTL","MA_QH","DCH")</f>
        <v>0</v>
      </c>
      <c r="AM30" s="74">
        <f>+GETPIVOTDATA("TNG4",'ngaigiao (2016)'!$A$3,"MA_HT","DTL","MA_QH","DKG")</f>
        <v>0</v>
      </c>
      <c r="AN30" s="74">
        <f>+GETPIVOTDATA("TNG4",'ngaigiao (2016)'!$A$3,"MA_HT","DTL","MA_QH","DDT")</f>
        <v>0</v>
      </c>
      <c r="AO30" s="74">
        <f>+GETPIVOTDATA("TNG4",'ngaigiao (2016)'!$A$3,"MA_HT","DTL","MA_QH","DDL")</f>
        <v>0</v>
      </c>
      <c r="AP30" s="74">
        <f>+GETPIVOTDATA("TNG4",'ngaigiao (2016)'!$A$3,"MA_HT","DTL","MA_QH","DRA")</f>
        <v>0</v>
      </c>
      <c r="AQ30" s="74">
        <f>+GETPIVOTDATA("TNG4",'ngaigiao (2016)'!$A$3,"MA_HT","DTL","MA_QH","ONT")</f>
        <v>0</v>
      </c>
      <c r="AR30" s="74">
        <f>+GETPIVOTDATA("TNG4",'ngaigiao (2016)'!$A$3,"MA_HT","DTL","MA_QH","ODT")</f>
        <v>0</v>
      </c>
      <c r="AS30" s="74">
        <f>+GETPIVOTDATA("TNG4",'ngaigiao (2016)'!$A$3,"MA_HT","DTL","MA_QH","TSC")</f>
        <v>0</v>
      </c>
      <c r="AT30" s="74">
        <f>+GETPIVOTDATA("TNG4",'ngaigiao (2016)'!$A$3,"MA_HT","DTL","MA_QH","DTS")</f>
        <v>0</v>
      </c>
      <c r="AU30" s="74">
        <f>+GETPIVOTDATA("TNG4",'ngaigiao (2016)'!$A$3,"MA_HT","DTL","MA_QH","DNG")</f>
        <v>0</v>
      </c>
      <c r="AV30" s="74">
        <f>+GETPIVOTDATA("TNG4",'ngaigiao (2016)'!$A$3,"MA_HT","DTL","MA_QH","TON")</f>
        <v>0</v>
      </c>
      <c r="AW30" s="74">
        <f>+GETPIVOTDATA("TNG4",'ngaigiao (2016)'!$A$3,"MA_HT","DTL","MA_QH","NTD")</f>
        <v>0</v>
      </c>
      <c r="AX30" s="74">
        <f>+GETPIVOTDATA("TNG4",'ngaigiao (2016)'!$A$3,"MA_HT","DTL","MA_QH","SKX")</f>
        <v>0</v>
      </c>
      <c r="AY30" s="74">
        <f>+GETPIVOTDATA("TNG4",'ngaigiao (2016)'!$A$3,"MA_HT","DTL","MA_QH","DSH")</f>
        <v>0</v>
      </c>
      <c r="AZ30" s="74">
        <f>+GETPIVOTDATA("TNG4",'ngaigiao (2016)'!$A$3,"MA_HT","DTL","MA_QH","DKV")</f>
        <v>0</v>
      </c>
      <c r="BA30" s="139">
        <f>+GETPIVOTDATA("TNG4",'ngaigiao (2016)'!$A$3,"MA_HT","DTL","MA_QH","TIN")</f>
        <v>0</v>
      </c>
      <c r="BB30" s="74">
        <f>+GETPIVOTDATA("TNG4",'ngaigiao (2016)'!$A$3,"MA_HT","DTL","MA_QH","SON")</f>
        <v>0</v>
      </c>
      <c r="BC30" s="74">
        <f>+GETPIVOTDATA("TNG4",'ngaigiao (2016)'!$A$3,"MA_HT","DTL","MA_QH","MNC")</f>
        <v>0</v>
      </c>
      <c r="BD30" s="74">
        <f>+GETPIVOTDATA("TNG4",'ngaigiao (2016)'!$A$3,"MA_HT","DTL","MA_QH","PNK")</f>
        <v>0</v>
      </c>
      <c r="BE30" s="102">
        <f>+GETPIVOTDATA("TNG4",'ngaigiao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+GETPIVOTDATA("TNG4",'ngaigiao (2016)'!$A$3,"MA_HT","DNL","MA_QH","LUC")</f>
        <v>0</v>
      </c>
      <c r="H31" s="74">
        <f>+GETPIVOTDATA("TNG4",'ngaigiao (2016)'!$A$3,"MA_HT","DNL","MA_QH","LUK")</f>
        <v>0</v>
      </c>
      <c r="I31" s="74">
        <f>+GETPIVOTDATA("TNG4",'ngaigiao (2016)'!$A$3,"MA_HT","DNL","MA_QH","LUN")</f>
        <v>0</v>
      </c>
      <c r="J31" s="74">
        <f>+GETPIVOTDATA("TNG4",'ngaigiao (2016)'!$A$3,"MA_HT","DNL","MA_QH","HNK")</f>
        <v>0</v>
      </c>
      <c r="K31" s="74">
        <f>+GETPIVOTDATA("TNG4",'ngaigiao (2016)'!$A$3,"MA_HT","DNL","MA_QH","CLN")</f>
        <v>0</v>
      </c>
      <c r="L31" s="74">
        <f>+GETPIVOTDATA("TNG4",'ngaigiao (2016)'!$A$3,"MA_HT","DNL","MA_QH","RSX")</f>
        <v>0</v>
      </c>
      <c r="M31" s="74">
        <f>+GETPIVOTDATA("TNG4",'ngaigiao (2016)'!$A$3,"MA_HT","DNL","MA_QH","RPH")</f>
        <v>0</v>
      </c>
      <c r="N31" s="74">
        <f>+GETPIVOTDATA("TNG4",'ngaigiao (2016)'!$A$3,"MA_HT","DNL","MA_QH","RDD")</f>
        <v>0</v>
      </c>
      <c r="O31" s="74">
        <f>+GETPIVOTDATA("TNG4",'ngaigiao (2016)'!$A$3,"MA_HT","DNL","MA_QH","NTS")</f>
        <v>0</v>
      </c>
      <c r="P31" s="74">
        <f>+GETPIVOTDATA("TNG4",'ngaigiao (2016)'!$A$3,"MA_HT","DNL","MA_QH","LMU")</f>
        <v>0</v>
      </c>
      <c r="Q31" s="74">
        <f>+GETPIVOTDATA("TNG4",'ngaigiao (2016)'!$A$3,"MA_HT","DNL","MA_QH","NKH")</f>
        <v>0</v>
      </c>
      <c r="R31" s="72">
        <f t="shared" si="20"/>
        <v>0</v>
      </c>
      <c r="S31" s="74">
        <f>+GETPIVOTDATA("TNG4",'ngaigiao (2016)'!$A$3,"MA_HT","DNL","MA_QH","CQP")</f>
        <v>0</v>
      </c>
      <c r="T31" s="74">
        <f>+GETPIVOTDATA("TNG4",'ngaigiao (2016)'!$A$3,"MA_HT","DNL","MA_QH","CAN")</f>
        <v>0</v>
      </c>
      <c r="U31" s="74">
        <f>+GETPIVOTDATA("TNG4",'ngaigiao (2016)'!$A$3,"MA_HT","DNL","MA_QH","SKK")</f>
        <v>0</v>
      </c>
      <c r="V31" s="74">
        <f>+GETPIVOTDATA("TNG4",'ngaigiao (2016)'!$A$3,"MA_HT","DNL","MA_QH","SKT")</f>
        <v>0</v>
      </c>
      <c r="W31" s="74">
        <f>+GETPIVOTDATA("TNG4",'ngaigiao (2016)'!$A$3,"MA_HT","DNL","MA_QH","SKN")</f>
        <v>0</v>
      </c>
      <c r="X31" s="74">
        <f>+GETPIVOTDATA("TNG4",'ngaigiao (2016)'!$A$3,"MA_HT","DNL","MA_QH","TMD")</f>
        <v>0</v>
      </c>
      <c r="Y31" s="74">
        <f>+GETPIVOTDATA("TNG4",'ngaigiao (2016)'!$A$3,"MA_HT","DNL","MA_QH","SKC")</f>
        <v>0</v>
      </c>
      <c r="Z31" s="74">
        <f>+GETPIVOTDATA("TNG4",'ngaigiao (2016)'!$A$3,"MA_HT","DNL","MA_QH","SKS")</f>
        <v>0</v>
      </c>
      <c r="AA31" s="64">
        <f>+SUM(AB31:AC31,AE31:AM31)</f>
        <v>0</v>
      </c>
      <c r="AB31" s="74">
        <f>+GETPIVOTDATA("TNG4",'ngaigiao (2016)'!$A$3,"MA_HT","DNL","MA_QH","DGT")</f>
        <v>0</v>
      </c>
      <c r="AC31" s="74">
        <f>+GETPIVOTDATA("TNG4",'ngaigiao (2016)'!$A$3,"MA_HT","DNL","MA_QH","DTL")</f>
        <v>0</v>
      </c>
      <c r="AD31" s="100" t="e">
        <f>$D31-$BF31</f>
        <v>#REF!</v>
      </c>
      <c r="AE31" s="74">
        <f>+GETPIVOTDATA("TNG4",'ngaigiao (2016)'!$A$3,"MA_HT","DNL","MA_QH","DBV")</f>
        <v>0</v>
      </c>
      <c r="AF31" s="74">
        <f>+GETPIVOTDATA("TNG4",'ngaigiao (2016)'!$A$3,"MA_HT","DNL","MA_QH","DVH")</f>
        <v>0</v>
      </c>
      <c r="AG31" s="74">
        <f>+GETPIVOTDATA("TNG4",'ngaigiao (2016)'!$A$3,"MA_HT","DNL","MA_QH","DYT")</f>
        <v>0</v>
      </c>
      <c r="AH31" s="74">
        <f>+GETPIVOTDATA("TNG4",'ngaigiao (2016)'!$A$3,"MA_HT","DNL","MA_QH","DGD")</f>
        <v>0</v>
      </c>
      <c r="AI31" s="74">
        <f>+GETPIVOTDATA("TNG4",'ngaigiao (2016)'!$A$3,"MA_HT","DNL","MA_QH","DTT")</f>
        <v>0</v>
      </c>
      <c r="AJ31" s="74">
        <f>+GETPIVOTDATA("TNG4",'ngaigiao (2016)'!$A$3,"MA_HT","DNL","MA_QH","NCK")</f>
        <v>0</v>
      </c>
      <c r="AK31" s="74">
        <f>+GETPIVOTDATA("TNG4",'ngaigiao (2016)'!$A$3,"MA_HT","DNL","MA_QH","DXH")</f>
        <v>0</v>
      </c>
      <c r="AL31" s="74">
        <f>+GETPIVOTDATA("TNG4",'ngaigiao (2016)'!$A$3,"MA_HT","DNL","MA_QH","DCH")</f>
        <v>0</v>
      </c>
      <c r="AM31" s="74">
        <f>+GETPIVOTDATA("TNG4",'ngaigiao (2016)'!$A$3,"MA_HT","DNL","MA_QH","DKG")</f>
        <v>0</v>
      </c>
      <c r="AN31" s="74">
        <f>+GETPIVOTDATA("TNG4",'ngaigiao (2016)'!$A$3,"MA_HT","DNL","MA_QH","DDT")</f>
        <v>0</v>
      </c>
      <c r="AO31" s="74">
        <f>+GETPIVOTDATA("TNG4",'ngaigiao (2016)'!$A$3,"MA_HT","DNL","MA_QH","DDL")</f>
        <v>0</v>
      </c>
      <c r="AP31" s="74">
        <f>+GETPIVOTDATA("TNG4",'ngaigiao (2016)'!$A$3,"MA_HT","DNL","MA_QH","DRA")</f>
        <v>0</v>
      </c>
      <c r="AQ31" s="74">
        <f>+GETPIVOTDATA("TNG4",'ngaigiao (2016)'!$A$3,"MA_HT","DNL","MA_QH","ONT")</f>
        <v>0</v>
      </c>
      <c r="AR31" s="74">
        <f>+GETPIVOTDATA("TNG4",'ngaigiao (2016)'!$A$3,"MA_HT","DNL","MA_QH","ODT")</f>
        <v>0</v>
      </c>
      <c r="AS31" s="74">
        <f>+GETPIVOTDATA("TNG4",'ngaigiao (2016)'!$A$3,"MA_HT","DNL","MA_QH","TSC")</f>
        <v>0</v>
      </c>
      <c r="AT31" s="74">
        <f>+GETPIVOTDATA("TNG4",'ngaigiao (2016)'!$A$3,"MA_HT","DNL","MA_QH","DTS")</f>
        <v>0</v>
      </c>
      <c r="AU31" s="74">
        <f>+GETPIVOTDATA("TNG4",'ngaigiao (2016)'!$A$3,"MA_HT","DNL","MA_QH","DNG")</f>
        <v>0</v>
      </c>
      <c r="AV31" s="74">
        <f>+GETPIVOTDATA("TNG4",'ngaigiao (2016)'!$A$3,"MA_HT","DNL","MA_QH","TON")</f>
        <v>0</v>
      </c>
      <c r="AW31" s="74">
        <f>+GETPIVOTDATA("TNG4",'ngaigiao (2016)'!$A$3,"MA_HT","DNL","MA_QH","NTD")</f>
        <v>0</v>
      </c>
      <c r="AX31" s="74">
        <f>+GETPIVOTDATA("TNG4",'ngaigiao (2016)'!$A$3,"MA_HT","DNL","MA_QH","SKX")</f>
        <v>0</v>
      </c>
      <c r="AY31" s="74">
        <f>+GETPIVOTDATA("TNG4",'ngaigiao (2016)'!$A$3,"MA_HT","DNL","MA_QH","DSH")</f>
        <v>0</v>
      </c>
      <c r="AZ31" s="74">
        <f>+GETPIVOTDATA("TNG4",'ngaigiao (2016)'!$A$3,"MA_HT","DNL","MA_QH","DKV")</f>
        <v>0</v>
      </c>
      <c r="BA31" s="139">
        <f>+GETPIVOTDATA("TNG4",'ngaigiao (2016)'!$A$3,"MA_HT","DNL","MA_QH","TIN")</f>
        <v>0</v>
      </c>
      <c r="BB31" s="74">
        <f>+GETPIVOTDATA("TNG4",'ngaigiao (2016)'!$A$3,"MA_HT","DNL","MA_QH","SON")</f>
        <v>0</v>
      </c>
      <c r="BC31" s="74">
        <f>+GETPIVOTDATA("TNG4",'ngaigiao (2016)'!$A$3,"MA_HT","DNL","MA_QH","MNC")</f>
        <v>0</v>
      </c>
      <c r="BD31" s="74">
        <f>+GETPIVOTDATA("TNG4",'ngaigiao (2016)'!$A$3,"MA_HT","DNL","MA_QH","PNK")</f>
        <v>0</v>
      </c>
      <c r="BE31" s="102">
        <f>+GETPIVOTDATA("TNG4",'ngaigiao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+GETPIVOTDATA("TNG4",'ngaigiao (2016)'!$A$3,"MA_HT","DBV","MA_QH","LUC")</f>
        <v>0</v>
      </c>
      <c r="H32" s="74">
        <f>+GETPIVOTDATA("TNG4",'ngaigiao (2016)'!$A$3,"MA_HT","DBV","MA_QH","LUK")</f>
        <v>0</v>
      </c>
      <c r="I32" s="74">
        <f>+GETPIVOTDATA("TNG4",'ngaigiao (2016)'!$A$3,"MA_HT","DBV","MA_QH","LUN")</f>
        <v>0</v>
      </c>
      <c r="J32" s="74">
        <f>+GETPIVOTDATA("TNG4",'ngaigiao (2016)'!$A$3,"MA_HT","DBV","MA_QH","HNK")</f>
        <v>0</v>
      </c>
      <c r="K32" s="74">
        <f>+GETPIVOTDATA("TNG4",'ngaigiao (2016)'!$A$3,"MA_HT","DBV","MA_QH","CLN")</f>
        <v>0</v>
      </c>
      <c r="L32" s="74">
        <f>+GETPIVOTDATA("TNG4",'ngaigiao (2016)'!$A$3,"MA_HT","DBV","MA_QH","RSX")</f>
        <v>0</v>
      </c>
      <c r="M32" s="74">
        <f>+GETPIVOTDATA("TNG4",'ngaigiao (2016)'!$A$3,"MA_HT","DBV","MA_QH","RPH")</f>
        <v>0</v>
      </c>
      <c r="N32" s="74">
        <f>+GETPIVOTDATA("TNG4",'ngaigiao (2016)'!$A$3,"MA_HT","DBV","MA_QH","RDD")</f>
        <v>0</v>
      </c>
      <c r="O32" s="74">
        <f>+GETPIVOTDATA("TNG4",'ngaigiao (2016)'!$A$3,"MA_HT","DBV","MA_QH","NTS")</f>
        <v>0</v>
      </c>
      <c r="P32" s="74">
        <f>+GETPIVOTDATA("TNG4",'ngaigiao (2016)'!$A$3,"MA_HT","DBV","MA_QH","LMU")</f>
        <v>0</v>
      </c>
      <c r="Q32" s="74">
        <f>+GETPIVOTDATA("TNG4",'ngaigiao (2016)'!$A$3,"MA_HT","DBV","MA_QH","NKH")</f>
        <v>0</v>
      </c>
      <c r="R32" s="72">
        <f t="shared" si="20"/>
        <v>0</v>
      </c>
      <c r="S32" s="74">
        <f>+GETPIVOTDATA("TNG4",'ngaigiao (2016)'!$A$3,"MA_HT","DBV","MA_QH","CQP")</f>
        <v>0</v>
      </c>
      <c r="T32" s="74">
        <f>+GETPIVOTDATA("TNG4",'ngaigiao (2016)'!$A$3,"MA_HT","DBV","MA_QH","CAN")</f>
        <v>0</v>
      </c>
      <c r="U32" s="74">
        <f>+GETPIVOTDATA("TNG4",'ngaigiao (2016)'!$A$3,"MA_HT","DBV","MA_QH","SKK")</f>
        <v>0</v>
      </c>
      <c r="V32" s="74">
        <f>+GETPIVOTDATA("TNG4",'ngaigiao (2016)'!$A$3,"MA_HT","DBV","MA_QH","SKT")</f>
        <v>0</v>
      </c>
      <c r="W32" s="74">
        <f>+GETPIVOTDATA("TNG4",'ngaigiao (2016)'!$A$3,"MA_HT","DBV","MA_QH","SKN")</f>
        <v>0</v>
      </c>
      <c r="X32" s="74">
        <f>+GETPIVOTDATA("TNG4",'ngaigiao (2016)'!$A$3,"MA_HT","DBV","MA_QH","TMD")</f>
        <v>0</v>
      </c>
      <c r="Y32" s="74">
        <f>+GETPIVOTDATA("TNG4",'ngaigiao (2016)'!$A$3,"MA_HT","DBV","MA_QH","SKC")</f>
        <v>0</v>
      </c>
      <c r="Z32" s="74">
        <f>+GETPIVOTDATA("TNG4",'ngaigiao (2016)'!$A$3,"MA_HT","DBV","MA_QH","SKS")</f>
        <v>0</v>
      </c>
      <c r="AA32" s="64">
        <f>+SUM(AB32:AD32,AF32:AM32)</f>
        <v>0</v>
      </c>
      <c r="AB32" s="74">
        <f>+GETPIVOTDATA("TNG4",'ngaigiao (2016)'!$A$3,"MA_HT","DBV","MA_QH","DGT")</f>
        <v>0</v>
      </c>
      <c r="AC32" s="74">
        <f>+GETPIVOTDATA("TNG4",'ngaigiao (2016)'!$A$3,"MA_HT","DBV","MA_QH","DTL")</f>
        <v>0</v>
      </c>
      <c r="AD32" s="74">
        <f>+GETPIVOTDATA("TNG4",'ngaigiao (2016)'!$A$3,"MA_HT","DBV","MA_QH","DNL")</f>
        <v>0</v>
      </c>
      <c r="AE32" s="100" t="e">
        <f>$D32-$BF32</f>
        <v>#REF!</v>
      </c>
      <c r="AF32" s="74">
        <f>+GETPIVOTDATA("TNG4",'ngaigiao (2016)'!$A$3,"MA_HT","DBV","MA_QH","DVH")</f>
        <v>0</v>
      </c>
      <c r="AG32" s="74">
        <f>+GETPIVOTDATA("TNG4",'ngaigiao (2016)'!$A$3,"MA_HT","DBV","MA_QH","DYT")</f>
        <v>0</v>
      </c>
      <c r="AH32" s="74">
        <f>+GETPIVOTDATA("TNG4",'ngaigiao (2016)'!$A$3,"MA_HT","DBV","MA_QH","DGD")</f>
        <v>0</v>
      </c>
      <c r="AI32" s="74">
        <f>+GETPIVOTDATA("TNG4",'ngaigiao (2016)'!$A$3,"MA_HT","DBV","MA_QH","DTT")</f>
        <v>0</v>
      </c>
      <c r="AJ32" s="74">
        <f>+GETPIVOTDATA("TNG4",'ngaigiao (2016)'!$A$3,"MA_HT","DBV","MA_QH","NCK")</f>
        <v>0</v>
      </c>
      <c r="AK32" s="74">
        <f>+GETPIVOTDATA("TNG4",'ngaigiao (2016)'!$A$3,"MA_HT","DBV","MA_QH","DXH")</f>
        <v>0</v>
      </c>
      <c r="AL32" s="74">
        <f>+GETPIVOTDATA("TNG4",'ngaigiao (2016)'!$A$3,"MA_HT","DBV","MA_QH","DCH")</f>
        <v>0</v>
      </c>
      <c r="AM32" s="74">
        <f>+GETPIVOTDATA("TNG4",'ngaigiao (2016)'!$A$3,"MA_HT","DBV","MA_QH","DKG")</f>
        <v>0</v>
      </c>
      <c r="AN32" s="74">
        <f>+GETPIVOTDATA("TNG4",'ngaigiao (2016)'!$A$3,"MA_HT","DBV","MA_QH","DDT")</f>
        <v>0</v>
      </c>
      <c r="AO32" s="74">
        <f>+GETPIVOTDATA("TNG4",'ngaigiao (2016)'!$A$3,"MA_HT","DBV","MA_QH","DDL")</f>
        <v>0</v>
      </c>
      <c r="AP32" s="74">
        <f>+GETPIVOTDATA("TNG4",'ngaigiao (2016)'!$A$3,"MA_HT","DBV","MA_QH","DRA")</f>
        <v>0</v>
      </c>
      <c r="AQ32" s="74">
        <f>+GETPIVOTDATA("TNG4",'ngaigiao (2016)'!$A$3,"MA_HT","DBV","MA_QH","ONT")</f>
        <v>0</v>
      </c>
      <c r="AR32" s="74">
        <f>+GETPIVOTDATA("TNG4",'ngaigiao (2016)'!$A$3,"MA_HT","DBV","MA_QH","ODT")</f>
        <v>0</v>
      </c>
      <c r="AS32" s="74">
        <f>+GETPIVOTDATA("TNG4",'ngaigiao (2016)'!$A$3,"MA_HT","DBV","MA_QH","TSC")</f>
        <v>0</v>
      </c>
      <c r="AT32" s="74">
        <f>+GETPIVOTDATA("TNG4",'ngaigiao (2016)'!$A$3,"MA_HT","DBV","MA_QH","DTS")</f>
        <v>0</v>
      </c>
      <c r="AU32" s="74">
        <f>+GETPIVOTDATA("TNG4",'ngaigiao (2016)'!$A$3,"MA_HT","DBV","MA_QH","DNG")</f>
        <v>0</v>
      </c>
      <c r="AV32" s="74">
        <f>+GETPIVOTDATA("TNG4",'ngaigiao (2016)'!$A$3,"MA_HT","DBV","MA_QH","TON")</f>
        <v>0</v>
      </c>
      <c r="AW32" s="74">
        <f>+GETPIVOTDATA("TNG4",'ngaigiao (2016)'!$A$3,"MA_HT","DBV","MA_QH","NTD")</f>
        <v>0</v>
      </c>
      <c r="AX32" s="74">
        <f>+GETPIVOTDATA("TNG4",'ngaigiao (2016)'!$A$3,"MA_HT","DBV","MA_QH","SKX")</f>
        <v>0</v>
      </c>
      <c r="AY32" s="74">
        <f>+GETPIVOTDATA("TNG4",'ngaigiao (2016)'!$A$3,"MA_HT","DBV","MA_QH","DSH")</f>
        <v>0</v>
      </c>
      <c r="AZ32" s="74">
        <f>+GETPIVOTDATA("TNG4",'ngaigiao (2016)'!$A$3,"MA_HT","DBV","MA_QH","DKV")</f>
        <v>0</v>
      </c>
      <c r="BA32" s="139">
        <f>+GETPIVOTDATA("TNG4",'ngaigiao (2016)'!$A$3,"MA_HT","DBV","MA_QH","TIN")</f>
        <v>0</v>
      </c>
      <c r="BB32" s="74">
        <f>+GETPIVOTDATA("TNG4",'ngaigiao (2016)'!$A$3,"MA_HT","DBV","MA_QH","SON")</f>
        <v>0</v>
      </c>
      <c r="BC32" s="74">
        <f>+GETPIVOTDATA("TNG4",'ngaigiao (2016)'!$A$3,"MA_HT","DBV","MA_QH","MNC")</f>
        <v>0</v>
      </c>
      <c r="BD32" s="74">
        <f>+GETPIVOTDATA("TNG4",'ngaigiao (2016)'!$A$3,"MA_HT","DBV","MA_QH","PNK")</f>
        <v>0</v>
      </c>
      <c r="BE32" s="102">
        <f>+GETPIVOTDATA("TNG4",'ngaigiao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+GETPIVOTDATA("TNG4",'ngaigiao (2016)'!$A$3,"MA_HT","DVH","MA_QH","LUC")</f>
        <v>0</v>
      </c>
      <c r="H33" s="74">
        <f>+GETPIVOTDATA("TNG4",'ngaigiao (2016)'!$A$3,"MA_HT","DVH","MA_QH","LUK")</f>
        <v>0</v>
      </c>
      <c r="I33" s="74">
        <f>+GETPIVOTDATA("TNG4",'ngaigiao (2016)'!$A$3,"MA_HT","DVH","MA_QH","LUN")</f>
        <v>0</v>
      </c>
      <c r="J33" s="74">
        <f>+GETPIVOTDATA("TNG4",'ngaigiao (2016)'!$A$3,"MA_HT","DVH","MA_QH","HNK")</f>
        <v>0</v>
      </c>
      <c r="K33" s="74">
        <f>+GETPIVOTDATA("TNG4",'ngaigiao (2016)'!$A$3,"MA_HT","DVH","MA_QH","CLN")</f>
        <v>0</v>
      </c>
      <c r="L33" s="74">
        <f>+GETPIVOTDATA("TNG4",'ngaigiao (2016)'!$A$3,"MA_HT","DVH","MA_QH","RSX")</f>
        <v>0</v>
      </c>
      <c r="M33" s="74">
        <f>+GETPIVOTDATA("TNG4",'ngaigiao (2016)'!$A$3,"MA_HT","DVH","MA_QH","RPH")</f>
        <v>0</v>
      </c>
      <c r="N33" s="74">
        <f>+GETPIVOTDATA("TNG4",'ngaigiao (2016)'!$A$3,"MA_HT","DVH","MA_QH","RDD")</f>
        <v>0</v>
      </c>
      <c r="O33" s="74">
        <f>+GETPIVOTDATA("TNG4",'ngaigiao (2016)'!$A$3,"MA_HT","DVH","MA_QH","NTS")</f>
        <v>0</v>
      </c>
      <c r="P33" s="74">
        <f>+GETPIVOTDATA("TNG4",'ngaigiao (2016)'!$A$3,"MA_HT","DVH","MA_QH","LMU")</f>
        <v>0</v>
      </c>
      <c r="Q33" s="74">
        <f>+GETPIVOTDATA("TNG4",'ngaigiao (2016)'!$A$3,"MA_HT","DVH","MA_QH","NKH")</f>
        <v>0</v>
      </c>
      <c r="R33" s="72">
        <f t="shared" si="20"/>
        <v>0</v>
      </c>
      <c r="S33" s="74">
        <f>+GETPIVOTDATA("TNG4",'ngaigiao (2016)'!$A$3,"MA_HT","DVH","MA_QH","CQP")</f>
        <v>0</v>
      </c>
      <c r="T33" s="74">
        <f>+GETPIVOTDATA("TNG4",'ngaigiao (2016)'!$A$3,"MA_HT","DVH","MA_QH","CAN")</f>
        <v>0</v>
      </c>
      <c r="U33" s="74">
        <f>+GETPIVOTDATA("TNG4",'ngaigiao (2016)'!$A$3,"MA_HT","DVH","MA_QH","SKK")</f>
        <v>0</v>
      </c>
      <c r="V33" s="74">
        <f>+GETPIVOTDATA("TNG4",'ngaigiao (2016)'!$A$3,"MA_HT","DVH","MA_QH","SKT")</f>
        <v>0</v>
      </c>
      <c r="W33" s="74">
        <f>+GETPIVOTDATA("TNG4",'ngaigiao (2016)'!$A$3,"MA_HT","DVH","MA_QH","SKN")</f>
        <v>0</v>
      </c>
      <c r="X33" s="74">
        <f>+GETPIVOTDATA("TNG4",'ngaigiao (2016)'!$A$3,"MA_HT","DVH","MA_QH","TMD")</f>
        <v>0</v>
      </c>
      <c r="Y33" s="74">
        <f>+GETPIVOTDATA("TNG4",'ngaigiao (2016)'!$A$3,"MA_HT","DVH","MA_QH","SKC")</f>
        <v>0</v>
      </c>
      <c r="Z33" s="74">
        <f>+GETPIVOTDATA("TNG4",'ngaigiao (2016)'!$A$3,"MA_HT","DVH","MA_QH","SKS")</f>
        <v>0</v>
      </c>
      <c r="AA33" s="64">
        <f>+SUM(AB33:AE33,AG33:AM33)</f>
        <v>0</v>
      </c>
      <c r="AB33" s="74">
        <f>+GETPIVOTDATA("TNG4",'ngaigiao (2016)'!$A$3,"MA_HT","DVH","MA_QH","DGT")</f>
        <v>0</v>
      </c>
      <c r="AC33" s="74">
        <f>+GETPIVOTDATA("TNG4",'ngaigiao (2016)'!$A$3,"MA_HT","DVH","MA_QH","DTL")</f>
        <v>0</v>
      </c>
      <c r="AD33" s="74">
        <f>+GETPIVOTDATA("TNG4",'ngaigiao (2016)'!$A$3,"MA_HT","DVH","MA_QH","DNL")</f>
        <v>0</v>
      </c>
      <c r="AE33" s="74">
        <f>+GETPIVOTDATA("TNG4",'ngaigiao (2016)'!$A$3,"MA_HT","DVH","MA_QH","DBV")</f>
        <v>0</v>
      </c>
      <c r="AF33" s="100" t="e">
        <f>$D33-$BF33</f>
        <v>#REF!</v>
      </c>
      <c r="AG33" s="74">
        <f>+GETPIVOTDATA("TNG4",'ngaigiao (2016)'!$A$3,"MA_HT","DVH","MA_QH","DYT")</f>
        <v>0</v>
      </c>
      <c r="AH33" s="74">
        <f>+GETPIVOTDATA("TNG4",'ngaigiao (2016)'!$A$3,"MA_HT","DVH","MA_QH","DGD")</f>
        <v>0</v>
      </c>
      <c r="AI33" s="74">
        <f>+GETPIVOTDATA("TNG4",'ngaigiao (2016)'!$A$3,"MA_HT","DVH","MA_QH","DTT")</f>
        <v>0</v>
      </c>
      <c r="AJ33" s="74">
        <f>+GETPIVOTDATA("TNG4",'ngaigiao (2016)'!$A$3,"MA_HT","DVH","MA_QH","NCK")</f>
        <v>0</v>
      </c>
      <c r="AK33" s="74">
        <f>+GETPIVOTDATA("TNG4",'ngaigiao (2016)'!$A$3,"MA_HT","DVH","MA_QH","DXH")</f>
        <v>0</v>
      </c>
      <c r="AL33" s="74">
        <f>+GETPIVOTDATA("TNG4",'ngaigiao (2016)'!$A$3,"MA_HT","DVH","MA_QH","DCH")</f>
        <v>0</v>
      </c>
      <c r="AM33" s="74">
        <f>+GETPIVOTDATA("TNG4",'ngaigiao (2016)'!$A$3,"MA_HT","DVH","MA_QH","DKG")</f>
        <v>0</v>
      </c>
      <c r="AN33" s="74">
        <f>+GETPIVOTDATA("TNG4",'ngaigiao (2016)'!$A$3,"MA_HT","DVH","MA_QH","DDT")</f>
        <v>0</v>
      </c>
      <c r="AO33" s="74">
        <f>+GETPIVOTDATA("TNG4",'ngaigiao (2016)'!$A$3,"MA_HT","DVH","MA_QH","DDL")</f>
        <v>0</v>
      </c>
      <c r="AP33" s="74">
        <f>+GETPIVOTDATA("TNG4",'ngaigiao (2016)'!$A$3,"MA_HT","DVH","MA_QH","DRA")</f>
        <v>0</v>
      </c>
      <c r="AQ33" s="74">
        <f>+GETPIVOTDATA("TNG4",'ngaigiao (2016)'!$A$3,"MA_HT","DVH","MA_QH","ONT")</f>
        <v>0</v>
      </c>
      <c r="AR33" s="74">
        <f>+GETPIVOTDATA("TNG4",'ngaigiao (2016)'!$A$3,"MA_HT","DVH","MA_QH","ODT")</f>
        <v>0</v>
      </c>
      <c r="AS33" s="74">
        <f>+GETPIVOTDATA("TNG4",'ngaigiao (2016)'!$A$3,"MA_HT","DVH","MA_QH","TSC")</f>
        <v>0</v>
      </c>
      <c r="AT33" s="74">
        <f>+GETPIVOTDATA("TNG4",'ngaigiao (2016)'!$A$3,"MA_HT","DVH","MA_QH","DTS")</f>
        <v>0</v>
      </c>
      <c r="AU33" s="74">
        <f>+GETPIVOTDATA("TNG4",'ngaigiao (2016)'!$A$3,"MA_HT","DVH","MA_QH","DNG")</f>
        <v>0</v>
      </c>
      <c r="AV33" s="74">
        <f>+GETPIVOTDATA("TNG4",'ngaigiao (2016)'!$A$3,"MA_HT","DVH","MA_QH","TON")</f>
        <v>0</v>
      </c>
      <c r="AW33" s="74">
        <f>+GETPIVOTDATA("TNG4",'ngaigiao (2016)'!$A$3,"MA_HT","DVH","MA_QH","NTD")</f>
        <v>0</v>
      </c>
      <c r="AX33" s="74">
        <f>+GETPIVOTDATA("TNG4",'ngaigiao (2016)'!$A$3,"MA_HT","DVH","MA_QH","SKX")</f>
        <v>0</v>
      </c>
      <c r="AY33" s="74">
        <f>+GETPIVOTDATA("TNG4",'ngaigiao (2016)'!$A$3,"MA_HT","DVH","MA_QH","DSH")</f>
        <v>0</v>
      </c>
      <c r="AZ33" s="74">
        <f>+GETPIVOTDATA("TNG4",'ngaigiao (2016)'!$A$3,"MA_HT","DVH","MA_QH","DKV")</f>
        <v>0</v>
      </c>
      <c r="BA33" s="139">
        <f>+GETPIVOTDATA("TNG4",'ngaigiao (2016)'!$A$3,"MA_HT","DVH","MA_QH","TIN")</f>
        <v>0</v>
      </c>
      <c r="BB33" s="74">
        <f>+GETPIVOTDATA("TNG4",'ngaigiao (2016)'!$A$3,"MA_HT","DVH","MA_QH","SON")</f>
        <v>0</v>
      </c>
      <c r="BC33" s="74">
        <f>+GETPIVOTDATA("TNG4",'ngaigiao (2016)'!$A$3,"MA_HT","DVH","MA_QH","MNC")</f>
        <v>0</v>
      </c>
      <c r="BD33" s="74">
        <f>+GETPIVOTDATA("TNG4",'ngaigiao (2016)'!$A$3,"MA_HT","DVH","MA_QH","PNK")</f>
        <v>0</v>
      </c>
      <c r="BE33" s="102">
        <f>+GETPIVOTDATA("TNG4",'ngaigiao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+GETPIVOTDATA("TNG4",'ngaigiao (2016)'!$A$3,"MA_HT","DYT","MA_QH","LUC")</f>
        <v>0</v>
      </c>
      <c r="H34" s="74">
        <f>+GETPIVOTDATA("TNG4",'ngaigiao (2016)'!$A$3,"MA_HT","DYT","MA_QH","LUK")</f>
        <v>0</v>
      </c>
      <c r="I34" s="74">
        <f>+GETPIVOTDATA("TNG4",'ngaigiao (2016)'!$A$3,"MA_HT","DYT","MA_QH","LUN")</f>
        <v>0</v>
      </c>
      <c r="J34" s="74">
        <f>+GETPIVOTDATA("TNG4",'ngaigiao (2016)'!$A$3,"MA_HT","DYT","MA_QH","HNK")</f>
        <v>0</v>
      </c>
      <c r="K34" s="74">
        <f>+GETPIVOTDATA("TNG4",'ngaigiao (2016)'!$A$3,"MA_HT","DYT","MA_QH","CLN")</f>
        <v>0</v>
      </c>
      <c r="L34" s="74">
        <f>+GETPIVOTDATA("TNG4",'ngaigiao (2016)'!$A$3,"MA_HT","DYT","MA_QH","RSX")</f>
        <v>0</v>
      </c>
      <c r="M34" s="74">
        <f>+GETPIVOTDATA("TNG4",'ngaigiao (2016)'!$A$3,"MA_HT","DYT","MA_QH","RPH")</f>
        <v>0</v>
      </c>
      <c r="N34" s="74">
        <f>+GETPIVOTDATA("TNG4",'ngaigiao (2016)'!$A$3,"MA_HT","DYT","MA_QH","RDD")</f>
        <v>0</v>
      </c>
      <c r="O34" s="74">
        <f>+GETPIVOTDATA("TNG4",'ngaigiao (2016)'!$A$3,"MA_HT","DYT","MA_QH","NTS")</f>
        <v>0</v>
      </c>
      <c r="P34" s="74">
        <f>+GETPIVOTDATA("TNG4",'ngaigiao (2016)'!$A$3,"MA_HT","DYT","MA_QH","LMU")</f>
        <v>0</v>
      </c>
      <c r="Q34" s="74">
        <f>+GETPIVOTDATA("TNG4",'ngaigiao (2016)'!$A$3,"MA_HT","DYT","MA_QH","NKH")</f>
        <v>0</v>
      </c>
      <c r="R34" s="72">
        <f t="shared" si="20"/>
        <v>0</v>
      </c>
      <c r="S34" s="74">
        <f>+GETPIVOTDATA("TNG4",'ngaigiao (2016)'!$A$3,"MA_HT","DYT","MA_QH","CQP")</f>
        <v>0</v>
      </c>
      <c r="T34" s="74">
        <f>+GETPIVOTDATA("TNG4",'ngaigiao (2016)'!$A$3,"MA_HT","DYT","MA_QH","CAN")</f>
        <v>0</v>
      </c>
      <c r="U34" s="74">
        <f>+GETPIVOTDATA("TNG4",'ngaigiao (2016)'!$A$3,"MA_HT","DYT","MA_QH","SKK")</f>
        <v>0</v>
      </c>
      <c r="V34" s="74">
        <f>+GETPIVOTDATA("TNG4",'ngaigiao (2016)'!$A$3,"MA_HT","DYT","MA_QH","SKT")</f>
        <v>0</v>
      </c>
      <c r="W34" s="74">
        <f>+GETPIVOTDATA("TNG4",'ngaigiao (2016)'!$A$3,"MA_HT","DYT","MA_QH","SKN")</f>
        <v>0</v>
      </c>
      <c r="X34" s="74">
        <f>+GETPIVOTDATA("TNG4",'ngaigiao (2016)'!$A$3,"MA_HT","DYT","MA_QH","TMD")</f>
        <v>0</v>
      </c>
      <c r="Y34" s="74">
        <f>+GETPIVOTDATA("TNG4",'ngaigiao (2016)'!$A$3,"MA_HT","DYT","MA_QH","SKC")</f>
        <v>0</v>
      </c>
      <c r="Z34" s="74">
        <f>+GETPIVOTDATA("TNG4",'ngaigiao (2016)'!$A$3,"MA_HT","DYT","MA_QH","SKS")</f>
        <v>0</v>
      </c>
      <c r="AA34" s="64">
        <f>+SUM(AB34:AF34,AH34:AM34)</f>
        <v>0</v>
      </c>
      <c r="AB34" s="74">
        <f>+GETPIVOTDATA("TNG4",'ngaigiao (2016)'!$A$3,"MA_HT","DYT","MA_QH","DGT")</f>
        <v>0</v>
      </c>
      <c r="AC34" s="74">
        <f>+GETPIVOTDATA("TNG4",'ngaigiao (2016)'!$A$3,"MA_HT","DYT","MA_QH","DTL")</f>
        <v>0</v>
      </c>
      <c r="AD34" s="74">
        <f>+GETPIVOTDATA("TNG4",'ngaigiao (2016)'!$A$3,"MA_HT","DYT","MA_QH","DNL")</f>
        <v>0</v>
      </c>
      <c r="AE34" s="74">
        <f>+GETPIVOTDATA("TNG4",'ngaigiao (2016)'!$A$3,"MA_HT","DYT","MA_QH","DBV")</f>
        <v>0</v>
      </c>
      <c r="AF34" s="74">
        <f>+GETPIVOTDATA("TNG4",'ngaigiao (2016)'!$A$3,"MA_HT","DYT","MA_QH","DVH")</f>
        <v>0</v>
      </c>
      <c r="AG34" s="100" t="e">
        <f>$D34-$BF34</f>
        <v>#REF!</v>
      </c>
      <c r="AH34" s="74">
        <f>+GETPIVOTDATA("TNG4",'ngaigiao (2016)'!$A$3,"MA_HT","DYT","MA_QH","DGD")</f>
        <v>0</v>
      </c>
      <c r="AI34" s="74">
        <f>+GETPIVOTDATA("TNG4",'ngaigiao (2016)'!$A$3,"MA_HT","DYT","MA_QH","DTT")</f>
        <v>0</v>
      </c>
      <c r="AJ34" s="74">
        <f>+GETPIVOTDATA("TNG4",'ngaigiao (2016)'!$A$3,"MA_HT","DYT","MA_QH","NCK")</f>
        <v>0</v>
      </c>
      <c r="AK34" s="74">
        <f>+GETPIVOTDATA("TNG4",'ngaigiao (2016)'!$A$3,"MA_HT","DYT","MA_QH","DXH")</f>
        <v>0</v>
      </c>
      <c r="AL34" s="74">
        <f>+GETPIVOTDATA("TNG4",'ngaigiao (2016)'!$A$3,"MA_HT","DYT","MA_QH","DCH")</f>
        <v>0</v>
      </c>
      <c r="AM34" s="74">
        <f>+GETPIVOTDATA("TNG4",'ngaigiao (2016)'!$A$3,"MA_HT","DYT","MA_QH","DKG")</f>
        <v>0</v>
      </c>
      <c r="AN34" s="74">
        <f>+GETPIVOTDATA("TNG4",'ngaigiao (2016)'!$A$3,"MA_HT","DYT","MA_QH","DDT")</f>
        <v>0</v>
      </c>
      <c r="AO34" s="74">
        <f>+GETPIVOTDATA("TNG4",'ngaigiao (2016)'!$A$3,"MA_HT","DYT","MA_QH","DDL")</f>
        <v>0</v>
      </c>
      <c r="AP34" s="74">
        <f>+GETPIVOTDATA("TNG4",'ngaigiao (2016)'!$A$3,"MA_HT","DYT","MA_QH","DRA")</f>
        <v>0</v>
      </c>
      <c r="AQ34" s="74">
        <f>+GETPIVOTDATA("TNG4",'ngaigiao (2016)'!$A$3,"MA_HT","DYT","MA_QH","ONT")</f>
        <v>0</v>
      </c>
      <c r="AR34" s="74">
        <f>+GETPIVOTDATA("TNG4",'ngaigiao (2016)'!$A$3,"MA_HT","DYT","MA_QH","ODT")</f>
        <v>0</v>
      </c>
      <c r="AS34" s="74">
        <f>+GETPIVOTDATA("TNG4",'ngaigiao (2016)'!$A$3,"MA_HT","DYT","MA_QH","TSC")</f>
        <v>0</v>
      </c>
      <c r="AT34" s="74">
        <f>+GETPIVOTDATA("TNG4",'ngaigiao (2016)'!$A$3,"MA_HT","DYT","MA_QH","DTS")</f>
        <v>0</v>
      </c>
      <c r="AU34" s="74">
        <f>+GETPIVOTDATA("TNG4",'ngaigiao (2016)'!$A$3,"MA_HT","DYT","MA_QH","DNG")</f>
        <v>0</v>
      </c>
      <c r="AV34" s="74">
        <f>+GETPIVOTDATA("TNG4",'ngaigiao (2016)'!$A$3,"MA_HT","DYT","MA_QH","TON")</f>
        <v>0</v>
      </c>
      <c r="AW34" s="74">
        <f>+GETPIVOTDATA("TNG4",'ngaigiao (2016)'!$A$3,"MA_HT","DYT","MA_QH","NTD")</f>
        <v>0</v>
      </c>
      <c r="AX34" s="74">
        <f>+GETPIVOTDATA("TNG4",'ngaigiao (2016)'!$A$3,"MA_HT","DYT","MA_QH","SKX")</f>
        <v>0</v>
      </c>
      <c r="AY34" s="74">
        <f>+GETPIVOTDATA("TNG4",'ngaigiao (2016)'!$A$3,"MA_HT","DYT","MA_QH","DSH")</f>
        <v>0</v>
      </c>
      <c r="AZ34" s="74">
        <f>+GETPIVOTDATA("TNG4",'ngaigiao (2016)'!$A$3,"MA_HT","DYT","MA_QH","DKV")</f>
        <v>0</v>
      </c>
      <c r="BA34" s="139">
        <f>+GETPIVOTDATA("TNG4",'ngaigiao (2016)'!$A$3,"MA_HT","DYT","MA_QH","TIN")</f>
        <v>0</v>
      </c>
      <c r="BB34" s="74">
        <f>+GETPIVOTDATA("TNG4",'ngaigiao (2016)'!$A$3,"MA_HT","DYT","MA_QH","SON")</f>
        <v>0</v>
      </c>
      <c r="BC34" s="74">
        <f>+GETPIVOTDATA("TNG4",'ngaigiao (2016)'!$A$3,"MA_HT","DYT","MA_QH","MNC")</f>
        <v>0</v>
      </c>
      <c r="BD34" s="74">
        <f>+GETPIVOTDATA("TNG4",'ngaigiao (2016)'!$A$3,"MA_HT","DYT","MA_QH","PNK")</f>
        <v>0</v>
      </c>
      <c r="BE34" s="102">
        <f>+GETPIVOTDATA("TNG4",'ngaigiao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+GETPIVOTDATA("TNG4",'ngaigiao (2016)'!$A$3,"MA_HT","DGD","MA_QH","LUC")</f>
        <v>0</v>
      </c>
      <c r="H35" s="74">
        <f>+GETPIVOTDATA("TNG4",'ngaigiao (2016)'!$A$3,"MA_HT","DGD","MA_QH","LUK")</f>
        <v>0</v>
      </c>
      <c r="I35" s="74">
        <f>+GETPIVOTDATA("TNG4",'ngaigiao (2016)'!$A$3,"MA_HT","DGD","MA_QH","LUN")</f>
        <v>0</v>
      </c>
      <c r="J35" s="74">
        <f>+GETPIVOTDATA("TNG4",'ngaigiao (2016)'!$A$3,"MA_HT","DGD","MA_QH","HNK")</f>
        <v>0</v>
      </c>
      <c r="K35" s="74">
        <f>+GETPIVOTDATA("TNG4",'ngaigiao (2016)'!$A$3,"MA_HT","DGD","MA_QH","CLN")</f>
        <v>0</v>
      </c>
      <c r="L35" s="74">
        <f>+GETPIVOTDATA("TNG4",'ngaigiao (2016)'!$A$3,"MA_HT","DGD","MA_QH","RSX")</f>
        <v>0</v>
      </c>
      <c r="M35" s="74">
        <f>+GETPIVOTDATA("TNG4",'ngaigiao (2016)'!$A$3,"MA_HT","DGD","MA_QH","RPH")</f>
        <v>0</v>
      </c>
      <c r="N35" s="74">
        <f>+GETPIVOTDATA("TNG4",'ngaigiao (2016)'!$A$3,"MA_HT","DGD","MA_QH","RDD")</f>
        <v>0</v>
      </c>
      <c r="O35" s="74">
        <f>+GETPIVOTDATA("TNG4",'ngaigiao (2016)'!$A$3,"MA_HT","DGD","MA_QH","NTS")</f>
        <v>0</v>
      </c>
      <c r="P35" s="74">
        <f>+GETPIVOTDATA("TNG4",'ngaigiao (2016)'!$A$3,"MA_HT","DGD","MA_QH","LMU")</f>
        <v>0</v>
      </c>
      <c r="Q35" s="74">
        <f>+GETPIVOTDATA("TNG4",'ngaigiao (2016)'!$A$3,"MA_HT","DGD","MA_QH","NKH")</f>
        <v>0</v>
      </c>
      <c r="R35" s="72">
        <f t="shared" si="20"/>
        <v>0</v>
      </c>
      <c r="S35" s="74">
        <f>+GETPIVOTDATA("TNG4",'ngaigiao (2016)'!$A$3,"MA_HT","DGD","MA_QH","CQP")</f>
        <v>0</v>
      </c>
      <c r="T35" s="74">
        <f>+GETPIVOTDATA("TNG4",'ngaigiao (2016)'!$A$3,"MA_HT","DGD","MA_QH","CAN")</f>
        <v>0</v>
      </c>
      <c r="U35" s="74">
        <f>+GETPIVOTDATA("TNG4",'ngaigiao (2016)'!$A$3,"MA_HT","DGD","MA_QH","SKK")</f>
        <v>0</v>
      </c>
      <c r="V35" s="74">
        <f>+GETPIVOTDATA("TNG4",'ngaigiao (2016)'!$A$3,"MA_HT","DGD","MA_QH","SKT")</f>
        <v>0</v>
      </c>
      <c r="W35" s="74">
        <f>+GETPIVOTDATA("TNG4",'ngaigiao (2016)'!$A$3,"MA_HT","DGD","MA_QH","SKN")</f>
        <v>0</v>
      </c>
      <c r="X35" s="74">
        <f>+GETPIVOTDATA("TNG4",'ngaigiao (2016)'!$A$3,"MA_HT","DGD","MA_QH","TMD")</f>
        <v>0</v>
      </c>
      <c r="Y35" s="74">
        <f>+GETPIVOTDATA("TNG4",'ngaigiao (2016)'!$A$3,"MA_HT","DGD","MA_QH","SKC")</f>
        <v>0</v>
      </c>
      <c r="Z35" s="74">
        <f>+GETPIVOTDATA("TNG4",'ngaigiao (2016)'!$A$3,"MA_HT","DGD","MA_QH","SKS")</f>
        <v>0</v>
      </c>
      <c r="AA35" s="64">
        <f>+SUM(AB35:AG35,AI35:AM35)</f>
        <v>0</v>
      </c>
      <c r="AB35" s="74">
        <f>+GETPIVOTDATA("TNG4",'ngaigiao (2016)'!$A$3,"MA_HT","DGD","MA_QH","DGT")</f>
        <v>0</v>
      </c>
      <c r="AC35" s="74">
        <f>+GETPIVOTDATA("TNG4",'ngaigiao (2016)'!$A$3,"MA_HT","DGD","MA_QH","DTL")</f>
        <v>0</v>
      </c>
      <c r="AD35" s="74">
        <f>+GETPIVOTDATA("TNG4",'ngaigiao (2016)'!$A$3,"MA_HT","DGD","MA_QH","DNL")</f>
        <v>0</v>
      </c>
      <c r="AE35" s="74">
        <f>+GETPIVOTDATA("TNG4",'ngaigiao (2016)'!$A$3,"MA_HT","DGD","MA_QH","DBV")</f>
        <v>0</v>
      </c>
      <c r="AF35" s="74">
        <f>+GETPIVOTDATA("TNG4",'ngaigiao (2016)'!$A$3,"MA_HT","DGD","MA_QH","DVH")</f>
        <v>0</v>
      </c>
      <c r="AG35" s="74">
        <f>+GETPIVOTDATA("TNG4",'ngaigiao (2016)'!$A$3,"MA_HT","DGD","MA_QH","DYT")</f>
        <v>0</v>
      </c>
      <c r="AH35" s="100" t="e">
        <f>$D35-$BF35</f>
        <v>#REF!</v>
      </c>
      <c r="AI35" s="74">
        <f>+GETPIVOTDATA("TNG4",'ngaigiao (2016)'!$A$3,"MA_HT","DGD","MA_QH","DTT")</f>
        <v>0</v>
      </c>
      <c r="AJ35" s="74">
        <f>+GETPIVOTDATA("TNG4",'ngaigiao (2016)'!$A$3,"MA_HT","DGD","MA_QH","NCK")</f>
        <v>0</v>
      </c>
      <c r="AK35" s="74">
        <f>+GETPIVOTDATA("TNG4",'ngaigiao (2016)'!$A$3,"MA_HT","DGD","MA_QH","DXH")</f>
        <v>0</v>
      </c>
      <c r="AL35" s="74">
        <f>+GETPIVOTDATA("TNG4",'ngaigiao (2016)'!$A$3,"MA_HT","DGD","MA_QH","DCH")</f>
        <v>0</v>
      </c>
      <c r="AM35" s="74">
        <f>+GETPIVOTDATA("TNG4",'ngaigiao (2016)'!$A$3,"MA_HT","DGD","MA_QH","DKG")</f>
        <v>0</v>
      </c>
      <c r="AN35" s="74">
        <f>+GETPIVOTDATA("TNG4",'ngaigiao (2016)'!$A$3,"MA_HT","DGD","MA_QH","DDT")</f>
        <v>0</v>
      </c>
      <c r="AO35" s="74">
        <f>+GETPIVOTDATA("TNG4",'ngaigiao (2016)'!$A$3,"MA_HT","DGD","MA_QH","DDL")</f>
        <v>0</v>
      </c>
      <c r="AP35" s="74">
        <f>+GETPIVOTDATA("TNG4",'ngaigiao (2016)'!$A$3,"MA_HT","DGD","MA_QH","DRA")</f>
        <v>0</v>
      </c>
      <c r="AQ35" s="74">
        <f>+GETPIVOTDATA("TNG4",'ngaigiao (2016)'!$A$3,"MA_HT","DGD","MA_QH","ONT")</f>
        <v>0</v>
      </c>
      <c r="AR35" s="74">
        <f>+GETPIVOTDATA("TNG4",'ngaigiao (2016)'!$A$3,"MA_HT","DGD","MA_QH","ODT")</f>
        <v>0</v>
      </c>
      <c r="AS35" s="74">
        <f>+GETPIVOTDATA("TNG4",'ngaigiao (2016)'!$A$3,"MA_HT","DGD","MA_QH","TSC")</f>
        <v>0</v>
      </c>
      <c r="AT35" s="74">
        <f>+GETPIVOTDATA("TNG4",'ngaigiao (2016)'!$A$3,"MA_HT","DGD","MA_QH","DTS")</f>
        <v>0</v>
      </c>
      <c r="AU35" s="74">
        <f>+GETPIVOTDATA("TNG4",'ngaigiao (2016)'!$A$3,"MA_HT","DGD","MA_QH","DNG")</f>
        <v>0</v>
      </c>
      <c r="AV35" s="74">
        <f>+GETPIVOTDATA("TNG4",'ngaigiao (2016)'!$A$3,"MA_HT","DGD","MA_QH","TON")</f>
        <v>0</v>
      </c>
      <c r="AW35" s="74">
        <f>+GETPIVOTDATA("TNG4",'ngaigiao (2016)'!$A$3,"MA_HT","DGD","MA_QH","NTD")</f>
        <v>0</v>
      </c>
      <c r="AX35" s="74">
        <f>+GETPIVOTDATA("TNG4",'ngaigiao (2016)'!$A$3,"MA_HT","DGD","MA_QH","SKX")</f>
        <v>0</v>
      </c>
      <c r="AY35" s="74">
        <f>+GETPIVOTDATA("TNG4",'ngaigiao (2016)'!$A$3,"MA_HT","DGD","MA_QH","DSH")</f>
        <v>0</v>
      </c>
      <c r="AZ35" s="74">
        <f>+GETPIVOTDATA("TNG4",'ngaigiao (2016)'!$A$3,"MA_HT","DGD","MA_QH","DKV")</f>
        <v>0</v>
      </c>
      <c r="BA35" s="139">
        <f>+GETPIVOTDATA("TNG4",'ngaigiao (2016)'!$A$3,"MA_HT","DGD","MA_QH","TIN")</f>
        <v>0</v>
      </c>
      <c r="BB35" s="74">
        <f>+GETPIVOTDATA("TNG4",'ngaigiao (2016)'!$A$3,"MA_HT","DGD","MA_QH","SON")</f>
        <v>0</v>
      </c>
      <c r="BC35" s="74">
        <f>+GETPIVOTDATA("TNG4",'ngaigiao (2016)'!$A$3,"MA_HT","DGD","MA_QH","MNC")</f>
        <v>0</v>
      </c>
      <c r="BD35" s="74">
        <f>+GETPIVOTDATA("TNG4",'ngaigiao (2016)'!$A$3,"MA_HT","DGD","MA_QH","PNK")</f>
        <v>0</v>
      </c>
      <c r="BE35" s="102">
        <f>+GETPIVOTDATA("TNG4",'ngaigiao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+GETPIVOTDATA("TNG4",'ngaigiao (2016)'!$A$3,"MA_HT","DTT","MA_QH","LUC")</f>
        <v>0</v>
      </c>
      <c r="H36" s="74">
        <f>+GETPIVOTDATA("TNG4",'ngaigiao (2016)'!$A$3,"MA_HT","DTT","MA_QH","LUK")</f>
        <v>0</v>
      </c>
      <c r="I36" s="74">
        <f>+GETPIVOTDATA("TNG4",'ngaigiao (2016)'!$A$3,"MA_HT","DTT","MA_QH","LUN")</f>
        <v>0</v>
      </c>
      <c r="J36" s="74">
        <f>+GETPIVOTDATA("TNG4",'ngaigiao (2016)'!$A$3,"MA_HT","DTT","MA_QH","HNK")</f>
        <v>0</v>
      </c>
      <c r="K36" s="74">
        <f>+GETPIVOTDATA("TNG4",'ngaigiao (2016)'!$A$3,"MA_HT","DTT","MA_QH","CLN")</f>
        <v>0</v>
      </c>
      <c r="L36" s="74">
        <f>+GETPIVOTDATA("TNG4",'ngaigiao (2016)'!$A$3,"MA_HT","DTT","MA_QH","RSX")</f>
        <v>0</v>
      </c>
      <c r="M36" s="74">
        <f>+GETPIVOTDATA("TNG4",'ngaigiao (2016)'!$A$3,"MA_HT","DTT","MA_QH","RPH")</f>
        <v>0</v>
      </c>
      <c r="N36" s="74">
        <f>+GETPIVOTDATA("TNG4",'ngaigiao (2016)'!$A$3,"MA_HT","DTT","MA_QH","RDD")</f>
        <v>0</v>
      </c>
      <c r="O36" s="74">
        <f>+GETPIVOTDATA("TNG4",'ngaigiao (2016)'!$A$3,"MA_HT","DTT","MA_QH","NTS")</f>
        <v>0</v>
      </c>
      <c r="P36" s="74">
        <f>+GETPIVOTDATA("TNG4",'ngaigiao (2016)'!$A$3,"MA_HT","DTT","MA_QH","LMU")</f>
        <v>0</v>
      </c>
      <c r="Q36" s="74">
        <f>+GETPIVOTDATA("TNG4",'ngaigiao (2016)'!$A$3,"MA_HT","DTT","MA_QH","NKH")</f>
        <v>0</v>
      </c>
      <c r="R36" s="72">
        <f>SUM(S36:AA36,AN36:BD36)</f>
        <v>0</v>
      </c>
      <c r="S36" s="74">
        <f>+GETPIVOTDATA("TNG4",'ngaigiao (2016)'!$A$3,"MA_HT","DTT","MA_QH","CQP")</f>
        <v>0</v>
      </c>
      <c r="T36" s="74">
        <f>+GETPIVOTDATA("TNG4",'ngaigiao (2016)'!$A$3,"MA_HT","DTT","MA_QH","CAN")</f>
        <v>0</v>
      </c>
      <c r="U36" s="74">
        <f>+GETPIVOTDATA("TNG4",'ngaigiao (2016)'!$A$3,"MA_HT","DTT","MA_QH","SKK")</f>
        <v>0</v>
      </c>
      <c r="V36" s="74">
        <f>+GETPIVOTDATA("TNG4",'ngaigiao (2016)'!$A$3,"MA_HT","DTT","MA_QH","SKT")</f>
        <v>0</v>
      </c>
      <c r="W36" s="74">
        <f>+GETPIVOTDATA("TNG4",'ngaigiao (2016)'!$A$3,"MA_HT","DTT","MA_QH","SKN")</f>
        <v>0</v>
      </c>
      <c r="X36" s="74">
        <f>+GETPIVOTDATA("TNG4",'ngaigiao (2016)'!$A$3,"MA_HT","DTT","MA_QH","TMD")</f>
        <v>0</v>
      </c>
      <c r="Y36" s="74">
        <f>+GETPIVOTDATA("TNG4",'ngaigiao (2016)'!$A$3,"MA_HT","DTT","MA_QH","SKC")</f>
        <v>0</v>
      </c>
      <c r="Z36" s="74">
        <f>+GETPIVOTDATA("TNG4",'ngaigiao (2016)'!$A$3,"MA_HT","DTT","MA_QH","SKS")</f>
        <v>0</v>
      </c>
      <c r="AA36" s="64">
        <f>+SUM(AB36:AH36,AJ36:AM36)</f>
        <v>0</v>
      </c>
      <c r="AB36" s="74">
        <f>+GETPIVOTDATA("TNG4",'ngaigiao (2016)'!$A$3,"MA_HT","DTT","MA_QH","DGT")</f>
        <v>0</v>
      </c>
      <c r="AC36" s="74">
        <f>+GETPIVOTDATA("TNG4",'ngaigiao (2016)'!$A$3,"MA_HT","DTT","MA_QH","DTL")</f>
        <v>0</v>
      </c>
      <c r="AD36" s="74">
        <f>+GETPIVOTDATA("TNG4",'ngaigiao (2016)'!$A$3,"MA_HT","DTT","MA_QH","DNL")</f>
        <v>0</v>
      </c>
      <c r="AE36" s="74">
        <f>+GETPIVOTDATA("TNG4",'ngaigiao (2016)'!$A$3,"MA_HT","DTT","MA_QH","DBV")</f>
        <v>0</v>
      </c>
      <c r="AF36" s="74">
        <f>+GETPIVOTDATA("TNG4",'ngaigiao (2016)'!$A$3,"MA_HT","DTT","MA_QH","DVH")</f>
        <v>0</v>
      </c>
      <c r="AG36" s="74">
        <f>+GETPIVOTDATA("TNG4",'ngaigiao (2016)'!$A$3,"MA_HT","DTT","MA_QH","DYT")</f>
        <v>0</v>
      </c>
      <c r="AH36" s="74">
        <f>+GETPIVOTDATA("TNG4",'ngaigiao (2016)'!$A$3,"MA_HT","DTT","MA_QH","DGD")</f>
        <v>0</v>
      </c>
      <c r="AI36" s="100" t="e">
        <f>$D36-$BF36</f>
        <v>#REF!</v>
      </c>
      <c r="AJ36" s="74">
        <f>+GETPIVOTDATA("TNG4",'ngaigiao (2016)'!$A$3,"MA_HT","DTT","MA_QH","NCK")</f>
        <v>0</v>
      </c>
      <c r="AK36" s="74">
        <f>+GETPIVOTDATA("TNG4",'ngaigiao (2016)'!$A$3,"MA_HT","DTT","MA_QH","DXH")</f>
        <v>0</v>
      </c>
      <c r="AL36" s="74">
        <f>+GETPIVOTDATA("TNG4",'ngaigiao (2016)'!$A$3,"MA_HT","DTT","MA_QH","DCH")</f>
        <v>0</v>
      </c>
      <c r="AM36" s="74">
        <f>+GETPIVOTDATA("TNG4",'ngaigiao (2016)'!$A$3,"MA_HT","DTT","MA_QH","DKG")</f>
        <v>0</v>
      </c>
      <c r="AN36" s="74">
        <f>+GETPIVOTDATA("TNG4",'ngaigiao (2016)'!$A$3,"MA_HT","DTT","MA_QH","DDT")</f>
        <v>0</v>
      </c>
      <c r="AO36" s="74">
        <f>+GETPIVOTDATA("TNG4",'ngaigiao (2016)'!$A$3,"MA_HT","DTT","MA_QH","DDL")</f>
        <v>0</v>
      </c>
      <c r="AP36" s="74">
        <f>+GETPIVOTDATA("TNG4",'ngaigiao (2016)'!$A$3,"MA_HT","DTT","MA_QH","DRA")</f>
        <v>0</v>
      </c>
      <c r="AQ36" s="74">
        <f>+GETPIVOTDATA("TNG4",'ngaigiao (2016)'!$A$3,"MA_HT","DTT","MA_QH","ONT")</f>
        <v>0</v>
      </c>
      <c r="AR36" s="74">
        <f>+GETPIVOTDATA("TNG4",'ngaigiao (2016)'!$A$3,"MA_HT","DTT","MA_QH","ODT")</f>
        <v>0</v>
      </c>
      <c r="AS36" s="74">
        <f>+GETPIVOTDATA("TNG4",'ngaigiao (2016)'!$A$3,"MA_HT","DTT","MA_QH","TSC")</f>
        <v>0</v>
      </c>
      <c r="AT36" s="74">
        <f>+GETPIVOTDATA("TNG4",'ngaigiao (2016)'!$A$3,"MA_HT","DTT","MA_QH","DTS")</f>
        <v>0</v>
      </c>
      <c r="AU36" s="74">
        <f>+GETPIVOTDATA("TNG4",'ngaigiao (2016)'!$A$3,"MA_HT","DTT","MA_QH","DNG")</f>
        <v>0</v>
      </c>
      <c r="AV36" s="74">
        <f>+GETPIVOTDATA("TNG4",'ngaigiao (2016)'!$A$3,"MA_HT","DTT","MA_QH","TON")</f>
        <v>0</v>
      </c>
      <c r="AW36" s="74">
        <f>+GETPIVOTDATA("TNG4",'ngaigiao (2016)'!$A$3,"MA_HT","DTT","MA_QH","NTD")</f>
        <v>0</v>
      </c>
      <c r="AX36" s="74">
        <f>+GETPIVOTDATA("TNG4",'ngaigiao (2016)'!$A$3,"MA_HT","DTT","MA_QH","SKX")</f>
        <v>0</v>
      </c>
      <c r="AY36" s="74">
        <f>+GETPIVOTDATA("TNG4",'ngaigiao (2016)'!$A$3,"MA_HT","DTT","MA_QH","DSH")</f>
        <v>0</v>
      </c>
      <c r="AZ36" s="74">
        <f>+GETPIVOTDATA("TNG4",'ngaigiao (2016)'!$A$3,"MA_HT","DTT","MA_QH","DKV")</f>
        <v>0</v>
      </c>
      <c r="BA36" s="139">
        <f>+GETPIVOTDATA("TNG4",'ngaigiao (2016)'!$A$3,"MA_HT","DTT","MA_QH","TIN")</f>
        <v>0</v>
      </c>
      <c r="BB36" s="74">
        <f>+GETPIVOTDATA("TNG4",'ngaigiao (2016)'!$A$3,"MA_HT","DTT","MA_QH","SON")</f>
        <v>0</v>
      </c>
      <c r="BC36" s="74">
        <f>+GETPIVOTDATA("TNG4",'ngaigiao (2016)'!$A$3,"MA_HT","DTT","MA_QH","MNC")</f>
        <v>0</v>
      </c>
      <c r="BD36" s="74">
        <f>+GETPIVOTDATA("TNG4",'ngaigiao (2016)'!$A$3,"MA_HT","DTT","MA_QH","PNK")</f>
        <v>0</v>
      </c>
      <c r="BE36" s="102">
        <f>+GETPIVOTDATA("TNG4",'ngaigiao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+GETPIVOTDATA("TNG4",'ngaigiao (2016)'!$A$3,"MA_HT","NCK","MA_QH","LUC")</f>
        <v>0</v>
      </c>
      <c r="H37" s="74">
        <f>+GETPIVOTDATA("TNG4",'ngaigiao (2016)'!$A$3,"MA_HT","NCK","MA_QH","LUK")</f>
        <v>0</v>
      </c>
      <c r="I37" s="74">
        <f>+GETPIVOTDATA("TNG4",'ngaigiao (2016)'!$A$3,"MA_HT","NCK","MA_QH","LUN")</f>
        <v>0</v>
      </c>
      <c r="J37" s="74">
        <f>+GETPIVOTDATA("TNG4",'ngaigiao (2016)'!$A$3,"MA_HT","NCK","MA_QH","HNK")</f>
        <v>0</v>
      </c>
      <c r="K37" s="74">
        <f>+GETPIVOTDATA("TNG4",'ngaigiao (2016)'!$A$3,"MA_HT","NCK","MA_QH","CLN")</f>
        <v>0</v>
      </c>
      <c r="L37" s="74">
        <f>+GETPIVOTDATA("TNG4",'ngaigiao (2016)'!$A$3,"MA_HT","NCK","MA_QH","RSX")</f>
        <v>0</v>
      </c>
      <c r="M37" s="74">
        <f>+GETPIVOTDATA("TNG4",'ngaigiao (2016)'!$A$3,"MA_HT","NCK","MA_QH","RPH")</f>
        <v>0</v>
      </c>
      <c r="N37" s="74">
        <f>+GETPIVOTDATA("TNG4",'ngaigiao (2016)'!$A$3,"MA_HT","NCK","MA_QH","RDD")</f>
        <v>0</v>
      </c>
      <c r="O37" s="74">
        <f>+GETPIVOTDATA("TNG4",'ngaigiao (2016)'!$A$3,"MA_HT","NCK","MA_QH","NTS")</f>
        <v>0</v>
      </c>
      <c r="P37" s="74">
        <f>+GETPIVOTDATA("TNG4",'ngaigiao (2016)'!$A$3,"MA_HT","NCK","MA_QH","LMU")</f>
        <v>0</v>
      </c>
      <c r="Q37" s="74">
        <f>+GETPIVOTDATA("TNG4",'ngaigiao (2016)'!$A$3,"MA_HT","NCK","MA_QH","NKH")</f>
        <v>0</v>
      </c>
      <c r="R37" s="72">
        <f t="shared" si="20"/>
        <v>0</v>
      </c>
      <c r="S37" s="74">
        <f>+GETPIVOTDATA("TNG4",'ngaigiao (2016)'!$A$3,"MA_HT","NCK","MA_QH","CQP")</f>
        <v>0</v>
      </c>
      <c r="T37" s="74">
        <f>+GETPIVOTDATA("TNG4",'ngaigiao (2016)'!$A$3,"MA_HT","NCK","MA_QH","CAN")</f>
        <v>0</v>
      </c>
      <c r="U37" s="74">
        <f>+GETPIVOTDATA("TNG4",'ngaigiao (2016)'!$A$3,"MA_HT","NCK","MA_QH","SKK")</f>
        <v>0</v>
      </c>
      <c r="V37" s="74">
        <f>+GETPIVOTDATA("TNG4",'ngaigiao (2016)'!$A$3,"MA_HT","NCK","MA_QH","SKT")</f>
        <v>0</v>
      </c>
      <c r="W37" s="74">
        <f>+GETPIVOTDATA("TNG4",'ngaigiao (2016)'!$A$3,"MA_HT","NCK","MA_QH","SKN")</f>
        <v>0</v>
      </c>
      <c r="X37" s="74">
        <f>+GETPIVOTDATA("TNG4",'ngaigiao (2016)'!$A$3,"MA_HT","NCK","MA_QH","TMD")</f>
        <v>0</v>
      </c>
      <c r="Y37" s="74">
        <f>+GETPIVOTDATA("TNG4",'ngaigiao (2016)'!$A$3,"MA_HT","NCK","MA_QH","SKC")</f>
        <v>0</v>
      </c>
      <c r="Z37" s="74">
        <f>+GETPIVOTDATA("TNG4",'ngaigiao (2016)'!$A$3,"MA_HT","NCK","MA_QH","SKS")</f>
        <v>0</v>
      </c>
      <c r="AA37" s="64">
        <f>+SUM(AB37:AI37,AK37:AM37)</f>
        <v>0</v>
      </c>
      <c r="AB37" s="74">
        <f>+GETPIVOTDATA("TNG4",'ngaigiao (2016)'!$A$3,"MA_HT","NCK","MA_QH","DGT")</f>
        <v>0</v>
      </c>
      <c r="AC37" s="74">
        <f>+GETPIVOTDATA("TNG4",'ngaigiao (2016)'!$A$3,"MA_HT","NCK","MA_QH","DTL")</f>
        <v>0</v>
      </c>
      <c r="AD37" s="74">
        <f>+GETPIVOTDATA("TNG4",'ngaigiao (2016)'!$A$3,"MA_HT","NCK","MA_QH","DNL")</f>
        <v>0</v>
      </c>
      <c r="AE37" s="74">
        <f>+GETPIVOTDATA("TNG4",'ngaigiao (2016)'!$A$3,"MA_HT","NCK","MA_QH","DBV")</f>
        <v>0</v>
      </c>
      <c r="AF37" s="74">
        <f>+GETPIVOTDATA("TNG4",'ngaigiao (2016)'!$A$3,"MA_HT","NCK","MA_QH","DVH")</f>
        <v>0</v>
      </c>
      <c r="AG37" s="74">
        <f>+GETPIVOTDATA("TNG4",'ngaigiao (2016)'!$A$3,"MA_HT","NCK","MA_QH","DYT")</f>
        <v>0</v>
      </c>
      <c r="AH37" s="74">
        <f>+GETPIVOTDATA("TNG4",'ngaigiao (2016)'!$A$3,"MA_HT","NCK","MA_QH","DGD")</f>
        <v>0</v>
      </c>
      <c r="AI37" s="74">
        <f>+GETPIVOTDATA("TNG4",'ngaigiao (2016)'!$A$3,"MA_HT","NCK","MA_QH","DTT")</f>
        <v>0</v>
      </c>
      <c r="AJ37" s="100" t="e">
        <f>$D37-$BF37</f>
        <v>#REF!</v>
      </c>
      <c r="AK37" s="74">
        <f>+GETPIVOTDATA("TNG4",'ngaigiao (2016)'!$A$3,"MA_HT","NCK","MA_QH","DXH")</f>
        <v>0</v>
      </c>
      <c r="AL37" s="74">
        <f>+GETPIVOTDATA("TNG4",'ngaigiao (2016)'!$A$3,"MA_HT","NCK","MA_QH","DCH")</f>
        <v>0</v>
      </c>
      <c r="AM37" s="74">
        <f>+GETPIVOTDATA("TNG4",'ngaigiao (2016)'!$A$3,"MA_HT","NCK","MA_QH","DKG")</f>
        <v>0</v>
      </c>
      <c r="AN37" s="74">
        <f>+GETPIVOTDATA("TNG4",'ngaigiao (2016)'!$A$3,"MA_HT","NCK","MA_QH","DDT")</f>
        <v>0</v>
      </c>
      <c r="AO37" s="74">
        <f>+GETPIVOTDATA("TNG4",'ngaigiao (2016)'!$A$3,"MA_HT","NCK","MA_QH","DDL")</f>
        <v>0</v>
      </c>
      <c r="AP37" s="74">
        <f>+GETPIVOTDATA("TNG4",'ngaigiao (2016)'!$A$3,"MA_HT","NCK","MA_QH","DRA")</f>
        <v>0</v>
      </c>
      <c r="AQ37" s="74">
        <f>+GETPIVOTDATA("TNG4",'ngaigiao (2016)'!$A$3,"MA_HT","NCK","MA_QH","ONT")</f>
        <v>0</v>
      </c>
      <c r="AR37" s="74">
        <f>+GETPIVOTDATA("TNG4",'ngaigiao (2016)'!$A$3,"MA_HT","NCK","MA_QH","ODT")</f>
        <v>0</v>
      </c>
      <c r="AS37" s="74">
        <f>+GETPIVOTDATA("TNG4",'ngaigiao (2016)'!$A$3,"MA_HT","NCK","MA_QH","TSC")</f>
        <v>0</v>
      </c>
      <c r="AT37" s="74">
        <f>+GETPIVOTDATA("TNG4",'ngaigiao (2016)'!$A$3,"MA_HT","NCK","MA_QH","DTS")</f>
        <v>0</v>
      </c>
      <c r="AU37" s="74">
        <f>+GETPIVOTDATA("TNG4",'ngaigiao (2016)'!$A$3,"MA_HT","NCK","MA_QH","DNG")</f>
        <v>0</v>
      </c>
      <c r="AV37" s="74">
        <f>+GETPIVOTDATA("TNG4",'ngaigiao (2016)'!$A$3,"MA_HT","NCK","MA_QH","TON")</f>
        <v>0</v>
      </c>
      <c r="AW37" s="74">
        <f>+GETPIVOTDATA("TNG4",'ngaigiao (2016)'!$A$3,"MA_HT","NCK","MA_QH","NTD")</f>
        <v>0</v>
      </c>
      <c r="AX37" s="74">
        <f>+GETPIVOTDATA("TNG4",'ngaigiao (2016)'!$A$3,"MA_HT","NCK","MA_QH","SKX")</f>
        <v>0</v>
      </c>
      <c r="AY37" s="74">
        <f>+GETPIVOTDATA("TNG4",'ngaigiao (2016)'!$A$3,"MA_HT","NCK","MA_QH","DSH")</f>
        <v>0</v>
      </c>
      <c r="AZ37" s="74">
        <f>+GETPIVOTDATA("TNG4",'ngaigiao (2016)'!$A$3,"MA_HT","NCK","MA_QH","DKV")</f>
        <v>0</v>
      </c>
      <c r="BA37" s="139">
        <f>+GETPIVOTDATA("TNG4",'ngaigiao (2016)'!$A$3,"MA_HT","NCK","MA_QH","TIN")</f>
        <v>0</v>
      </c>
      <c r="BB37" s="74">
        <f>+GETPIVOTDATA("TNG4",'ngaigiao (2016)'!$A$3,"MA_HT","NCK","MA_QH","SON")</f>
        <v>0</v>
      </c>
      <c r="BC37" s="74">
        <f>+GETPIVOTDATA("TNG4",'ngaigiao (2016)'!$A$3,"MA_HT","NCK","MA_QH","MNC")</f>
        <v>0</v>
      </c>
      <c r="BD37" s="74">
        <f>+GETPIVOTDATA("TNG4",'ngaigiao (2016)'!$A$3,"MA_HT","NCK","MA_QH","PNK")</f>
        <v>0</v>
      </c>
      <c r="BE37" s="102">
        <f>+GETPIVOTDATA("TNG4",'ngaigiao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+GETPIVOTDATA("TNG4",'ngaigiao (2016)'!$A$3,"MA_HT","DXH","MA_QH","LUC")</f>
        <v>0</v>
      </c>
      <c r="H38" s="74">
        <f>+GETPIVOTDATA("TNG4",'ngaigiao (2016)'!$A$3,"MA_HT","DXH","MA_QH","LUK")</f>
        <v>0</v>
      </c>
      <c r="I38" s="74">
        <f>+GETPIVOTDATA("TNG4",'ngaigiao (2016)'!$A$3,"MA_HT","DXH","MA_QH","LUN")</f>
        <v>0</v>
      </c>
      <c r="J38" s="74">
        <f>+GETPIVOTDATA("TNG4",'ngaigiao (2016)'!$A$3,"MA_HT","DXH","MA_QH","HNK")</f>
        <v>0</v>
      </c>
      <c r="K38" s="74">
        <f>+GETPIVOTDATA("TNG4",'ngaigiao (2016)'!$A$3,"MA_HT","DXH","MA_QH","CLN")</f>
        <v>0</v>
      </c>
      <c r="L38" s="74">
        <f>+GETPIVOTDATA("TNG4",'ngaigiao (2016)'!$A$3,"MA_HT","DXH","MA_QH","RSX")</f>
        <v>0</v>
      </c>
      <c r="M38" s="74">
        <f>+GETPIVOTDATA("TNG4",'ngaigiao (2016)'!$A$3,"MA_HT","DXH","MA_QH","RPH")</f>
        <v>0</v>
      </c>
      <c r="N38" s="74">
        <f>+GETPIVOTDATA("TNG4",'ngaigiao (2016)'!$A$3,"MA_HT","DXH","MA_QH","RDD")</f>
        <v>0</v>
      </c>
      <c r="O38" s="74">
        <f>+GETPIVOTDATA("TNG4",'ngaigiao (2016)'!$A$3,"MA_HT","DXH","MA_QH","NTS")</f>
        <v>0</v>
      </c>
      <c r="P38" s="74">
        <f>+GETPIVOTDATA("TNG4",'ngaigiao (2016)'!$A$3,"MA_HT","DXH","MA_QH","LMU")</f>
        <v>0</v>
      </c>
      <c r="Q38" s="74">
        <f>+GETPIVOTDATA("TNG4",'ngaigiao (2016)'!$A$3,"MA_HT","DXH","MA_QH","NKH")</f>
        <v>0</v>
      </c>
      <c r="R38" s="72">
        <f t="shared" si="20"/>
        <v>0</v>
      </c>
      <c r="S38" s="74">
        <f>+GETPIVOTDATA("TNG4",'ngaigiao (2016)'!$A$3,"MA_HT","DXH","MA_QH","CQP")</f>
        <v>0</v>
      </c>
      <c r="T38" s="74">
        <f>+GETPIVOTDATA("TNG4",'ngaigiao (2016)'!$A$3,"MA_HT","DXH","MA_QH","CAN")</f>
        <v>0</v>
      </c>
      <c r="U38" s="74">
        <f>+GETPIVOTDATA("TNG4",'ngaigiao (2016)'!$A$3,"MA_HT","DXH","MA_QH","SKK")</f>
        <v>0</v>
      </c>
      <c r="V38" s="74">
        <f>+GETPIVOTDATA("TNG4",'ngaigiao (2016)'!$A$3,"MA_HT","DXH","MA_QH","SKT")</f>
        <v>0</v>
      </c>
      <c r="W38" s="74">
        <f>+GETPIVOTDATA("TNG4",'ngaigiao (2016)'!$A$3,"MA_HT","DXH","MA_QH","SKN")</f>
        <v>0</v>
      </c>
      <c r="X38" s="74">
        <f>+GETPIVOTDATA("TNG4",'ngaigiao (2016)'!$A$3,"MA_HT","DXH","MA_QH","TMD")</f>
        <v>0</v>
      </c>
      <c r="Y38" s="74">
        <f>+GETPIVOTDATA("TNG4",'ngaigiao (2016)'!$A$3,"MA_HT","DXH","MA_QH","SKC")</f>
        <v>0</v>
      </c>
      <c r="Z38" s="74">
        <f>+GETPIVOTDATA("TNG4",'ngaigiao (2016)'!$A$3,"MA_HT","DXH","MA_QH","SKS")</f>
        <v>0</v>
      </c>
      <c r="AA38" s="64">
        <f>+SUM(AB38:AJ38,AL38:AM38)</f>
        <v>0</v>
      </c>
      <c r="AB38" s="74">
        <f>+GETPIVOTDATA("TNG4",'ngaigiao (2016)'!$A$3,"MA_HT","DXH","MA_QH","DGT")</f>
        <v>0</v>
      </c>
      <c r="AC38" s="74">
        <f>+GETPIVOTDATA("TNG4",'ngaigiao (2016)'!$A$3,"MA_HT","DXH","MA_QH","DTL")</f>
        <v>0</v>
      </c>
      <c r="AD38" s="74">
        <f>+GETPIVOTDATA("TNG4",'ngaigiao (2016)'!$A$3,"MA_HT","DXH","MA_QH","DNL")</f>
        <v>0</v>
      </c>
      <c r="AE38" s="74">
        <f>+GETPIVOTDATA("TNG4",'ngaigiao (2016)'!$A$3,"MA_HT","DXH","MA_QH","DBV")</f>
        <v>0</v>
      </c>
      <c r="AF38" s="74">
        <f>+GETPIVOTDATA("TNG4",'ngaigiao (2016)'!$A$3,"MA_HT","DXH","MA_QH","DVH")</f>
        <v>0</v>
      </c>
      <c r="AG38" s="74">
        <f>+GETPIVOTDATA("TNG4",'ngaigiao (2016)'!$A$3,"MA_HT","DXH","MA_QH","DYT")</f>
        <v>0</v>
      </c>
      <c r="AH38" s="74">
        <f>+GETPIVOTDATA("TNG4",'ngaigiao (2016)'!$A$3,"MA_HT","DXH","MA_QH","DGD")</f>
        <v>0</v>
      </c>
      <c r="AI38" s="74">
        <f>+GETPIVOTDATA("TNG4",'ngaigiao (2016)'!$A$3,"MA_HT","DXH","MA_QH","DTT")</f>
        <v>0</v>
      </c>
      <c r="AJ38" s="74">
        <f>+GETPIVOTDATA("TNG4",'ngaigiao (2016)'!$A$3,"MA_HT","DXH","MA_QH","NCK")</f>
        <v>0</v>
      </c>
      <c r="AK38" s="100" t="e">
        <f>$D38-$BF38</f>
        <v>#REF!</v>
      </c>
      <c r="AL38" s="74">
        <f>+GETPIVOTDATA("TNG4",'ngaigiao (2016)'!$A$3,"MA_HT","DXH","MA_QH","DCH")</f>
        <v>0</v>
      </c>
      <c r="AM38" s="74">
        <f>+GETPIVOTDATA("TNG4",'ngaigiao (2016)'!$A$3,"MA_HT","DXH","MA_QH","DKG")</f>
        <v>0</v>
      </c>
      <c r="AN38" s="74">
        <f>+GETPIVOTDATA("TNG4",'ngaigiao (2016)'!$A$3,"MA_HT","DXH","MA_QH","DDT")</f>
        <v>0</v>
      </c>
      <c r="AO38" s="74">
        <f>+GETPIVOTDATA("TNG4",'ngaigiao (2016)'!$A$3,"MA_HT","DXH","MA_QH","DDL")</f>
        <v>0</v>
      </c>
      <c r="AP38" s="74">
        <f>+GETPIVOTDATA("TNG4",'ngaigiao (2016)'!$A$3,"MA_HT","DXH","MA_QH","DRA")</f>
        <v>0</v>
      </c>
      <c r="AQ38" s="74">
        <f>+GETPIVOTDATA("TNG4",'ngaigiao (2016)'!$A$3,"MA_HT","DXH","MA_QH","ONT")</f>
        <v>0</v>
      </c>
      <c r="AR38" s="74">
        <f>+GETPIVOTDATA("TNG4",'ngaigiao (2016)'!$A$3,"MA_HT","DXH","MA_QH","ODT")</f>
        <v>0</v>
      </c>
      <c r="AS38" s="74">
        <f>+GETPIVOTDATA("TNG4",'ngaigiao (2016)'!$A$3,"MA_HT","DXH","MA_QH","TSC")</f>
        <v>0</v>
      </c>
      <c r="AT38" s="74">
        <f>+GETPIVOTDATA("TNG4",'ngaigiao (2016)'!$A$3,"MA_HT","DXH","MA_QH","DTS")</f>
        <v>0</v>
      </c>
      <c r="AU38" s="74">
        <f>+GETPIVOTDATA("TNG4",'ngaigiao (2016)'!$A$3,"MA_HT","DXH","MA_QH","DNG")</f>
        <v>0</v>
      </c>
      <c r="AV38" s="74">
        <f>+GETPIVOTDATA("TNG4",'ngaigiao (2016)'!$A$3,"MA_HT","DXH","MA_QH","TON")</f>
        <v>0</v>
      </c>
      <c r="AW38" s="74">
        <f>+GETPIVOTDATA("TNG4",'ngaigiao (2016)'!$A$3,"MA_HT","DXH","MA_QH","NTD")</f>
        <v>0</v>
      </c>
      <c r="AX38" s="74">
        <f>+GETPIVOTDATA("TNG4",'ngaigiao (2016)'!$A$3,"MA_HT","DXH","MA_QH","SKX")</f>
        <v>0</v>
      </c>
      <c r="AY38" s="74">
        <f>+GETPIVOTDATA("TNG4",'ngaigiao (2016)'!$A$3,"MA_HT","DXH","MA_QH","DSH")</f>
        <v>0</v>
      </c>
      <c r="AZ38" s="74">
        <f>+GETPIVOTDATA("TNG4",'ngaigiao (2016)'!$A$3,"MA_HT","DXH","MA_QH","DKV")</f>
        <v>0</v>
      </c>
      <c r="BA38" s="139">
        <f>+GETPIVOTDATA("TNG4",'ngaigiao (2016)'!$A$3,"MA_HT","DXH","MA_QH","TIN")</f>
        <v>0</v>
      </c>
      <c r="BB38" s="74">
        <f>+GETPIVOTDATA("TNG4",'ngaigiao (2016)'!$A$3,"MA_HT","DXH","MA_QH","SON")</f>
        <v>0</v>
      </c>
      <c r="BC38" s="74">
        <f>+GETPIVOTDATA("TNG4",'ngaigiao (2016)'!$A$3,"MA_HT","DXH","MA_QH","MNC")</f>
        <v>0</v>
      </c>
      <c r="BD38" s="74">
        <f>+GETPIVOTDATA("TNG4",'ngaigiao (2016)'!$A$3,"MA_HT","DXH","MA_QH","PNK")</f>
        <v>0</v>
      </c>
      <c r="BE38" s="102">
        <f>+GETPIVOTDATA("TNG4",'ngaigiao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+GETPIVOTDATA("TNG4",'ngaigiao (2016)'!$A$3,"MA_HT","DCH","MA_QH","LUC")</f>
        <v>0</v>
      </c>
      <c r="H39" s="74">
        <f>+GETPIVOTDATA("TNG4",'ngaigiao (2016)'!$A$3,"MA_HT","DCH","MA_QH","LUK")</f>
        <v>0</v>
      </c>
      <c r="I39" s="74">
        <f>+GETPIVOTDATA("TNG4",'ngaigiao (2016)'!$A$3,"MA_HT","DCH","MA_QH","LUN")</f>
        <v>0</v>
      </c>
      <c r="J39" s="74">
        <f>+GETPIVOTDATA("TNG4",'ngaigiao (2016)'!$A$3,"MA_HT","DCH","MA_QH","HNK")</f>
        <v>0</v>
      </c>
      <c r="K39" s="74">
        <f>+GETPIVOTDATA("TNG4",'ngaigiao (2016)'!$A$3,"MA_HT","DCH","MA_QH","CLN")</f>
        <v>0</v>
      </c>
      <c r="L39" s="74">
        <f>+GETPIVOTDATA("TNG4",'ngaigiao (2016)'!$A$3,"MA_HT","DCH","MA_QH","RSX")</f>
        <v>0</v>
      </c>
      <c r="M39" s="74">
        <f>+GETPIVOTDATA("TNG4",'ngaigiao (2016)'!$A$3,"MA_HT","DCH","MA_QH","RPH")</f>
        <v>0</v>
      </c>
      <c r="N39" s="74">
        <f>+GETPIVOTDATA("TNG4",'ngaigiao (2016)'!$A$3,"MA_HT","DCH","MA_QH","RDD")</f>
        <v>0</v>
      </c>
      <c r="O39" s="74">
        <f>+GETPIVOTDATA("TNG4",'ngaigiao (2016)'!$A$3,"MA_HT","DCH","MA_QH","NTS")</f>
        <v>0</v>
      </c>
      <c r="P39" s="74">
        <f>+GETPIVOTDATA("TNG4",'ngaigiao (2016)'!$A$3,"MA_HT","DCH","MA_QH","LMU")</f>
        <v>0</v>
      </c>
      <c r="Q39" s="74">
        <f>+GETPIVOTDATA("TNG4",'ngaigiao (2016)'!$A$3,"MA_HT","DCH","MA_QH","NKH")</f>
        <v>0</v>
      </c>
      <c r="R39" s="72">
        <f t="shared" si="20"/>
        <v>0</v>
      </c>
      <c r="S39" s="74">
        <f>+GETPIVOTDATA("TNG4",'ngaigiao (2016)'!$A$3,"MA_HT","DCH","MA_QH","CQP")</f>
        <v>0</v>
      </c>
      <c r="T39" s="74">
        <f>+GETPIVOTDATA("TNG4",'ngaigiao (2016)'!$A$3,"MA_HT","DCH","MA_QH","CAN")</f>
        <v>0</v>
      </c>
      <c r="U39" s="74">
        <f>+GETPIVOTDATA("TNG4",'ngaigiao (2016)'!$A$3,"MA_HT","DCH","MA_QH","SKK")</f>
        <v>0</v>
      </c>
      <c r="V39" s="74">
        <f>+GETPIVOTDATA("TNG4",'ngaigiao (2016)'!$A$3,"MA_HT","DCH","MA_QH","SKT")</f>
        <v>0</v>
      </c>
      <c r="W39" s="74">
        <f>+GETPIVOTDATA("TNG4",'ngaigiao (2016)'!$A$3,"MA_HT","DCH","MA_QH","SKN")</f>
        <v>0</v>
      </c>
      <c r="X39" s="74">
        <f>+GETPIVOTDATA("TNG4",'ngaigiao (2016)'!$A$3,"MA_HT","DCH","MA_QH","TMD")</f>
        <v>0</v>
      </c>
      <c r="Y39" s="74">
        <f>+GETPIVOTDATA("TNG4",'ngaigiao (2016)'!$A$3,"MA_HT","DCH","MA_QH","SKC")</f>
        <v>0</v>
      </c>
      <c r="Z39" s="74">
        <f>+GETPIVOTDATA("TNG4",'ngaigiao (2016)'!$A$3,"MA_HT","DCH","MA_QH","SKS")</f>
        <v>0</v>
      </c>
      <c r="AA39" s="64">
        <f>+SUM(AB39:AK39,AM39)</f>
        <v>0</v>
      </c>
      <c r="AB39" s="74">
        <f>+GETPIVOTDATA("TNG4",'ngaigiao (2016)'!$A$3,"MA_HT","DCH","MA_QH","DGT")</f>
        <v>0</v>
      </c>
      <c r="AC39" s="74">
        <f>+GETPIVOTDATA("TNG4",'ngaigiao (2016)'!$A$3,"MA_HT","DCH","MA_QH","DTL")</f>
        <v>0</v>
      </c>
      <c r="AD39" s="74">
        <f>+GETPIVOTDATA("TNG4",'ngaigiao (2016)'!$A$3,"MA_HT","DCH","MA_QH","DNL")</f>
        <v>0</v>
      </c>
      <c r="AE39" s="74">
        <f>+GETPIVOTDATA("TNG4",'ngaigiao (2016)'!$A$3,"MA_HT","DCH","MA_QH","DBV")</f>
        <v>0</v>
      </c>
      <c r="AF39" s="74">
        <f>+GETPIVOTDATA("TNG4",'ngaigiao (2016)'!$A$3,"MA_HT","DCH","MA_QH","DVH")</f>
        <v>0</v>
      </c>
      <c r="AG39" s="74">
        <f>+GETPIVOTDATA("TNG4",'ngaigiao (2016)'!$A$3,"MA_HT","DCH","MA_QH","DYT")</f>
        <v>0</v>
      </c>
      <c r="AH39" s="74">
        <f>+GETPIVOTDATA("TNG4",'ngaigiao (2016)'!$A$3,"MA_HT","DCH","MA_QH","DGD")</f>
        <v>0</v>
      </c>
      <c r="AI39" s="74">
        <f>+GETPIVOTDATA("TNG4",'ngaigiao (2016)'!$A$3,"MA_HT","DCH","MA_QH","DTT")</f>
        <v>0</v>
      </c>
      <c r="AJ39" s="74">
        <f>+GETPIVOTDATA("TNG4",'ngaigiao (2016)'!$A$3,"MA_HT","DCH","MA_QH","NCK")</f>
        <v>0</v>
      </c>
      <c r="AK39" s="74">
        <f>+GETPIVOTDATA("TNG4",'ngaigiao (2016)'!$A$3,"MA_HT","DCH","MA_QH","DXH")</f>
        <v>0</v>
      </c>
      <c r="AL39" s="100" t="e">
        <f>$D39-$BF39</f>
        <v>#REF!</v>
      </c>
      <c r="AM39" s="74">
        <f>+GETPIVOTDATA("TNG4",'ngaigiao (2016)'!$A$3,"MA_HT","DXH","MA_QH","DKG")</f>
        <v>0</v>
      </c>
      <c r="AN39" s="74">
        <f>+GETPIVOTDATA("TNG4",'ngaigiao (2016)'!$A$3,"MA_HT","DCH","MA_QH","DDT")</f>
        <v>0</v>
      </c>
      <c r="AO39" s="74">
        <f>+GETPIVOTDATA("TNG4",'ngaigiao (2016)'!$A$3,"MA_HT","DCH","MA_QH","DDL")</f>
        <v>0</v>
      </c>
      <c r="AP39" s="74">
        <f>+GETPIVOTDATA("TNG4",'ngaigiao (2016)'!$A$3,"MA_HT","DCH","MA_QH","DRA")</f>
        <v>0</v>
      </c>
      <c r="AQ39" s="74">
        <f>+GETPIVOTDATA("TNG4",'ngaigiao (2016)'!$A$3,"MA_HT","DCH","MA_QH","ONT")</f>
        <v>0</v>
      </c>
      <c r="AR39" s="74">
        <f>+GETPIVOTDATA("TNG4",'ngaigiao (2016)'!$A$3,"MA_HT","DCH","MA_QH","ODT")</f>
        <v>0</v>
      </c>
      <c r="AS39" s="74">
        <f>+GETPIVOTDATA("TNG4",'ngaigiao (2016)'!$A$3,"MA_HT","DCH","MA_QH","TSC")</f>
        <v>0</v>
      </c>
      <c r="AT39" s="74">
        <f>+GETPIVOTDATA("TNG4",'ngaigiao (2016)'!$A$3,"MA_HT","DCH","MA_QH","DTS")</f>
        <v>0</v>
      </c>
      <c r="AU39" s="74">
        <f>+GETPIVOTDATA("TNG4",'ngaigiao (2016)'!$A$3,"MA_HT","DCH","MA_QH","DNG")</f>
        <v>0</v>
      </c>
      <c r="AV39" s="74">
        <f>+GETPIVOTDATA("TNG4",'ngaigiao (2016)'!$A$3,"MA_HT","DCH","MA_QH","TON")</f>
        <v>0</v>
      </c>
      <c r="AW39" s="74">
        <f>+GETPIVOTDATA("TNG4",'ngaigiao (2016)'!$A$3,"MA_HT","DCH","MA_QH","NTD")</f>
        <v>0</v>
      </c>
      <c r="AX39" s="74">
        <f>+GETPIVOTDATA("TNG4",'ngaigiao (2016)'!$A$3,"MA_HT","DCH","MA_QH","SKX")</f>
        <v>0</v>
      </c>
      <c r="AY39" s="74">
        <f>+GETPIVOTDATA("TNG4",'ngaigiao (2016)'!$A$3,"MA_HT","DCH","MA_QH","DSH")</f>
        <v>0</v>
      </c>
      <c r="AZ39" s="74">
        <f>+GETPIVOTDATA("TNG4",'ngaigiao (2016)'!$A$3,"MA_HT","DCH","MA_QH","DKV")</f>
        <v>0</v>
      </c>
      <c r="BA39" s="139">
        <f>+GETPIVOTDATA("TNG4",'ngaigiao (2016)'!$A$3,"MA_HT","DCH","MA_QH","TIN")</f>
        <v>0</v>
      </c>
      <c r="BB39" s="74">
        <f>+GETPIVOTDATA("TNG4",'ngaigiao (2016)'!$A$3,"MA_HT","DCH","MA_QH","SON")</f>
        <v>0</v>
      </c>
      <c r="BC39" s="74">
        <f>+GETPIVOTDATA("TNG4",'ngaigiao (2016)'!$A$3,"MA_HT","DCH","MA_QH","MNC")</f>
        <v>0</v>
      </c>
      <c r="BD39" s="74">
        <f>+GETPIVOTDATA("TNG4",'ngaigiao (2016)'!$A$3,"MA_HT","DCH","MA_QH","PNK")</f>
        <v>0</v>
      </c>
      <c r="BE39" s="102">
        <f>+GETPIVOTDATA("TNG4",'ngaigiao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+GETPIVOTDATA("TNG4",'ngaigiao (2016)'!$A$3,"MA_HT","DKG","MA_QH","LUC")</f>
        <v>0</v>
      </c>
      <c r="H40" s="74">
        <f>+GETPIVOTDATA("TNG4",'ngaigiao (2016)'!$A$3,"MA_HT","DKG","MA_QH","LUK")</f>
        <v>0</v>
      </c>
      <c r="I40" s="74">
        <f>+GETPIVOTDATA("TNG4",'ngaigiao (2016)'!$A$3,"MA_HT","DKG","MA_QH","LUN")</f>
        <v>0</v>
      </c>
      <c r="J40" s="74">
        <f>+GETPIVOTDATA("TNG4",'ngaigiao (2016)'!$A$3,"MA_HT","DKG","MA_QH","HNK")</f>
        <v>0</v>
      </c>
      <c r="K40" s="74">
        <f>+GETPIVOTDATA("TNG4",'ngaigiao (2016)'!$A$3,"MA_HT","DKG","MA_QH","CLN")</f>
        <v>0</v>
      </c>
      <c r="L40" s="74">
        <f>+GETPIVOTDATA("TNG4",'ngaigiao (2016)'!$A$3,"MA_HT","DKG","MA_QH","RSX")</f>
        <v>0</v>
      </c>
      <c r="M40" s="74">
        <f>+GETPIVOTDATA("TNG4",'ngaigiao (2016)'!$A$3,"MA_HT","DKG","MA_QH","RPH")</f>
        <v>0</v>
      </c>
      <c r="N40" s="74">
        <f>+GETPIVOTDATA("TNG4",'ngaigiao (2016)'!$A$3,"MA_HT","DKG","MA_QH","RDD")</f>
        <v>0</v>
      </c>
      <c r="O40" s="74">
        <f>+GETPIVOTDATA("TNG4",'ngaigiao (2016)'!$A$3,"MA_HT","DKG","MA_QH","NTS")</f>
        <v>0</v>
      </c>
      <c r="P40" s="74">
        <f>+GETPIVOTDATA("TNG4",'ngaigiao (2016)'!$A$3,"MA_HT","DKG","MA_QH","LMU")</f>
        <v>0</v>
      </c>
      <c r="Q40" s="74">
        <f>+GETPIVOTDATA("TNG4",'ngaigiao (2016)'!$A$3,"MA_HT","DKG","MA_QH","NKH")</f>
        <v>0</v>
      </c>
      <c r="R40" s="72">
        <f>SUM(S40:AA40,AN40:BD40)</f>
        <v>0</v>
      </c>
      <c r="S40" s="74">
        <f>+GETPIVOTDATA("TNG4",'ngaigiao (2016)'!$A$3,"MA_HT","DKG","MA_QH","CQP")</f>
        <v>0</v>
      </c>
      <c r="T40" s="74">
        <f>+GETPIVOTDATA("TNG4",'ngaigiao (2016)'!$A$3,"MA_HT","DKG","MA_QH","CAN")</f>
        <v>0</v>
      </c>
      <c r="U40" s="74">
        <f>+GETPIVOTDATA("TNG4",'ngaigiao (2016)'!$A$3,"MA_HT","DKG","MA_QH","SKK")</f>
        <v>0</v>
      </c>
      <c r="V40" s="74">
        <f>+GETPIVOTDATA("TNG4",'ngaigiao (2016)'!$A$3,"MA_HT","DKG","MA_QH","SKT")</f>
        <v>0</v>
      </c>
      <c r="W40" s="74">
        <f>+GETPIVOTDATA("TNG4",'ngaigiao (2016)'!$A$3,"MA_HT","DKG","MA_QH","SKN")</f>
        <v>0</v>
      </c>
      <c r="X40" s="74">
        <f>+GETPIVOTDATA("TNG4",'ngaigiao (2016)'!$A$3,"MA_HT","DKG","MA_QH","TMD")</f>
        <v>0</v>
      </c>
      <c r="Y40" s="74">
        <f>+GETPIVOTDATA("TNG4",'ngaigiao (2016)'!$A$3,"MA_HT","DKG","MA_QH","SKC")</f>
        <v>0</v>
      </c>
      <c r="Z40" s="74">
        <f>+GETPIVOTDATA("TNG4",'ngaigiao (2016)'!$A$3,"MA_HT","DKG","MA_QH","SKS")</f>
        <v>0</v>
      </c>
      <c r="AA40" s="64">
        <f>+SUM(AB40:AL40)</f>
        <v>0</v>
      </c>
      <c r="AB40" s="74">
        <f>+GETPIVOTDATA("TNG4",'ngaigiao (2016)'!$A$3,"MA_HT","DKG","MA_QH","DGT")</f>
        <v>0</v>
      </c>
      <c r="AC40" s="74">
        <f>+GETPIVOTDATA("TNG4",'ngaigiao (2016)'!$A$3,"MA_HT","DKG","MA_QH","DTL")</f>
        <v>0</v>
      </c>
      <c r="AD40" s="74">
        <f>+GETPIVOTDATA("TNG4",'ngaigiao (2016)'!$A$3,"MA_HT","DKG","MA_QH","DNL")</f>
        <v>0</v>
      </c>
      <c r="AE40" s="74">
        <f>+GETPIVOTDATA("TNG4",'ngaigiao (2016)'!$A$3,"MA_HT","DKG","MA_QH","DBV")</f>
        <v>0</v>
      </c>
      <c r="AF40" s="74">
        <f>+GETPIVOTDATA("TNG4",'ngaigiao (2016)'!$A$3,"MA_HT","DKG","MA_QH","DVH")</f>
        <v>0</v>
      </c>
      <c r="AG40" s="74">
        <f>+GETPIVOTDATA("TNG4",'ngaigiao (2016)'!$A$3,"MA_HT","DKG","MA_QH","DYT")</f>
        <v>0</v>
      </c>
      <c r="AH40" s="74">
        <f>+GETPIVOTDATA("TNG4",'ngaigiao (2016)'!$A$3,"MA_HT","DKG","MA_QH","DGD")</f>
        <v>0</v>
      </c>
      <c r="AI40" s="74">
        <f>+GETPIVOTDATA("TNG4",'ngaigiao (2016)'!$A$3,"MA_HT","DKG","MA_QH","DTT")</f>
        <v>0</v>
      </c>
      <c r="AJ40" s="74">
        <f>+GETPIVOTDATA("TNG4",'ngaigiao (2016)'!$A$3,"MA_HT","DKG","MA_QH","NCK")</f>
        <v>0</v>
      </c>
      <c r="AK40" s="74">
        <f>+GETPIVOTDATA("TNG4",'ngaigiao (2016)'!$A$3,"MA_HT","DKG","MA_QH","DXH")</f>
        <v>0</v>
      </c>
      <c r="AL40" s="122">
        <f>+GETPIVOTDATA("TNG4",'ngaigiao (2016)'!$A$3,"MA_HT","DDT","MA_QH","DKG")</f>
        <v>0</v>
      </c>
      <c r="AM40" s="100" t="e">
        <f>$D40-$BF40</f>
        <v>#REF!</v>
      </c>
      <c r="AN40" s="74">
        <f>+GETPIVOTDATA("TNG4",'ngaigiao (2016)'!$A$3,"MA_HT","DKG","MA_QH","DDT")</f>
        <v>0</v>
      </c>
      <c r="AO40" s="74">
        <f>+GETPIVOTDATA("TNG4",'ngaigiao (2016)'!$A$3,"MA_HT","DKG","MA_QH","DDL")</f>
        <v>0</v>
      </c>
      <c r="AP40" s="74">
        <f>+GETPIVOTDATA("TNG4",'ngaigiao (2016)'!$A$3,"MA_HT","DKG","MA_QH","DRA")</f>
        <v>0</v>
      </c>
      <c r="AQ40" s="74">
        <f>+GETPIVOTDATA("TNG4",'ngaigiao (2016)'!$A$3,"MA_HT","DKG","MA_QH","ONT")</f>
        <v>0</v>
      </c>
      <c r="AR40" s="74">
        <f>+GETPIVOTDATA("TNG4",'ngaigiao (2016)'!$A$3,"MA_HT","DKG","MA_QH","ODT")</f>
        <v>0</v>
      </c>
      <c r="AS40" s="74">
        <f>+GETPIVOTDATA("TNG4",'ngaigiao (2016)'!$A$3,"MA_HT","DKG","MA_QH","TSC")</f>
        <v>0</v>
      </c>
      <c r="AT40" s="74">
        <f>+GETPIVOTDATA("TNG4",'ngaigiao (2016)'!$A$3,"MA_HT","DKG","MA_QH","DTS")</f>
        <v>0</v>
      </c>
      <c r="AU40" s="74">
        <f>+GETPIVOTDATA("TNG4",'ngaigiao (2016)'!$A$3,"MA_HT","DKG","MA_QH","DNG")</f>
        <v>0</v>
      </c>
      <c r="AV40" s="74">
        <f>+GETPIVOTDATA("TNG4",'ngaigiao (2016)'!$A$3,"MA_HT","DKG","MA_QH","TON")</f>
        <v>0</v>
      </c>
      <c r="AW40" s="74">
        <f>+GETPIVOTDATA("TNG4",'ngaigiao (2016)'!$A$3,"MA_HT","DKG","MA_QH","NTD")</f>
        <v>0</v>
      </c>
      <c r="AX40" s="74">
        <f>+GETPIVOTDATA("TNG4",'ngaigiao (2016)'!$A$3,"MA_HT","DKG","MA_QH","SKX")</f>
        <v>0</v>
      </c>
      <c r="AY40" s="74">
        <f>+GETPIVOTDATA("TNG4",'ngaigiao (2016)'!$A$3,"MA_HT","DKG","MA_QH","DSH")</f>
        <v>0</v>
      </c>
      <c r="AZ40" s="74">
        <f>+GETPIVOTDATA("TNG4",'ngaigiao (2016)'!$A$3,"MA_HT","DKG","MA_QH","DKV")</f>
        <v>0</v>
      </c>
      <c r="BA40" s="139">
        <f>+GETPIVOTDATA("TNG4",'ngaigiao (2016)'!$A$3,"MA_HT","DKG","MA_QH","TIN")</f>
        <v>0</v>
      </c>
      <c r="BB40" s="74">
        <f>+GETPIVOTDATA("TNG4",'ngaigiao (2016)'!$A$3,"MA_HT","DKG","MA_QH","SON")</f>
        <v>0</v>
      </c>
      <c r="BC40" s="74">
        <f>+GETPIVOTDATA("TNG4",'ngaigiao (2016)'!$A$3,"MA_HT","DKG","MA_QH","MNC")</f>
        <v>0</v>
      </c>
      <c r="BD40" s="74">
        <f>+GETPIVOTDATA("TNG4",'ngaigiao (2016)'!$A$3,"MA_HT","DKG","MA_QH","PNK")</f>
        <v>0</v>
      </c>
      <c r="BE40" s="102">
        <f>+GETPIVOTDATA("TNG4",'ngaigiao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+GETPIVOTDATA("TNG4",'ngaigiao (2016)'!$A$3,"MA_HT","DDT","MA_QH","LUC")</f>
        <v>0</v>
      </c>
      <c r="H41" s="122">
        <f>+GETPIVOTDATA("TNG4",'ngaigiao (2016)'!$A$3,"MA_HT","DDT","MA_QH","LUK")</f>
        <v>0</v>
      </c>
      <c r="I41" s="122">
        <f>+GETPIVOTDATA("TNG4",'ngaigiao (2016)'!$A$3,"MA_HT","DDT","MA_QH","LUN")</f>
        <v>0</v>
      </c>
      <c r="J41" s="122">
        <f>+GETPIVOTDATA("TNG4",'ngaigiao (2016)'!$A$3,"MA_HT","DDT","MA_QH","HNK")</f>
        <v>0</v>
      </c>
      <c r="K41" s="122">
        <f>+GETPIVOTDATA("TNG4",'ngaigiao (2016)'!$A$3,"MA_HT","DDT","MA_QH","CLN")</f>
        <v>0</v>
      </c>
      <c r="L41" s="122">
        <f>+GETPIVOTDATA("TNG4",'ngaigiao (2016)'!$A$3,"MA_HT","DDT","MA_QH","RSX")</f>
        <v>0</v>
      </c>
      <c r="M41" s="122">
        <f>+GETPIVOTDATA("TNG4",'ngaigiao (2016)'!$A$3,"MA_HT","DDT","MA_QH","RPH")</f>
        <v>0</v>
      </c>
      <c r="N41" s="122">
        <f>+GETPIVOTDATA("TNG4",'ngaigiao (2016)'!$A$3,"MA_HT","DDT","MA_QH","RDD")</f>
        <v>0</v>
      </c>
      <c r="O41" s="122">
        <f>+GETPIVOTDATA("TNG4",'ngaigiao (2016)'!$A$3,"MA_HT","DDT","MA_QH","NTS")</f>
        <v>0</v>
      </c>
      <c r="P41" s="122">
        <f>+GETPIVOTDATA("TNG4",'ngaigiao (2016)'!$A$3,"MA_HT","DDT","MA_QH","LMU")</f>
        <v>0</v>
      </c>
      <c r="Q41" s="122">
        <f>+GETPIVOTDATA("TNG4",'ngaigiao (2016)'!$A$3,"MA_HT","DDT","MA_QH","NKH")</f>
        <v>0</v>
      </c>
      <c r="R41" s="123">
        <f>SUM(S41:AA41,AO41:BD41)</f>
        <v>0</v>
      </c>
      <c r="S41" s="122">
        <f>+GETPIVOTDATA("TNG4",'ngaigiao (2016)'!$A$3,"MA_HT","DDT","MA_QH","CQP")</f>
        <v>0</v>
      </c>
      <c r="T41" s="122">
        <f>+GETPIVOTDATA("TNG4",'ngaigiao (2016)'!$A$3,"MA_HT","DDT","MA_QH","CAN")</f>
        <v>0</v>
      </c>
      <c r="U41" s="122">
        <f>+GETPIVOTDATA("TNG4",'ngaigiao (2016)'!$A$3,"MA_HT","DDT","MA_QH","SKK")</f>
        <v>0</v>
      </c>
      <c r="V41" s="122">
        <f>+GETPIVOTDATA("TNG4",'ngaigiao (2016)'!$A$3,"MA_HT","DDT","MA_QH","SKT")</f>
        <v>0</v>
      </c>
      <c r="W41" s="122">
        <f>+GETPIVOTDATA("TNG4",'ngaigiao (2016)'!$A$3,"MA_HT","DDT","MA_QH","SKN")</f>
        <v>0</v>
      </c>
      <c r="X41" s="122">
        <f>+GETPIVOTDATA("TNG4",'ngaigiao (2016)'!$A$3,"MA_HT","DDT","MA_QH","TMD")</f>
        <v>0</v>
      </c>
      <c r="Y41" s="122">
        <f>+GETPIVOTDATA("TNG4",'ngaigiao (2016)'!$A$3,"MA_HT","DDT","MA_QH","SKC")</f>
        <v>0</v>
      </c>
      <c r="Z41" s="122">
        <f>+GETPIVOTDATA("TNG4",'ngaigiao (2016)'!$A$3,"MA_HT","DDT","MA_QH","SKS")</f>
        <v>0</v>
      </c>
      <c r="AA41" s="121">
        <f t="shared" ref="AA41:AA58" si="21">+SUM(AB41:AM41)</f>
        <v>0</v>
      </c>
      <c r="AB41" s="122">
        <f>+GETPIVOTDATA("TNG4",'ngaigiao (2016)'!$A$3,"MA_HT","DDT","MA_QH","DGT")</f>
        <v>0</v>
      </c>
      <c r="AC41" s="122">
        <f>+GETPIVOTDATA("TNG4",'ngaigiao (2016)'!$A$3,"MA_HT","DDT","MA_QH","DTL")</f>
        <v>0</v>
      </c>
      <c r="AD41" s="122">
        <f>+GETPIVOTDATA("TNG4",'ngaigiao (2016)'!$A$3,"MA_HT","DDT","MA_QH","DNL")</f>
        <v>0</v>
      </c>
      <c r="AE41" s="122">
        <f>+GETPIVOTDATA("TNG4",'ngaigiao (2016)'!$A$3,"MA_HT","DDT","MA_QH","DBV")</f>
        <v>0</v>
      </c>
      <c r="AF41" s="122">
        <f>+GETPIVOTDATA("TNG4",'ngaigiao (2016)'!$A$3,"MA_HT","DDT","MA_QH","DVH")</f>
        <v>0</v>
      </c>
      <c r="AG41" s="122">
        <f>+GETPIVOTDATA("TNG4",'ngaigiao (2016)'!$A$3,"MA_HT","DDT","MA_QH","DYT")</f>
        <v>0</v>
      </c>
      <c r="AH41" s="122">
        <f>+GETPIVOTDATA("TNG4",'ngaigiao (2016)'!$A$3,"MA_HT","DDT","MA_QH","DGD")</f>
        <v>0</v>
      </c>
      <c r="AI41" s="122">
        <f>+GETPIVOTDATA("TNG4",'ngaigiao (2016)'!$A$3,"MA_HT","DDT","MA_QH","DTT")</f>
        <v>0</v>
      </c>
      <c r="AJ41" s="122">
        <f>+GETPIVOTDATA("TNG4",'ngaigiao (2016)'!$A$3,"MA_HT","DDT","MA_QH","NCK")</f>
        <v>0</v>
      </c>
      <c r="AK41" s="122">
        <f>+GETPIVOTDATA("TNG4",'ngaigiao (2016)'!$A$3,"MA_HT","DDT","MA_QH","DXH")</f>
        <v>0</v>
      </c>
      <c r="AL41" s="122">
        <f>+GETPIVOTDATA("TNG4",'ngaigiao (2016)'!$A$3,"MA_HT","DDT","MA_QH","DCH")</f>
        <v>0</v>
      </c>
      <c r="AM41" s="122">
        <f>+GETPIVOTDATA("TNG4",'ngaigiao (2016)'!$A$3,"MA_HT","DDT","MA_QH","DKG")</f>
        <v>0</v>
      </c>
      <c r="AN41" s="124" t="e">
        <f>$D41-$BF41</f>
        <v>#REF!</v>
      </c>
      <c r="AO41" s="122">
        <f>+GETPIVOTDATA("TNG4",'ngaigiao (2016)'!$A$3,"MA_HT","DDT","MA_QH","DDL")</f>
        <v>0</v>
      </c>
      <c r="AP41" s="122">
        <f>+GETPIVOTDATA("TNG4",'ngaigiao (2016)'!$A$3,"MA_HT","DDT","MA_QH","DRA")</f>
        <v>0</v>
      </c>
      <c r="AQ41" s="122">
        <f>+GETPIVOTDATA("TNG4",'ngaigiao (2016)'!$A$3,"MA_HT","DDT","MA_QH","ONT")</f>
        <v>0</v>
      </c>
      <c r="AR41" s="122">
        <f>+GETPIVOTDATA("TNG4",'ngaigiao (2016)'!$A$3,"MA_HT","DDT","MA_QH","ODT")</f>
        <v>0</v>
      </c>
      <c r="AS41" s="122">
        <f>+GETPIVOTDATA("TNG4",'ngaigiao (2016)'!$A$3,"MA_HT","DDT","MA_QH","TSC")</f>
        <v>0</v>
      </c>
      <c r="AT41" s="122">
        <f>+GETPIVOTDATA("TNG4",'ngaigiao (2016)'!$A$3,"MA_HT","DDT","MA_QH","DTS")</f>
        <v>0</v>
      </c>
      <c r="AU41" s="122">
        <f>+GETPIVOTDATA("TNG4",'ngaigiao (2016)'!$A$3,"MA_HT","DDT","MA_QH","DNG")</f>
        <v>0</v>
      </c>
      <c r="AV41" s="122">
        <f>+GETPIVOTDATA("TNG4",'ngaigiao (2016)'!$A$3,"MA_HT","DDT","MA_QH","TON")</f>
        <v>0</v>
      </c>
      <c r="AW41" s="122">
        <f>+GETPIVOTDATA("TNG4",'ngaigiao (2016)'!$A$3,"MA_HT","DDT","MA_QH","NTD")</f>
        <v>0</v>
      </c>
      <c r="AX41" s="122">
        <f>+GETPIVOTDATA("TNG4",'ngaigiao (2016)'!$A$3,"MA_HT","DDT","MA_QH","SKX")</f>
        <v>0</v>
      </c>
      <c r="AY41" s="122">
        <f>+GETPIVOTDATA("TNG4",'ngaigiao (2016)'!$A$3,"MA_HT","DDT","MA_QH","DSH")</f>
        <v>0</v>
      </c>
      <c r="AZ41" s="122">
        <f>+GETPIVOTDATA("TNG4",'ngaigiao (2016)'!$A$3,"MA_HT","DDT","MA_QH","DKV")</f>
        <v>0</v>
      </c>
      <c r="BA41" s="141">
        <f>+GETPIVOTDATA("TNG4",'ngaigiao (2016)'!$A$3,"MA_HT","DDT","MA_QH","TIN")</f>
        <v>0</v>
      </c>
      <c r="BB41" s="125">
        <f>+GETPIVOTDATA("TNG4",'ngaigiao (2016)'!$A$3,"MA_HT","DDT","MA_QH","SON")</f>
        <v>0</v>
      </c>
      <c r="BC41" s="125">
        <f>+GETPIVOTDATA("TNG4",'ngaigiao (2016)'!$A$3,"MA_HT","DDT","MA_QH","MNC")</f>
        <v>0</v>
      </c>
      <c r="BD41" s="122">
        <f>+GETPIVOTDATA("TNG4",'ngaigiao (2016)'!$A$3,"MA_HT","DDT","MA_QH","PNK")</f>
        <v>0</v>
      </c>
      <c r="BE41" s="126">
        <f>+GETPIVOTDATA("TNG4",'ngaigiao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+GETPIVOTDATA("TNG4",'ngaigiao (2016)'!$A$3,"MA_HT","DDL","MA_QH","LUC")</f>
        <v>0</v>
      </c>
      <c r="H42" s="35">
        <f>+GETPIVOTDATA("TNG4",'ngaigiao (2016)'!$A$3,"MA_HT","DDL","MA_QH","LUK")</f>
        <v>0</v>
      </c>
      <c r="I42" s="35">
        <f>+GETPIVOTDATA("TNG4",'ngaigiao (2016)'!$A$3,"MA_HT","DDL","MA_QH","LUN")</f>
        <v>0</v>
      </c>
      <c r="J42" s="35">
        <f>+GETPIVOTDATA("TNG4",'ngaigiao (2016)'!$A$3,"MA_HT","DDL","MA_QH","HNK")</f>
        <v>0</v>
      </c>
      <c r="K42" s="35">
        <f>+GETPIVOTDATA("TNG4",'ngaigiao (2016)'!$A$3,"MA_HT","DDL","MA_QH","CLN")</f>
        <v>0</v>
      </c>
      <c r="L42" s="35">
        <f>+GETPIVOTDATA("TNG4",'ngaigiao (2016)'!$A$3,"MA_HT","DDL","MA_QH","RSX")</f>
        <v>0</v>
      </c>
      <c r="M42" s="35">
        <f>+GETPIVOTDATA("TNG4",'ngaigiao (2016)'!$A$3,"MA_HT","DDL","MA_QH","RPH")</f>
        <v>0</v>
      </c>
      <c r="N42" s="35">
        <f>+GETPIVOTDATA("TNG4",'ngaigiao (2016)'!$A$3,"MA_HT","DDL","MA_QH","RDD")</f>
        <v>0</v>
      </c>
      <c r="O42" s="35">
        <f>+GETPIVOTDATA("TNG4",'ngaigiao (2016)'!$A$3,"MA_HT","DDL","MA_QH","NTS")</f>
        <v>0</v>
      </c>
      <c r="P42" s="35">
        <f>+GETPIVOTDATA("TNG4",'ngaigiao (2016)'!$A$3,"MA_HT","DDL","MA_QH","LMU")</f>
        <v>0</v>
      </c>
      <c r="Q42" s="35">
        <f>+GETPIVOTDATA("TNG4",'ngaigiao (2016)'!$A$3,"MA_HT","DDL","MA_QH","NKH")</f>
        <v>0</v>
      </c>
      <c r="R42" s="106">
        <f>SUM(S42:AA42,AN42,AP42:BD42)</f>
        <v>0</v>
      </c>
      <c r="S42" s="35">
        <f>+GETPIVOTDATA("TNG4",'ngaigiao (2016)'!$A$3,"MA_HT","DDL","MA_QH","CQP")</f>
        <v>0</v>
      </c>
      <c r="T42" s="35">
        <f>+GETPIVOTDATA("TNG4",'ngaigiao (2016)'!$A$3,"MA_HT","DDL","MA_QH","CAN")</f>
        <v>0</v>
      </c>
      <c r="U42" s="35">
        <f>+GETPIVOTDATA("TNG4",'ngaigiao (2016)'!$A$3,"MA_HT","DDL","MA_QH","SKK")</f>
        <v>0</v>
      </c>
      <c r="V42" s="35">
        <f>+GETPIVOTDATA("TNG4",'ngaigiao (2016)'!$A$3,"MA_HT","DDL","MA_QH","SKT")</f>
        <v>0</v>
      </c>
      <c r="W42" s="35">
        <f>+GETPIVOTDATA("TNG4",'ngaigiao (2016)'!$A$3,"MA_HT","DDL","MA_QH","SKN")</f>
        <v>0</v>
      </c>
      <c r="X42" s="35">
        <f>+GETPIVOTDATA("TNG4",'ngaigiao (2016)'!$A$3,"MA_HT","DDL","MA_QH","TMD")</f>
        <v>0</v>
      </c>
      <c r="Y42" s="35">
        <f>+GETPIVOTDATA("TNG4",'ngaigiao (2016)'!$A$3,"MA_HT","DDL","MA_QH","SKC")</f>
        <v>0</v>
      </c>
      <c r="Z42" s="35">
        <f>+GETPIVOTDATA("TNG4",'ngaigiao (2016)'!$A$3,"MA_HT","DDL","MA_QH","SKS")</f>
        <v>0</v>
      </c>
      <c r="AA42" s="64">
        <f t="shared" si="21"/>
        <v>0</v>
      </c>
      <c r="AB42" s="35">
        <f>+GETPIVOTDATA("TNG4",'ngaigiao (2016)'!$A$3,"MA_HT","DDL","MA_QH","DGT")</f>
        <v>0</v>
      </c>
      <c r="AC42" s="35">
        <f>+GETPIVOTDATA("TNG4",'ngaigiao (2016)'!$A$3,"MA_HT","DDL","MA_QH","DTL")</f>
        <v>0</v>
      </c>
      <c r="AD42" s="35">
        <f>+GETPIVOTDATA("TNG4",'ngaigiao (2016)'!$A$3,"MA_HT","DDL","MA_QH","DNL")</f>
        <v>0</v>
      </c>
      <c r="AE42" s="35">
        <f>+GETPIVOTDATA("TNG4",'ngaigiao (2016)'!$A$3,"MA_HT","DDL","MA_QH","DBV")</f>
        <v>0</v>
      </c>
      <c r="AF42" s="35">
        <f>+GETPIVOTDATA("TNG4",'ngaigiao (2016)'!$A$3,"MA_HT","DDL","MA_QH","DVH")</f>
        <v>0</v>
      </c>
      <c r="AG42" s="35">
        <f>+GETPIVOTDATA("TNG4",'ngaigiao (2016)'!$A$3,"MA_HT","DDL","MA_QH","DYT")</f>
        <v>0</v>
      </c>
      <c r="AH42" s="35">
        <f>+GETPIVOTDATA("TNG4",'ngaigiao (2016)'!$A$3,"MA_HT","DDL","MA_QH","DGD")</f>
        <v>0</v>
      </c>
      <c r="AI42" s="35">
        <f>+GETPIVOTDATA("TNG4",'ngaigiao (2016)'!$A$3,"MA_HT","DDL","MA_QH","DTT")</f>
        <v>0</v>
      </c>
      <c r="AJ42" s="35">
        <f>+GETPIVOTDATA("TNG4",'ngaigiao (2016)'!$A$3,"MA_HT","DDL","MA_QH","NCK")</f>
        <v>0</v>
      </c>
      <c r="AK42" s="35">
        <f>+GETPIVOTDATA("TNG4",'ngaigiao (2016)'!$A$3,"MA_HT","DDL","MA_QH","DXH")</f>
        <v>0</v>
      </c>
      <c r="AL42" s="35">
        <f>+GETPIVOTDATA("TNG4",'ngaigiao (2016)'!$A$3,"MA_HT","DDL","MA_QH","DCH")</f>
        <v>0</v>
      </c>
      <c r="AM42" s="35">
        <f>+GETPIVOTDATA("TNG4",'ngaigiao (2016)'!$A$3,"MA_HT","DDL","MA_QH","DKG")</f>
        <v>0</v>
      </c>
      <c r="AN42" s="35">
        <f>+GETPIVOTDATA("TNG4",'ngaigiao (2016)'!$A$3,"MA_HT","DDL","MA_QH","DDT")</f>
        <v>0</v>
      </c>
      <c r="AO42" s="99" t="e">
        <f>$D42-$BF42</f>
        <v>#REF!</v>
      </c>
      <c r="AP42" s="35">
        <f>+GETPIVOTDATA("TNG4",'ngaigiao (2016)'!$A$3,"MA_HT","DDL","MA_QH","DRA")</f>
        <v>0</v>
      </c>
      <c r="AQ42" s="35">
        <f>+GETPIVOTDATA("TNG4",'ngaigiao (2016)'!$A$3,"MA_HT","DDL","MA_QH","ONT")</f>
        <v>0</v>
      </c>
      <c r="AR42" s="35">
        <f>+GETPIVOTDATA("TNG4",'ngaigiao (2016)'!$A$3,"MA_HT","DDL","MA_QH","ODT")</f>
        <v>0</v>
      </c>
      <c r="AS42" s="35">
        <f>+GETPIVOTDATA("TNG4",'ngaigiao (2016)'!$A$3,"MA_HT","DDL","MA_QH","TSC")</f>
        <v>0</v>
      </c>
      <c r="AT42" s="35">
        <f>+GETPIVOTDATA("TNG4",'ngaigiao (2016)'!$A$3,"MA_HT","DDL","MA_QH","DTS")</f>
        <v>0</v>
      </c>
      <c r="AU42" s="35">
        <f>+GETPIVOTDATA("TNG4",'ngaigiao (2016)'!$A$3,"MA_HT","DDL","MA_QH","DNG")</f>
        <v>0</v>
      </c>
      <c r="AV42" s="35">
        <f>+GETPIVOTDATA("TNG4",'ngaigiao (2016)'!$A$3,"MA_HT","DDL","MA_QH","TON")</f>
        <v>0</v>
      </c>
      <c r="AW42" s="35">
        <f>+GETPIVOTDATA("TNG4",'ngaigiao (2016)'!$A$3,"MA_HT","DDL","MA_QH","NTD")</f>
        <v>0</v>
      </c>
      <c r="AX42" s="35">
        <f>+GETPIVOTDATA("TNG4",'ngaigiao (2016)'!$A$3,"MA_HT","DDL","MA_QH","SKX")</f>
        <v>0</v>
      </c>
      <c r="AY42" s="35">
        <f>+GETPIVOTDATA("TNG4",'ngaigiao (2016)'!$A$3,"MA_HT","DDL","MA_QH","DSH")</f>
        <v>0</v>
      </c>
      <c r="AZ42" s="35">
        <f>+GETPIVOTDATA("TNG4",'ngaigiao (2016)'!$A$3,"MA_HT","DDL","MA_QH","DKV")</f>
        <v>0</v>
      </c>
      <c r="BA42" s="140">
        <f>+GETPIVOTDATA("TNG4",'ngaigiao (2016)'!$A$3,"MA_HT","DDL","MA_QH","TIN")</f>
        <v>0</v>
      </c>
      <c r="BB42" s="74">
        <f>+GETPIVOTDATA("TNG4",'ngaigiao (2016)'!$A$3,"MA_HT","DDL","MA_QH","SON")</f>
        <v>0</v>
      </c>
      <c r="BC42" s="74">
        <f>+GETPIVOTDATA("TNG4",'ngaigiao (2016)'!$A$3,"MA_HT","DDL","MA_QH","MNC")</f>
        <v>0</v>
      </c>
      <c r="BD42" s="35">
        <f>+GETPIVOTDATA("TNG4",'ngaigiao (2016)'!$A$3,"MA_HT","DDL","MA_QH","PNK")</f>
        <v>0</v>
      </c>
      <c r="BE42" s="58">
        <f>+GETPIVOTDATA("TNG4",'ngaigiao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+GETPIVOTDATA("TNG4",'ngaigiao (2016)'!$A$3,"MA_HT","DRA","MA_QH","LUC")</f>
        <v>0</v>
      </c>
      <c r="H43" s="35">
        <f>+GETPIVOTDATA("TNG4",'ngaigiao (2016)'!$A$3,"MA_HT","DRA","MA_QH","LUK")</f>
        <v>0</v>
      </c>
      <c r="I43" s="35">
        <f>+GETPIVOTDATA("TNG4",'ngaigiao (2016)'!$A$3,"MA_HT","DRA","MA_QH","LUN")</f>
        <v>0</v>
      </c>
      <c r="J43" s="35">
        <f>+GETPIVOTDATA("TNG4",'ngaigiao (2016)'!$A$3,"MA_HT","DRA","MA_QH","HNK")</f>
        <v>0</v>
      </c>
      <c r="K43" s="35">
        <f>+GETPIVOTDATA("TNG4",'ngaigiao (2016)'!$A$3,"MA_HT","DRA","MA_QH","CLN")</f>
        <v>0</v>
      </c>
      <c r="L43" s="35">
        <f>+GETPIVOTDATA("TNG4",'ngaigiao (2016)'!$A$3,"MA_HT","DRA","MA_QH","RSX")</f>
        <v>0</v>
      </c>
      <c r="M43" s="35">
        <f>+GETPIVOTDATA("TNG4",'ngaigiao (2016)'!$A$3,"MA_HT","DRA","MA_QH","RPH")</f>
        <v>0</v>
      </c>
      <c r="N43" s="35">
        <f>+GETPIVOTDATA("TNG4",'ngaigiao (2016)'!$A$3,"MA_HT","DRA","MA_QH","RDD")</f>
        <v>0</v>
      </c>
      <c r="O43" s="35">
        <f>+GETPIVOTDATA("TNG4",'ngaigiao (2016)'!$A$3,"MA_HT","DRA","MA_QH","NTS")</f>
        <v>0</v>
      </c>
      <c r="P43" s="35">
        <f>+GETPIVOTDATA("TNG4",'ngaigiao (2016)'!$A$3,"MA_HT","DRA","MA_QH","LMU")</f>
        <v>0</v>
      </c>
      <c r="Q43" s="35">
        <f>+GETPIVOTDATA("TNG4",'ngaigiao (2016)'!$A$3,"MA_HT","DRA","MA_QH","NKH")</f>
        <v>0</v>
      </c>
      <c r="R43" s="106">
        <f>SUM(S43:AA43,AN43:AO43,AQ43:BD43)</f>
        <v>0</v>
      </c>
      <c r="S43" s="35">
        <f>+GETPIVOTDATA("TNG4",'ngaigiao (2016)'!$A$3,"MA_HT","DRA","MA_QH","CQP")</f>
        <v>0</v>
      </c>
      <c r="T43" s="35">
        <f>+GETPIVOTDATA("TNG4",'ngaigiao (2016)'!$A$3,"MA_HT","DRA","MA_QH","CAN")</f>
        <v>0</v>
      </c>
      <c r="U43" s="35">
        <f>+GETPIVOTDATA("TNG4",'ngaigiao (2016)'!$A$3,"MA_HT","DRA","MA_QH","SKK")</f>
        <v>0</v>
      </c>
      <c r="V43" s="35">
        <f>+GETPIVOTDATA("TNG4",'ngaigiao (2016)'!$A$3,"MA_HT","DRA","MA_QH","SKT")</f>
        <v>0</v>
      </c>
      <c r="W43" s="35">
        <f>+GETPIVOTDATA("TNG4",'ngaigiao (2016)'!$A$3,"MA_HT","DRA","MA_QH","SKN")</f>
        <v>0</v>
      </c>
      <c r="X43" s="35">
        <f>+GETPIVOTDATA("TNG4",'ngaigiao (2016)'!$A$3,"MA_HT","DRA","MA_QH","TMD")</f>
        <v>0</v>
      </c>
      <c r="Y43" s="35">
        <f>+GETPIVOTDATA("TNG4",'ngaigiao (2016)'!$A$3,"MA_HT","DRA","MA_QH","SKC")</f>
        <v>0</v>
      </c>
      <c r="Z43" s="35">
        <f>+GETPIVOTDATA("TNG4",'ngaigiao (2016)'!$A$3,"MA_HT","DRA","MA_QH","SKS")</f>
        <v>0</v>
      </c>
      <c r="AA43" s="64">
        <f t="shared" si="21"/>
        <v>0</v>
      </c>
      <c r="AB43" s="35">
        <f>+GETPIVOTDATA("TNG4",'ngaigiao (2016)'!$A$3,"MA_HT","DRA","MA_QH","DGT")</f>
        <v>0</v>
      </c>
      <c r="AC43" s="35">
        <f>+GETPIVOTDATA("TNG4",'ngaigiao (2016)'!$A$3,"MA_HT","DRA","MA_QH","DTL")</f>
        <v>0</v>
      </c>
      <c r="AD43" s="35">
        <f>+GETPIVOTDATA("TNG4",'ngaigiao (2016)'!$A$3,"MA_HT","DRA","MA_QH","DNL")</f>
        <v>0</v>
      </c>
      <c r="AE43" s="35">
        <f>+GETPIVOTDATA("TNG4",'ngaigiao (2016)'!$A$3,"MA_HT","DRA","MA_QH","DBV")</f>
        <v>0</v>
      </c>
      <c r="AF43" s="35">
        <f>+GETPIVOTDATA("TNG4",'ngaigiao (2016)'!$A$3,"MA_HT","DRA","MA_QH","DVH")</f>
        <v>0</v>
      </c>
      <c r="AG43" s="35">
        <f>+GETPIVOTDATA("TNG4",'ngaigiao (2016)'!$A$3,"MA_HT","DRA","MA_QH","DYT")</f>
        <v>0</v>
      </c>
      <c r="AH43" s="35">
        <f>+GETPIVOTDATA("TNG4",'ngaigiao (2016)'!$A$3,"MA_HT","DRA","MA_QH","DGD")</f>
        <v>0</v>
      </c>
      <c r="AI43" s="35">
        <f>+GETPIVOTDATA("TNG4",'ngaigiao (2016)'!$A$3,"MA_HT","DRA","MA_QH","DTT")</f>
        <v>0</v>
      </c>
      <c r="AJ43" s="35">
        <f>+GETPIVOTDATA("TNG4",'ngaigiao (2016)'!$A$3,"MA_HT","DRA","MA_QH","NCK")</f>
        <v>0</v>
      </c>
      <c r="AK43" s="35">
        <f>+GETPIVOTDATA("TNG4",'ngaigiao (2016)'!$A$3,"MA_HT","DRA","MA_QH","DXH")</f>
        <v>0</v>
      </c>
      <c r="AL43" s="35">
        <f>+GETPIVOTDATA("TNG4",'ngaigiao (2016)'!$A$3,"MA_HT","DRA","MA_QH","DCH")</f>
        <v>0</v>
      </c>
      <c r="AM43" s="35">
        <f>+GETPIVOTDATA("TNG4",'ngaigiao (2016)'!$A$3,"MA_HT","DRA","MA_QH","DKG")</f>
        <v>0</v>
      </c>
      <c r="AN43" s="35">
        <f>+GETPIVOTDATA("TNG4",'ngaigiao (2016)'!$A$3,"MA_HT","DRA","MA_QH","DDT")</f>
        <v>0</v>
      </c>
      <c r="AO43" s="35">
        <f>+GETPIVOTDATA("TNG4",'ngaigiao (2016)'!$A$3,"MA_HT","DRA","MA_QH","DDL")</f>
        <v>0</v>
      </c>
      <c r="AP43" s="99" t="e">
        <f>$D43-$BF43</f>
        <v>#REF!</v>
      </c>
      <c r="AQ43" s="35">
        <f>+GETPIVOTDATA("TNG4",'ngaigiao (2016)'!$A$3,"MA_HT","DRA","MA_QH","ONT")</f>
        <v>0</v>
      </c>
      <c r="AR43" s="35">
        <f>+GETPIVOTDATA("TNG4",'ngaigiao (2016)'!$A$3,"MA_HT","DRA","MA_QH","ODT")</f>
        <v>0</v>
      </c>
      <c r="AS43" s="35">
        <f>+GETPIVOTDATA("TNG4",'ngaigiao (2016)'!$A$3,"MA_HT","DRA","MA_QH","TSC")</f>
        <v>0</v>
      </c>
      <c r="AT43" s="35">
        <f>+GETPIVOTDATA("TNG4",'ngaigiao (2016)'!$A$3,"MA_HT","DRA","MA_QH","DTS")</f>
        <v>0</v>
      </c>
      <c r="AU43" s="35">
        <f>+GETPIVOTDATA("TNG4",'ngaigiao (2016)'!$A$3,"MA_HT","DRA","MA_QH","DNG")</f>
        <v>0</v>
      </c>
      <c r="AV43" s="35">
        <f>+GETPIVOTDATA("TNG4",'ngaigiao (2016)'!$A$3,"MA_HT","DRA","MA_QH","TON")</f>
        <v>0</v>
      </c>
      <c r="AW43" s="35">
        <f>+GETPIVOTDATA("TNG4",'ngaigiao (2016)'!$A$3,"MA_HT","DRA","MA_QH","NTD")</f>
        <v>0</v>
      </c>
      <c r="AX43" s="35">
        <f>+GETPIVOTDATA("TNG4",'ngaigiao (2016)'!$A$3,"MA_HT","DRA","MA_QH","SKX")</f>
        <v>0</v>
      </c>
      <c r="AY43" s="35">
        <f>+GETPIVOTDATA("TNG4",'ngaigiao (2016)'!$A$3,"MA_HT","DRA","MA_QH","DSH")</f>
        <v>0</v>
      </c>
      <c r="AZ43" s="35">
        <f>+GETPIVOTDATA("TNG4",'ngaigiao (2016)'!$A$3,"MA_HT","DRA","MA_QH","DKV")</f>
        <v>0</v>
      </c>
      <c r="BA43" s="140">
        <f>+GETPIVOTDATA("TNG4",'ngaigiao (2016)'!$A$3,"MA_HT","DRA","MA_QH","TIN")</f>
        <v>0</v>
      </c>
      <c r="BB43" s="74">
        <f>+GETPIVOTDATA("TNG4",'ngaigiao (2016)'!$A$3,"MA_HT","DRA","MA_QH","SON")</f>
        <v>0</v>
      </c>
      <c r="BC43" s="74">
        <f>+GETPIVOTDATA("TNG4",'ngaigiao (2016)'!$A$3,"MA_HT","DRA","MA_QH","MNC")</f>
        <v>0</v>
      </c>
      <c r="BD43" s="35">
        <f>+GETPIVOTDATA("TNG4",'ngaigiao (2016)'!$A$3,"MA_HT","DRA","MA_QH","PNK")</f>
        <v>0</v>
      </c>
      <c r="BE43" s="58">
        <f>+GETPIVOTDATA("TNG4",'ngaigiao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+GETPIVOTDATA("TNG4",'ngaigiao (2016)'!$A$3,"MA_HT","ONT","MA_QH","LUC")</f>
        <v>0</v>
      </c>
      <c r="H44" s="35">
        <f>+GETPIVOTDATA("TNG4",'ngaigiao (2016)'!$A$3,"MA_HT","ONT","MA_QH","LUK")</f>
        <v>0</v>
      </c>
      <c r="I44" s="35">
        <f>+GETPIVOTDATA("TNG4",'ngaigiao (2016)'!$A$3,"MA_HT","ONT","MA_QH","LUN")</f>
        <v>0</v>
      </c>
      <c r="J44" s="35">
        <f>+GETPIVOTDATA("TNG4",'ngaigiao (2016)'!$A$3,"MA_HT","ONT","MA_QH","HNK")</f>
        <v>0</v>
      </c>
      <c r="K44" s="35">
        <f>+GETPIVOTDATA("TNG4",'ngaigiao (2016)'!$A$3,"MA_HT","ONT","MA_QH","CLN")</f>
        <v>0</v>
      </c>
      <c r="L44" s="35">
        <f>+GETPIVOTDATA("TNG4",'ngaigiao (2016)'!$A$3,"MA_HT","ONT","MA_QH","RSX")</f>
        <v>0</v>
      </c>
      <c r="M44" s="35">
        <f>+GETPIVOTDATA("TNG4",'ngaigiao (2016)'!$A$3,"MA_HT","ONT","MA_QH","RPH")</f>
        <v>0</v>
      </c>
      <c r="N44" s="35">
        <f>+GETPIVOTDATA("TNG4",'ngaigiao (2016)'!$A$3,"MA_HT","ONT","MA_QH","RDD")</f>
        <v>0</v>
      </c>
      <c r="O44" s="35">
        <f>+GETPIVOTDATA("TNG4",'ngaigiao (2016)'!$A$3,"MA_HT","ONT","MA_QH","NTS")</f>
        <v>0</v>
      </c>
      <c r="P44" s="35">
        <f>+GETPIVOTDATA("TNG4",'ngaigiao (2016)'!$A$3,"MA_HT","ONT","MA_QH","LMU")</f>
        <v>0</v>
      </c>
      <c r="Q44" s="35">
        <f>+GETPIVOTDATA("TNG4",'ngaigiao (2016)'!$A$3,"MA_HT","ONT","MA_QH","NKH")</f>
        <v>0</v>
      </c>
      <c r="R44" s="106">
        <f>SUM(S44:AA44,AN44:AP44,AR44:BD44)</f>
        <v>0</v>
      </c>
      <c r="S44" s="35">
        <f>+GETPIVOTDATA("TNG4",'ngaigiao (2016)'!$A$3,"MA_HT","ONT","MA_QH","CQP")</f>
        <v>0</v>
      </c>
      <c r="T44" s="35">
        <f>+GETPIVOTDATA("TNG4",'ngaigiao (2016)'!$A$3,"MA_HT","ONT","MA_QH","CAN")</f>
        <v>0</v>
      </c>
      <c r="U44" s="35">
        <f>+GETPIVOTDATA("TNG4",'ngaigiao (2016)'!$A$3,"MA_HT","ONT","MA_QH","SKK")</f>
        <v>0</v>
      </c>
      <c r="V44" s="35">
        <f>+GETPIVOTDATA("TNG4",'ngaigiao (2016)'!$A$3,"MA_HT","ONT","MA_QH","SKT")</f>
        <v>0</v>
      </c>
      <c r="W44" s="35">
        <f>+GETPIVOTDATA("TNG4",'ngaigiao (2016)'!$A$3,"MA_HT","ONT","MA_QH","SKN")</f>
        <v>0</v>
      </c>
      <c r="X44" s="35">
        <f>+GETPIVOTDATA("TNG4",'ngaigiao (2016)'!$A$3,"MA_HT","ONT","MA_QH","TMD")</f>
        <v>0</v>
      </c>
      <c r="Y44" s="35">
        <f>+GETPIVOTDATA("TNG4",'ngaigiao (2016)'!$A$3,"MA_HT","ONT","MA_QH","SKC")</f>
        <v>0</v>
      </c>
      <c r="Z44" s="35">
        <f>+GETPIVOTDATA("TNG4",'ngaigiao (2016)'!$A$3,"MA_HT","ONT","MA_QH","SKS")</f>
        <v>0</v>
      </c>
      <c r="AA44" s="64">
        <f t="shared" si="21"/>
        <v>0</v>
      </c>
      <c r="AB44" s="35">
        <f>+GETPIVOTDATA("TNG4",'ngaigiao (2016)'!$A$3,"MA_HT","ONT","MA_QH","DGT")</f>
        <v>0</v>
      </c>
      <c r="AC44" s="35">
        <f>+GETPIVOTDATA("TNG4",'ngaigiao (2016)'!$A$3,"MA_HT","ONT","MA_QH","DTL")</f>
        <v>0</v>
      </c>
      <c r="AD44" s="35">
        <f>+GETPIVOTDATA("TNG4",'ngaigiao (2016)'!$A$3,"MA_HT","ONT","MA_QH","DNL")</f>
        <v>0</v>
      </c>
      <c r="AE44" s="35">
        <f>+GETPIVOTDATA("TNG4",'ngaigiao (2016)'!$A$3,"MA_HT","ONT","MA_QH","DBV")</f>
        <v>0</v>
      </c>
      <c r="AF44" s="35">
        <f>+GETPIVOTDATA("TNG4",'ngaigiao (2016)'!$A$3,"MA_HT","ONT","MA_QH","DVH")</f>
        <v>0</v>
      </c>
      <c r="AG44" s="35">
        <f>+GETPIVOTDATA("TNG4",'ngaigiao (2016)'!$A$3,"MA_HT","ONT","MA_QH","DYT")</f>
        <v>0</v>
      </c>
      <c r="AH44" s="35">
        <f>+GETPIVOTDATA("TNG4",'ngaigiao (2016)'!$A$3,"MA_HT","ONT","MA_QH","DGD")</f>
        <v>0</v>
      </c>
      <c r="AI44" s="35">
        <f>+GETPIVOTDATA("TNG4",'ngaigiao (2016)'!$A$3,"MA_HT","ONT","MA_QH","DTT")</f>
        <v>0</v>
      </c>
      <c r="AJ44" s="35">
        <f>+GETPIVOTDATA("TNG4",'ngaigiao (2016)'!$A$3,"MA_HT","ONT","MA_QH","NCK")</f>
        <v>0</v>
      </c>
      <c r="AK44" s="35">
        <f>+GETPIVOTDATA("TNG4",'ngaigiao (2016)'!$A$3,"MA_HT","ONT","MA_QH","DXH")</f>
        <v>0</v>
      </c>
      <c r="AL44" s="35">
        <f>+GETPIVOTDATA("TNG4",'ngaigiao (2016)'!$A$3,"MA_HT","ONT","MA_QH","DCH")</f>
        <v>0</v>
      </c>
      <c r="AM44" s="35">
        <f>+GETPIVOTDATA("TNG4",'ngaigiao (2016)'!$A$3,"MA_HT","ONT","MA_QH","DKG")</f>
        <v>0</v>
      </c>
      <c r="AN44" s="35">
        <f>+GETPIVOTDATA("TNG4",'ngaigiao (2016)'!$A$3,"MA_HT","ONT","MA_QH","DDT")</f>
        <v>0</v>
      </c>
      <c r="AO44" s="35">
        <f>+GETPIVOTDATA("TNG4",'ngaigiao (2016)'!$A$3,"MA_HT","ONT","MA_QH","DDL")</f>
        <v>0</v>
      </c>
      <c r="AP44" s="35">
        <f>+GETPIVOTDATA("TNG4",'ngaigiao (2016)'!$A$3,"MA_HT","ONT","MA_QH","DRA")</f>
        <v>0</v>
      </c>
      <c r="AQ44" s="99" t="e">
        <f>$D44-$BF44</f>
        <v>#REF!</v>
      </c>
      <c r="AR44" s="35">
        <f>+GETPIVOTDATA("TNG4",'ngaigiao (2016)'!$A$3,"MA_HT","ONT","MA_QH","ODT")</f>
        <v>0</v>
      </c>
      <c r="AS44" s="35">
        <f>+GETPIVOTDATA("TNG4",'ngaigiao (2016)'!$A$3,"MA_HT","ONT","MA_QH","TSC")</f>
        <v>0</v>
      </c>
      <c r="AT44" s="35">
        <f>+GETPIVOTDATA("TNG4",'ngaigiao (2016)'!$A$3,"MA_HT","ONT","MA_QH","DTS")</f>
        <v>0</v>
      </c>
      <c r="AU44" s="35">
        <f>+GETPIVOTDATA("TNG4",'ngaigiao (2016)'!$A$3,"MA_HT","ONT","MA_QH","DNG")</f>
        <v>0</v>
      </c>
      <c r="AV44" s="35">
        <f>+GETPIVOTDATA("TNG4",'ngaigiao (2016)'!$A$3,"MA_HT","ONT","MA_QH","TON")</f>
        <v>0</v>
      </c>
      <c r="AW44" s="35">
        <f>+GETPIVOTDATA("TNG4",'ngaigiao (2016)'!$A$3,"MA_HT","ONT","MA_QH","NTD")</f>
        <v>0</v>
      </c>
      <c r="AX44" s="35">
        <f>+GETPIVOTDATA("TNG4",'ngaigiao (2016)'!$A$3,"MA_HT","ONT","MA_QH","SKX")</f>
        <v>0</v>
      </c>
      <c r="AY44" s="35">
        <f>+GETPIVOTDATA("TNG4",'ngaigiao (2016)'!$A$3,"MA_HT","ONT","MA_QH","DSH")</f>
        <v>0</v>
      </c>
      <c r="AZ44" s="35">
        <f>+GETPIVOTDATA("TNG4",'ngaigiao (2016)'!$A$3,"MA_HT","ONT","MA_QH","DKV")</f>
        <v>0</v>
      </c>
      <c r="BA44" s="140">
        <f>+GETPIVOTDATA("TNG4",'ngaigiao (2016)'!$A$3,"MA_HT","ONT","MA_QH","TIN")</f>
        <v>0</v>
      </c>
      <c r="BB44" s="74">
        <f>+GETPIVOTDATA("TNG4",'ngaigiao (2016)'!$A$3,"MA_HT","ONT","MA_QH","SON")</f>
        <v>0</v>
      </c>
      <c r="BC44" s="74">
        <f>+GETPIVOTDATA("TNG4",'ngaigiao (2016)'!$A$3,"MA_HT","ONT","MA_QH","MNC")</f>
        <v>0</v>
      </c>
      <c r="BD44" s="35">
        <f>+GETPIVOTDATA("TNG4",'ngaigiao (2016)'!$A$3,"MA_HT","ONT","MA_QH","PNK")</f>
        <v>0</v>
      </c>
      <c r="BE44" s="58">
        <f>+GETPIVOTDATA("TNG4",'ngaigiao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+GETPIVOTDATA("TNG4",'ngaigiao (2016)'!$A$3,"MA_HT","ODT","MA_QH","LUC")</f>
        <v>0</v>
      </c>
      <c r="H45" s="111">
        <f>+GETPIVOTDATA("TNG4",'ngaigiao (2016)'!$A$3,"MA_HT","ODT","MA_QH","LUK")</f>
        <v>0</v>
      </c>
      <c r="I45" s="111">
        <f>+GETPIVOTDATA("TNG4",'ngaigiao (2016)'!$A$3,"MA_HT","ODT","MA_QH","LUN")</f>
        <v>0</v>
      </c>
      <c r="J45" s="111">
        <f>+GETPIVOTDATA("TNG4",'ngaigiao (2016)'!$A$3,"MA_HT","ODT","MA_QH","HNK")</f>
        <v>0</v>
      </c>
      <c r="K45" s="111">
        <f>+GETPIVOTDATA("TNG4",'ngaigiao (2016)'!$A$3,"MA_HT","ODT","MA_QH","CLN")</f>
        <v>0</v>
      </c>
      <c r="L45" s="111">
        <f>+GETPIVOTDATA("TNG4",'ngaigiao (2016)'!$A$3,"MA_HT","ODT","MA_QH","RSX")</f>
        <v>0</v>
      </c>
      <c r="M45" s="111">
        <f>+GETPIVOTDATA("TNG4",'ngaigiao (2016)'!$A$3,"MA_HT","ODT","MA_QH","RPH")</f>
        <v>0</v>
      </c>
      <c r="N45" s="111">
        <f>+GETPIVOTDATA("TNG4",'ngaigiao (2016)'!$A$3,"MA_HT","ODT","MA_QH","RDD")</f>
        <v>0</v>
      </c>
      <c r="O45" s="111">
        <f>+GETPIVOTDATA("TNG4",'ngaigiao (2016)'!$A$3,"MA_HT","ODT","MA_QH","NTS")</f>
        <v>0</v>
      </c>
      <c r="P45" s="111">
        <f>+GETPIVOTDATA("TNG4",'ngaigiao (2016)'!$A$3,"MA_HT","ODT","MA_QH","LMU")</f>
        <v>0</v>
      </c>
      <c r="Q45" s="111">
        <f>+GETPIVOTDATA("TNG4",'ngaigiao (2016)'!$A$3,"MA_HT","ODT","MA_QH","NKH")</f>
        <v>0</v>
      </c>
      <c r="R45" s="106">
        <f>SUM(S45:AA45,AN45:AQ45,AS45:BD45)</f>
        <v>0</v>
      </c>
      <c r="S45" s="111">
        <f>+GETPIVOTDATA("TNG4",'ngaigiao (2016)'!$A$3,"MA_HT","ODT","MA_QH","CQP")</f>
        <v>0</v>
      </c>
      <c r="T45" s="111">
        <f>+GETPIVOTDATA("TNG4",'ngaigiao (2016)'!$A$3,"MA_HT","ODT","MA_QH","CAN")</f>
        <v>0</v>
      </c>
      <c r="U45" s="111">
        <f>+GETPIVOTDATA("TNG4",'ngaigiao (2016)'!$A$3,"MA_HT","ODT","MA_QH","SKK")</f>
        <v>0</v>
      </c>
      <c r="V45" s="111">
        <f>+GETPIVOTDATA("TNG4",'ngaigiao (2016)'!$A$3,"MA_HT","ODT","MA_QH","SKT")</f>
        <v>0</v>
      </c>
      <c r="W45" s="111">
        <f>+GETPIVOTDATA("TNG4",'ngaigiao (2016)'!$A$3,"MA_HT","ODT","MA_QH","SKN")</f>
        <v>0</v>
      </c>
      <c r="X45" s="111">
        <f>+GETPIVOTDATA("TNG4",'ngaigiao (2016)'!$A$3,"MA_HT","ODT","MA_QH","TMD")</f>
        <v>0</v>
      </c>
      <c r="Y45" s="111">
        <f>+GETPIVOTDATA("TNG4",'ngaigiao (2016)'!$A$3,"MA_HT","ODT","MA_QH","SKC")</f>
        <v>0</v>
      </c>
      <c r="Z45" s="111">
        <f>+GETPIVOTDATA("TNG4",'ngaigiao (2016)'!$A$3,"MA_HT","ODT","MA_QH","SKS")</f>
        <v>0</v>
      </c>
      <c r="AA45" s="104">
        <f t="shared" si="21"/>
        <v>0</v>
      </c>
      <c r="AB45" s="111">
        <f>+GETPIVOTDATA("TNG4",'ngaigiao (2016)'!$A$3,"MA_HT","ODT","MA_QH","DGT")</f>
        <v>0</v>
      </c>
      <c r="AC45" s="111">
        <f>+GETPIVOTDATA("TNG4",'ngaigiao (2016)'!$A$3,"MA_HT","ODT","MA_QH","DTL")</f>
        <v>0</v>
      </c>
      <c r="AD45" s="111">
        <f>+GETPIVOTDATA("TNG4",'ngaigiao (2016)'!$A$3,"MA_HT","ODT","MA_QH","DNL")</f>
        <v>0</v>
      </c>
      <c r="AE45" s="111">
        <f>+GETPIVOTDATA("TNG4",'ngaigiao (2016)'!$A$3,"MA_HT","ODT","MA_QH","DBV")</f>
        <v>0</v>
      </c>
      <c r="AF45" s="111">
        <f>+GETPIVOTDATA("TNG4",'ngaigiao (2016)'!$A$3,"MA_HT","ODT","MA_QH","DVH")</f>
        <v>0</v>
      </c>
      <c r="AG45" s="111">
        <f>+GETPIVOTDATA("TNG4",'ngaigiao (2016)'!$A$3,"MA_HT","ODT","MA_QH","DYT")</f>
        <v>0</v>
      </c>
      <c r="AH45" s="111">
        <f>+GETPIVOTDATA("TNG4",'ngaigiao (2016)'!$A$3,"MA_HT","ODT","MA_QH","DGD")</f>
        <v>0</v>
      </c>
      <c r="AI45" s="111">
        <f>+GETPIVOTDATA("TNG4",'ngaigiao (2016)'!$A$3,"MA_HT","ODT","MA_QH","DTT")</f>
        <v>0</v>
      </c>
      <c r="AJ45" s="111">
        <f>+GETPIVOTDATA("TNG4",'ngaigiao (2016)'!$A$3,"MA_HT","ODT","MA_QH","NCK")</f>
        <v>0</v>
      </c>
      <c r="AK45" s="111">
        <f>+GETPIVOTDATA("TNG4",'ngaigiao (2016)'!$A$3,"MA_HT","ODT","MA_QH","DXH")</f>
        <v>0</v>
      </c>
      <c r="AL45" s="111">
        <f>+GETPIVOTDATA("TNG4",'ngaigiao (2016)'!$A$3,"MA_HT","ODT","MA_QH","DCH")</f>
        <v>0</v>
      </c>
      <c r="AM45" s="111">
        <f>+GETPIVOTDATA("TNG4",'ngaigiao (2016)'!$A$3,"MA_HT","ODT","MA_QH","DKG")</f>
        <v>0</v>
      </c>
      <c r="AN45" s="111">
        <f>+GETPIVOTDATA("TNG4",'ngaigiao (2016)'!$A$3,"MA_HT","ODT","MA_QH","DDT")</f>
        <v>0</v>
      </c>
      <c r="AO45" s="111">
        <f>+GETPIVOTDATA("TNG4",'ngaigiao (2016)'!$A$3,"MA_HT","ODT","MA_QH","DDL")</f>
        <v>0</v>
      </c>
      <c r="AP45" s="111">
        <f>+GETPIVOTDATA("TNG4",'ngaigiao (2016)'!$A$3,"MA_HT","ODT","MA_QH","DRA")</f>
        <v>0</v>
      </c>
      <c r="AQ45" s="111">
        <f>+GETPIVOTDATA("TNG4",'ngaigiao (2016)'!$A$3,"MA_HT","ODT","MA_QH","ONT")</f>
        <v>0</v>
      </c>
      <c r="AR45" s="112" t="e">
        <f>$D45-$BF45</f>
        <v>#REF!</v>
      </c>
      <c r="AS45" s="111">
        <f>+GETPIVOTDATA("TNG4",'ngaigiao (2016)'!$A$3,"MA_HT","ODT","MA_QH","TSC")</f>
        <v>0</v>
      </c>
      <c r="AT45" s="111">
        <f>+GETPIVOTDATA("TNG4",'ngaigiao (2016)'!$A$3,"MA_HT","ODT","MA_QH","DTS")</f>
        <v>0</v>
      </c>
      <c r="AU45" s="111">
        <f>+GETPIVOTDATA("TNG4",'ngaigiao (2016)'!$A$3,"MA_HT","ODT","MA_QH","DNG")</f>
        <v>0</v>
      </c>
      <c r="AV45" s="111">
        <f>+GETPIVOTDATA("TNG4",'ngaigiao (2016)'!$A$3,"MA_HT","ODT","MA_QH","TON")</f>
        <v>0</v>
      </c>
      <c r="AW45" s="111">
        <f>+GETPIVOTDATA("TNG4",'ngaigiao (2016)'!$A$3,"MA_HT","ODT","MA_QH","NTD")</f>
        <v>0</v>
      </c>
      <c r="AX45" s="111">
        <f>+GETPIVOTDATA("TNG4",'ngaigiao (2016)'!$A$3,"MA_HT","ODT","MA_QH","SKX")</f>
        <v>0</v>
      </c>
      <c r="AY45" s="111">
        <f>+GETPIVOTDATA("TNG4",'ngaigiao (2016)'!$A$3,"MA_HT","ODT","MA_QH","DSH")</f>
        <v>0</v>
      </c>
      <c r="AZ45" s="111">
        <f>+GETPIVOTDATA("TNG4",'ngaigiao (2016)'!$A$3,"MA_HT","ODT","MA_QH","DKV")</f>
        <v>0</v>
      </c>
      <c r="BA45" s="142">
        <f>+GETPIVOTDATA("TNG4",'ngaigiao (2016)'!$A$3,"MA_HT","ODT","MA_QH","TIN")</f>
        <v>0</v>
      </c>
      <c r="BB45" s="105">
        <f>+GETPIVOTDATA("TNG4",'ngaigiao (2016)'!$A$3,"MA_HT","ODT","MA_QH","SON")</f>
        <v>0</v>
      </c>
      <c r="BC45" s="105">
        <f>+GETPIVOTDATA("TNG4",'ngaigiao (2016)'!$A$3,"MA_HT","ODT","MA_QH","MNC")</f>
        <v>0</v>
      </c>
      <c r="BD45" s="111">
        <f>+GETPIVOTDATA("TNG4",'ngaigiao (2016)'!$A$3,"MA_HT","ODT","MA_QH","PNK")</f>
        <v>0</v>
      </c>
      <c r="BE45" s="113">
        <f>+GETPIVOTDATA("TNG4",'ngaigiao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+GETPIVOTDATA("TNG4",'ngaigiao (2016)'!$A$3,"MA_HT","TSC","MA_QH","LUC")</f>
        <v>0</v>
      </c>
      <c r="H46" s="35">
        <f>+GETPIVOTDATA("TNG4",'ngaigiao (2016)'!$A$3,"MA_HT","TSC","MA_QH","LUK")</f>
        <v>0</v>
      </c>
      <c r="I46" s="35">
        <f>+GETPIVOTDATA("TNG4",'ngaigiao (2016)'!$A$3,"MA_HT","TSC","MA_QH","LUN")</f>
        <v>0</v>
      </c>
      <c r="J46" s="35">
        <f>+GETPIVOTDATA("TNG4",'ngaigiao (2016)'!$A$3,"MA_HT","TSC","MA_QH","HNK")</f>
        <v>0</v>
      </c>
      <c r="K46" s="35">
        <f>+GETPIVOTDATA("TNG4",'ngaigiao (2016)'!$A$3,"MA_HT","TSC","MA_QH","CLN")</f>
        <v>0</v>
      </c>
      <c r="L46" s="35">
        <f>+GETPIVOTDATA("TNG4",'ngaigiao (2016)'!$A$3,"MA_HT","TSC","MA_QH","RSX")</f>
        <v>0</v>
      </c>
      <c r="M46" s="35">
        <f>+GETPIVOTDATA("TNG4",'ngaigiao (2016)'!$A$3,"MA_HT","TSC","MA_QH","RPH")</f>
        <v>0</v>
      </c>
      <c r="N46" s="35">
        <f>+GETPIVOTDATA("TNG4",'ngaigiao (2016)'!$A$3,"MA_HT","TSC","MA_QH","RDD")</f>
        <v>0</v>
      </c>
      <c r="O46" s="35">
        <f>+GETPIVOTDATA("TNG4",'ngaigiao (2016)'!$A$3,"MA_HT","TSC","MA_QH","NTS")</f>
        <v>0</v>
      </c>
      <c r="P46" s="35">
        <f>+GETPIVOTDATA("TNG4",'ngaigiao (2016)'!$A$3,"MA_HT","TSC","MA_QH","LMU")</f>
        <v>0</v>
      </c>
      <c r="Q46" s="35">
        <f>+GETPIVOTDATA("TNG4",'ngaigiao (2016)'!$A$3,"MA_HT","TSC","MA_QH","NKH")</f>
        <v>0</v>
      </c>
      <c r="R46" s="72">
        <f>SUM(S46:AA46,AN46:AR46,AT46:BD46)</f>
        <v>0</v>
      </c>
      <c r="S46" s="35">
        <f>+GETPIVOTDATA("TNG4",'ngaigiao (2016)'!$A$3,"MA_HT","TSC","MA_QH","CQP")</f>
        <v>0</v>
      </c>
      <c r="T46" s="35">
        <f>+GETPIVOTDATA("TNG4",'ngaigiao (2016)'!$A$3,"MA_HT","TSC","MA_QH","CAN")</f>
        <v>0</v>
      </c>
      <c r="U46" s="35">
        <f>+GETPIVOTDATA("TNG4",'ngaigiao (2016)'!$A$3,"MA_HT","TSC","MA_QH","SKK")</f>
        <v>0</v>
      </c>
      <c r="V46" s="35">
        <f>+GETPIVOTDATA("TNG4",'ngaigiao (2016)'!$A$3,"MA_HT","TSC","MA_QH","SKT")</f>
        <v>0</v>
      </c>
      <c r="W46" s="35">
        <f>+GETPIVOTDATA("TNG4",'ngaigiao (2016)'!$A$3,"MA_HT","TSC","MA_QH","SKN")</f>
        <v>0</v>
      </c>
      <c r="X46" s="35">
        <f>+GETPIVOTDATA("TNG4",'ngaigiao (2016)'!$A$3,"MA_HT","TSC","MA_QH","TMD")</f>
        <v>0</v>
      </c>
      <c r="Y46" s="35">
        <f>+GETPIVOTDATA("TNG4",'ngaigiao (2016)'!$A$3,"MA_HT","TSC","MA_QH","SKC")</f>
        <v>0</v>
      </c>
      <c r="Z46" s="35">
        <f>+GETPIVOTDATA("TNG4",'ngaigiao (2016)'!$A$3,"MA_HT","TSC","MA_QH","SKS")</f>
        <v>0</v>
      </c>
      <c r="AA46" s="64">
        <f t="shared" si="21"/>
        <v>0</v>
      </c>
      <c r="AB46" s="35">
        <f>+GETPIVOTDATA("TNG4",'ngaigiao (2016)'!$A$3,"MA_HT","TSC","MA_QH","DGT")</f>
        <v>0</v>
      </c>
      <c r="AC46" s="35">
        <f>+GETPIVOTDATA("TNG4",'ngaigiao (2016)'!$A$3,"MA_HT","TSC","MA_QH","DTL")</f>
        <v>0</v>
      </c>
      <c r="AD46" s="35">
        <f>+GETPIVOTDATA("TNG4",'ngaigiao (2016)'!$A$3,"MA_HT","TSC","MA_QH","DNL")</f>
        <v>0</v>
      </c>
      <c r="AE46" s="35">
        <f>+GETPIVOTDATA("TNG4",'ngaigiao (2016)'!$A$3,"MA_HT","TSC","MA_QH","DBV")</f>
        <v>0</v>
      </c>
      <c r="AF46" s="35">
        <f>+GETPIVOTDATA("TNG4",'ngaigiao (2016)'!$A$3,"MA_HT","TSC","MA_QH","DVH")</f>
        <v>0</v>
      </c>
      <c r="AG46" s="35">
        <f>+GETPIVOTDATA("TNG4",'ngaigiao (2016)'!$A$3,"MA_HT","TSC","MA_QH","DYT")</f>
        <v>0</v>
      </c>
      <c r="AH46" s="35">
        <f>+GETPIVOTDATA("TNG4",'ngaigiao (2016)'!$A$3,"MA_HT","TSC","MA_QH","DGD")</f>
        <v>0</v>
      </c>
      <c r="AI46" s="35">
        <f>+GETPIVOTDATA("TNG4",'ngaigiao (2016)'!$A$3,"MA_HT","TSC","MA_QH","DTT")</f>
        <v>0</v>
      </c>
      <c r="AJ46" s="35">
        <f>+GETPIVOTDATA("TNG4",'ngaigiao (2016)'!$A$3,"MA_HT","TSC","MA_QH","NCK")</f>
        <v>0</v>
      </c>
      <c r="AK46" s="35">
        <f>+GETPIVOTDATA("TNG4",'ngaigiao (2016)'!$A$3,"MA_HT","TSC","MA_QH","DXH")</f>
        <v>0</v>
      </c>
      <c r="AL46" s="35">
        <f>+GETPIVOTDATA("TNG4",'ngaigiao (2016)'!$A$3,"MA_HT","TSC","MA_QH","DCH")</f>
        <v>0</v>
      </c>
      <c r="AM46" s="35">
        <f>+GETPIVOTDATA("TNG4",'ngaigiao (2016)'!$A$3,"MA_HT","TSC","MA_QH","DKG")</f>
        <v>0</v>
      </c>
      <c r="AN46" s="35">
        <f>+GETPIVOTDATA("TNG4",'ngaigiao (2016)'!$A$3,"MA_HT","TSC","MA_QH","DDT")</f>
        <v>0</v>
      </c>
      <c r="AO46" s="35">
        <f>+GETPIVOTDATA("TNG4",'ngaigiao (2016)'!$A$3,"MA_HT","TSC","MA_QH","DDL")</f>
        <v>0</v>
      </c>
      <c r="AP46" s="35">
        <f>+GETPIVOTDATA("TNG4",'ngaigiao (2016)'!$A$3,"MA_HT","TSC","MA_QH","DRA")</f>
        <v>0</v>
      </c>
      <c r="AQ46" s="35">
        <f>+GETPIVOTDATA("TNG4",'ngaigiao (2016)'!$A$3,"MA_HT","TSC","MA_QH","ONT")</f>
        <v>0</v>
      </c>
      <c r="AR46" s="35">
        <f>+GETPIVOTDATA("TNG4",'ngaigiao (2016)'!$A$3,"MA_HT","TSC","MA_QH","ODT")</f>
        <v>0</v>
      </c>
      <c r="AS46" s="99" t="e">
        <f>$D46-$BF46</f>
        <v>#REF!</v>
      </c>
      <c r="AT46" s="35">
        <f>+GETPIVOTDATA("TNG4",'ngaigiao (2016)'!$A$3,"MA_HT","TSC","MA_QH","DTS")</f>
        <v>0</v>
      </c>
      <c r="AU46" s="35">
        <f>+GETPIVOTDATA("TNG4",'ngaigiao (2016)'!$A$3,"MA_HT","TSC","MA_QH","DNG")</f>
        <v>0</v>
      </c>
      <c r="AV46" s="35">
        <f>+GETPIVOTDATA("TNG4",'ngaigiao (2016)'!$A$3,"MA_HT","TSC","MA_QH","TON")</f>
        <v>0</v>
      </c>
      <c r="AW46" s="35">
        <f>+GETPIVOTDATA("TNG4",'ngaigiao (2016)'!$A$3,"MA_HT","TSC","MA_QH","NTD")</f>
        <v>0</v>
      </c>
      <c r="AX46" s="35">
        <f>+GETPIVOTDATA("TNG4",'ngaigiao (2016)'!$A$3,"MA_HT","TSC","MA_QH","SKX")</f>
        <v>0</v>
      </c>
      <c r="AY46" s="35">
        <f>+GETPIVOTDATA("TNG4",'ngaigiao (2016)'!$A$3,"MA_HT","TSC","MA_QH","DSH")</f>
        <v>0</v>
      </c>
      <c r="AZ46" s="35">
        <f>+GETPIVOTDATA("TNG4",'ngaigiao (2016)'!$A$3,"MA_HT","TSC","MA_QH","DKV")</f>
        <v>0</v>
      </c>
      <c r="BA46" s="140">
        <f>+GETPIVOTDATA("TNG4",'ngaigiao (2016)'!$A$3,"MA_HT","TSC","MA_QH","TIN")</f>
        <v>0</v>
      </c>
      <c r="BB46" s="74">
        <f>+GETPIVOTDATA("TNG4",'ngaigiao (2016)'!$A$3,"MA_HT","TSC","MA_QH","SON")</f>
        <v>0</v>
      </c>
      <c r="BC46" s="74">
        <f>+GETPIVOTDATA("TNG4",'ngaigiao (2016)'!$A$3,"MA_HT","TSC","MA_QH","MNC")</f>
        <v>0</v>
      </c>
      <c r="BD46" s="35">
        <f>+GETPIVOTDATA("TNG4",'ngaigiao (2016)'!$A$3,"MA_HT","TSC","MA_QH","PNK")</f>
        <v>0</v>
      </c>
      <c r="BE46" s="58">
        <f>+GETPIVOTDATA("TNG4",'ngaigiao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+GETPIVOTDATA("TNG4",'ngaigiao (2016)'!$A$3,"MA_HT","DTS","MA_QH","LUC")</f>
        <v>0</v>
      </c>
      <c r="H47" s="122">
        <f>+GETPIVOTDATA("TNG4",'ngaigiao (2016)'!$A$3,"MA_HT","DTS","MA_QH","LUK")</f>
        <v>0</v>
      </c>
      <c r="I47" s="122">
        <f>+GETPIVOTDATA("TNG4",'ngaigiao (2016)'!$A$3,"MA_HT","DTS","MA_QH","LUN")</f>
        <v>0</v>
      </c>
      <c r="J47" s="122">
        <f>+GETPIVOTDATA("TNG4",'ngaigiao (2016)'!$A$3,"MA_HT","DTS","MA_QH","HNK")</f>
        <v>0</v>
      </c>
      <c r="K47" s="122">
        <f>+GETPIVOTDATA("TNG4",'ngaigiao (2016)'!$A$3,"MA_HT","DTS","MA_QH","CLN")</f>
        <v>0</v>
      </c>
      <c r="L47" s="122">
        <f>+GETPIVOTDATA("TNG4",'ngaigiao (2016)'!$A$3,"MA_HT","DTS","MA_QH","RSX")</f>
        <v>0</v>
      </c>
      <c r="M47" s="122">
        <f>+GETPIVOTDATA("TNG4",'ngaigiao (2016)'!$A$3,"MA_HT","DTS","MA_QH","RPH")</f>
        <v>0</v>
      </c>
      <c r="N47" s="122">
        <f>+GETPIVOTDATA("TNG4",'ngaigiao (2016)'!$A$3,"MA_HT","DTS","MA_QH","RDD")</f>
        <v>0</v>
      </c>
      <c r="O47" s="122">
        <f>+GETPIVOTDATA("TNG4",'ngaigiao (2016)'!$A$3,"MA_HT","DTS","MA_QH","NTS")</f>
        <v>0</v>
      </c>
      <c r="P47" s="122">
        <f>+GETPIVOTDATA("TNG4",'ngaigiao (2016)'!$A$3,"MA_HT","DTS","MA_QH","LMU")</f>
        <v>0</v>
      </c>
      <c r="Q47" s="122">
        <f>+GETPIVOTDATA("TNG4",'ngaigiao (2016)'!$A$3,"MA_HT","DTS","MA_QH","NKH")</f>
        <v>0</v>
      </c>
      <c r="R47" s="123">
        <f>SUM(S47:AA47,AN47:AS47,AU47:BD47)</f>
        <v>0</v>
      </c>
      <c r="S47" s="122">
        <f>+GETPIVOTDATA("TNG4",'ngaigiao (2016)'!$A$3,"MA_HT","DTS","MA_QH","CQP")</f>
        <v>0</v>
      </c>
      <c r="T47" s="122">
        <f>+GETPIVOTDATA("TNG4",'ngaigiao (2016)'!$A$3,"MA_HT","DTS","MA_QH","CAN")</f>
        <v>0</v>
      </c>
      <c r="U47" s="122">
        <f>+GETPIVOTDATA("TNG4",'ngaigiao (2016)'!$A$3,"MA_HT","DTS","MA_QH","SKK")</f>
        <v>0</v>
      </c>
      <c r="V47" s="122">
        <f>+GETPIVOTDATA("TNG4",'ngaigiao (2016)'!$A$3,"MA_HT","DTS","MA_QH","SKT")</f>
        <v>0</v>
      </c>
      <c r="W47" s="122">
        <f>+GETPIVOTDATA("TNG4",'ngaigiao (2016)'!$A$3,"MA_HT","DTS","MA_QH","SKN")</f>
        <v>0</v>
      </c>
      <c r="X47" s="122">
        <f>+GETPIVOTDATA("TNG4",'ngaigiao (2016)'!$A$3,"MA_HT","DTS","MA_QH","TMD")</f>
        <v>0</v>
      </c>
      <c r="Y47" s="122">
        <f>+GETPIVOTDATA("TNG4",'ngaigiao (2016)'!$A$3,"MA_HT","DTS","MA_QH","SKC")</f>
        <v>0</v>
      </c>
      <c r="Z47" s="122">
        <f>+GETPIVOTDATA("TNG4",'ngaigiao (2016)'!$A$3,"MA_HT","DTS","MA_QH","SKS")</f>
        <v>0</v>
      </c>
      <c r="AA47" s="121">
        <f t="shared" si="21"/>
        <v>0</v>
      </c>
      <c r="AB47" s="122">
        <f>+GETPIVOTDATA("TNG4",'ngaigiao (2016)'!$A$3,"MA_HT","DTS","MA_QH","DGT")</f>
        <v>0</v>
      </c>
      <c r="AC47" s="122">
        <f>+GETPIVOTDATA("TNG4",'ngaigiao (2016)'!$A$3,"MA_HT","DTS","MA_QH","DTL")</f>
        <v>0</v>
      </c>
      <c r="AD47" s="122">
        <f>+GETPIVOTDATA("TNG4",'ngaigiao (2016)'!$A$3,"MA_HT","DTS","MA_QH","DNL")</f>
        <v>0</v>
      </c>
      <c r="AE47" s="122">
        <f>+GETPIVOTDATA("TNG4",'ngaigiao (2016)'!$A$3,"MA_HT","DTS","MA_QH","DBV")</f>
        <v>0</v>
      </c>
      <c r="AF47" s="122">
        <f>+GETPIVOTDATA("TNG4",'ngaigiao (2016)'!$A$3,"MA_HT","DTS","MA_QH","DVH")</f>
        <v>0</v>
      </c>
      <c r="AG47" s="122">
        <f>+GETPIVOTDATA("TNG4",'ngaigiao (2016)'!$A$3,"MA_HT","DTS","MA_QH","DYT")</f>
        <v>0</v>
      </c>
      <c r="AH47" s="122">
        <f>+GETPIVOTDATA("TNG4",'ngaigiao (2016)'!$A$3,"MA_HT","DTS","MA_QH","DGD")</f>
        <v>0</v>
      </c>
      <c r="AI47" s="122">
        <f>+GETPIVOTDATA("TNG4",'ngaigiao (2016)'!$A$3,"MA_HT","DTS","MA_QH","DTT")</f>
        <v>0</v>
      </c>
      <c r="AJ47" s="122">
        <f>+GETPIVOTDATA("TNG4",'ngaigiao (2016)'!$A$3,"MA_HT","DTS","MA_QH","NCK")</f>
        <v>0</v>
      </c>
      <c r="AK47" s="122">
        <f>+GETPIVOTDATA("TNG4",'ngaigiao (2016)'!$A$3,"MA_HT","DTS","MA_QH","DXH")</f>
        <v>0</v>
      </c>
      <c r="AL47" s="122">
        <f>+GETPIVOTDATA("TNG4",'ngaigiao (2016)'!$A$3,"MA_HT","DTS","MA_QH","DCH")</f>
        <v>0</v>
      </c>
      <c r="AM47" s="122">
        <f>+GETPIVOTDATA("TNG4",'ngaigiao (2016)'!$A$3,"MA_HT","DTS","MA_QH","DKG")</f>
        <v>0</v>
      </c>
      <c r="AN47" s="122">
        <f>+GETPIVOTDATA("TNG4",'ngaigiao (2016)'!$A$3,"MA_HT","DTS","MA_QH","DDT")</f>
        <v>0</v>
      </c>
      <c r="AO47" s="122">
        <f>+GETPIVOTDATA("TNG4",'ngaigiao (2016)'!$A$3,"MA_HT","DTS","MA_QH","DDL")</f>
        <v>0</v>
      </c>
      <c r="AP47" s="122">
        <f>+GETPIVOTDATA("TNG4",'ngaigiao (2016)'!$A$3,"MA_HT","DTS","MA_QH","DRA")</f>
        <v>0</v>
      </c>
      <c r="AQ47" s="122">
        <f>+GETPIVOTDATA("TNG4",'ngaigiao (2016)'!$A$3,"MA_HT","DTS","MA_QH","ONT")</f>
        <v>0</v>
      </c>
      <c r="AR47" s="122">
        <f>+GETPIVOTDATA("TNG4",'ngaigiao (2016)'!$A$3,"MA_HT","DTS","MA_QH","ODT")</f>
        <v>0</v>
      </c>
      <c r="AS47" s="122">
        <f>+GETPIVOTDATA("TNG4",'ngaigiao (2016)'!$A$3,"MA_HT","DTS","MA_QH","TSC")</f>
        <v>0</v>
      </c>
      <c r="AT47" s="124" t="e">
        <f>$D47-$BF47</f>
        <v>#REF!</v>
      </c>
      <c r="AU47" s="122">
        <f>+GETPIVOTDATA("TNG4",'ngaigiao (2016)'!$A$3,"MA_HT","DTS","MA_QH","DNG")</f>
        <v>0</v>
      </c>
      <c r="AV47" s="122">
        <f>+GETPIVOTDATA("TNG4",'ngaigiao (2016)'!$A$3,"MA_HT","DTS","MA_QH","TON")</f>
        <v>0</v>
      </c>
      <c r="AW47" s="122">
        <f>+GETPIVOTDATA("TNG4",'ngaigiao (2016)'!$A$3,"MA_HT","DTS","MA_QH","NTD")</f>
        <v>0</v>
      </c>
      <c r="AX47" s="122">
        <f>+GETPIVOTDATA("TNG4",'ngaigiao (2016)'!$A$3,"MA_HT","DTS","MA_QH","SKX")</f>
        <v>0</v>
      </c>
      <c r="AY47" s="122">
        <f>+GETPIVOTDATA("TNG4",'ngaigiao (2016)'!$A$3,"MA_HT","DTS","MA_QH","DSH")</f>
        <v>0</v>
      </c>
      <c r="AZ47" s="122">
        <f>+GETPIVOTDATA("TNG4",'ngaigiao (2016)'!$A$3,"MA_HT","DTS","MA_QH","DKV")</f>
        <v>0</v>
      </c>
      <c r="BA47" s="141">
        <f>+GETPIVOTDATA("TNG4",'ngaigiao (2016)'!$A$3,"MA_HT","DTS","MA_QH","TIN")</f>
        <v>0</v>
      </c>
      <c r="BB47" s="125">
        <f>+GETPIVOTDATA("TNG4",'ngaigiao (2016)'!$A$3,"MA_HT","DTS","MA_QH","SON")</f>
        <v>0</v>
      </c>
      <c r="BC47" s="125">
        <f>+GETPIVOTDATA("TNG4",'ngaigiao (2016)'!$A$3,"MA_HT","DTS","MA_QH","MNC")</f>
        <v>0</v>
      </c>
      <c r="BD47" s="122">
        <f>+GETPIVOTDATA("TNG4",'ngaigiao (2016)'!$A$3,"MA_HT","DTS","MA_QH","PNK")</f>
        <v>0</v>
      </c>
      <c r="BE47" s="126">
        <f>+GETPIVOTDATA("TNG4",'ngaigiao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+GETPIVOTDATA("TNG4",'ngaigiao (2016)'!$A$3,"MA_HT","DNG","MA_QH","LUC")</f>
        <v>0</v>
      </c>
      <c r="H48" s="35">
        <f>+GETPIVOTDATA("TNG4",'ngaigiao (2016)'!$A$3,"MA_HT","DNG","MA_QH","LUK")</f>
        <v>0</v>
      </c>
      <c r="I48" s="35">
        <f>+GETPIVOTDATA("TNG4",'ngaigiao (2016)'!$A$3,"MA_HT","DNG","MA_QH","LUN")</f>
        <v>0</v>
      </c>
      <c r="J48" s="35">
        <f>+GETPIVOTDATA("TNG4",'ngaigiao (2016)'!$A$3,"MA_HT","DNG","MA_QH","HNK")</f>
        <v>0</v>
      </c>
      <c r="K48" s="35">
        <f>+GETPIVOTDATA("TNG4",'ngaigiao (2016)'!$A$3,"MA_HT","DNG","MA_QH","CLN")</f>
        <v>0</v>
      </c>
      <c r="L48" s="35">
        <f>+GETPIVOTDATA("TNG4",'ngaigiao (2016)'!$A$3,"MA_HT","DNG","MA_QH","RSX")</f>
        <v>0</v>
      </c>
      <c r="M48" s="35">
        <f>+GETPIVOTDATA("TNG4",'ngaigiao (2016)'!$A$3,"MA_HT","DNG","MA_QH","RPH")</f>
        <v>0</v>
      </c>
      <c r="N48" s="35">
        <f>+GETPIVOTDATA("TNG4",'ngaigiao (2016)'!$A$3,"MA_HT","DNG","MA_QH","RDD")</f>
        <v>0</v>
      </c>
      <c r="O48" s="35">
        <f>+GETPIVOTDATA("TNG4",'ngaigiao (2016)'!$A$3,"MA_HT","DNG","MA_QH","NTS")</f>
        <v>0</v>
      </c>
      <c r="P48" s="35">
        <f>+GETPIVOTDATA("TNG4",'ngaigiao (2016)'!$A$3,"MA_HT","DNG","MA_QH","LMU")</f>
        <v>0</v>
      </c>
      <c r="Q48" s="35">
        <f>+GETPIVOTDATA("TNG4",'ngaigiao (2016)'!$A$3,"MA_HT","DNG","MA_QH","NKH")</f>
        <v>0</v>
      </c>
      <c r="R48" s="106">
        <f>SUM(S48:AA48,AN48:AT48,AV48:BD48)</f>
        <v>0</v>
      </c>
      <c r="S48" s="35">
        <f>+GETPIVOTDATA("TNG4",'ngaigiao (2016)'!$A$3,"MA_HT","DNG","MA_QH","CQP")</f>
        <v>0</v>
      </c>
      <c r="T48" s="35">
        <f>+GETPIVOTDATA("TNG4",'ngaigiao (2016)'!$A$3,"MA_HT","DNG","MA_QH","CAN")</f>
        <v>0</v>
      </c>
      <c r="U48" s="35">
        <f>+GETPIVOTDATA("TNG4",'ngaigiao (2016)'!$A$3,"MA_HT","DNG","MA_QH","SKK")</f>
        <v>0</v>
      </c>
      <c r="V48" s="35">
        <f>+GETPIVOTDATA("TNG4",'ngaigiao (2016)'!$A$3,"MA_HT","DNG","MA_QH","SKT")</f>
        <v>0</v>
      </c>
      <c r="W48" s="35">
        <f>+GETPIVOTDATA("TNG4",'ngaigiao (2016)'!$A$3,"MA_HT","DNG","MA_QH","SKN")</f>
        <v>0</v>
      </c>
      <c r="X48" s="35">
        <f>+GETPIVOTDATA("TNG4",'ngaigiao (2016)'!$A$3,"MA_HT","DNG","MA_QH","TMD")</f>
        <v>0</v>
      </c>
      <c r="Y48" s="35">
        <f>+GETPIVOTDATA("TNG4",'ngaigiao (2016)'!$A$3,"MA_HT","DNG","MA_QH","SKC")</f>
        <v>0</v>
      </c>
      <c r="Z48" s="35">
        <f>+GETPIVOTDATA("TNG4",'ngaigiao (2016)'!$A$3,"MA_HT","DNG","MA_QH","SKS")</f>
        <v>0</v>
      </c>
      <c r="AA48" s="64">
        <f t="shared" si="21"/>
        <v>0</v>
      </c>
      <c r="AB48" s="35">
        <f>+GETPIVOTDATA("TNG4",'ngaigiao (2016)'!$A$3,"MA_HT","DNG","MA_QH","DGT")</f>
        <v>0</v>
      </c>
      <c r="AC48" s="35">
        <f>+GETPIVOTDATA("TNG4",'ngaigiao (2016)'!$A$3,"MA_HT","DNG","MA_QH","DTL")</f>
        <v>0</v>
      </c>
      <c r="AD48" s="35">
        <f>+GETPIVOTDATA("TNG4",'ngaigiao (2016)'!$A$3,"MA_HT","DNG","MA_QH","DNL")</f>
        <v>0</v>
      </c>
      <c r="AE48" s="35">
        <f>+GETPIVOTDATA("TNG4",'ngaigiao (2016)'!$A$3,"MA_HT","DNG","MA_QH","DBV")</f>
        <v>0</v>
      </c>
      <c r="AF48" s="35">
        <f>+GETPIVOTDATA("TNG4",'ngaigiao (2016)'!$A$3,"MA_HT","DNG","MA_QH","DVH")</f>
        <v>0</v>
      </c>
      <c r="AG48" s="35">
        <f>+GETPIVOTDATA("TNG4",'ngaigiao (2016)'!$A$3,"MA_HT","DNG","MA_QH","DYT")</f>
        <v>0</v>
      </c>
      <c r="AH48" s="35">
        <f>+GETPIVOTDATA("TNG4",'ngaigiao (2016)'!$A$3,"MA_HT","DNG","MA_QH","DGD")</f>
        <v>0</v>
      </c>
      <c r="AI48" s="35">
        <f>+GETPIVOTDATA("TNG4",'ngaigiao (2016)'!$A$3,"MA_HT","DNG","MA_QH","DTT")</f>
        <v>0</v>
      </c>
      <c r="AJ48" s="35">
        <f>+GETPIVOTDATA("TNG4",'ngaigiao (2016)'!$A$3,"MA_HT","DNG","MA_QH","NCK")</f>
        <v>0</v>
      </c>
      <c r="AK48" s="35">
        <f>+GETPIVOTDATA("TNG4",'ngaigiao (2016)'!$A$3,"MA_HT","DNG","MA_QH","DXH")</f>
        <v>0</v>
      </c>
      <c r="AL48" s="35">
        <f>+GETPIVOTDATA("TNG4",'ngaigiao (2016)'!$A$3,"MA_HT","DNG","MA_QH","DCH")</f>
        <v>0</v>
      </c>
      <c r="AM48" s="35">
        <f>+GETPIVOTDATA("TNG4",'ngaigiao (2016)'!$A$3,"MA_HT","DNG","MA_QH","DKG")</f>
        <v>0</v>
      </c>
      <c r="AN48" s="35">
        <f>+GETPIVOTDATA("TNG4",'ngaigiao (2016)'!$A$3,"MA_HT","DNG","MA_QH","DDT")</f>
        <v>0</v>
      </c>
      <c r="AO48" s="35">
        <f>+GETPIVOTDATA("TNG4",'ngaigiao (2016)'!$A$3,"MA_HT","DNG","MA_QH","DDL")</f>
        <v>0</v>
      </c>
      <c r="AP48" s="35">
        <f>+GETPIVOTDATA("TNG4",'ngaigiao (2016)'!$A$3,"MA_HT","DNG","MA_QH","DRA")</f>
        <v>0</v>
      </c>
      <c r="AQ48" s="35">
        <f>+GETPIVOTDATA("TNG4",'ngaigiao (2016)'!$A$3,"MA_HT","DNG","MA_QH","ONT")</f>
        <v>0</v>
      </c>
      <c r="AR48" s="35">
        <f>+GETPIVOTDATA("TNG4",'ngaigiao (2016)'!$A$3,"MA_HT","DNG","MA_QH","ODT")</f>
        <v>0</v>
      </c>
      <c r="AS48" s="35">
        <f>+GETPIVOTDATA("TNG4",'ngaigiao (2016)'!$A$3,"MA_HT","DNG","MA_QH","TSC")</f>
        <v>0</v>
      </c>
      <c r="AT48" s="35">
        <f>+GETPIVOTDATA("TNG4",'ngaigiao (2016)'!$A$3,"MA_HT","DNG","MA_QH","DTS")</f>
        <v>0</v>
      </c>
      <c r="AU48" s="99" t="e">
        <f>$D48-$BF48</f>
        <v>#REF!</v>
      </c>
      <c r="AV48" s="35">
        <f>+GETPIVOTDATA("TNG4",'ngaigiao (2016)'!$A$3,"MA_HT","DNG","MA_QH","TON")</f>
        <v>0</v>
      </c>
      <c r="AW48" s="35">
        <f>+GETPIVOTDATA("TNG4",'ngaigiao (2016)'!$A$3,"MA_HT","DNG","MA_QH","NTD")</f>
        <v>0</v>
      </c>
      <c r="AX48" s="35">
        <f>+GETPIVOTDATA("TNG4",'ngaigiao (2016)'!$A$3,"MA_HT","DNG","MA_QH","SKX")</f>
        <v>0</v>
      </c>
      <c r="AY48" s="35">
        <f>+GETPIVOTDATA("TNG4",'ngaigiao (2016)'!$A$3,"MA_HT","DNG","MA_QH","DSH")</f>
        <v>0</v>
      </c>
      <c r="AZ48" s="35">
        <f>+GETPIVOTDATA("TNG4",'ngaigiao (2016)'!$A$3,"MA_HT","DNG","MA_QH","DKV")</f>
        <v>0</v>
      </c>
      <c r="BA48" s="140">
        <f>+GETPIVOTDATA("TNG4",'ngaigiao (2016)'!$A$3,"MA_HT","DNG","MA_QH","TIN")</f>
        <v>0</v>
      </c>
      <c r="BB48" s="74">
        <f>+GETPIVOTDATA("TNG4",'ngaigiao (2016)'!$A$3,"MA_HT","DNG","MA_QH","SON")</f>
        <v>0</v>
      </c>
      <c r="BC48" s="74">
        <f>+GETPIVOTDATA("TNG4",'ngaigiao (2016)'!$A$3,"MA_HT","DNG","MA_QH","MNC")</f>
        <v>0</v>
      </c>
      <c r="BD48" s="35">
        <f>+GETPIVOTDATA("TNG4",'ngaigiao (2016)'!$A$3,"MA_HT","DNG","MA_QH","PNK")</f>
        <v>0</v>
      </c>
      <c r="BE48" s="58">
        <f>+GETPIVOTDATA("TNG4",'ngaigiao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+GETPIVOTDATA("TNG4",'ngaigiao (2016)'!$A$3,"MA_HT","TON","MA_QH","LUC")</f>
        <v>0</v>
      </c>
      <c r="H49" s="35">
        <f>+GETPIVOTDATA("TNG4",'ngaigiao (2016)'!$A$3,"MA_HT","TON","MA_QH","LUK")</f>
        <v>0</v>
      </c>
      <c r="I49" s="35">
        <f>+GETPIVOTDATA("TNG4",'ngaigiao (2016)'!$A$3,"MA_HT","TON","MA_QH","LUN")</f>
        <v>0</v>
      </c>
      <c r="J49" s="35">
        <f>+GETPIVOTDATA("TNG4",'ngaigiao (2016)'!$A$3,"MA_HT","TON","MA_QH","HNK")</f>
        <v>0</v>
      </c>
      <c r="K49" s="35">
        <f>+GETPIVOTDATA("TNG4",'ngaigiao (2016)'!$A$3,"MA_HT","TON","MA_QH","CLN")</f>
        <v>0</v>
      </c>
      <c r="L49" s="35">
        <f>+GETPIVOTDATA("TNG4",'ngaigiao (2016)'!$A$3,"MA_HT","TON","MA_QH","RSX")</f>
        <v>0</v>
      </c>
      <c r="M49" s="35">
        <f>+GETPIVOTDATA("TNG4",'ngaigiao (2016)'!$A$3,"MA_HT","TON","MA_QH","RPH")</f>
        <v>0</v>
      </c>
      <c r="N49" s="35">
        <f>+GETPIVOTDATA("TNG4",'ngaigiao (2016)'!$A$3,"MA_HT","TON","MA_QH","RDD")</f>
        <v>0</v>
      </c>
      <c r="O49" s="35">
        <f>+GETPIVOTDATA("TNG4",'ngaigiao (2016)'!$A$3,"MA_HT","TON","MA_QH","NTS")</f>
        <v>0</v>
      </c>
      <c r="P49" s="35">
        <f>+GETPIVOTDATA("TNG4",'ngaigiao (2016)'!$A$3,"MA_HT","TON","MA_QH","LMU")</f>
        <v>0</v>
      </c>
      <c r="Q49" s="35">
        <f>+GETPIVOTDATA("TNG4",'ngaigiao (2016)'!$A$3,"MA_HT","TON","MA_QH","NKH")</f>
        <v>0</v>
      </c>
      <c r="R49" s="106">
        <f>SUM(S49:AA49,AN49:AU49,AW49:BD49)</f>
        <v>0</v>
      </c>
      <c r="S49" s="35">
        <f>+GETPIVOTDATA("TNG4",'ngaigiao (2016)'!$A$3,"MA_HT","TON","MA_QH","CQP")</f>
        <v>0</v>
      </c>
      <c r="T49" s="35">
        <f>+GETPIVOTDATA("TNG4",'ngaigiao (2016)'!$A$3,"MA_HT","TON","MA_QH","CAN")</f>
        <v>0</v>
      </c>
      <c r="U49" s="35">
        <f>+GETPIVOTDATA("TNG4",'ngaigiao (2016)'!$A$3,"MA_HT","TON","MA_QH","SKK")</f>
        <v>0</v>
      </c>
      <c r="V49" s="35">
        <f>+GETPIVOTDATA("TNG4",'ngaigiao (2016)'!$A$3,"MA_HT","TON","MA_QH","SKT")</f>
        <v>0</v>
      </c>
      <c r="W49" s="35">
        <f>+GETPIVOTDATA("TNG4",'ngaigiao (2016)'!$A$3,"MA_HT","TON","MA_QH","SKN")</f>
        <v>0</v>
      </c>
      <c r="X49" s="35">
        <f>+GETPIVOTDATA("TNG4",'ngaigiao (2016)'!$A$3,"MA_HT","TON","MA_QH","TMD")</f>
        <v>0</v>
      </c>
      <c r="Y49" s="35">
        <f>+GETPIVOTDATA("TNG4",'ngaigiao (2016)'!$A$3,"MA_HT","TON","MA_QH","SKC")</f>
        <v>0</v>
      </c>
      <c r="Z49" s="35">
        <f>+GETPIVOTDATA("TNG4",'ngaigiao (2016)'!$A$3,"MA_HT","TON","MA_QH","SKS")</f>
        <v>0</v>
      </c>
      <c r="AA49" s="64">
        <f t="shared" si="21"/>
        <v>0</v>
      </c>
      <c r="AB49" s="35">
        <f>+GETPIVOTDATA("TNG4",'ngaigiao (2016)'!$A$3,"MA_HT","TON","MA_QH","DGT")</f>
        <v>0</v>
      </c>
      <c r="AC49" s="35">
        <f>+GETPIVOTDATA("TNG4",'ngaigiao (2016)'!$A$3,"MA_HT","TON","MA_QH","DTL")</f>
        <v>0</v>
      </c>
      <c r="AD49" s="35">
        <f>+GETPIVOTDATA("TNG4",'ngaigiao (2016)'!$A$3,"MA_HT","TON","MA_QH","DNL")</f>
        <v>0</v>
      </c>
      <c r="AE49" s="35">
        <f>+GETPIVOTDATA("TNG4",'ngaigiao (2016)'!$A$3,"MA_HT","TON","MA_QH","DBV")</f>
        <v>0</v>
      </c>
      <c r="AF49" s="35">
        <f>+GETPIVOTDATA("TNG4",'ngaigiao (2016)'!$A$3,"MA_HT","TON","MA_QH","DVH")</f>
        <v>0</v>
      </c>
      <c r="AG49" s="35">
        <f>+GETPIVOTDATA("TNG4",'ngaigiao (2016)'!$A$3,"MA_HT","TON","MA_QH","DYT")</f>
        <v>0</v>
      </c>
      <c r="AH49" s="35">
        <f>+GETPIVOTDATA("TNG4",'ngaigiao (2016)'!$A$3,"MA_HT","TON","MA_QH","DGD")</f>
        <v>0</v>
      </c>
      <c r="AI49" s="35">
        <f>+GETPIVOTDATA("TNG4",'ngaigiao (2016)'!$A$3,"MA_HT","TON","MA_QH","DTT")</f>
        <v>0</v>
      </c>
      <c r="AJ49" s="35">
        <f>+GETPIVOTDATA("TNG4",'ngaigiao (2016)'!$A$3,"MA_HT","TON","MA_QH","NCK")</f>
        <v>0</v>
      </c>
      <c r="AK49" s="35">
        <f>+GETPIVOTDATA("TNG4",'ngaigiao (2016)'!$A$3,"MA_HT","TON","MA_QH","DXH")</f>
        <v>0</v>
      </c>
      <c r="AL49" s="35">
        <f>+GETPIVOTDATA("TNG4",'ngaigiao (2016)'!$A$3,"MA_HT","TON","MA_QH","DCH")</f>
        <v>0</v>
      </c>
      <c r="AM49" s="35">
        <f>+GETPIVOTDATA("TNG4",'ngaigiao (2016)'!$A$3,"MA_HT","TON","MA_QH","DKG")</f>
        <v>0</v>
      </c>
      <c r="AN49" s="35">
        <f>+GETPIVOTDATA("TNG4",'ngaigiao (2016)'!$A$3,"MA_HT","TON","MA_QH","DDT")</f>
        <v>0</v>
      </c>
      <c r="AO49" s="35">
        <f>+GETPIVOTDATA("TNG4",'ngaigiao (2016)'!$A$3,"MA_HT","TON","MA_QH","DDL")</f>
        <v>0</v>
      </c>
      <c r="AP49" s="35">
        <f>+GETPIVOTDATA("TNG4",'ngaigiao (2016)'!$A$3,"MA_HT","TON","MA_QH","DRA")</f>
        <v>0</v>
      </c>
      <c r="AQ49" s="35">
        <f>+GETPIVOTDATA("TNG4",'ngaigiao (2016)'!$A$3,"MA_HT","TON","MA_QH","ONT")</f>
        <v>0</v>
      </c>
      <c r="AR49" s="35">
        <f>+GETPIVOTDATA("TNG4",'ngaigiao (2016)'!$A$3,"MA_HT","TON","MA_QH","ODT")</f>
        <v>0</v>
      </c>
      <c r="AS49" s="35">
        <f>+GETPIVOTDATA("TNG4",'ngaigiao (2016)'!$A$3,"MA_HT","TON","MA_QH","TSC")</f>
        <v>0</v>
      </c>
      <c r="AT49" s="35">
        <f>+GETPIVOTDATA("TNG4",'ngaigiao (2016)'!$A$3,"MA_HT","TON","MA_QH","DTS")</f>
        <v>0</v>
      </c>
      <c r="AU49" s="35">
        <f>+GETPIVOTDATA("TNG4",'ngaigiao (2016)'!$A$3,"MA_HT","TON","MA_QH","DNG")</f>
        <v>0</v>
      </c>
      <c r="AV49" s="99" t="e">
        <f>$D49-$BF49</f>
        <v>#REF!</v>
      </c>
      <c r="AW49" s="35">
        <f>+GETPIVOTDATA("TNG4",'ngaigiao (2016)'!$A$3,"MA_HT","TON","MA_QH","NTD")</f>
        <v>0</v>
      </c>
      <c r="AX49" s="35">
        <f>+GETPIVOTDATA("TNG4",'ngaigiao (2016)'!$A$3,"MA_HT","TON","MA_QH","SKX")</f>
        <v>0</v>
      </c>
      <c r="AY49" s="35">
        <f>+GETPIVOTDATA("TNG4",'ngaigiao (2016)'!$A$3,"MA_HT","TON","MA_QH","DSH")</f>
        <v>0</v>
      </c>
      <c r="AZ49" s="35">
        <f>+GETPIVOTDATA("TNG4",'ngaigiao (2016)'!$A$3,"MA_HT","TON","MA_QH","DKV")</f>
        <v>0</v>
      </c>
      <c r="BA49" s="140">
        <f>+GETPIVOTDATA("TNG4",'ngaigiao (2016)'!$A$3,"MA_HT","TON","MA_QH","TIN")</f>
        <v>0</v>
      </c>
      <c r="BB49" s="74">
        <f>+GETPIVOTDATA("TNG4",'ngaigiao (2016)'!$A$3,"MA_HT","TON","MA_QH","SON")</f>
        <v>0</v>
      </c>
      <c r="BC49" s="74">
        <f>+GETPIVOTDATA("TNG4",'ngaigiao (2016)'!$A$3,"MA_HT","TON","MA_QH","MNC")</f>
        <v>0</v>
      </c>
      <c r="BD49" s="35">
        <f>+GETPIVOTDATA("TNG4",'ngaigiao (2016)'!$A$3,"MA_HT","TON","MA_QH","PNK")</f>
        <v>0</v>
      </c>
      <c r="BE49" s="58">
        <f>+GETPIVOTDATA("TNG4",'ngaigiao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+GETPIVOTDATA("TNG4",'ngaigiao (2016)'!$A$3,"MA_HT","NTD","MA_QH","LUC")</f>
        <v>0</v>
      </c>
      <c r="H50" s="35">
        <f>+GETPIVOTDATA("TNG4",'ngaigiao (2016)'!$A$3,"MA_HT","NTD","MA_QH","LUK")</f>
        <v>0</v>
      </c>
      <c r="I50" s="35">
        <f>+GETPIVOTDATA("TNG4",'ngaigiao (2016)'!$A$3,"MA_HT","NTD","MA_QH","LUN")</f>
        <v>0</v>
      </c>
      <c r="J50" s="35">
        <f>+GETPIVOTDATA("TNG4",'ngaigiao (2016)'!$A$3,"MA_HT","NTD","MA_QH","HNK")</f>
        <v>0</v>
      </c>
      <c r="K50" s="35">
        <f>+GETPIVOTDATA("TNG4",'ngaigiao (2016)'!$A$3,"MA_HT","NTD","MA_QH","CLN")</f>
        <v>0</v>
      </c>
      <c r="L50" s="35">
        <f>+GETPIVOTDATA("TNG4",'ngaigiao (2016)'!$A$3,"MA_HT","NTD","MA_QH","RSX")</f>
        <v>0</v>
      </c>
      <c r="M50" s="35">
        <f>+GETPIVOTDATA("TNG4",'ngaigiao (2016)'!$A$3,"MA_HT","NTD","MA_QH","RPH")</f>
        <v>0</v>
      </c>
      <c r="N50" s="35">
        <f>+GETPIVOTDATA("TNG4",'ngaigiao (2016)'!$A$3,"MA_HT","NTD","MA_QH","RDD")</f>
        <v>0</v>
      </c>
      <c r="O50" s="35">
        <f>+GETPIVOTDATA("TNG4",'ngaigiao (2016)'!$A$3,"MA_HT","NTD","MA_QH","NTS")</f>
        <v>0</v>
      </c>
      <c r="P50" s="35">
        <f>+GETPIVOTDATA("TNG4",'ngaigiao (2016)'!$A$3,"MA_HT","NTD","MA_QH","LMU")</f>
        <v>0</v>
      </c>
      <c r="Q50" s="35">
        <f>+GETPIVOTDATA("TNG4",'ngaigiao (2016)'!$A$3,"MA_HT","NTD","MA_QH","NKH")</f>
        <v>0</v>
      </c>
      <c r="R50" s="106">
        <f>SUM(S50:AA50,AN50:AV50,AX50:BD50)</f>
        <v>0</v>
      </c>
      <c r="S50" s="35">
        <f>+GETPIVOTDATA("TNG4",'ngaigiao (2016)'!$A$3,"MA_HT","NTD","MA_QH","CQP")</f>
        <v>0</v>
      </c>
      <c r="T50" s="35">
        <f>+GETPIVOTDATA("TNG4",'ngaigiao (2016)'!$A$3,"MA_HT","NTD","MA_QH","CAN")</f>
        <v>0</v>
      </c>
      <c r="U50" s="35">
        <f>+GETPIVOTDATA("TNG4",'ngaigiao (2016)'!$A$3,"MA_HT","NTD","MA_QH","SKK")</f>
        <v>0</v>
      </c>
      <c r="V50" s="35">
        <f>+GETPIVOTDATA("TNG4",'ngaigiao (2016)'!$A$3,"MA_HT","NTD","MA_QH","SKT")</f>
        <v>0</v>
      </c>
      <c r="W50" s="35">
        <f>+GETPIVOTDATA("TNG4",'ngaigiao (2016)'!$A$3,"MA_HT","NTD","MA_QH","SKN")</f>
        <v>0</v>
      </c>
      <c r="X50" s="35">
        <f>+GETPIVOTDATA("TNG4",'ngaigiao (2016)'!$A$3,"MA_HT","NTD","MA_QH","TMD")</f>
        <v>0</v>
      </c>
      <c r="Y50" s="35">
        <f>+GETPIVOTDATA("TNG4",'ngaigiao (2016)'!$A$3,"MA_HT","NTD","MA_QH","SKC")</f>
        <v>0</v>
      </c>
      <c r="Z50" s="35">
        <f>+GETPIVOTDATA("TNG4",'ngaigiao (2016)'!$A$3,"MA_HT","NTD","MA_QH","SKS")</f>
        <v>0</v>
      </c>
      <c r="AA50" s="64">
        <f t="shared" si="21"/>
        <v>0</v>
      </c>
      <c r="AB50" s="35">
        <f>+GETPIVOTDATA("TNG4",'ngaigiao (2016)'!$A$3,"MA_HT","NTD","MA_QH","DGT")</f>
        <v>0</v>
      </c>
      <c r="AC50" s="35">
        <f>+GETPIVOTDATA("TNG4",'ngaigiao (2016)'!$A$3,"MA_HT","NTD","MA_QH","DTL")</f>
        <v>0</v>
      </c>
      <c r="AD50" s="35">
        <f>+GETPIVOTDATA("TNG4",'ngaigiao (2016)'!$A$3,"MA_HT","NTD","MA_QH","DNL")</f>
        <v>0</v>
      </c>
      <c r="AE50" s="35">
        <f>+GETPIVOTDATA("TNG4",'ngaigiao (2016)'!$A$3,"MA_HT","NTD","MA_QH","DBV")</f>
        <v>0</v>
      </c>
      <c r="AF50" s="35">
        <f>+GETPIVOTDATA("TNG4",'ngaigiao (2016)'!$A$3,"MA_HT","NTD","MA_QH","DVH")</f>
        <v>0</v>
      </c>
      <c r="AG50" s="35">
        <f>+GETPIVOTDATA("TNG4",'ngaigiao (2016)'!$A$3,"MA_HT","NTD","MA_QH","DYT")</f>
        <v>0</v>
      </c>
      <c r="AH50" s="35">
        <f>+GETPIVOTDATA("TNG4",'ngaigiao (2016)'!$A$3,"MA_HT","NTD","MA_QH","DGD")</f>
        <v>0</v>
      </c>
      <c r="AI50" s="35">
        <f>+GETPIVOTDATA("TNG4",'ngaigiao (2016)'!$A$3,"MA_HT","NTD","MA_QH","DTT")</f>
        <v>0</v>
      </c>
      <c r="AJ50" s="35">
        <f>+GETPIVOTDATA("TNG4",'ngaigiao (2016)'!$A$3,"MA_HT","NTD","MA_QH","NCK")</f>
        <v>0</v>
      </c>
      <c r="AK50" s="35">
        <f>+GETPIVOTDATA("TNG4",'ngaigiao (2016)'!$A$3,"MA_HT","NTD","MA_QH","DXH")</f>
        <v>0</v>
      </c>
      <c r="AL50" s="35">
        <f>+GETPIVOTDATA("TNG4",'ngaigiao (2016)'!$A$3,"MA_HT","NTD","MA_QH","DCH")</f>
        <v>0</v>
      </c>
      <c r="AM50" s="35">
        <f>+GETPIVOTDATA("TNG4",'ngaigiao (2016)'!$A$3,"MA_HT","NTD","MA_QH","DKG")</f>
        <v>0</v>
      </c>
      <c r="AN50" s="35">
        <f>+GETPIVOTDATA("TNG4",'ngaigiao (2016)'!$A$3,"MA_HT","NTD","MA_QH","DDT")</f>
        <v>0</v>
      </c>
      <c r="AO50" s="35">
        <f>+GETPIVOTDATA("TNG4",'ngaigiao (2016)'!$A$3,"MA_HT","NTD","MA_QH","DDL")</f>
        <v>0</v>
      </c>
      <c r="AP50" s="35">
        <f>+GETPIVOTDATA("TNG4",'ngaigiao (2016)'!$A$3,"MA_HT","NTD","MA_QH","DRA")</f>
        <v>0</v>
      </c>
      <c r="AQ50" s="35">
        <f>+GETPIVOTDATA("TNG4",'ngaigiao (2016)'!$A$3,"MA_HT","NTD","MA_QH","ONT")</f>
        <v>0</v>
      </c>
      <c r="AR50" s="35">
        <f>+GETPIVOTDATA("TNG4",'ngaigiao (2016)'!$A$3,"MA_HT","NTD","MA_QH","ODT")</f>
        <v>0</v>
      </c>
      <c r="AS50" s="35">
        <f>+GETPIVOTDATA("TNG4",'ngaigiao (2016)'!$A$3,"MA_HT","NTD","MA_QH","TSC")</f>
        <v>0</v>
      </c>
      <c r="AT50" s="35">
        <f>+GETPIVOTDATA("TNG4",'ngaigiao (2016)'!$A$3,"MA_HT","NTD","MA_QH","DTS")</f>
        <v>0</v>
      </c>
      <c r="AU50" s="35">
        <f>+GETPIVOTDATA("TNG4",'ngaigiao (2016)'!$A$3,"MA_HT","NTD","MA_QH","DNG")</f>
        <v>0</v>
      </c>
      <c r="AV50" s="35">
        <f>+GETPIVOTDATA("TNG4",'ngaigiao (2016)'!$A$3,"MA_HT","NTD","MA_QH","TON")</f>
        <v>0</v>
      </c>
      <c r="AW50" s="99" t="e">
        <f>$D50-$BF50</f>
        <v>#REF!</v>
      </c>
      <c r="AX50" s="35">
        <f>+GETPIVOTDATA("TNG4",'ngaigiao (2016)'!$A$3,"MA_HT","NTD","MA_QH","SKX")</f>
        <v>0</v>
      </c>
      <c r="AY50" s="35">
        <f>+GETPIVOTDATA("TNG4",'ngaigiao (2016)'!$A$3,"MA_HT","NTD","MA_QH","DSH")</f>
        <v>0</v>
      </c>
      <c r="AZ50" s="35">
        <f>+GETPIVOTDATA("TNG4",'ngaigiao (2016)'!$A$3,"MA_HT","NTD","MA_QH","DKV")</f>
        <v>0</v>
      </c>
      <c r="BA50" s="140">
        <f>+GETPIVOTDATA("TNG4",'ngaigiao (2016)'!$A$3,"MA_HT","NTD","MA_QH","TIN")</f>
        <v>0</v>
      </c>
      <c r="BB50" s="74">
        <f>+GETPIVOTDATA("TNG4",'ngaigiao (2016)'!$A$3,"MA_HT","NTD","MA_QH","SON")</f>
        <v>0</v>
      </c>
      <c r="BC50" s="74">
        <f>+GETPIVOTDATA("TNG4",'ngaigiao (2016)'!$A$3,"MA_HT","NTD","MA_QH","MNC")</f>
        <v>0</v>
      </c>
      <c r="BD50" s="35">
        <f>+GETPIVOTDATA("TNG4",'ngaigiao (2016)'!$A$3,"MA_HT","NTD","MA_QH","PNK")</f>
        <v>0</v>
      </c>
      <c r="BE50" s="58">
        <f>+GETPIVOTDATA("TNG4",'ngaigiao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+GETPIVOTDATA("TNG4",'ngaigiao (2016)'!$A$3,"MA_HT","SKX","MA_QH","LUC")</f>
        <v>0</v>
      </c>
      <c r="H51" s="35">
        <f>+GETPIVOTDATA("TNG4",'ngaigiao (2016)'!$A$3,"MA_HT","SKX","MA_QH","LUK")</f>
        <v>0</v>
      </c>
      <c r="I51" s="35">
        <f>+GETPIVOTDATA("TNG4",'ngaigiao (2016)'!$A$3,"MA_HT","SKX","MA_QH","LUN")</f>
        <v>0</v>
      </c>
      <c r="J51" s="35">
        <f>+GETPIVOTDATA("TNG4",'ngaigiao (2016)'!$A$3,"MA_HT","SKX","MA_QH","HNK")</f>
        <v>0</v>
      </c>
      <c r="K51" s="35">
        <f>+GETPIVOTDATA("TNG4",'ngaigiao (2016)'!$A$3,"MA_HT","SKX","MA_QH","CLN")</f>
        <v>0</v>
      </c>
      <c r="L51" s="35">
        <f>+GETPIVOTDATA("TNG4",'ngaigiao (2016)'!$A$3,"MA_HT","SKX","MA_QH","RSX")</f>
        <v>0</v>
      </c>
      <c r="M51" s="35">
        <f>+GETPIVOTDATA("TNG4",'ngaigiao (2016)'!$A$3,"MA_HT","SKX","MA_QH","RPH")</f>
        <v>0</v>
      </c>
      <c r="N51" s="35">
        <f>+GETPIVOTDATA("TNG4",'ngaigiao (2016)'!$A$3,"MA_HT","SKX","MA_QH","RDD")</f>
        <v>0</v>
      </c>
      <c r="O51" s="35">
        <f>+GETPIVOTDATA("TNG4",'ngaigiao (2016)'!$A$3,"MA_HT","SKX","MA_QH","NTS")</f>
        <v>0</v>
      </c>
      <c r="P51" s="35">
        <f>+GETPIVOTDATA("TNG4",'ngaigiao (2016)'!$A$3,"MA_HT","SKX","MA_QH","LMU")</f>
        <v>0</v>
      </c>
      <c r="Q51" s="35">
        <f>+GETPIVOTDATA("TNG4",'ngaigiao (2016)'!$A$3,"MA_HT","SKX","MA_QH","NKH")</f>
        <v>0</v>
      </c>
      <c r="R51" s="106">
        <f>SUM(S51:AA51,AN51:AW51,AY51:BD51)</f>
        <v>0</v>
      </c>
      <c r="S51" s="35">
        <f>+GETPIVOTDATA("TNG4",'ngaigiao (2016)'!$A$3,"MA_HT","SKX","MA_QH","CQP")</f>
        <v>0</v>
      </c>
      <c r="T51" s="35">
        <f>+GETPIVOTDATA("TNG4",'ngaigiao (2016)'!$A$3,"MA_HT","SKX","MA_QH","CAN")</f>
        <v>0</v>
      </c>
      <c r="U51" s="35">
        <f>+GETPIVOTDATA("TNG4",'ngaigiao (2016)'!$A$3,"MA_HT","SKX","MA_QH","SKK")</f>
        <v>0</v>
      </c>
      <c r="V51" s="35">
        <f>+GETPIVOTDATA("TNG4",'ngaigiao (2016)'!$A$3,"MA_HT","SKX","MA_QH","SKT")</f>
        <v>0</v>
      </c>
      <c r="W51" s="35">
        <f>+GETPIVOTDATA("TNG4",'ngaigiao (2016)'!$A$3,"MA_HT","SKX","MA_QH","SKN")</f>
        <v>0</v>
      </c>
      <c r="X51" s="35">
        <f>+GETPIVOTDATA("TNG4",'ngaigiao (2016)'!$A$3,"MA_HT","SKX","MA_QH","TMD")</f>
        <v>0</v>
      </c>
      <c r="Y51" s="35">
        <f>+GETPIVOTDATA("TNG4",'ngaigiao (2016)'!$A$3,"MA_HT","SKX","MA_QH","SKC")</f>
        <v>0</v>
      </c>
      <c r="Z51" s="35">
        <f>+GETPIVOTDATA("TNG4",'ngaigiao (2016)'!$A$3,"MA_HT","SKX","MA_QH","SKS")</f>
        <v>0</v>
      </c>
      <c r="AA51" s="64">
        <f t="shared" si="21"/>
        <v>0</v>
      </c>
      <c r="AB51" s="35">
        <f>+GETPIVOTDATA("TNG4",'ngaigiao (2016)'!$A$3,"MA_HT","SKX","MA_QH","DGT")</f>
        <v>0</v>
      </c>
      <c r="AC51" s="35">
        <f>+GETPIVOTDATA("TNG4",'ngaigiao (2016)'!$A$3,"MA_HT","SKX","MA_QH","DTL")</f>
        <v>0</v>
      </c>
      <c r="AD51" s="35">
        <f>+GETPIVOTDATA("TNG4",'ngaigiao (2016)'!$A$3,"MA_HT","SKX","MA_QH","DNL")</f>
        <v>0</v>
      </c>
      <c r="AE51" s="35">
        <f>+GETPIVOTDATA("TNG4",'ngaigiao (2016)'!$A$3,"MA_HT","SKX","MA_QH","DBV")</f>
        <v>0</v>
      </c>
      <c r="AF51" s="35">
        <f>+GETPIVOTDATA("TNG4",'ngaigiao (2016)'!$A$3,"MA_HT","SKX","MA_QH","DVH")</f>
        <v>0</v>
      </c>
      <c r="AG51" s="35">
        <f>+GETPIVOTDATA("TNG4",'ngaigiao (2016)'!$A$3,"MA_HT","SKX","MA_QH","DYT")</f>
        <v>0</v>
      </c>
      <c r="AH51" s="35">
        <f>+GETPIVOTDATA("TNG4",'ngaigiao (2016)'!$A$3,"MA_HT","SKX","MA_QH","DGD")</f>
        <v>0</v>
      </c>
      <c r="AI51" s="35">
        <f>+GETPIVOTDATA("TNG4",'ngaigiao (2016)'!$A$3,"MA_HT","SKX","MA_QH","DTT")</f>
        <v>0</v>
      </c>
      <c r="AJ51" s="35">
        <f>+GETPIVOTDATA("TNG4",'ngaigiao (2016)'!$A$3,"MA_HT","SKX","MA_QH","NCK")</f>
        <v>0</v>
      </c>
      <c r="AK51" s="35">
        <f>+GETPIVOTDATA("TNG4",'ngaigiao (2016)'!$A$3,"MA_HT","SKX","MA_QH","DXH")</f>
        <v>0</v>
      </c>
      <c r="AL51" s="35">
        <f>+GETPIVOTDATA("TNG4",'ngaigiao (2016)'!$A$3,"MA_HT","SKX","MA_QH","DCH")</f>
        <v>0</v>
      </c>
      <c r="AM51" s="35">
        <f>+GETPIVOTDATA("TNG4",'ngaigiao (2016)'!$A$3,"MA_HT","SKX","MA_QH","DKG")</f>
        <v>0</v>
      </c>
      <c r="AN51" s="35">
        <f>+GETPIVOTDATA("TNG4",'ngaigiao (2016)'!$A$3,"MA_HT","SKX","MA_QH","DDT")</f>
        <v>0</v>
      </c>
      <c r="AO51" s="35">
        <f>+GETPIVOTDATA("TNG4",'ngaigiao (2016)'!$A$3,"MA_HT","SKX","MA_QH","DDL")</f>
        <v>0</v>
      </c>
      <c r="AP51" s="35">
        <f>+GETPIVOTDATA("TNG4",'ngaigiao (2016)'!$A$3,"MA_HT","SKX","MA_QH","DRA")</f>
        <v>0</v>
      </c>
      <c r="AQ51" s="35">
        <f>+GETPIVOTDATA("TNG4",'ngaigiao (2016)'!$A$3,"MA_HT","SKX","MA_QH","ONT")</f>
        <v>0</v>
      </c>
      <c r="AR51" s="35">
        <f>+GETPIVOTDATA("TNG4",'ngaigiao (2016)'!$A$3,"MA_HT","SKX","MA_QH","ODT")</f>
        <v>0</v>
      </c>
      <c r="AS51" s="35">
        <f>+GETPIVOTDATA("TNG4",'ngaigiao (2016)'!$A$3,"MA_HT","SKX","MA_QH","TSC")</f>
        <v>0</v>
      </c>
      <c r="AT51" s="35">
        <f>+GETPIVOTDATA("TNG4",'ngaigiao (2016)'!$A$3,"MA_HT","SKX","MA_QH","DTS")</f>
        <v>0</v>
      </c>
      <c r="AU51" s="35">
        <f>+GETPIVOTDATA("TNG4",'ngaigiao (2016)'!$A$3,"MA_HT","SKX","MA_QH","DNG")</f>
        <v>0</v>
      </c>
      <c r="AV51" s="35">
        <f>+GETPIVOTDATA("TNG4",'ngaigiao (2016)'!$A$3,"MA_HT","SKX","MA_QH","TON")</f>
        <v>0</v>
      </c>
      <c r="AW51" s="35">
        <f>+GETPIVOTDATA("TNG4",'ngaigiao (2016)'!$A$3,"MA_HT","SKX","MA_QH","NTD")</f>
        <v>0</v>
      </c>
      <c r="AX51" s="99" t="e">
        <f>$D51-$BF51</f>
        <v>#REF!</v>
      </c>
      <c r="AY51" s="35">
        <f>+GETPIVOTDATA("TNG4",'ngaigiao (2016)'!$A$3,"MA_HT","SKX","MA_QH","DSH")</f>
        <v>0</v>
      </c>
      <c r="AZ51" s="35">
        <f>+GETPIVOTDATA("TNG4",'ngaigiao (2016)'!$A$3,"MA_HT","SKX","MA_QH","DKV")</f>
        <v>0</v>
      </c>
      <c r="BA51" s="140">
        <f>+GETPIVOTDATA("TNG4",'ngaigiao (2016)'!$A$3,"MA_HT","SKX","MA_QH","TIN")</f>
        <v>0</v>
      </c>
      <c r="BB51" s="74">
        <f>+GETPIVOTDATA("TNG4",'ngaigiao (2016)'!$A$3,"MA_HT","SKX","MA_QH","SON")</f>
        <v>0</v>
      </c>
      <c r="BC51" s="74">
        <f>+GETPIVOTDATA("TNG4",'ngaigiao (2016)'!$A$3,"MA_HT","SKX","MA_QH","MNC")</f>
        <v>0</v>
      </c>
      <c r="BD51" s="35">
        <f>+GETPIVOTDATA("TNG4",'ngaigiao (2016)'!$A$3,"MA_HT","SKX","MA_QH","PNK")</f>
        <v>0</v>
      </c>
      <c r="BE51" s="58">
        <f>+GETPIVOTDATA("TNG4",'ngaigiao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+GETPIVOTDATA("TNG4",'ngaigiao (2016)'!$A$3,"MA_HT","DSH","MA_QH","LUC")</f>
        <v>0</v>
      </c>
      <c r="H52" s="35">
        <f>+GETPIVOTDATA("TNG4",'ngaigiao (2016)'!$A$3,"MA_HT","DSH","MA_QH","LUK")</f>
        <v>0</v>
      </c>
      <c r="I52" s="35">
        <f>+GETPIVOTDATA("TNG4",'ngaigiao (2016)'!$A$3,"MA_HT","DSH","MA_QH","LUN")</f>
        <v>0</v>
      </c>
      <c r="J52" s="35">
        <f>+GETPIVOTDATA("TNG4",'ngaigiao (2016)'!$A$3,"MA_HT","DSH","MA_QH","HNK")</f>
        <v>0</v>
      </c>
      <c r="K52" s="35">
        <f>+GETPIVOTDATA("TNG4",'ngaigiao (2016)'!$A$3,"MA_HT","DSH","MA_QH","CLN")</f>
        <v>0</v>
      </c>
      <c r="L52" s="35">
        <f>+GETPIVOTDATA("TNG4",'ngaigiao (2016)'!$A$3,"MA_HT","DSH","MA_QH","RSX")</f>
        <v>0</v>
      </c>
      <c r="M52" s="35">
        <f>+GETPIVOTDATA("TNG4",'ngaigiao (2016)'!$A$3,"MA_HT","DSH","MA_QH","RPH")</f>
        <v>0</v>
      </c>
      <c r="N52" s="35">
        <f>+GETPIVOTDATA("TNG4",'ngaigiao (2016)'!$A$3,"MA_HT","DSH","MA_QH","RDD")</f>
        <v>0</v>
      </c>
      <c r="O52" s="35">
        <f>+GETPIVOTDATA("TNG4",'ngaigiao (2016)'!$A$3,"MA_HT","DSH","MA_QH","NTS")</f>
        <v>0</v>
      </c>
      <c r="P52" s="35">
        <f>+GETPIVOTDATA("TNG4",'ngaigiao (2016)'!$A$3,"MA_HT","DSH","MA_QH","LMU")</f>
        <v>0</v>
      </c>
      <c r="Q52" s="35">
        <f>+GETPIVOTDATA("TNG4",'ngaigiao (2016)'!$A$3,"MA_HT","DSH","MA_QH","NKH")</f>
        <v>0</v>
      </c>
      <c r="R52" s="106">
        <f>SUM(S52:AA52,AN52:AX52,AZ52:BD52)</f>
        <v>0</v>
      </c>
      <c r="S52" s="35">
        <f>+GETPIVOTDATA("TNG4",'ngaigiao (2016)'!$A$3,"MA_HT","DSH","MA_QH","CQP")</f>
        <v>0</v>
      </c>
      <c r="T52" s="35">
        <f>+GETPIVOTDATA("TNG4",'ngaigiao (2016)'!$A$3,"MA_HT","DSH","MA_QH","CAN")</f>
        <v>0</v>
      </c>
      <c r="U52" s="35">
        <f>+GETPIVOTDATA("TNG4",'ngaigiao (2016)'!$A$3,"MA_HT","DSH","MA_QH","SKK")</f>
        <v>0</v>
      </c>
      <c r="V52" s="35">
        <f>+GETPIVOTDATA("TNG4",'ngaigiao (2016)'!$A$3,"MA_HT","DSH","MA_QH","SKT")</f>
        <v>0</v>
      </c>
      <c r="W52" s="35">
        <f>+GETPIVOTDATA("TNG4",'ngaigiao (2016)'!$A$3,"MA_HT","DSH","MA_QH","SKN")</f>
        <v>0</v>
      </c>
      <c r="X52" s="35">
        <f>+GETPIVOTDATA("TNG4",'ngaigiao (2016)'!$A$3,"MA_HT","DSH","MA_QH","TMD")</f>
        <v>0</v>
      </c>
      <c r="Y52" s="35">
        <f>+GETPIVOTDATA("TNG4",'ngaigiao (2016)'!$A$3,"MA_HT","DSH","MA_QH","SKC")</f>
        <v>0</v>
      </c>
      <c r="Z52" s="35">
        <f>+GETPIVOTDATA("TNG4",'ngaigiao (2016)'!$A$3,"MA_HT","DSH","MA_QH","SKS")</f>
        <v>0</v>
      </c>
      <c r="AA52" s="64">
        <f t="shared" si="21"/>
        <v>0</v>
      </c>
      <c r="AB52" s="35">
        <f>+GETPIVOTDATA("TNG4",'ngaigiao (2016)'!$A$3,"MA_HT","DSH","MA_QH","DGT")</f>
        <v>0</v>
      </c>
      <c r="AC52" s="35">
        <f>+GETPIVOTDATA("TNG4",'ngaigiao (2016)'!$A$3,"MA_HT","DSH","MA_QH","DTL")</f>
        <v>0</v>
      </c>
      <c r="AD52" s="35">
        <f>+GETPIVOTDATA("TNG4",'ngaigiao (2016)'!$A$3,"MA_HT","DSH","MA_QH","DNL")</f>
        <v>0</v>
      </c>
      <c r="AE52" s="35">
        <f>+GETPIVOTDATA("TNG4",'ngaigiao (2016)'!$A$3,"MA_HT","DSH","MA_QH","DBV")</f>
        <v>0</v>
      </c>
      <c r="AF52" s="35">
        <f>+GETPIVOTDATA("TNG4",'ngaigiao (2016)'!$A$3,"MA_HT","DSH","MA_QH","DVH")</f>
        <v>0</v>
      </c>
      <c r="AG52" s="35">
        <f>+GETPIVOTDATA("TNG4",'ngaigiao (2016)'!$A$3,"MA_HT","DSH","MA_QH","DYT")</f>
        <v>0</v>
      </c>
      <c r="AH52" s="35">
        <f>+GETPIVOTDATA("TNG4",'ngaigiao (2016)'!$A$3,"MA_HT","DSH","MA_QH","DGD")</f>
        <v>0</v>
      </c>
      <c r="AI52" s="35">
        <f>+GETPIVOTDATA("TNG4",'ngaigiao (2016)'!$A$3,"MA_HT","DSH","MA_QH","DTT")</f>
        <v>0</v>
      </c>
      <c r="AJ52" s="35">
        <f>+GETPIVOTDATA("TNG4",'ngaigiao (2016)'!$A$3,"MA_HT","DSH","MA_QH","NCK")</f>
        <v>0</v>
      </c>
      <c r="AK52" s="35">
        <f>+GETPIVOTDATA("TNG4",'ngaigiao (2016)'!$A$3,"MA_HT","DSH","MA_QH","DXH")</f>
        <v>0</v>
      </c>
      <c r="AL52" s="35">
        <f>+GETPIVOTDATA("TNG4",'ngaigiao (2016)'!$A$3,"MA_HT","DSH","MA_QH","DCH")</f>
        <v>0</v>
      </c>
      <c r="AM52" s="35">
        <f>+GETPIVOTDATA("TNG4",'ngaigiao (2016)'!$A$3,"MA_HT","DSH","MA_QH","DKG")</f>
        <v>0</v>
      </c>
      <c r="AN52" s="35">
        <f>+GETPIVOTDATA("TNG4",'ngaigiao (2016)'!$A$3,"MA_HT","DSH","MA_QH","DDT")</f>
        <v>0</v>
      </c>
      <c r="AO52" s="35">
        <f>+GETPIVOTDATA("TNG4",'ngaigiao (2016)'!$A$3,"MA_HT","DSH","MA_QH","DDL")</f>
        <v>0</v>
      </c>
      <c r="AP52" s="35">
        <f>+GETPIVOTDATA("TNG4",'ngaigiao (2016)'!$A$3,"MA_HT","DSH","MA_QH","DRA")</f>
        <v>0</v>
      </c>
      <c r="AQ52" s="35">
        <f>+GETPIVOTDATA("TNG4",'ngaigiao (2016)'!$A$3,"MA_HT","DSH","MA_QH","ONT")</f>
        <v>0</v>
      </c>
      <c r="AR52" s="35">
        <f>+GETPIVOTDATA("TNG4",'ngaigiao (2016)'!$A$3,"MA_HT","DSH","MA_QH","ODT")</f>
        <v>0</v>
      </c>
      <c r="AS52" s="35">
        <f>+GETPIVOTDATA("TNG4",'ngaigiao (2016)'!$A$3,"MA_HT","DSH","MA_QH","TSC")</f>
        <v>0</v>
      </c>
      <c r="AT52" s="35">
        <f>+GETPIVOTDATA("TNG4",'ngaigiao (2016)'!$A$3,"MA_HT","DSH","MA_QH","DTS")</f>
        <v>0</v>
      </c>
      <c r="AU52" s="35">
        <f>+GETPIVOTDATA("TNG4",'ngaigiao (2016)'!$A$3,"MA_HT","DSH","MA_QH","DNG")</f>
        <v>0</v>
      </c>
      <c r="AV52" s="35">
        <f>+GETPIVOTDATA("TNG4",'ngaigiao (2016)'!$A$3,"MA_HT","DSH","MA_QH","TON")</f>
        <v>0</v>
      </c>
      <c r="AW52" s="35">
        <f>+GETPIVOTDATA("TNG4",'ngaigiao (2016)'!$A$3,"MA_HT","DSH","MA_QH","NTD")</f>
        <v>0</v>
      </c>
      <c r="AX52" s="35">
        <f>+GETPIVOTDATA("TNG4",'ngaigiao (2016)'!$A$3,"MA_HT","DSH","MA_QH","SKX")</f>
        <v>0</v>
      </c>
      <c r="AY52" s="99" t="e">
        <f>$D52-$BF52</f>
        <v>#REF!</v>
      </c>
      <c r="AZ52" s="35">
        <f>+GETPIVOTDATA("TNG4",'ngaigiao (2016)'!$A$3,"MA_HT","DSH","MA_QH","DKV")</f>
        <v>0</v>
      </c>
      <c r="BA52" s="140">
        <f>+GETPIVOTDATA("TNG4",'ngaigiao (2016)'!$A$3,"MA_HT","DSH","MA_QH","TIN")</f>
        <v>0</v>
      </c>
      <c r="BB52" s="74">
        <f>+GETPIVOTDATA("TNG4",'ngaigiao (2016)'!$A$3,"MA_HT","DSH","MA_QH","SON")</f>
        <v>0</v>
      </c>
      <c r="BC52" s="74">
        <f>+GETPIVOTDATA("TNG4",'ngaigiao (2016)'!$A$3,"MA_HT","DSH","MA_QH","MNC")</f>
        <v>0</v>
      </c>
      <c r="BD52" s="35">
        <f>+GETPIVOTDATA("TNG4",'ngaigiao (2016)'!$A$3,"MA_HT","DSH","MA_QH","PNK")</f>
        <v>0</v>
      </c>
      <c r="BE52" s="58">
        <f>+GETPIVOTDATA("TNG4",'ngaigiao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+GETPIVOTDATA("TNG4",'ngaigiao (2016)'!$A$3,"MA_HT","DKV","MA_QH","LUC")</f>
        <v>0</v>
      </c>
      <c r="H53" s="35">
        <f>+GETPIVOTDATA("TNG4",'ngaigiao (2016)'!$A$3,"MA_HT","DKV","MA_QH","LUK")</f>
        <v>0</v>
      </c>
      <c r="I53" s="35">
        <f>+GETPIVOTDATA("TNG4",'ngaigiao (2016)'!$A$3,"MA_HT","DKV","MA_QH","LUN")</f>
        <v>0</v>
      </c>
      <c r="J53" s="35">
        <f>+GETPIVOTDATA("TNG4",'ngaigiao (2016)'!$A$3,"MA_HT","DKV","MA_QH","HNK")</f>
        <v>0</v>
      </c>
      <c r="K53" s="35">
        <f>+GETPIVOTDATA("TNG4",'ngaigiao (2016)'!$A$3,"MA_HT","DKV","MA_QH","CLN")</f>
        <v>0</v>
      </c>
      <c r="L53" s="35">
        <f>+GETPIVOTDATA("TNG4",'ngaigiao (2016)'!$A$3,"MA_HT","DKV","MA_QH","RSX")</f>
        <v>0</v>
      </c>
      <c r="M53" s="35">
        <f>+GETPIVOTDATA("TNG4",'ngaigiao (2016)'!$A$3,"MA_HT","DKV","MA_QH","RPH")</f>
        <v>0</v>
      </c>
      <c r="N53" s="35">
        <f>+GETPIVOTDATA("TNG4",'ngaigiao (2016)'!$A$3,"MA_HT","DKV","MA_QH","RDD")</f>
        <v>0</v>
      </c>
      <c r="O53" s="35">
        <f>+GETPIVOTDATA("TNG4",'ngaigiao (2016)'!$A$3,"MA_HT","DKV","MA_QH","NTS")</f>
        <v>0</v>
      </c>
      <c r="P53" s="35">
        <f>+GETPIVOTDATA("TNG4",'ngaigiao (2016)'!$A$3,"MA_HT","DKV","MA_QH","LMU")</f>
        <v>0</v>
      </c>
      <c r="Q53" s="35">
        <f>+GETPIVOTDATA("TNG4",'ngaigiao (2016)'!$A$3,"MA_HT","DKV","MA_QH","NKH")</f>
        <v>0</v>
      </c>
      <c r="R53" s="106">
        <f>SUM(S53:AA53,AN53:AY53,BB53:BD53)</f>
        <v>0</v>
      </c>
      <c r="S53" s="35">
        <f>+GETPIVOTDATA("TNG4",'ngaigiao (2016)'!$A$3,"MA_HT","DKV","MA_QH","CQP")</f>
        <v>0</v>
      </c>
      <c r="T53" s="35">
        <f>+GETPIVOTDATA("TNG4",'ngaigiao (2016)'!$A$3,"MA_HT","DKV","MA_QH","CAN")</f>
        <v>0</v>
      </c>
      <c r="U53" s="35">
        <f>+GETPIVOTDATA("TNG4",'ngaigiao (2016)'!$A$3,"MA_HT","DKV","MA_QH","SKK")</f>
        <v>0</v>
      </c>
      <c r="V53" s="35">
        <f>+GETPIVOTDATA("TNG4",'ngaigiao (2016)'!$A$3,"MA_HT","DKV","MA_QH","SKT")</f>
        <v>0</v>
      </c>
      <c r="W53" s="35">
        <f>+GETPIVOTDATA("TNG4",'ngaigiao (2016)'!$A$3,"MA_HT","DKV","MA_QH","SKN")</f>
        <v>0</v>
      </c>
      <c r="X53" s="35">
        <f>+GETPIVOTDATA("TNG4",'ngaigiao (2016)'!$A$3,"MA_HT","DKV","MA_QH","TMD")</f>
        <v>0</v>
      </c>
      <c r="Y53" s="35">
        <f>+GETPIVOTDATA("TNG4",'ngaigiao (2016)'!$A$3,"MA_HT","DKV","MA_QH","SKC")</f>
        <v>0</v>
      </c>
      <c r="Z53" s="35">
        <f>+GETPIVOTDATA("TNG4",'ngaigiao (2016)'!$A$3,"MA_HT","DKV","MA_QH","SKS")</f>
        <v>0</v>
      </c>
      <c r="AA53" s="64">
        <f t="shared" si="21"/>
        <v>0</v>
      </c>
      <c r="AB53" s="35">
        <f>+GETPIVOTDATA("TNG4",'ngaigiao (2016)'!$A$3,"MA_HT","DKV","MA_QH","DGT")</f>
        <v>0</v>
      </c>
      <c r="AC53" s="35">
        <f>+GETPIVOTDATA("TNG4",'ngaigiao (2016)'!$A$3,"MA_HT","DKV","MA_QH","DTL")</f>
        <v>0</v>
      </c>
      <c r="AD53" s="35">
        <f>+GETPIVOTDATA("TNG4",'ngaigiao (2016)'!$A$3,"MA_HT","DKV","MA_QH","DNL")</f>
        <v>0</v>
      </c>
      <c r="AE53" s="35">
        <f>+GETPIVOTDATA("TNG4",'ngaigiao (2016)'!$A$3,"MA_HT","DKV","MA_QH","DBV")</f>
        <v>0</v>
      </c>
      <c r="AF53" s="35">
        <f>+GETPIVOTDATA("TNG4",'ngaigiao (2016)'!$A$3,"MA_HT","DKV","MA_QH","DVH")</f>
        <v>0</v>
      </c>
      <c r="AG53" s="35">
        <f>+GETPIVOTDATA("TNG4",'ngaigiao (2016)'!$A$3,"MA_HT","DKV","MA_QH","DYT")</f>
        <v>0</v>
      </c>
      <c r="AH53" s="35">
        <f>+GETPIVOTDATA("TNG4",'ngaigiao (2016)'!$A$3,"MA_HT","DKV","MA_QH","DGD")</f>
        <v>0</v>
      </c>
      <c r="AI53" s="35">
        <f>+GETPIVOTDATA("TNG4",'ngaigiao (2016)'!$A$3,"MA_HT","DKV","MA_QH","DTT")</f>
        <v>0</v>
      </c>
      <c r="AJ53" s="35">
        <f>+GETPIVOTDATA("TNG4",'ngaigiao (2016)'!$A$3,"MA_HT","DKV","MA_QH","NCK")</f>
        <v>0</v>
      </c>
      <c r="AK53" s="35">
        <f>+GETPIVOTDATA("TNG4",'ngaigiao (2016)'!$A$3,"MA_HT","DKV","MA_QH","DXH")</f>
        <v>0</v>
      </c>
      <c r="AL53" s="35">
        <f>+GETPIVOTDATA("TNG4",'ngaigiao (2016)'!$A$3,"MA_HT","DKV","MA_QH","DCH")</f>
        <v>0</v>
      </c>
      <c r="AM53" s="35">
        <f>+GETPIVOTDATA("TNG4",'ngaigiao (2016)'!$A$3,"MA_HT","DKV","MA_QH","DKG")</f>
        <v>0</v>
      </c>
      <c r="AN53" s="35">
        <f>+GETPIVOTDATA("TNG4",'ngaigiao (2016)'!$A$3,"MA_HT","DKV","MA_QH","DDT")</f>
        <v>0</v>
      </c>
      <c r="AO53" s="35">
        <f>+GETPIVOTDATA("TNG4",'ngaigiao (2016)'!$A$3,"MA_HT","DKV","MA_QH","DDL")</f>
        <v>0</v>
      </c>
      <c r="AP53" s="35">
        <f>+GETPIVOTDATA("TNG4",'ngaigiao (2016)'!$A$3,"MA_HT","DKV","MA_QH","DRA")</f>
        <v>0</v>
      </c>
      <c r="AQ53" s="35">
        <f>+GETPIVOTDATA("TNG4",'ngaigiao (2016)'!$A$3,"MA_HT","DKV","MA_QH","ONT")</f>
        <v>0</v>
      </c>
      <c r="AR53" s="35">
        <f>+GETPIVOTDATA("TNG4",'ngaigiao (2016)'!$A$3,"MA_HT","DKV","MA_QH","ODT")</f>
        <v>0</v>
      </c>
      <c r="AS53" s="35">
        <f>+GETPIVOTDATA("TNG4",'ngaigiao (2016)'!$A$3,"MA_HT","DKV","MA_QH","TSC")</f>
        <v>0</v>
      </c>
      <c r="AT53" s="35">
        <f>+GETPIVOTDATA("TNG4",'ngaigiao (2016)'!$A$3,"MA_HT","DKV","MA_QH","DTS")</f>
        <v>0</v>
      </c>
      <c r="AU53" s="35">
        <f>+GETPIVOTDATA("TNG4",'ngaigiao (2016)'!$A$3,"MA_HT","DKV","MA_QH","DNG")</f>
        <v>0</v>
      </c>
      <c r="AV53" s="35">
        <f>+GETPIVOTDATA("TNG4",'ngaigiao (2016)'!$A$3,"MA_HT","DKV","MA_QH","TON")</f>
        <v>0</v>
      </c>
      <c r="AW53" s="35">
        <f>+GETPIVOTDATA("TNG4",'ngaigiao (2016)'!$A$3,"MA_HT","DKV","MA_QH","NTD")</f>
        <v>0</v>
      </c>
      <c r="AX53" s="35">
        <f>+GETPIVOTDATA("TNG4",'ngaigiao (2016)'!$A$3,"MA_HT","DKV","MA_QH","SKX")</f>
        <v>0</v>
      </c>
      <c r="AY53" s="35">
        <f>+GETPIVOTDATA("TNG4",'ngaigiao (2016)'!$A$3,"MA_HT","DKV","MA_QH","DSH")</f>
        <v>0</v>
      </c>
      <c r="AZ53" s="99" t="e">
        <f>$D53-$BF53</f>
        <v>#REF!</v>
      </c>
      <c r="BA53" s="140">
        <f>+GETPIVOTDATA("TNG4",'ngaigiao (2016)'!$A$3,"MA_HT","DKV","MA_QH","TIN")</f>
        <v>0</v>
      </c>
      <c r="BB53" s="74">
        <f>+GETPIVOTDATA("TNG4",'ngaigiao (2016)'!$A$3,"MA_HT","DKV","MA_QH","SON")</f>
        <v>0</v>
      </c>
      <c r="BC53" s="74">
        <f>+GETPIVOTDATA("TNG4",'ngaigiao (2016)'!$A$3,"MA_HT","DKV","MA_QH","MNC")</f>
        <v>0</v>
      </c>
      <c r="BD53" s="35">
        <f>+GETPIVOTDATA("TNG4",'ngaigiao (2016)'!$A$3,"MA_HT","DKV","MA_QH","PNK")</f>
        <v>0</v>
      </c>
      <c r="BE53" s="58">
        <f>+GETPIVOTDATA("TNG4",'ngaigiao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+GETPIVOTDATA("TNG4",'ngaigiao (2016)'!$A$3,"MA_HT","TIN","MA_QH","LUC")</f>
        <v>0</v>
      </c>
      <c r="H54" s="35">
        <f>+GETPIVOTDATA("TNG4",'ngaigiao (2016)'!$A$3,"MA_HT","TIN","MA_QH","LUK")</f>
        <v>0</v>
      </c>
      <c r="I54" s="35">
        <f>+GETPIVOTDATA("TNG4",'ngaigiao (2016)'!$A$3,"MA_HT","TIN","MA_QH","LUN")</f>
        <v>0</v>
      </c>
      <c r="J54" s="35">
        <f>+GETPIVOTDATA("TNG4",'ngaigiao (2016)'!$A$3,"MA_HT","TIN","MA_QH","HNK")</f>
        <v>0</v>
      </c>
      <c r="K54" s="35">
        <f>+GETPIVOTDATA("TNG4",'ngaigiao (2016)'!$A$3,"MA_HT","TIN","MA_QH","CLN")</f>
        <v>0</v>
      </c>
      <c r="L54" s="35">
        <f>+GETPIVOTDATA("TNG4",'ngaigiao (2016)'!$A$3,"MA_HT","TIN","MA_QH","RSX")</f>
        <v>0</v>
      </c>
      <c r="M54" s="35">
        <f>+GETPIVOTDATA("TNG4",'ngaigiao (2016)'!$A$3,"MA_HT","TIN","MA_QH","RPH")</f>
        <v>0</v>
      </c>
      <c r="N54" s="35">
        <f>+GETPIVOTDATA("TNG4",'ngaigiao (2016)'!$A$3,"MA_HT","TIN","MA_QH","RDD")</f>
        <v>0</v>
      </c>
      <c r="O54" s="35">
        <f>+GETPIVOTDATA("TNG4",'ngaigiao (2016)'!$A$3,"MA_HT","TIN","MA_QH","NTS")</f>
        <v>0</v>
      </c>
      <c r="P54" s="35">
        <f>+GETPIVOTDATA("TNG4",'ngaigiao (2016)'!$A$3,"MA_HT","TIN","MA_QH","LMU")</f>
        <v>0</v>
      </c>
      <c r="Q54" s="35">
        <f>+GETPIVOTDATA("TNG4",'ngaigiao (2016)'!$A$3,"MA_HT","TIN","MA_QH","NKH")</f>
        <v>0</v>
      </c>
      <c r="R54" s="106">
        <f>SUM(S54:AA54,AN54:AZ54,BB54:BD54)</f>
        <v>0</v>
      </c>
      <c r="S54" s="35">
        <f>+GETPIVOTDATA("TNG4",'ngaigiao (2016)'!$A$3,"MA_HT","TIN","MA_QH","CQP")</f>
        <v>0</v>
      </c>
      <c r="T54" s="35">
        <f>+GETPIVOTDATA("TNG4",'ngaigiao (2016)'!$A$3,"MA_HT","TIN","MA_QH","CAN")</f>
        <v>0</v>
      </c>
      <c r="U54" s="35">
        <f>+GETPIVOTDATA("TNG4",'ngaigiao (2016)'!$A$3,"MA_HT","TIN","MA_QH","SKK")</f>
        <v>0</v>
      </c>
      <c r="V54" s="35">
        <f>+GETPIVOTDATA("TNG4",'ngaigiao (2016)'!$A$3,"MA_HT","TIN","MA_QH","SKT")</f>
        <v>0</v>
      </c>
      <c r="W54" s="35">
        <f>+GETPIVOTDATA("TNG4",'ngaigiao (2016)'!$A$3,"MA_HT","TIN","MA_QH","SKN")</f>
        <v>0</v>
      </c>
      <c r="X54" s="35">
        <f>+GETPIVOTDATA("TNG4",'ngaigiao (2016)'!$A$3,"MA_HT","TIN","MA_QH","TMD")</f>
        <v>0</v>
      </c>
      <c r="Y54" s="35">
        <f>+GETPIVOTDATA("TNG4",'ngaigiao (2016)'!$A$3,"MA_HT","TIN","MA_QH","SKC")</f>
        <v>0</v>
      </c>
      <c r="Z54" s="35">
        <f>+GETPIVOTDATA("TNG4",'ngaigiao (2016)'!$A$3,"MA_HT","TIN","MA_QH","SKS")</f>
        <v>0</v>
      </c>
      <c r="AA54" s="64">
        <f t="shared" si="21"/>
        <v>0</v>
      </c>
      <c r="AB54" s="35">
        <f>+GETPIVOTDATA("TNG4",'ngaigiao (2016)'!$A$3,"MA_HT","TIN","MA_QH","DGT")</f>
        <v>0</v>
      </c>
      <c r="AC54" s="35">
        <f>+GETPIVOTDATA("TNG4",'ngaigiao (2016)'!$A$3,"MA_HT","TIN","MA_QH","DTL")</f>
        <v>0</v>
      </c>
      <c r="AD54" s="35">
        <f>+GETPIVOTDATA("TNG4",'ngaigiao (2016)'!$A$3,"MA_HT","TIN","MA_QH","DNL")</f>
        <v>0</v>
      </c>
      <c r="AE54" s="35">
        <f>+GETPIVOTDATA("TNG4",'ngaigiao (2016)'!$A$3,"MA_HT","TIN","MA_QH","DBV")</f>
        <v>0</v>
      </c>
      <c r="AF54" s="35">
        <f>+GETPIVOTDATA("TNG4",'ngaigiao (2016)'!$A$3,"MA_HT","TIN","MA_QH","DVH")</f>
        <v>0</v>
      </c>
      <c r="AG54" s="35">
        <f>+GETPIVOTDATA("TNG4",'ngaigiao (2016)'!$A$3,"MA_HT","TIN","MA_QH","DYT")</f>
        <v>0</v>
      </c>
      <c r="AH54" s="35">
        <f>+GETPIVOTDATA("TNG4",'ngaigiao (2016)'!$A$3,"MA_HT","TIN","MA_QH","DGD")</f>
        <v>0</v>
      </c>
      <c r="AI54" s="35">
        <f>+GETPIVOTDATA("TNG4",'ngaigiao (2016)'!$A$3,"MA_HT","TIN","MA_QH","DTT")</f>
        <v>0</v>
      </c>
      <c r="AJ54" s="35">
        <f>+GETPIVOTDATA("TNG4",'ngaigiao (2016)'!$A$3,"MA_HT","TIN","MA_QH","NCK")</f>
        <v>0</v>
      </c>
      <c r="AK54" s="35">
        <f>+GETPIVOTDATA("TNG4",'ngaigiao (2016)'!$A$3,"MA_HT","TIN","MA_QH","DXH")</f>
        <v>0</v>
      </c>
      <c r="AL54" s="35">
        <f>+GETPIVOTDATA("TNG4",'ngaigiao (2016)'!$A$3,"MA_HT","TIN","MA_QH","DCH")</f>
        <v>0</v>
      </c>
      <c r="AM54" s="35">
        <f>+GETPIVOTDATA("TNG4",'ngaigiao (2016)'!$A$3,"MA_HT","TIN","MA_QH","DKG")</f>
        <v>0</v>
      </c>
      <c r="AN54" s="35">
        <f>+GETPIVOTDATA("TNG4",'ngaigiao (2016)'!$A$3,"MA_HT","TIN","MA_QH","DDT")</f>
        <v>0</v>
      </c>
      <c r="AO54" s="35">
        <f>+GETPIVOTDATA("TNG4",'ngaigiao (2016)'!$A$3,"MA_HT","TIN","MA_QH","DDL")</f>
        <v>0</v>
      </c>
      <c r="AP54" s="35">
        <f>+GETPIVOTDATA("TNG4",'ngaigiao (2016)'!$A$3,"MA_HT","TIN","MA_QH","DRA")</f>
        <v>0</v>
      </c>
      <c r="AQ54" s="35">
        <f>+GETPIVOTDATA("TNG4",'ngaigiao (2016)'!$A$3,"MA_HT","TIN","MA_QH","ONT")</f>
        <v>0</v>
      </c>
      <c r="AR54" s="35">
        <f>+GETPIVOTDATA("TNG4",'ngaigiao (2016)'!$A$3,"MA_HT","TIN","MA_QH","ODT")</f>
        <v>0</v>
      </c>
      <c r="AS54" s="35">
        <f>+GETPIVOTDATA("TNG4",'ngaigiao (2016)'!$A$3,"MA_HT","TIN","MA_QH","TSC")</f>
        <v>0</v>
      </c>
      <c r="AT54" s="35">
        <f>+GETPIVOTDATA("TNG4",'ngaigiao (2016)'!$A$3,"MA_HT","TIN","MA_QH","DTS")</f>
        <v>0</v>
      </c>
      <c r="AU54" s="35">
        <f>+GETPIVOTDATA("TNG4",'ngaigiao (2016)'!$A$3,"MA_HT","TIN","MA_QH","DNG")</f>
        <v>0</v>
      </c>
      <c r="AV54" s="35">
        <f>+GETPIVOTDATA("TNG4",'ngaigiao (2016)'!$A$3,"MA_HT","TIN","MA_QH","TON")</f>
        <v>0</v>
      </c>
      <c r="AW54" s="35">
        <f>+GETPIVOTDATA("TNG4",'ngaigiao (2016)'!$A$3,"MA_HT","TIN","MA_QH","NTD")</f>
        <v>0</v>
      </c>
      <c r="AX54" s="35">
        <f>+GETPIVOTDATA("TNG4",'ngaigiao (2016)'!$A$3,"MA_HT","TIN","MA_QH","SKX")</f>
        <v>0</v>
      </c>
      <c r="AY54" s="35">
        <f>+GETPIVOTDATA("TNG4",'ngaigiao (2016)'!$A$3,"MA_HT","TIN","MA_QH","DSH")</f>
        <v>0</v>
      </c>
      <c r="AZ54" s="35">
        <f>+GETPIVOTDATA("TNG4",'ngaigiao (2016)'!$A$3,"MA_HT","TIN","MA_QH","DKV")</f>
        <v>0</v>
      </c>
      <c r="BA54" s="99" t="e">
        <f>$D54-$BF54</f>
        <v>#REF!</v>
      </c>
      <c r="BB54" s="35">
        <f>+GETPIVOTDATA("TNG4",'ngaigiao (2016)'!$A$3,"MA_HT","TIN","MA_QH","SON")</f>
        <v>0</v>
      </c>
      <c r="BC54" s="35">
        <f>+GETPIVOTDATA("TNG4",'ngaigiao (2016)'!$A$3,"MA_HT","TIN","MA_QH","MNC")</f>
        <v>0</v>
      </c>
      <c r="BD54" s="35">
        <f>+GETPIVOTDATA("TNG4",'ngaigiao (2016)'!$A$3,"MA_HT","TIN","MA_QH","PNK")</f>
        <v>0</v>
      </c>
      <c r="BE54" s="58">
        <f>+GETPIVOTDATA("TNG4",'ngaigiao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+GETPIVOTDATA("TNG4",'ngaigiao (2016)'!$A$3,"MA_HT","SON","MA_QH","LUC")</f>
        <v>0</v>
      </c>
      <c r="H55" s="35">
        <f>+GETPIVOTDATA("TNG4",'ngaigiao (2016)'!$A$3,"MA_HT","SON","MA_QH","LUK")</f>
        <v>0</v>
      </c>
      <c r="I55" s="35">
        <f>+GETPIVOTDATA("TNG4",'ngaigiao (2016)'!$A$3,"MA_HT","SON","MA_QH","LUN")</f>
        <v>0</v>
      </c>
      <c r="J55" s="35">
        <f>+GETPIVOTDATA("TNG4",'ngaigiao (2016)'!$A$3,"MA_HT","SON","MA_QH","HNK")</f>
        <v>0</v>
      </c>
      <c r="K55" s="35">
        <f>+GETPIVOTDATA("TNG4",'ngaigiao (2016)'!$A$3,"MA_HT","SON","MA_QH","CLN")</f>
        <v>0</v>
      </c>
      <c r="L55" s="35">
        <f>+GETPIVOTDATA("TNG4",'ngaigiao (2016)'!$A$3,"MA_HT","SON","MA_QH","RSX")</f>
        <v>0</v>
      </c>
      <c r="M55" s="35">
        <f>+GETPIVOTDATA("TNG4",'ngaigiao (2016)'!$A$3,"MA_HT","SON","MA_QH","RPH")</f>
        <v>0</v>
      </c>
      <c r="N55" s="35">
        <f>+GETPIVOTDATA("TNG4",'ngaigiao (2016)'!$A$3,"MA_HT","SON","MA_QH","RDD")</f>
        <v>0</v>
      </c>
      <c r="O55" s="35">
        <f>+GETPIVOTDATA("TNG4",'ngaigiao (2016)'!$A$3,"MA_HT","SON","MA_QH","NTS")</f>
        <v>0</v>
      </c>
      <c r="P55" s="35">
        <f>+GETPIVOTDATA("TNG4",'ngaigiao (2016)'!$A$3,"MA_HT","SON","MA_QH","LMU")</f>
        <v>0</v>
      </c>
      <c r="Q55" s="35">
        <f>+GETPIVOTDATA("TNG4",'ngaigiao (2016)'!$A$3,"MA_HT","SON","MA_QH","NKH")</f>
        <v>0</v>
      </c>
      <c r="R55" s="106">
        <f>SUM(S55:AA55,AN55:AZ55,BC55:BD55)</f>
        <v>0</v>
      </c>
      <c r="S55" s="35">
        <f>+GETPIVOTDATA("TNG4",'ngaigiao (2016)'!$A$3,"MA_HT","SON","MA_QH","CQP")</f>
        <v>0</v>
      </c>
      <c r="T55" s="35">
        <f>+GETPIVOTDATA("TNG4",'ngaigiao (2016)'!$A$3,"MA_HT","SON","MA_QH","CAN")</f>
        <v>0</v>
      </c>
      <c r="U55" s="35">
        <f>+GETPIVOTDATA("TNG4",'ngaigiao (2016)'!$A$3,"MA_HT","SON","MA_QH","SKK")</f>
        <v>0</v>
      </c>
      <c r="V55" s="35">
        <f>+GETPIVOTDATA("TNG4",'ngaigiao (2016)'!$A$3,"MA_HT","SON","MA_QH","SKT")</f>
        <v>0</v>
      </c>
      <c r="W55" s="35">
        <f>+GETPIVOTDATA("TNG4",'ngaigiao (2016)'!$A$3,"MA_HT","SON","MA_QH","SKN")</f>
        <v>0</v>
      </c>
      <c r="X55" s="35">
        <f>+GETPIVOTDATA("TNG4",'ngaigiao (2016)'!$A$3,"MA_HT","SON","MA_QH","TMD")</f>
        <v>0</v>
      </c>
      <c r="Y55" s="35">
        <f>+GETPIVOTDATA("TNG4",'ngaigiao (2016)'!$A$3,"MA_HT","SON","MA_QH","SKC")</f>
        <v>0</v>
      </c>
      <c r="Z55" s="35">
        <f>+GETPIVOTDATA("TNG4",'ngaigiao (2016)'!$A$3,"MA_HT","SON","MA_QH","SKS")</f>
        <v>0</v>
      </c>
      <c r="AA55" s="64">
        <f t="shared" si="21"/>
        <v>0</v>
      </c>
      <c r="AB55" s="35">
        <f>+GETPIVOTDATA("TNG4",'ngaigiao (2016)'!$A$3,"MA_HT","SON","MA_QH","DGT")</f>
        <v>0</v>
      </c>
      <c r="AC55" s="35">
        <f>+GETPIVOTDATA("TNG4",'ngaigiao (2016)'!$A$3,"MA_HT","SON","MA_QH","DTL")</f>
        <v>0</v>
      </c>
      <c r="AD55" s="35">
        <f>+GETPIVOTDATA("TNG4",'ngaigiao (2016)'!$A$3,"MA_HT","SON","MA_QH","DNL")</f>
        <v>0</v>
      </c>
      <c r="AE55" s="35">
        <f>+GETPIVOTDATA("TNG4",'ngaigiao (2016)'!$A$3,"MA_HT","SON","MA_QH","DBV")</f>
        <v>0</v>
      </c>
      <c r="AF55" s="35">
        <f>+GETPIVOTDATA("TNG4",'ngaigiao (2016)'!$A$3,"MA_HT","SON","MA_QH","DVH")</f>
        <v>0</v>
      </c>
      <c r="AG55" s="35">
        <f>+GETPIVOTDATA("TNG4",'ngaigiao (2016)'!$A$3,"MA_HT","SON","MA_QH","DYT")</f>
        <v>0</v>
      </c>
      <c r="AH55" s="35">
        <f>+GETPIVOTDATA("TNG4",'ngaigiao (2016)'!$A$3,"MA_HT","SON","MA_QH","DGD")</f>
        <v>0</v>
      </c>
      <c r="AI55" s="35">
        <f>+GETPIVOTDATA("TNG4",'ngaigiao (2016)'!$A$3,"MA_HT","SON","MA_QH","DTT")</f>
        <v>0</v>
      </c>
      <c r="AJ55" s="35">
        <f>+GETPIVOTDATA("TNG4",'ngaigiao (2016)'!$A$3,"MA_HT","SON","MA_QH","NCK")</f>
        <v>0</v>
      </c>
      <c r="AK55" s="35">
        <f>+GETPIVOTDATA("TNG4",'ngaigiao (2016)'!$A$3,"MA_HT","SON","MA_QH","DXH")</f>
        <v>0</v>
      </c>
      <c r="AL55" s="35">
        <f>+GETPIVOTDATA("TNG4",'ngaigiao (2016)'!$A$3,"MA_HT","SON","MA_QH","DCH")</f>
        <v>0</v>
      </c>
      <c r="AM55" s="35">
        <f>+GETPIVOTDATA("TNG4",'ngaigiao (2016)'!$A$3,"MA_HT","SON","MA_QH","DKG")</f>
        <v>0</v>
      </c>
      <c r="AN55" s="35">
        <f>+GETPIVOTDATA("TNG4",'ngaigiao (2016)'!$A$3,"MA_HT","SON","MA_QH","DDT")</f>
        <v>0</v>
      </c>
      <c r="AO55" s="35">
        <f>+GETPIVOTDATA("TNG4",'ngaigiao (2016)'!$A$3,"MA_HT","SON","MA_QH","DDL")</f>
        <v>0</v>
      </c>
      <c r="AP55" s="35">
        <f>+GETPIVOTDATA("TNG4",'ngaigiao (2016)'!$A$3,"MA_HT","SON","MA_QH","DRA")</f>
        <v>0</v>
      </c>
      <c r="AQ55" s="35">
        <f>+GETPIVOTDATA("TNG4",'ngaigiao (2016)'!$A$3,"MA_HT","SON","MA_QH","ONT")</f>
        <v>0</v>
      </c>
      <c r="AR55" s="35">
        <f>+GETPIVOTDATA("TNG4",'ngaigiao (2016)'!$A$3,"MA_HT","SON","MA_QH","ODT")</f>
        <v>0</v>
      </c>
      <c r="AS55" s="35">
        <f>+GETPIVOTDATA("TNG4",'ngaigiao (2016)'!$A$3,"MA_HT","SON","MA_QH","TSC")</f>
        <v>0</v>
      </c>
      <c r="AT55" s="35">
        <f>+GETPIVOTDATA("TNG4",'ngaigiao (2016)'!$A$3,"MA_HT","SON","MA_QH","DTS")</f>
        <v>0</v>
      </c>
      <c r="AU55" s="35">
        <f>+GETPIVOTDATA("TNG4",'ngaigiao (2016)'!$A$3,"MA_HT","SON","MA_QH","DNG")</f>
        <v>0</v>
      </c>
      <c r="AV55" s="35">
        <f>+GETPIVOTDATA("TNG4",'ngaigiao (2016)'!$A$3,"MA_HT","SON","MA_QH","TON")</f>
        <v>0</v>
      </c>
      <c r="AW55" s="35">
        <f>+GETPIVOTDATA("TNG4",'ngaigiao (2016)'!$A$3,"MA_HT","SON","MA_QH","NTD")</f>
        <v>0</v>
      </c>
      <c r="AX55" s="35">
        <f>+GETPIVOTDATA("TNG4",'ngaigiao (2016)'!$A$3,"MA_HT","SON","MA_QH","SKX")</f>
        <v>0</v>
      </c>
      <c r="AY55" s="35">
        <f>+GETPIVOTDATA("TNG4",'ngaigiao (2016)'!$A$3,"MA_HT","SON","MA_QH","DSH")</f>
        <v>0</v>
      </c>
      <c r="AZ55" s="35">
        <f>+GETPIVOTDATA("TNG4",'ngaigiao (2016)'!$A$3,"MA_HT","SON","MA_QH","DKV")</f>
        <v>0</v>
      </c>
      <c r="BA55" s="140">
        <f>+GETPIVOTDATA("TNG4",'ngaigiao (2016)'!$A$3,"MA_HT","SON","MA_QH","TIN")</f>
        <v>0</v>
      </c>
      <c r="BB55" s="99" t="e">
        <f>$D55-$BF55</f>
        <v>#REF!</v>
      </c>
      <c r="BC55" s="74">
        <f>+GETPIVOTDATA("TNG4",'ngaigiao (2016)'!$A$3,"MA_HT","SON","MA_QH","MNC")</f>
        <v>0</v>
      </c>
      <c r="BD55" s="35">
        <f>+GETPIVOTDATA("TNG4",'ngaigiao (2016)'!$A$3,"MA_HT","SON","MA_QH","PNK")</f>
        <v>0</v>
      </c>
      <c r="BE55" s="58">
        <f>+GETPIVOTDATA("TNG4",'ngaigiao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+GETPIVOTDATA("TNG4",'ngaigiao (2016)'!$A$3,"MA_HT","MNC","MA_QH","LUC")</f>
        <v>0</v>
      </c>
      <c r="H56" s="35">
        <f>+GETPIVOTDATA("TNG4",'ngaigiao (2016)'!$A$3,"MA_HT","MNC","MA_QH","LUK")</f>
        <v>0</v>
      </c>
      <c r="I56" s="35">
        <f>+GETPIVOTDATA("TNG4",'ngaigiao (2016)'!$A$3,"MA_HT","MNC","MA_QH","LUN")</f>
        <v>0</v>
      </c>
      <c r="J56" s="35">
        <f>+GETPIVOTDATA("TNG4",'ngaigiao (2016)'!$A$3,"MA_HT","MNC","MA_QH","HNK")</f>
        <v>0</v>
      </c>
      <c r="K56" s="35">
        <f>+GETPIVOTDATA("TNG4",'ngaigiao (2016)'!$A$3,"MA_HT","MNC","MA_QH","CLN")</f>
        <v>0</v>
      </c>
      <c r="L56" s="35">
        <f>+GETPIVOTDATA("TNG4",'ngaigiao (2016)'!$A$3,"MA_HT","MNC","MA_QH","RSX")</f>
        <v>0</v>
      </c>
      <c r="M56" s="35">
        <f>+GETPIVOTDATA("TNG4",'ngaigiao (2016)'!$A$3,"MA_HT","MNC","MA_QH","RPH")</f>
        <v>0</v>
      </c>
      <c r="N56" s="35">
        <f>+GETPIVOTDATA("TNG4",'ngaigiao (2016)'!$A$3,"MA_HT","MNC","MA_QH","RDD")</f>
        <v>0</v>
      </c>
      <c r="O56" s="35">
        <f>+GETPIVOTDATA("TNG4",'ngaigiao (2016)'!$A$3,"MA_HT","MNC","MA_QH","NTS")</f>
        <v>0</v>
      </c>
      <c r="P56" s="35">
        <f>+GETPIVOTDATA("TNG4",'ngaigiao (2016)'!$A$3,"MA_HT","MNC","MA_QH","LMU")</f>
        <v>0</v>
      </c>
      <c r="Q56" s="35">
        <f>+GETPIVOTDATA("TNG4",'ngaigiao (2016)'!$A$3,"MA_HT","MNC","MA_QH","NKH")</f>
        <v>0</v>
      </c>
      <c r="R56" s="106">
        <f>SUM(S56:AA56,AN56:BB56,BD56)</f>
        <v>0</v>
      </c>
      <c r="S56" s="35">
        <f>+GETPIVOTDATA("TNG4",'ngaigiao (2016)'!$A$3,"MA_HT","MNC","MA_QH","CQP")</f>
        <v>0</v>
      </c>
      <c r="T56" s="35">
        <f>+GETPIVOTDATA("TNG4",'ngaigiao (2016)'!$A$3,"MA_HT","MNC","MA_QH","CAN")</f>
        <v>0</v>
      </c>
      <c r="U56" s="35">
        <f>+GETPIVOTDATA("TNG4",'ngaigiao (2016)'!$A$3,"MA_HT","MNC","MA_QH","SKK")</f>
        <v>0</v>
      </c>
      <c r="V56" s="35">
        <f>+GETPIVOTDATA("TNG4",'ngaigiao (2016)'!$A$3,"MA_HT","MNC","MA_QH","SKT")</f>
        <v>0</v>
      </c>
      <c r="W56" s="35">
        <f>+GETPIVOTDATA("TNG4",'ngaigiao (2016)'!$A$3,"MA_HT","MNC","MA_QH","SKN")</f>
        <v>0</v>
      </c>
      <c r="X56" s="35">
        <f>+GETPIVOTDATA("TNG4",'ngaigiao (2016)'!$A$3,"MA_HT","MNC","MA_QH","TMD")</f>
        <v>0</v>
      </c>
      <c r="Y56" s="35">
        <f>+GETPIVOTDATA("TNG4",'ngaigiao (2016)'!$A$3,"MA_HT","MNC","MA_QH","SKC")</f>
        <v>0</v>
      </c>
      <c r="Z56" s="35">
        <f>+GETPIVOTDATA("TNG4",'ngaigiao (2016)'!$A$3,"MA_HT","MNC","MA_QH","SKS")</f>
        <v>0</v>
      </c>
      <c r="AA56" s="64">
        <f t="shared" si="21"/>
        <v>0</v>
      </c>
      <c r="AB56" s="35">
        <f>+GETPIVOTDATA("TNG4",'ngaigiao (2016)'!$A$3,"MA_HT","MNC","MA_QH","DGT")</f>
        <v>0</v>
      </c>
      <c r="AC56" s="35">
        <f>+GETPIVOTDATA("TNG4",'ngaigiao (2016)'!$A$3,"MA_HT","MNC","MA_QH","DTL")</f>
        <v>0</v>
      </c>
      <c r="AD56" s="35">
        <f>+GETPIVOTDATA("TNG4",'ngaigiao (2016)'!$A$3,"MA_HT","MNC","MA_QH","DNL")</f>
        <v>0</v>
      </c>
      <c r="AE56" s="35">
        <f>+GETPIVOTDATA("TNG4",'ngaigiao (2016)'!$A$3,"MA_HT","MNC","MA_QH","DBV")</f>
        <v>0</v>
      </c>
      <c r="AF56" s="35">
        <f>+GETPIVOTDATA("TNG4",'ngaigiao (2016)'!$A$3,"MA_HT","MNC","MA_QH","DVH")</f>
        <v>0</v>
      </c>
      <c r="AG56" s="35">
        <f>+GETPIVOTDATA("TNG4",'ngaigiao (2016)'!$A$3,"MA_HT","MNC","MA_QH","DYT")</f>
        <v>0</v>
      </c>
      <c r="AH56" s="35">
        <f>+GETPIVOTDATA("TNG4",'ngaigiao (2016)'!$A$3,"MA_HT","MNC","MA_QH","DGD")</f>
        <v>0</v>
      </c>
      <c r="AI56" s="35">
        <f>+GETPIVOTDATA("TNG4",'ngaigiao (2016)'!$A$3,"MA_HT","MNC","MA_QH","DTT")</f>
        <v>0</v>
      </c>
      <c r="AJ56" s="35">
        <f>+GETPIVOTDATA("TNG4",'ngaigiao (2016)'!$A$3,"MA_HT","MNC","MA_QH","NCK")</f>
        <v>0</v>
      </c>
      <c r="AK56" s="35">
        <f>+GETPIVOTDATA("TNG4",'ngaigiao (2016)'!$A$3,"MA_HT","MNC","MA_QH","DXH")</f>
        <v>0</v>
      </c>
      <c r="AL56" s="35">
        <f>+GETPIVOTDATA("TNG4",'ngaigiao (2016)'!$A$3,"MA_HT","MNC","MA_QH","DCH")</f>
        <v>0</v>
      </c>
      <c r="AM56" s="35">
        <f>+GETPIVOTDATA("TNG4",'ngaigiao (2016)'!$A$3,"MA_HT","MNC","MA_QH","DKG")</f>
        <v>0</v>
      </c>
      <c r="AN56" s="35">
        <f>+GETPIVOTDATA("TNG4",'ngaigiao (2016)'!$A$3,"MA_HT","MNC","MA_QH","DDT")</f>
        <v>0</v>
      </c>
      <c r="AO56" s="35">
        <f>+GETPIVOTDATA("TNG4",'ngaigiao (2016)'!$A$3,"MA_HT","MNC","MA_QH","DDL")</f>
        <v>0</v>
      </c>
      <c r="AP56" s="35">
        <f>+GETPIVOTDATA("TNG4",'ngaigiao (2016)'!$A$3,"MA_HT","MNC","MA_QH","DRA")</f>
        <v>0</v>
      </c>
      <c r="AQ56" s="35">
        <f>+GETPIVOTDATA("TNG4",'ngaigiao (2016)'!$A$3,"MA_HT","MNC","MA_QH","ONT")</f>
        <v>0</v>
      </c>
      <c r="AR56" s="35">
        <f>+GETPIVOTDATA("TNG4",'ngaigiao (2016)'!$A$3,"MA_HT","MNC","MA_QH","ODT")</f>
        <v>0</v>
      </c>
      <c r="AS56" s="35">
        <f>+GETPIVOTDATA("TNG4",'ngaigiao (2016)'!$A$3,"MA_HT","MNC","MA_QH","TSC")</f>
        <v>0</v>
      </c>
      <c r="AT56" s="35">
        <f>+GETPIVOTDATA("TNG4",'ngaigiao (2016)'!$A$3,"MA_HT","MNC","MA_QH","DTS")</f>
        <v>0</v>
      </c>
      <c r="AU56" s="35">
        <f>+GETPIVOTDATA("TNG4",'ngaigiao (2016)'!$A$3,"MA_HT","MNC","MA_QH","DNG")</f>
        <v>0</v>
      </c>
      <c r="AV56" s="35">
        <f>+GETPIVOTDATA("TNG4",'ngaigiao (2016)'!$A$3,"MA_HT","MNC","MA_QH","TON")</f>
        <v>0</v>
      </c>
      <c r="AW56" s="35">
        <f>+GETPIVOTDATA("TNG4",'ngaigiao (2016)'!$A$3,"MA_HT","MNC","MA_QH","NTD")</f>
        <v>0</v>
      </c>
      <c r="AX56" s="35">
        <f>+GETPIVOTDATA("TNG4",'ngaigiao (2016)'!$A$3,"MA_HT","MNC","MA_QH","SKX")</f>
        <v>0</v>
      </c>
      <c r="AY56" s="35">
        <f>+GETPIVOTDATA("TNG4",'ngaigiao (2016)'!$A$3,"MA_HT","MNC","MA_QH","DSH")</f>
        <v>0</v>
      </c>
      <c r="AZ56" s="35">
        <f>+GETPIVOTDATA("TNG4",'ngaigiao (2016)'!$A$3,"MA_HT","MNC","MA_QH","DKV")</f>
        <v>0</v>
      </c>
      <c r="BA56" s="140">
        <f>+GETPIVOTDATA("TNG4",'ngaigiao (2016)'!$A$3,"MA_HT","MNC","MA_QH","TIN")</f>
        <v>0</v>
      </c>
      <c r="BB56" s="74">
        <f>+GETPIVOTDATA("TNG4",'ngaigiao (2016)'!$A$3,"MA_HT","MNC","MA_QH","SON")</f>
        <v>0</v>
      </c>
      <c r="BC56" s="99" t="e">
        <f>$D56-$BF56</f>
        <v>#REF!</v>
      </c>
      <c r="BD56" s="35">
        <f>+GETPIVOTDATA("TNG4",'ngaigiao (2016)'!$A$3,"MA_HT","MNC","MA_QH","PNK")</f>
        <v>0</v>
      </c>
      <c r="BE56" s="58">
        <f>+GETPIVOTDATA("TNG4",'ngaigiao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+GETPIVOTDATA("TNG4",'ngaigiao (2016)'!$A$3,"MA_HT","PNK","MA_QH","LUC")</f>
        <v>0</v>
      </c>
      <c r="H57" s="35">
        <f>+GETPIVOTDATA("TNG4",'ngaigiao (2016)'!$A$3,"MA_HT","PNK","MA_QH","LUK")</f>
        <v>0</v>
      </c>
      <c r="I57" s="35">
        <f>+GETPIVOTDATA("TNG4",'ngaigiao (2016)'!$A$3,"MA_HT","PNK","MA_QH","LUN")</f>
        <v>0</v>
      </c>
      <c r="J57" s="35">
        <f>+GETPIVOTDATA("TNG4",'ngaigiao (2016)'!$A$3,"MA_HT","PNK","MA_QH","HNK")</f>
        <v>0</v>
      </c>
      <c r="K57" s="35">
        <f>+GETPIVOTDATA("TNG4",'ngaigiao (2016)'!$A$3,"MA_HT","PNK","MA_QH","CLN")</f>
        <v>0</v>
      </c>
      <c r="L57" s="35">
        <f>+GETPIVOTDATA("TNG4",'ngaigiao (2016)'!$A$3,"MA_HT","PNK","MA_QH","RSX")</f>
        <v>0</v>
      </c>
      <c r="M57" s="35">
        <f>+GETPIVOTDATA("TNG4",'ngaigiao (2016)'!$A$3,"MA_HT","PNK","MA_QH","RPH")</f>
        <v>0</v>
      </c>
      <c r="N57" s="35">
        <f>+GETPIVOTDATA("TNG4",'ngaigiao (2016)'!$A$3,"MA_HT","PNK","MA_QH","RDD")</f>
        <v>0</v>
      </c>
      <c r="O57" s="35">
        <f>+GETPIVOTDATA("TNG4",'ngaigiao (2016)'!$A$3,"MA_HT","PNK","MA_QH","NTS")</f>
        <v>0</v>
      </c>
      <c r="P57" s="35">
        <f>+GETPIVOTDATA("TNG4",'ngaigiao (2016)'!$A$3,"MA_HT","PNK","MA_QH","LMU")</f>
        <v>0</v>
      </c>
      <c r="Q57" s="35">
        <f>+GETPIVOTDATA("TNG4",'ngaigiao (2016)'!$A$3,"MA_HT","PNK","MA_QH","NKH")</f>
        <v>0</v>
      </c>
      <c r="R57" s="106">
        <f>SUM(S57:AA57,AN57:BC57)</f>
        <v>0</v>
      </c>
      <c r="S57" s="35">
        <f>+GETPIVOTDATA("TNG4",'ngaigiao (2016)'!$A$3,"MA_HT","PNK","MA_QH","CQP")</f>
        <v>0</v>
      </c>
      <c r="T57" s="35">
        <f>+GETPIVOTDATA("TNG4",'ngaigiao (2016)'!$A$3,"MA_HT","PNK","MA_QH","CAN")</f>
        <v>0</v>
      </c>
      <c r="U57" s="35">
        <f>+GETPIVOTDATA("TNG4",'ngaigiao (2016)'!$A$3,"MA_HT","PNK","MA_QH","SKK")</f>
        <v>0</v>
      </c>
      <c r="V57" s="35">
        <f>+GETPIVOTDATA("TNG4",'ngaigiao (2016)'!$A$3,"MA_HT","PNK","MA_QH","SKT")</f>
        <v>0</v>
      </c>
      <c r="W57" s="35">
        <f>+GETPIVOTDATA("TNG4",'ngaigiao (2016)'!$A$3,"MA_HT","PNK","MA_QH","SKN")</f>
        <v>0</v>
      </c>
      <c r="X57" s="35">
        <f>+GETPIVOTDATA("TNG4",'ngaigiao (2016)'!$A$3,"MA_HT","PNK","MA_QH","TMD")</f>
        <v>0</v>
      </c>
      <c r="Y57" s="35">
        <f>+GETPIVOTDATA("TNG4",'ngaigiao (2016)'!$A$3,"MA_HT","PNK","MA_QH","SKC")</f>
        <v>0</v>
      </c>
      <c r="Z57" s="35">
        <f>+GETPIVOTDATA("TNG4",'ngaigiao (2016)'!$A$3,"MA_HT","PNK","MA_QH","SKS")</f>
        <v>0</v>
      </c>
      <c r="AA57" s="64">
        <f t="shared" si="21"/>
        <v>0</v>
      </c>
      <c r="AB57" s="35">
        <f>+GETPIVOTDATA("TNG4",'ngaigiao (2016)'!$A$3,"MA_HT","PNK","MA_QH","DGT")</f>
        <v>0</v>
      </c>
      <c r="AC57" s="35">
        <f>+GETPIVOTDATA("TNG4",'ngaigiao (2016)'!$A$3,"MA_HT","PNK","MA_QH","DTL")</f>
        <v>0</v>
      </c>
      <c r="AD57" s="35">
        <f>+GETPIVOTDATA("TNG4",'ngaigiao (2016)'!$A$3,"MA_HT","PNK","MA_QH","DNL")</f>
        <v>0</v>
      </c>
      <c r="AE57" s="35">
        <f>+GETPIVOTDATA("TNG4",'ngaigiao (2016)'!$A$3,"MA_HT","PNK","MA_QH","DBV")</f>
        <v>0</v>
      </c>
      <c r="AF57" s="35">
        <f>+GETPIVOTDATA("TNG4",'ngaigiao (2016)'!$A$3,"MA_HT","PNK","MA_QH","DVH")</f>
        <v>0</v>
      </c>
      <c r="AG57" s="35">
        <f>+GETPIVOTDATA("TNG4",'ngaigiao (2016)'!$A$3,"MA_HT","PNK","MA_QH","DYT")</f>
        <v>0</v>
      </c>
      <c r="AH57" s="35">
        <f>+GETPIVOTDATA("TNG4",'ngaigiao (2016)'!$A$3,"MA_HT","PNK","MA_QH","DGD")</f>
        <v>0</v>
      </c>
      <c r="AI57" s="35">
        <f>+GETPIVOTDATA("TNG4",'ngaigiao (2016)'!$A$3,"MA_HT","PNK","MA_QH","DTT")</f>
        <v>0</v>
      </c>
      <c r="AJ57" s="35">
        <f>+GETPIVOTDATA("TNG4",'ngaigiao (2016)'!$A$3,"MA_HT","PNK","MA_QH","NCK")</f>
        <v>0</v>
      </c>
      <c r="AK57" s="35">
        <f>+GETPIVOTDATA("TNG4",'ngaigiao (2016)'!$A$3,"MA_HT","PNK","MA_QH","DXH")</f>
        <v>0</v>
      </c>
      <c r="AL57" s="35">
        <f>+GETPIVOTDATA("TNG4",'ngaigiao (2016)'!$A$3,"MA_HT","PNK","MA_QH","DCH")</f>
        <v>0</v>
      </c>
      <c r="AM57" s="35">
        <f>+GETPIVOTDATA("TNG4",'ngaigiao (2016)'!$A$3,"MA_HT","PNK","MA_QH","DKG")</f>
        <v>0</v>
      </c>
      <c r="AN57" s="35">
        <f>+GETPIVOTDATA("TNG4",'ngaigiao (2016)'!$A$3,"MA_HT","PNK","MA_QH","DDT")</f>
        <v>0</v>
      </c>
      <c r="AO57" s="35">
        <f>+GETPIVOTDATA("TNG4",'ngaigiao (2016)'!$A$3,"MA_HT","PNK","MA_QH","DDL")</f>
        <v>0</v>
      </c>
      <c r="AP57" s="35">
        <f>+GETPIVOTDATA("TNG4",'ngaigiao (2016)'!$A$3,"MA_HT","PNK","MA_QH","DRA")</f>
        <v>0</v>
      </c>
      <c r="AQ57" s="35">
        <f>+GETPIVOTDATA("TNG4",'ngaigiao (2016)'!$A$3,"MA_HT","PNK","MA_QH","ONT")</f>
        <v>0</v>
      </c>
      <c r="AR57" s="35">
        <f>+GETPIVOTDATA("TNG4",'ngaigiao (2016)'!$A$3,"MA_HT","PNK","MA_QH","ODT")</f>
        <v>0</v>
      </c>
      <c r="AS57" s="35">
        <f>+GETPIVOTDATA("TNG4",'ngaigiao (2016)'!$A$3,"MA_HT","PNK","MA_QH","TSC")</f>
        <v>0</v>
      </c>
      <c r="AT57" s="35">
        <f>+GETPIVOTDATA("TNG4",'ngaigiao (2016)'!$A$3,"MA_HT","PNK","MA_QH","DTS")</f>
        <v>0</v>
      </c>
      <c r="AU57" s="35">
        <f>+GETPIVOTDATA("TNG4",'ngaigiao (2016)'!$A$3,"MA_HT","PNK","MA_QH","DNG")</f>
        <v>0</v>
      </c>
      <c r="AV57" s="35">
        <f>+GETPIVOTDATA("TNG4",'ngaigiao (2016)'!$A$3,"MA_HT","PNK","MA_QH","TON")</f>
        <v>0</v>
      </c>
      <c r="AW57" s="35">
        <f>+GETPIVOTDATA("TNG4",'ngaigiao (2016)'!$A$3,"MA_HT","PNK","MA_QH","NTD")</f>
        <v>0</v>
      </c>
      <c r="AX57" s="35">
        <f>+GETPIVOTDATA("TNG4",'ngaigiao (2016)'!$A$3,"MA_HT","PNK","MA_QH","SKX")</f>
        <v>0</v>
      </c>
      <c r="AY57" s="35">
        <f>+GETPIVOTDATA("TNG4",'ngaigiao (2016)'!$A$3,"MA_HT","PNK","MA_QH","DSH")</f>
        <v>0</v>
      </c>
      <c r="AZ57" s="35">
        <f>+GETPIVOTDATA("TNG4",'ngaigiao (2016)'!$A$3,"MA_HT","PNK","MA_QH","DKV")</f>
        <v>0</v>
      </c>
      <c r="BA57" s="140">
        <f>+GETPIVOTDATA("TNG4",'ngaigiao (2016)'!$A$3,"MA_HT","PNK","MA_QH","TIN")</f>
        <v>0</v>
      </c>
      <c r="BB57" s="74">
        <f>+GETPIVOTDATA("TNG4",'ngaigiao (2016)'!$A$3,"MA_HT","PNK","MA_QH","SON")</f>
        <v>0</v>
      </c>
      <c r="BC57" s="74">
        <f>+GETPIVOTDATA("TNG4",'ngaigiao (2016)'!$A$3,"MA_HT","PNK","MA_QH","MNC")</f>
        <v>0</v>
      </c>
      <c r="BD57" s="99" t="e">
        <f>$D57-$BF57</f>
        <v>#REF!</v>
      </c>
      <c r="BE57" s="58">
        <f>+GETPIVOTDATA("TNG4",'ngaigiao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+GETPIVOTDATA("TNG4",'ngaigiao (2016)'!$A$3,"MA_HT","CSD","MA_QH","LUC")</f>
        <v>0</v>
      </c>
      <c r="H58" s="58">
        <f>+GETPIVOTDATA("TNG4",'ngaigiao (2016)'!$A$3,"MA_HT","CSD","MA_QH","LUK")</f>
        <v>0</v>
      </c>
      <c r="I58" s="58">
        <f>+GETPIVOTDATA("TNG4",'ngaigiao (2016)'!$A$3,"MA_HT","CSD","MA_QH","LUN")</f>
        <v>0</v>
      </c>
      <c r="J58" s="58">
        <f>+GETPIVOTDATA("TNG4",'ngaigiao (2016)'!$A$3,"MA_HT","CSD","MA_QH","HNK")</f>
        <v>0</v>
      </c>
      <c r="K58" s="58">
        <f>+GETPIVOTDATA("TNG4",'ngaigiao (2016)'!$A$3,"MA_HT","CSD","MA_QH","CLN")</f>
        <v>0</v>
      </c>
      <c r="L58" s="58">
        <f>+GETPIVOTDATA("TNG4",'ngaigiao (2016)'!$A$3,"MA_HT","CSD","MA_QH","RSX")</f>
        <v>0</v>
      </c>
      <c r="M58" s="58">
        <f>+GETPIVOTDATA("TNG4",'ngaigiao (2016)'!$A$3,"MA_HT","CSD","MA_QH","RPH")</f>
        <v>0</v>
      </c>
      <c r="N58" s="58">
        <f>+GETPIVOTDATA("TNG4",'ngaigiao (2016)'!$A$3,"MA_HT","CSD","MA_QH","RDD")</f>
        <v>0</v>
      </c>
      <c r="O58" s="58">
        <f>+GETPIVOTDATA("TNG4",'ngaigiao (2016)'!$A$3,"MA_HT","CSD","MA_QH","NTS")</f>
        <v>0</v>
      </c>
      <c r="P58" s="58">
        <f>+GETPIVOTDATA("TNG4",'ngaigiao (2016)'!$A$3,"MA_HT","CSD","MA_QH","LMU")</f>
        <v>0</v>
      </c>
      <c r="Q58" s="58">
        <f>+GETPIVOTDATA("TNG4",'ngaigiao (2016)'!$A$3,"MA_HT","CSD","MA_QH","NKH")</f>
        <v>0</v>
      </c>
      <c r="R58" s="106">
        <f>SUM(S58:AA58,AN58:BD58)</f>
        <v>0</v>
      </c>
      <c r="S58" s="102">
        <f>+GETPIVOTDATA("TNG4",'ngaigiao (2016)'!$A$3,"MA_HT","CSD","MA_QH","CQP")</f>
        <v>0</v>
      </c>
      <c r="T58" s="102">
        <f>+GETPIVOTDATA("TNG4",'ngaigiao (2016)'!$A$3,"MA_HT","CSD","MA_QH","CAN")</f>
        <v>0</v>
      </c>
      <c r="U58" s="58">
        <f>+GETPIVOTDATA("TNG4",'ngaigiao (2016)'!$A$3,"MA_HT","CSD","MA_QH","SKK")</f>
        <v>0</v>
      </c>
      <c r="V58" s="58">
        <f>+GETPIVOTDATA("TNG4",'ngaigiao (2016)'!$A$3,"MA_HT","CSD","MA_QH","SKT")</f>
        <v>0</v>
      </c>
      <c r="W58" s="58">
        <f>+GETPIVOTDATA("TNG4",'ngaigiao (2016)'!$A$3,"MA_HT","CSD","MA_QH","SKN")</f>
        <v>0</v>
      </c>
      <c r="X58" s="58">
        <f>+GETPIVOTDATA("TNG4",'ngaigiao (2016)'!$A$3,"MA_HT","CSD","MA_QH","TMD")</f>
        <v>0</v>
      </c>
      <c r="Y58" s="58">
        <f>+GETPIVOTDATA("TNG4",'ngaigiao (2016)'!$A$3,"MA_HT","CSD","MA_QH","SKC")</f>
        <v>0</v>
      </c>
      <c r="Z58" s="58">
        <f>+GETPIVOTDATA("TNG4",'ngaigiao (2016)'!$A$3,"MA_HT","CSD","MA_QH","SKS")</f>
        <v>0</v>
      </c>
      <c r="AA58" s="64">
        <f t="shared" si="21"/>
        <v>0</v>
      </c>
      <c r="AB58" s="102">
        <f>+GETPIVOTDATA("TNG4",'ngaigiao (2016)'!$A$3,"MA_HT","CSD","MA_QH","DGT")</f>
        <v>0</v>
      </c>
      <c r="AC58" s="102">
        <f>+GETPIVOTDATA("TNG4",'ngaigiao (2016)'!$A$3,"MA_HT","CSD","MA_QH","DTL")</f>
        <v>0</v>
      </c>
      <c r="AD58" s="102">
        <f>+GETPIVOTDATA("TNG4",'ngaigiao (2016)'!$A$3,"MA_HT","CSD","MA_QH","DNL")</f>
        <v>0</v>
      </c>
      <c r="AE58" s="102">
        <f>+GETPIVOTDATA("TNG4",'ngaigiao (2016)'!$A$3,"MA_HT","CSD","MA_QH","DBV")</f>
        <v>0</v>
      </c>
      <c r="AF58" s="102">
        <f>+GETPIVOTDATA("TNG4",'ngaigiao (2016)'!$A$3,"MA_HT","CSD","MA_QH","DVH")</f>
        <v>0</v>
      </c>
      <c r="AG58" s="102">
        <f>+GETPIVOTDATA("TNG4",'ngaigiao (2016)'!$A$3,"MA_HT","CSD","MA_QH","DYT")</f>
        <v>0</v>
      </c>
      <c r="AH58" s="102">
        <f>+GETPIVOTDATA("TNG4",'ngaigiao (2016)'!$A$3,"MA_HT","CSD","MA_QH","DGD")</f>
        <v>0</v>
      </c>
      <c r="AI58" s="102">
        <f>+GETPIVOTDATA("TNG4",'ngaigiao (2016)'!$A$3,"MA_HT","CSD","MA_QH","DTT")</f>
        <v>0</v>
      </c>
      <c r="AJ58" s="102">
        <f>+GETPIVOTDATA("TNG4",'ngaigiao (2016)'!$A$3,"MA_HT","CSD","MA_QH","NCK")</f>
        <v>0</v>
      </c>
      <c r="AK58" s="102">
        <f>+GETPIVOTDATA("TNG4",'ngaigiao (2016)'!$A$3,"MA_HT","CSD","MA_QH","DXH")</f>
        <v>0</v>
      </c>
      <c r="AL58" s="102">
        <f>+GETPIVOTDATA("TNG4",'ngaigiao (2016)'!$A$3,"MA_HT","CSD","MA_QH","DCH")</f>
        <v>0</v>
      </c>
      <c r="AM58" s="102">
        <f>+GETPIVOTDATA("TNG4",'ngaigiao (2016)'!$A$3,"MA_HT","CSD","MA_QH","DKG")</f>
        <v>0</v>
      </c>
      <c r="AN58" s="58">
        <f>+GETPIVOTDATA("TNG4",'ngaigiao (2016)'!$A$3,"MA_HT","CSD","MA_QH","DDT")</f>
        <v>0</v>
      </c>
      <c r="AO58" s="58">
        <f>+GETPIVOTDATA("TNG4",'ngaigiao (2016)'!$A$3,"MA_HT","CSD","MA_QH","DDL")</f>
        <v>0</v>
      </c>
      <c r="AP58" s="58">
        <f>+GETPIVOTDATA("TNG4",'ngaigiao (2016)'!$A$3,"MA_HT","CSD","MA_QH","DRA")</f>
        <v>0</v>
      </c>
      <c r="AQ58" s="58">
        <f>+GETPIVOTDATA("TNG4",'ngaigiao (2016)'!$A$3,"MA_HT","CSD","MA_QH","ONT")</f>
        <v>0</v>
      </c>
      <c r="AR58" s="58">
        <f>+GETPIVOTDATA("TNG4",'ngaigiao (2016)'!$A$3,"MA_HT","CSD","MA_QH","ODT")</f>
        <v>0</v>
      </c>
      <c r="AS58" s="58">
        <f>+GETPIVOTDATA("TNG4",'ngaigiao (2016)'!$A$3,"MA_HT","CSD","MA_QH","TSC")</f>
        <v>0</v>
      </c>
      <c r="AT58" s="58">
        <f>+GETPIVOTDATA("TNG4",'ngaigiao (2016)'!$A$3,"MA_HT","CSD","MA_QH","DTS")</f>
        <v>0</v>
      </c>
      <c r="AU58" s="58">
        <f>+GETPIVOTDATA("TNG4",'ngaigiao (2016)'!$A$3,"MA_HT","CSD","MA_QH","DNG")</f>
        <v>0</v>
      </c>
      <c r="AV58" s="58">
        <f>+GETPIVOTDATA("TNG4",'ngaigiao (2016)'!$A$3,"MA_HT","CSD","MA_QH","TON")</f>
        <v>0</v>
      </c>
      <c r="AW58" s="58">
        <f>+GETPIVOTDATA("TNG4",'ngaigiao (2016)'!$A$3,"MA_HT","CSD","MA_QH","NTD")</f>
        <v>0</v>
      </c>
      <c r="AX58" s="58">
        <f>+GETPIVOTDATA("TNG4",'ngaigiao (2016)'!$A$3,"MA_HT","CSD","MA_QH","SKX")</f>
        <v>0</v>
      </c>
      <c r="AY58" s="58">
        <f>+GETPIVOTDATA("TNG4",'ngaigiao (2016)'!$A$3,"MA_HT","CSD","MA_QH","DSH")</f>
        <v>0</v>
      </c>
      <c r="AZ58" s="58">
        <f>+GETPIVOTDATA("TNG4",'ngaigiao (2016)'!$A$3,"MA_HT","CSD","MA_QH","DKV")</f>
        <v>0</v>
      </c>
      <c r="BA58" s="140">
        <f>+GETPIVOTDATA("TNG4",'ngaigiao (2016)'!$A$3,"MA_HT","CSD","MA_QH","TIN")</f>
        <v>0</v>
      </c>
      <c r="BB58" s="102">
        <f>+GETPIVOTDATA("TNG4",'ngaigiao (2016)'!$A$3,"MA_HT","CSD","MA_QH","SON")</f>
        <v>0</v>
      </c>
      <c r="BC58" s="102">
        <f>+GETPIVOTDATA("TNG4",'ngaigiao (2016)'!$A$3,"MA_HT","CSD","MA_QH","MNC")</f>
        <v>0</v>
      </c>
      <c r="BD58" s="58">
        <f>+GETPIVOTDATA("TNG4",'ngaigiao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80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+GETPIVOTDATA("XBC4",'bauchinh (2016)'!$A$3,"MA_HT","LUC","MA_QH","LUK")</f>
        <v>0</v>
      </c>
      <c r="I8" s="74">
        <f>+GETPIVOTDATA("XBC4",'bauchinh (2016)'!$A$3,"MA_HT","LUC","MA_QH","LUN")</f>
        <v>0</v>
      </c>
      <c r="J8" s="74">
        <f>+GETPIVOTDATA("XBC4",'bauchinh (2016)'!$A$3,"MA_HT","LUC","MA_QH","HNK")</f>
        <v>0</v>
      </c>
      <c r="K8" s="74">
        <f>+GETPIVOTDATA("XBC4",'bauchinh (2016)'!$A$3,"MA_HT","LUC","MA_QH","CLN")</f>
        <v>0</v>
      </c>
      <c r="L8" s="74">
        <f>+GETPIVOTDATA("XBC4",'bauchinh (2016)'!$A$3,"MA_HT","LUC","MA_QH","RSX")</f>
        <v>0</v>
      </c>
      <c r="M8" s="74">
        <f>+GETPIVOTDATA("XBC4",'bauchinh (2016)'!$A$3,"MA_HT","LUC","MA_QH","RPH")</f>
        <v>0</v>
      </c>
      <c r="N8" s="74">
        <f>+GETPIVOTDATA("XBC4",'bauchinh (2016)'!$A$3,"MA_HT","LUC","MA_QH","RDD")</f>
        <v>0</v>
      </c>
      <c r="O8" s="74">
        <f>+GETPIVOTDATA("XBC4",'bauchinh (2016)'!$A$3,"MA_HT","LUC","MA_QH","NTS")</f>
        <v>0</v>
      </c>
      <c r="P8" s="74">
        <f>+GETPIVOTDATA("XBC4",'bauchinh (2016)'!$A$3,"MA_HT","LUC","MA_QH","LMU")</f>
        <v>0</v>
      </c>
      <c r="Q8" s="74">
        <f>+GETPIVOTDATA("XBC4",'bauchinh (2016)'!$A$3,"MA_HT","LUC","MA_QH","NKH")</f>
        <v>0</v>
      </c>
      <c r="R8" s="72">
        <f>SUM(S8:AA8,AN8:BD8)</f>
        <v>0</v>
      </c>
      <c r="S8" s="74">
        <f>+GETPIVOTDATA("XBC4",'bauchinh (2016)'!$A$3,"MA_HT","LUC","MA_QH","CQP")</f>
        <v>0</v>
      </c>
      <c r="T8" s="74">
        <f>+GETPIVOTDATA("XBC4",'bauchinh (2016)'!$A$3,"MA_HT","LUC","MA_QH","CAN")</f>
        <v>0</v>
      </c>
      <c r="U8" s="74">
        <f>+GETPIVOTDATA("XBC4",'bauchinh (2016)'!$A$3,"MA_HT","LUC","MA_QH","SKK")</f>
        <v>0</v>
      </c>
      <c r="V8" s="74">
        <f>+GETPIVOTDATA("XBC4",'bauchinh (2016)'!$A$3,"MA_HT","LUC","MA_QH","SKT")</f>
        <v>0</v>
      </c>
      <c r="W8" s="74">
        <f>+GETPIVOTDATA("XBC4",'bauchinh (2016)'!$A$3,"MA_HT","LUC","MA_QH","SKN")</f>
        <v>0</v>
      </c>
      <c r="X8" s="74">
        <f>+GETPIVOTDATA("XBC4",'bauchinh (2016)'!$A$3,"MA_HT","LUC","MA_QH","TMD")</f>
        <v>0</v>
      </c>
      <c r="Y8" s="74">
        <f>+GETPIVOTDATA("XBC4",'bauchinh (2016)'!$A$3,"MA_HT","LUC","MA_QH","SKC")</f>
        <v>0</v>
      </c>
      <c r="Z8" s="74">
        <f>+GETPIVOTDATA("XBC4",'bauchinh (2016)'!$A$3,"MA_HT","LUC","MA_QH","SKS")</f>
        <v>0</v>
      </c>
      <c r="AA8" s="64">
        <f t="shared" si="4"/>
        <v>0</v>
      </c>
      <c r="AB8" s="74">
        <f>+GETPIVOTDATA("XBC4",'bauchinh (2016)'!$A$3,"MA_HT","LUC","MA_QH","DGT")</f>
        <v>0</v>
      </c>
      <c r="AC8" s="74">
        <f>+GETPIVOTDATA("XBC4",'bauchinh (2016)'!$A$3,"MA_HT","LUC","MA_QH","DTL")</f>
        <v>0</v>
      </c>
      <c r="AD8" s="74">
        <f>+GETPIVOTDATA("XBC4",'bauchinh (2016)'!$A$3,"MA_HT","LUC","MA_QH","DNL")</f>
        <v>0</v>
      </c>
      <c r="AE8" s="74">
        <f>+GETPIVOTDATA("XBC4",'bauchinh (2016)'!$A$3,"MA_HT","LUC","MA_QH","DBV")</f>
        <v>0</v>
      </c>
      <c r="AF8" s="74">
        <f>+GETPIVOTDATA("XBC4",'bauchinh (2016)'!$A$3,"MA_HT","LUC","MA_QH","DVH")</f>
        <v>0</v>
      </c>
      <c r="AG8" s="74">
        <f>+GETPIVOTDATA("XBC4",'bauchinh (2016)'!$A$3,"MA_HT","LUC","MA_QH","DYT")</f>
        <v>0</v>
      </c>
      <c r="AH8" s="74">
        <f>+GETPIVOTDATA("XBC4",'bauchinh (2016)'!$A$3,"MA_HT","LUC","MA_QH","DGD")</f>
        <v>0</v>
      </c>
      <c r="AI8" s="74">
        <f>+GETPIVOTDATA("XBC4",'bauchinh (2016)'!$A$3,"MA_HT","LUC","MA_QH","DTT")</f>
        <v>0</v>
      </c>
      <c r="AJ8" s="74">
        <f>+GETPIVOTDATA("XBC4",'bauchinh (2016)'!$A$3,"MA_HT","LUC","MA_QH","NCK")</f>
        <v>0</v>
      </c>
      <c r="AK8" s="74">
        <f>+GETPIVOTDATA("XBC4",'bauchinh (2016)'!$A$3,"MA_HT","LUC","MA_QH","DXH")</f>
        <v>0</v>
      </c>
      <c r="AL8" s="74">
        <f>+GETPIVOTDATA("XBC4",'bauchinh (2016)'!$A$3,"MA_HT","LUC","MA_QH","DCH")</f>
        <v>0</v>
      </c>
      <c r="AM8" s="74">
        <f>+GETPIVOTDATA("XBC4",'bauchinh (2016)'!$A$3,"MA_HT","LUC","MA_QH","DKG")</f>
        <v>0</v>
      </c>
      <c r="AN8" s="74">
        <f>+GETPIVOTDATA("XBC4",'bauchinh (2016)'!$A$3,"MA_HT","LUC","MA_QH","DDT")</f>
        <v>0</v>
      </c>
      <c r="AO8" s="74">
        <f>+GETPIVOTDATA("XBC4",'bauchinh (2016)'!$A$3,"MA_HT","LUC","MA_QH","DDL")</f>
        <v>0</v>
      </c>
      <c r="AP8" s="74">
        <f>+GETPIVOTDATA("XBC4",'bauchinh (2016)'!$A$3,"MA_HT","LUC","MA_QH","DRA")</f>
        <v>0</v>
      </c>
      <c r="AQ8" s="74">
        <f>+GETPIVOTDATA("XBC4",'bauchinh (2016)'!$A$3,"MA_HT","LUC","MA_QH","ONT")</f>
        <v>0</v>
      </c>
      <c r="AR8" s="74">
        <f>+GETPIVOTDATA("XBC4",'bauchinh (2016)'!$A$3,"MA_HT","LUC","MA_QH","ODT")</f>
        <v>0</v>
      </c>
      <c r="AS8" s="74">
        <f>+GETPIVOTDATA("XBC4",'bauchinh (2016)'!$A$3,"MA_HT","LUC","MA_QH","TSC")</f>
        <v>0</v>
      </c>
      <c r="AT8" s="74">
        <f>+GETPIVOTDATA("XBC4",'bauchinh (2016)'!$A$3,"MA_HT","LUC","MA_QH","DTS")</f>
        <v>0</v>
      </c>
      <c r="AU8" s="74">
        <f>+GETPIVOTDATA("XBC4",'bauchinh (2016)'!$A$3,"MA_HT","LUC","MA_QH","DNG")</f>
        <v>0</v>
      </c>
      <c r="AV8" s="74">
        <f>+GETPIVOTDATA("XBC4",'bauchinh (2016)'!$A$3,"MA_HT","LUC","MA_QH","TON")</f>
        <v>0</v>
      </c>
      <c r="AW8" s="74">
        <f>+GETPIVOTDATA("XBC4",'bauchinh (2016)'!$A$3,"MA_HT","LUC","MA_QH","NTD")</f>
        <v>0</v>
      </c>
      <c r="AX8" s="74">
        <f>+GETPIVOTDATA("XBC4",'bauchinh (2016)'!$A$3,"MA_HT","LUC","MA_QH","SKX")</f>
        <v>0</v>
      </c>
      <c r="AY8" s="74">
        <f>+GETPIVOTDATA("XBC4",'bauchinh (2016)'!$A$3,"MA_HT","LUC","MA_QH","DSH")</f>
        <v>0</v>
      </c>
      <c r="AZ8" s="74">
        <f>+GETPIVOTDATA("XBC4",'bauchinh (2016)'!$A$3,"MA_HT","LUC","MA_QH","DKV")</f>
        <v>0</v>
      </c>
      <c r="BA8" s="139">
        <f>+GETPIVOTDATA("XBC4",'bauchinh (2016)'!$A$3,"MA_HT","LUC","MA_QH","TIN")</f>
        <v>0</v>
      </c>
      <c r="BB8" s="74">
        <f>+GETPIVOTDATA("XBC4",'bauchinh (2016)'!$A$3,"MA_HT","LUC","MA_QH","SON")</f>
        <v>0</v>
      </c>
      <c r="BC8" s="74">
        <f>+GETPIVOTDATA("XBC4",'bauchinh (2016)'!$A$3,"MA_HT","LUC","MA_QH","MNC")</f>
        <v>0</v>
      </c>
      <c r="BD8" s="74">
        <f>+GETPIVOTDATA("XBC4",'bauchinh (2016)'!$A$3,"MA_HT","LUC","MA_QH","PNK")</f>
        <v>0</v>
      </c>
      <c r="BE8" s="102">
        <f>+GETPIVOTDATA("XBC4",'bauchinh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+GETPIVOTDATA("XBC4",'bauchinh (2016)'!$A$3,"MA_HT","LUK","MA_QH","LUC")</f>
        <v>0</v>
      </c>
      <c r="H9" s="100" t="e">
        <f>$D9-$BF9</f>
        <v>#REF!</v>
      </c>
      <c r="I9" s="74">
        <f>+GETPIVOTDATA("XBC4",'bauchinh (2016)'!$A$3,"MA_HT","LUK","MA_QH","LUN")</f>
        <v>0</v>
      </c>
      <c r="J9" s="74">
        <f>+GETPIVOTDATA("XBC4",'bauchinh (2016)'!$A$3,"MA_HT","LUK","MA_QH","HNK")</f>
        <v>0</v>
      </c>
      <c r="K9" s="74">
        <f>+GETPIVOTDATA("XBC4",'bauchinh (2016)'!$A$3,"MA_HT","LUK","MA_QH","CLN")</f>
        <v>0</v>
      </c>
      <c r="L9" s="74">
        <f>+GETPIVOTDATA("XBC4",'bauchinh (2016)'!$A$3,"MA_HT","LUK","MA_QH","RSX")</f>
        <v>0</v>
      </c>
      <c r="M9" s="74">
        <f>+GETPIVOTDATA("XBC4",'bauchinh (2016)'!$A$3,"MA_HT","LUK","MA_QH","RPH")</f>
        <v>0</v>
      </c>
      <c r="N9" s="74">
        <f>+GETPIVOTDATA("XBC4",'bauchinh (2016)'!$A$3,"MA_HT","LUK","MA_QH","RDD")</f>
        <v>0</v>
      </c>
      <c r="O9" s="74">
        <f>+GETPIVOTDATA("XBC4",'bauchinh (2016)'!$A$3,"MA_HT","LUK","MA_QH","NTS")</f>
        <v>0</v>
      </c>
      <c r="P9" s="74">
        <f>+GETPIVOTDATA("XBC4",'bauchinh (2016)'!$A$3,"MA_HT","LUK","MA_QH","LMU")</f>
        <v>0</v>
      </c>
      <c r="Q9" s="74">
        <f>+GETPIVOTDATA("XBC4",'bauchinh (2016)'!$A$3,"MA_HT","LUK","MA_QH","NKH")</f>
        <v>0</v>
      </c>
      <c r="R9" s="72">
        <f t="shared" si="2"/>
        <v>0</v>
      </c>
      <c r="S9" s="74">
        <f>+GETPIVOTDATA("XBC4",'bauchinh (2016)'!$A$3,"MA_HT","LUK","MA_QH","CQP")</f>
        <v>0</v>
      </c>
      <c r="T9" s="74">
        <f>+GETPIVOTDATA("XBC4",'bauchinh (2016)'!$A$3,"MA_HT","LUK","MA_QH","CAN")</f>
        <v>0</v>
      </c>
      <c r="U9" s="74">
        <f>+GETPIVOTDATA("XBC4",'bauchinh (2016)'!$A$3,"MA_HT","LUK","MA_QH","SKK")</f>
        <v>0</v>
      </c>
      <c r="V9" s="74">
        <f>+GETPIVOTDATA("XBC4",'bauchinh (2016)'!$A$3,"MA_HT","LUK","MA_QH","SKT")</f>
        <v>0</v>
      </c>
      <c r="W9" s="74">
        <f>+GETPIVOTDATA("XBC4",'bauchinh (2016)'!$A$3,"MA_HT","LUK","MA_QH","SKN")</f>
        <v>0</v>
      </c>
      <c r="X9" s="74">
        <f>+GETPIVOTDATA("XBC4",'bauchinh (2016)'!$A$3,"MA_HT","LUK","MA_QH","TMD")</f>
        <v>0</v>
      </c>
      <c r="Y9" s="74">
        <f>+GETPIVOTDATA("XBC4",'bauchinh (2016)'!$A$3,"MA_HT","LUK","MA_QH","SKC")</f>
        <v>0</v>
      </c>
      <c r="Z9" s="74">
        <f>+GETPIVOTDATA("XBC4",'bauchinh (2016)'!$A$3,"MA_HT","LUK","MA_QH","SKS")</f>
        <v>0</v>
      </c>
      <c r="AA9" s="64">
        <f t="shared" si="4"/>
        <v>0</v>
      </c>
      <c r="AB9" s="74">
        <f>+GETPIVOTDATA("XBC4",'bauchinh (2016)'!$A$3,"MA_HT","LUK","MA_QH","DGT")</f>
        <v>0</v>
      </c>
      <c r="AC9" s="74">
        <f>+GETPIVOTDATA("XBC4",'bauchinh (2016)'!$A$3,"MA_HT","LUK","MA_QH","DTL")</f>
        <v>0</v>
      </c>
      <c r="AD9" s="74">
        <f>+GETPIVOTDATA("XBC4",'bauchinh (2016)'!$A$3,"MA_HT","LUK","MA_QH","DNL")</f>
        <v>0</v>
      </c>
      <c r="AE9" s="74">
        <f>+GETPIVOTDATA("XBC4",'bauchinh (2016)'!$A$3,"MA_HT","LUK","MA_QH","DBV")</f>
        <v>0</v>
      </c>
      <c r="AF9" s="74">
        <f>+GETPIVOTDATA("XBC4",'bauchinh (2016)'!$A$3,"MA_HT","LUK","MA_QH","DVH")</f>
        <v>0</v>
      </c>
      <c r="AG9" s="74">
        <f>+GETPIVOTDATA("XBC4",'bauchinh (2016)'!$A$3,"MA_HT","LUK","MA_QH","DYT")</f>
        <v>0</v>
      </c>
      <c r="AH9" s="74">
        <f>+GETPIVOTDATA("XBC4",'bauchinh (2016)'!$A$3,"MA_HT","LUK","MA_QH","DGD")</f>
        <v>0</v>
      </c>
      <c r="AI9" s="74">
        <f>+GETPIVOTDATA("XBC4",'bauchinh (2016)'!$A$3,"MA_HT","LUK","MA_QH","DTT")</f>
        <v>0</v>
      </c>
      <c r="AJ9" s="74">
        <f>+GETPIVOTDATA("XBC4",'bauchinh (2016)'!$A$3,"MA_HT","LUK","MA_QH","NCK")</f>
        <v>0</v>
      </c>
      <c r="AK9" s="74">
        <f>+GETPIVOTDATA("XBC4",'bauchinh (2016)'!$A$3,"MA_HT","LUK","MA_QH","DXH")</f>
        <v>0</v>
      </c>
      <c r="AL9" s="74">
        <f>+GETPIVOTDATA("XBC4",'bauchinh (2016)'!$A$3,"MA_HT","LUK","MA_QH","DCH")</f>
        <v>0</v>
      </c>
      <c r="AM9" s="74">
        <f>+GETPIVOTDATA("XBC4",'bauchinh (2016)'!$A$3,"MA_HT","LUK","MA_QH","DKG")</f>
        <v>0</v>
      </c>
      <c r="AN9" s="74">
        <f>+GETPIVOTDATA("XBC4",'bauchinh (2016)'!$A$3,"MA_HT","LUK","MA_QH","DDT")</f>
        <v>0</v>
      </c>
      <c r="AO9" s="74">
        <f>+GETPIVOTDATA("XBC4",'bauchinh (2016)'!$A$3,"MA_HT","LUK","MA_QH","DDL")</f>
        <v>0</v>
      </c>
      <c r="AP9" s="74">
        <f>+GETPIVOTDATA("XBC4",'bauchinh (2016)'!$A$3,"MA_HT","LUK","MA_QH","DRA")</f>
        <v>0</v>
      </c>
      <c r="AQ9" s="74">
        <f>+GETPIVOTDATA("XBC4",'bauchinh (2016)'!$A$3,"MA_HT","LUK","MA_QH","ONT")</f>
        <v>0</v>
      </c>
      <c r="AR9" s="74">
        <f>+GETPIVOTDATA("XBC4",'bauchinh (2016)'!$A$3,"MA_HT","LUK","MA_QH","ODT")</f>
        <v>0</v>
      </c>
      <c r="AS9" s="74">
        <f>+GETPIVOTDATA("XBC4",'bauchinh (2016)'!$A$3,"MA_HT","LUK","MA_QH","TSC")</f>
        <v>0</v>
      </c>
      <c r="AT9" s="74">
        <f>+GETPIVOTDATA("XBC4",'bauchinh (2016)'!$A$3,"MA_HT","LUK","MA_QH","DTS")</f>
        <v>0</v>
      </c>
      <c r="AU9" s="74">
        <f>+GETPIVOTDATA("XBC4",'bauchinh (2016)'!$A$3,"MA_HT","LUK","MA_QH","DNG")</f>
        <v>0</v>
      </c>
      <c r="AV9" s="74">
        <f>+GETPIVOTDATA("XBC4",'bauchinh (2016)'!$A$3,"MA_HT","LUK","MA_QH","TON")</f>
        <v>0</v>
      </c>
      <c r="AW9" s="74">
        <f>+GETPIVOTDATA("XBC4",'bauchinh (2016)'!$A$3,"MA_HT","LUK","MA_QH","NTD")</f>
        <v>0</v>
      </c>
      <c r="AX9" s="74">
        <f>+GETPIVOTDATA("XBC4",'bauchinh (2016)'!$A$3,"MA_HT","LUK","MA_QH","SKX")</f>
        <v>0</v>
      </c>
      <c r="AY9" s="74">
        <f>+GETPIVOTDATA("XBC4",'bauchinh (2016)'!$A$3,"MA_HT","LUK","MA_QH","DSH")</f>
        <v>0</v>
      </c>
      <c r="AZ9" s="74">
        <f>+GETPIVOTDATA("XBC4",'bauchinh (2016)'!$A$3,"MA_HT","LUK","MA_QH","DKV")</f>
        <v>0</v>
      </c>
      <c r="BA9" s="139">
        <f>+GETPIVOTDATA("XBC4",'bauchinh (2016)'!$A$3,"MA_HT","LUK","MA_QH","TIN")</f>
        <v>0</v>
      </c>
      <c r="BB9" s="74">
        <f>+GETPIVOTDATA("XBC4",'bauchinh (2016)'!$A$3,"MA_HT","LUK","MA_QH","SON")</f>
        <v>0</v>
      </c>
      <c r="BC9" s="74">
        <f>+GETPIVOTDATA("XBC4",'bauchinh (2016)'!$A$3,"MA_HT","LUK","MA_QH","MNC")</f>
        <v>0</v>
      </c>
      <c r="BD9" s="74">
        <f>+GETPIVOTDATA("XBC4",'bauchinh (2016)'!$A$3,"MA_HT","LUK","MA_QH","PNK")</f>
        <v>0</v>
      </c>
      <c r="BE9" s="102">
        <f>+GETPIVOTDATA("XBC4",'bauchinh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+GETPIVOTDATA("XBC4",'bauchinh (2016)'!$A$3,"MA_HT","LUN","MA_QH","LUC")</f>
        <v>0</v>
      </c>
      <c r="H10" s="74">
        <f>+GETPIVOTDATA("XBC4",'bauchinh (2016)'!$A$3,"MA_HT","LUN","MA_QH","LUK")</f>
        <v>0</v>
      </c>
      <c r="I10" s="100" t="e">
        <f>$D10-$BF10</f>
        <v>#REF!</v>
      </c>
      <c r="J10" s="74">
        <f>+GETPIVOTDATA("XBC4",'bauchinh (2016)'!$A$3,"MA_HT","LUN","MA_QH","HNK")</f>
        <v>0</v>
      </c>
      <c r="K10" s="74">
        <f>+GETPIVOTDATA("XBC4",'bauchinh (2016)'!$A$3,"MA_HT","LUN","MA_QH","CLN")</f>
        <v>0</v>
      </c>
      <c r="L10" s="74">
        <f>+GETPIVOTDATA("XBC4",'bauchinh (2016)'!$A$3,"MA_HT","LUN","MA_QH","RSX")</f>
        <v>0</v>
      </c>
      <c r="M10" s="74">
        <f>+GETPIVOTDATA("XBC4",'bauchinh (2016)'!$A$3,"MA_HT","LUN","MA_QH","RPH")</f>
        <v>0</v>
      </c>
      <c r="N10" s="74">
        <f>+GETPIVOTDATA("XBC4",'bauchinh (2016)'!$A$3,"MA_HT","LUN","MA_QH","RDD")</f>
        <v>0</v>
      </c>
      <c r="O10" s="74">
        <f>+GETPIVOTDATA("XBC4",'bauchinh (2016)'!$A$3,"MA_HT","LUN","MA_QH","NTS")</f>
        <v>0</v>
      </c>
      <c r="P10" s="74">
        <f>+GETPIVOTDATA("XBC4",'bauchinh (2016)'!$A$3,"MA_HT","LUN","MA_QH","LMU")</f>
        <v>0</v>
      </c>
      <c r="Q10" s="74">
        <f>+GETPIVOTDATA("XBC4",'bauchinh (2016)'!$A$3,"MA_HT","LUN","MA_QH","NKH")</f>
        <v>0</v>
      </c>
      <c r="R10" s="72">
        <f t="shared" si="2"/>
        <v>0</v>
      </c>
      <c r="S10" s="74">
        <f>+GETPIVOTDATA("XBC4",'bauchinh (2016)'!$A$3,"MA_HT","LUN","MA_QH","CQP")</f>
        <v>0</v>
      </c>
      <c r="T10" s="74">
        <f>+GETPIVOTDATA("XBC4",'bauchinh (2016)'!$A$3,"MA_HT","LUN","MA_QH","CAN")</f>
        <v>0</v>
      </c>
      <c r="U10" s="74">
        <f>+GETPIVOTDATA("XBC4",'bauchinh (2016)'!$A$3,"MA_HT","LUN","MA_QH","SKK")</f>
        <v>0</v>
      </c>
      <c r="V10" s="74">
        <f>+GETPIVOTDATA("XBC4",'bauchinh (2016)'!$A$3,"MA_HT","LUN","MA_QH","SKT")</f>
        <v>0</v>
      </c>
      <c r="W10" s="74">
        <f>+GETPIVOTDATA("XBC4",'bauchinh (2016)'!$A$3,"MA_HT","LUN","MA_QH","SKN")</f>
        <v>0</v>
      </c>
      <c r="X10" s="74">
        <f>+GETPIVOTDATA("XBC4",'bauchinh (2016)'!$A$3,"MA_HT","LUN","MA_QH","TMD")</f>
        <v>0</v>
      </c>
      <c r="Y10" s="74">
        <f>+GETPIVOTDATA("XBC4",'bauchinh (2016)'!$A$3,"MA_HT","LUN","MA_QH","SKC")</f>
        <v>0</v>
      </c>
      <c r="Z10" s="74">
        <f>+GETPIVOTDATA("XBC4",'bauchinh (2016)'!$A$3,"MA_HT","LUN","MA_QH","SKS")</f>
        <v>0</v>
      </c>
      <c r="AA10" s="64">
        <f t="shared" si="4"/>
        <v>0</v>
      </c>
      <c r="AB10" s="74">
        <f>+GETPIVOTDATA("XBC4",'bauchinh (2016)'!$A$3,"MA_HT","LUN","MA_QH","DGT")</f>
        <v>0</v>
      </c>
      <c r="AC10" s="74">
        <f>+GETPIVOTDATA("XBC4",'bauchinh (2016)'!$A$3,"MA_HT","LUN","MA_QH","DTL")</f>
        <v>0</v>
      </c>
      <c r="AD10" s="74">
        <f>+GETPIVOTDATA("XBC4",'bauchinh (2016)'!$A$3,"MA_HT","LUN","MA_QH","DNL")</f>
        <v>0</v>
      </c>
      <c r="AE10" s="74">
        <f>+GETPIVOTDATA("XBC4",'bauchinh (2016)'!$A$3,"MA_HT","LUN","MA_QH","DBV")</f>
        <v>0</v>
      </c>
      <c r="AF10" s="74">
        <f>+GETPIVOTDATA("XBC4",'bauchinh (2016)'!$A$3,"MA_HT","LUN","MA_QH","DVH")</f>
        <v>0</v>
      </c>
      <c r="AG10" s="74">
        <f>+GETPIVOTDATA("XBC4",'bauchinh (2016)'!$A$3,"MA_HT","LUN","MA_QH","DYT")</f>
        <v>0</v>
      </c>
      <c r="AH10" s="74">
        <f>+GETPIVOTDATA("XBC4",'bauchinh (2016)'!$A$3,"MA_HT","LUN","MA_QH","DGD")</f>
        <v>0</v>
      </c>
      <c r="AI10" s="74">
        <f>+GETPIVOTDATA("XBC4",'bauchinh (2016)'!$A$3,"MA_HT","LUN","MA_QH","DTT")</f>
        <v>0</v>
      </c>
      <c r="AJ10" s="74">
        <f>+GETPIVOTDATA("XBC4",'bauchinh (2016)'!$A$3,"MA_HT","LUN","MA_QH","NCK")</f>
        <v>0</v>
      </c>
      <c r="AK10" s="74">
        <f>+GETPIVOTDATA("XBC4",'bauchinh (2016)'!$A$3,"MA_HT","LUN","MA_QH","DXH")</f>
        <v>0</v>
      </c>
      <c r="AL10" s="74">
        <f>+GETPIVOTDATA("XBC4",'bauchinh (2016)'!$A$3,"MA_HT","LUN","MA_QH","DCH")</f>
        <v>0</v>
      </c>
      <c r="AM10" s="74">
        <f>+GETPIVOTDATA("XBC4",'bauchinh (2016)'!$A$3,"MA_HT","LUN","MA_QH","DKG")</f>
        <v>0</v>
      </c>
      <c r="AN10" s="74">
        <f>+GETPIVOTDATA("XBC4",'bauchinh (2016)'!$A$3,"MA_HT","LUN","MA_QH","DDT")</f>
        <v>0</v>
      </c>
      <c r="AO10" s="74">
        <f>+GETPIVOTDATA("XBC4",'bauchinh (2016)'!$A$3,"MA_HT","LUN","MA_QH","DDL")</f>
        <v>0</v>
      </c>
      <c r="AP10" s="74">
        <f>+GETPIVOTDATA("XBC4",'bauchinh (2016)'!$A$3,"MA_HT","LUN","MA_QH","DRA")</f>
        <v>0</v>
      </c>
      <c r="AQ10" s="74">
        <f>+GETPIVOTDATA("XBC4",'bauchinh (2016)'!$A$3,"MA_HT","LUN","MA_QH","ONT")</f>
        <v>0</v>
      </c>
      <c r="AR10" s="74">
        <f>+GETPIVOTDATA("XBC4",'bauchinh (2016)'!$A$3,"MA_HT","LUN","MA_QH","ODT")</f>
        <v>0</v>
      </c>
      <c r="AS10" s="74">
        <f>+GETPIVOTDATA("XBC4",'bauchinh (2016)'!$A$3,"MA_HT","LUN","MA_QH","TSC")</f>
        <v>0</v>
      </c>
      <c r="AT10" s="74">
        <f>+GETPIVOTDATA("XBC4",'bauchinh (2016)'!$A$3,"MA_HT","LUN","MA_QH","DTS")</f>
        <v>0</v>
      </c>
      <c r="AU10" s="74">
        <f>+GETPIVOTDATA("XBC4",'bauchinh (2016)'!$A$3,"MA_HT","LUN","MA_QH","DNG")</f>
        <v>0</v>
      </c>
      <c r="AV10" s="74">
        <f>+GETPIVOTDATA("XBC4",'bauchinh (2016)'!$A$3,"MA_HT","LUN","MA_QH","TON")</f>
        <v>0</v>
      </c>
      <c r="AW10" s="74">
        <f>+GETPIVOTDATA("XBC4",'bauchinh (2016)'!$A$3,"MA_HT","LUN","MA_QH","NTD")</f>
        <v>0</v>
      </c>
      <c r="AX10" s="74">
        <f>+GETPIVOTDATA("XBC4",'bauchinh (2016)'!$A$3,"MA_HT","LUN","MA_QH","SKX")</f>
        <v>0</v>
      </c>
      <c r="AY10" s="74">
        <f>+GETPIVOTDATA("XBC4",'bauchinh (2016)'!$A$3,"MA_HT","LUN","MA_QH","DSH")</f>
        <v>0</v>
      </c>
      <c r="AZ10" s="74">
        <f>+GETPIVOTDATA("XBC4",'bauchinh (2016)'!$A$3,"MA_HT","LUN","MA_QH","DKV")</f>
        <v>0</v>
      </c>
      <c r="BA10" s="139">
        <f>+GETPIVOTDATA("XBC4",'bauchinh (2016)'!$A$3,"MA_HT","LUN","MA_QH","TIN")</f>
        <v>0</v>
      </c>
      <c r="BB10" s="74">
        <f>+GETPIVOTDATA("XBC4",'bauchinh (2016)'!$A$3,"MA_HT","LUN","MA_QH","SON")</f>
        <v>0</v>
      </c>
      <c r="BC10" s="74">
        <f>+GETPIVOTDATA("XBC4",'bauchinh (2016)'!$A$3,"MA_HT","LUN","MA_QH","MNC")</f>
        <v>0</v>
      </c>
      <c r="BD10" s="74">
        <f>+GETPIVOTDATA("XBC4",'bauchinh (2016)'!$A$3,"MA_HT","LUN","MA_QH","PNK")</f>
        <v>0</v>
      </c>
      <c r="BE10" s="102">
        <f>+GETPIVOTDATA("XBC4",'bauchinh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+GETPIVOTDATA("XBC4",'bauchinh (2016)'!$A$3,"MA_HT","HNK","MA_QH","LUC")</f>
        <v>0</v>
      </c>
      <c r="H11" s="35">
        <f>+GETPIVOTDATA("XBC4",'bauchinh (2016)'!$A$3,"MA_HT","HNK","MA_QH","LUK")</f>
        <v>0</v>
      </c>
      <c r="I11" s="35">
        <f>+GETPIVOTDATA("XBC4",'bauchinh (2016)'!$A$3,"MA_HT","HNK","MA_QH","LUN")</f>
        <v>0</v>
      </c>
      <c r="J11" s="99" t="e">
        <f>$D11-$BF11</f>
        <v>#REF!</v>
      </c>
      <c r="K11" s="35">
        <f>+GETPIVOTDATA("XBC4",'bauchinh (2016)'!$A$3,"MA_HT","HNK","MA_QH","CLN")</f>
        <v>0</v>
      </c>
      <c r="L11" s="35">
        <f>+GETPIVOTDATA("XBC4",'bauchinh (2016)'!$A$3,"MA_HT","HNK","MA_QH","RSX")</f>
        <v>0</v>
      </c>
      <c r="M11" s="35">
        <f>+GETPIVOTDATA("XBC4",'bauchinh (2016)'!$A$3,"MA_HT","HNK","MA_QH","RPH")</f>
        <v>0</v>
      </c>
      <c r="N11" s="35">
        <f>+GETPIVOTDATA("XBC4",'bauchinh (2016)'!$A$3,"MA_HT","HNK","MA_QH","RDD")</f>
        <v>0</v>
      </c>
      <c r="O11" s="35">
        <f>+GETPIVOTDATA("XBC4",'bauchinh (2016)'!$A$3,"MA_HT","HNK","MA_QH","NTS")</f>
        <v>0</v>
      </c>
      <c r="P11" s="35">
        <f>+GETPIVOTDATA("XBC4",'bauchinh (2016)'!$A$3,"MA_HT","HNK","MA_QH","LMU")</f>
        <v>0</v>
      </c>
      <c r="Q11" s="35">
        <f>+GETPIVOTDATA("XBC4",'bauchinh (2016)'!$A$3,"MA_HT","HNK","MA_QH","NKH")</f>
        <v>0</v>
      </c>
      <c r="R11" s="63">
        <f t="shared" si="2"/>
        <v>0</v>
      </c>
      <c r="S11" s="35">
        <f>+GETPIVOTDATA("XBC4",'bauchinh (2016)'!$A$3,"MA_HT","HNK","MA_QH","CQP")</f>
        <v>0</v>
      </c>
      <c r="T11" s="35">
        <f>+GETPIVOTDATA("XBC4",'bauchinh (2016)'!$A$3,"MA_HT","HNK","MA_QH","CAN")</f>
        <v>0</v>
      </c>
      <c r="U11" s="35">
        <f>+GETPIVOTDATA("XBC4",'bauchinh (2016)'!$A$3,"MA_HT","HNK","MA_QH","SKK")</f>
        <v>0</v>
      </c>
      <c r="V11" s="35">
        <f>+GETPIVOTDATA("XBC4",'bauchinh (2016)'!$A$3,"MA_HT","HNK","MA_QH","SKT")</f>
        <v>0</v>
      </c>
      <c r="W11" s="35">
        <f>+GETPIVOTDATA("XBC4",'bauchinh (2016)'!$A$3,"MA_HT","HNK","MA_QH","SKN")</f>
        <v>0</v>
      </c>
      <c r="X11" s="35">
        <f>+GETPIVOTDATA("XBC4",'bauchinh (2016)'!$A$3,"MA_HT","HNK","MA_QH","TMD")</f>
        <v>0</v>
      </c>
      <c r="Y11" s="35">
        <f>+GETPIVOTDATA("XBC4",'bauchinh (2016)'!$A$3,"MA_HT","HNK","MA_QH","SKC")</f>
        <v>0</v>
      </c>
      <c r="Z11" s="35">
        <f>+GETPIVOTDATA("XBC4",'bauchinh (2016)'!$A$3,"MA_HT","HNK","MA_QH","SKS")</f>
        <v>0</v>
      </c>
      <c r="AA11" s="64">
        <f t="shared" si="4"/>
        <v>0</v>
      </c>
      <c r="AB11" s="35">
        <f>+GETPIVOTDATA("XBC4",'bauchinh (2016)'!$A$3,"MA_HT","HNK","MA_QH","DGT")</f>
        <v>0</v>
      </c>
      <c r="AC11" s="35">
        <f>+GETPIVOTDATA("XBC4",'bauchinh (2016)'!$A$3,"MA_HT","HNK","MA_QH","DTL")</f>
        <v>0</v>
      </c>
      <c r="AD11" s="35">
        <f>+GETPIVOTDATA("XBC4",'bauchinh (2016)'!$A$3,"MA_HT","HNK","MA_QH","DNL")</f>
        <v>0</v>
      </c>
      <c r="AE11" s="35">
        <f>+GETPIVOTDATA("XBC4",'bauchinh (2016)'!$A$3,"MA_HT","HNK","MA_QH","DBV")</f>
        <v>0</v>
      </c>
      <c r="AF11" s="35">
        <f>+GETPIVOTDATA("XBC4",'bauchinh (2016)'!$A$3,"MA_HT","HNK","MA_QH","DVH")</f>
        <v>0</v>
      </c>
      <c r="AG11" s="35">
        <f>+GETPIVOTDATA("XBC4",'bauchinh (2016)'!$A$3,"MA_HT","HNK","MA_QH","DYT")</f>
        <v>0</v>
      </c>
      <c r="AH11" s="35">
        <f>+GETPIVOTDATA("XBC4",'bauchinh (2016)'!$A$3,"MA_HT","HNK","MA_QH","DGD")</f>
        <v>0</v>
      </c>
      <c r="AI11" s="35">
        <f>+GETPIVOTDATA("XBC4",'bauchinh (2016)'!$A$3,"MA_HT","HNK","MA_QH","DTT")</f>
        <v>0</v>
      </c>
      <c r="AJ11" s="35">
        <f>+GETPIVOTDATA("XBC4",'bauchinh (2016)'!$A$3,"MA_HT","HNK","MA_QH","NCK")</f>
        <v>0</v>
      </c>
      <c r="AK11" s="35">
        <f>+GETPIVOTDATA("XBC4",'bauchinh (2016)'!$A$3,"MA_HT","HNK","MA_QH","DXH")</f>
        <v>0</v>
      </c>
      <c r="AL11" s="35">
        <f>+GETPIVOTDATA("XBC4",'bauchinh (2016)'!$A$3,"MA_HT","HNK","MA_QH","DCH")</f>
        <v>0</v>
      </c>
      <c r="AM11" s="35">
        <f>+GETPIVOTDATA("XBC4",'bauchinh (2016)'!$A$3,"MA_HT","HNK","MA_QH","DKG")</f>
        <v>0</v>
      </c>
      <c r="AN11" s="35">
        <f>+GETPIVOTDATA("XBC4",'bauchinh (2016)'!$A$3,"MA_HT","HNK","MA_QH","DDT")</f>
        <v>0</v>
      </c>
      <c r="AO11" s="35">
        <f>+GETPIVOTDATA("XBC4",'bauchinh (2016)'!$A$3,"MA_HT","HNK","MA_QH","DDL")</f>
        <v>0</v>
      </c>
      <c r="AP11" s="35">
        <f>+GETPIVOTDATA("XBC4",'bauchinh (2016)'!$A$3,"MA_HT","HNK","MA_QH","DRA")</f>
        <v>0</v>
      </c>
      <c r="AQ11" s="35">
        <f>+GETPIVOTDATA("XBC4",'bauchinh (2016)'!$A$3,"MA_HT","HNK","MA_QH","ONT")</f>
        <v>0</v>
      </c>
      <c r="AR11" s="35">
        <f>+GETPIVOTDATA("XBC4",'bauchinh (2016)'!$A$3,"MA_HT","HNK","MA_QH","ODT")</f>
        <v>0</v>
      </c>
      <c r="AS11" s="35">
        <f>+GETPIVOTDATA("XBC4",'bauchinh (2016)'!$A$3,"MA_HT","HNK","MA_QH","TSC")</f>
        <v>0</v>
      </c>
      <c r="AT11" s="35">
        <f>+GETPIVOTDATA("XBC4",'bauchinh (2016)'!$A$3,"MA_HT","HNK","MA_QH","DTS")</f>
        <v>0</v>
      </c>
      <c r="AU11" s="35">
        <f>+GETPIVOTDATA("XBC4",'bauchinh (2016)'!$A$3,"MA_HT","HNK","MA_QH","DNG")</f>
        <v>0</v>
      </c>
      <c r="AV11" s="35">
        <f>+GETPIVOTDATA("XBC4",'bauchinh (2016)'!$A$3,"MA_HT","HNK","MA_QH","TON")</f>
        <v>0</v>
      </c>
      <c r="AW11" s="35">
        <f>+GETPIVOTDATA("XBC4",'bauchinh (2016)'!$A$3,"MA_HT","HNK","MA_QH","NTD")</f>
        <v>0</v>
      </c>
      <c r="AX11" s="35">
        <f>+GETPIVOTDATA("XBC4",'bauchinh (2016)'!$A$3,"MA_HT","HNK","MA_QH","SKX")</f>
        <v>0</v>
      </c>
      <c r="AY11" s="35">
        <f>+GETPIVOTDATA("XBC4",'bauchinh (2016)'!$A$3,"MA_HT","HNK","MA_QH","DSH")</f>
        <v>0</v>
      </c>
      <c r="AZ11" s="35">
        <f>+GETPIVOTDATA("XBC4",'bauchinh (2016)'!$A$3,"MA_HT","HNK","MA_QH","DKV")</f>
        <v>0</v>
      </c>
      <c r="BA11" s="140">
        <f>+GETPIVOTDATA("XBC4",'bauchinh (2016)'!$A$3,"MA_HT","HNK","MA_QH","TIN")</f>
        <v>0</v>
      </c>
      <c r="BB11" s="74">
        <f>+GETPIVOTDATA("XBC4",'bauchinh (2016)'!$A$3,"MA_HT","HNK","MA_QH","SON")</f>
        <v>0</v>
      </c>
      <c r="BC11" s="74">
        <f>+GETPIVOTDATA("XBC4",'bauchinh (2016)'!$A$3,"MA_HT","HNK","MA_QH","MNC")</f>
        <v>0</v>
      </c>
      <c r="BD11" s="35">
        <f>+GETPIVOTDATA("XBC4",'bauchinh (2016)'!$A$3,"MA_HT","HNK","MA_QH","PNK")</f>
        <v>0</v>
      </c>
      <c r="BE11" s="58">
        <f>+GETPIVOTDATA("XBC4",'bauchinh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+GETPIVOTDATA("XBC4",'bauchinh (2016)'!$A$3,"MA_HT","CLN","MA_QH","LUC")</f>
        <v>0</v>
      </c>
      <c r="H12" s="35">
        <f>+GETPIVOTDATA("XBC4",'bauchinh (2016)'!$A$3,"MA_HT","CLN","MA_QH","LUK")</f>
        <v>0</v>
      </c>
      <c r="I12" s="35">
        <f>+GETPIVOTDATA("XBC4",'bauchinh (2016)'!$A$3,"MA_HT","CLN","MA_QH","LUN")</f>
        <v>0</v>
      </c>
      <c r="J12" s="35">
        <f>+GETPIVOTDATA("XBC4",'bauchinh (2016)'!$A$3,"MA_HT","CLN","MA_QH","HNK")</f>
        <v>0</v>
      </c>
      <c r="K12" s="99" t="e">
        <f>$D12-$BF12</f>
        <v>#REF!</v>
      </c>
      <c r="L12" s="35">
        <f>+GETPIVOTDATA("XBC4",'bauchinh (2016)'!$A$3,"MA_HT","CLN","MA_QH","RSX")</f>
        <v>0</v>
      </c>
      <c r="M12" s="35">
        <f>+GETPIVOTDATA("XBC4",'bauchinh (2016)'!$A$3,"MA_HT","CLN","MA_QH","RPH")</f>
        <v>0</v>
      </c>
      <c r="N12" s="35">
        <f>+GETPIVOTDATA("XBC4",'bauchinh (2016)'!$A$3,"MA_HT","CLN","MA_QH","RDD")</f>
        <v>0</v>
      </c>
      <c r="O12" s="35">
        <f>+GETPIVOTDATA("XBC4",'bauchinh (2016)'!$A$3,"MA_HT","CLN","MA_QH","NTS")</f>
        <v>0</v>
      </c>
      <c r="P12" s="35">
        <f>+GETPIVOTDATA("XBC4",'bauchinh (2016)'!$A$3,"MA_HT","CLN","MA_QH","LMU")</f>
        <v>0</v>
      </c>
      <c r="Q12" s="35">
        <f>+GETPIVOTDATA("XBC4",'bauchinh (2016)'!$A$3,"MA_HT","CLN","MA_QH","NKH")</f>
        <v>0</v>
      </c>
      <c r="R12" s="63">
        <f t="shared" si="2"/>
        <v>0</v>
      </c>
      <c r="S12" s="35">
        <f>+GETPIVOTDATA("XBC4",'bauchinh (2016)'!$A$3,"MA_HT","CLN","MA_QH","CQP")</f>
        <v>0</v>
      </c>
      <c r="T12" s="35">
        <f>+GETPIVOTDATA("XBC4",'bauchinh (2016)'!$A$3,"MA_HT","CLN","MA_QH","CAN")</f>
        <v>0</v>
      </c>
      <c r="U12" s="35">
        <f>+GETPIVOTDATA("XBC4",'bauchinh (2016)'!$A$3,"MA_HT","CLN","MA_QH","SKK")</f>
        <v>0</v>
      </c>
      <c r="V12" s="35">
        <f>+GETPIVOTDATA("XBC4",'bauchinh (2016)'!$A$3,"MA_HT","CLN","MA_QH","SKT")</f>
        <v>0</v>
      </c>
      <c r="W12" s="35">
        <f>+GETPIVOTDATA("XBC4",'bauchinh (2016)'!$A$3,"MA_HT","CLN","MA_QH","SKN")</f>
        <v>0</v>
      </c>
      <c r="X12" s="35">
        <f>+GETPIVOTDATA("XBC4",'bauchinh (2016)'!$A$3,"MA_HT","CLN","MA_QH","TMD")</f>
        <v>0</v>
      </c>
      <c r="Y12" s="35">
        <f>+GETPIVOTDATA("XBC4",'bauchinh (2016)'!$A$3,"MA_HT","CLN","MA_QH","SKC")</f>
        <v>0</v>
      </c>
      <c r="Z12" s="35">
        <f>+GETPIVOTDATA("XBC4",'bauchinh (2016)'!$A$3,"MA_HT","CLN","MA_QH","SKS")</f>
        <v>0</v>
      </c>
      <c r="AA12" s="64">
        <f t="shared" si="4"/>
        <v>0</v>
      </c>
      <c r="AB12" s="35">
        <f>+GETPIVOTDATA("XBC4",'bauchinh (2016)'!$A$3,"MA_HT","CLN","MA_QH","DGT")</f>
        <v>0</v>
      </c>
      <c r="AC12" s="35">
        <f>+GETPIVOTDATA("XBC4",'bauchinh (2016)'!$A$3,"MA_HT","CLN","MA_QH","DTL")</f>
        <v>0</v>
      </c>
      <c r="AD12" s="35">
        <f>+GETPIVOTDATA("XBC4",'bauchinh (2016)'!$A$3,"MA_HT","CLN","MA_QH","DNL")</f>
        <v>0</v>
      </c>
      <c r="AE12" s="35">
        <f>+GETPIVOTDATA("XBC4",'bauchinh (2016)'!$A$3,"MA_HT","CLN","MA_QH","DBV")</f>
        <v>0</v>
      </c>
      <c r="AF12" s="35">
        <f>+GETPIVOTDATA("XBC4",'bauchinh (2016)'!$A$3,"MA_HT","CLN","MA_QH","DVH")</f>
        <v>0</v>
      </c>
      <c r="AG12" s="35">
        <f>+GETPIVOTDATA("XBC4",'bauchinh (2016)'!$A$3,"MA_HT","CLN","MA_QH","DYT")</f>
        <v>0</v>
      </c>
      <c r="AH12" s="35">
        <f>+GETPIVOTDATA("XBC4",'bauchinh (2016)'!$A$3,"MA_HT","CLN","MA_QH","DGD")</f>
        <v>0</v>
      </c>
      <c r="AI12" s="35">
        <f>+GETPIVOTDATA("XBC4",'bauchinh (2016)'!$A$3,"MA_HT","CLN","MA_QH","DTT")</f>
        <v>0</v>
      </c>
      <c r="AJ12" s="35">
        <f>+GETPIVOTDATA("XBC4",'bauchinh (2016)'!$A$3,"MA_HT","CLN","MA_QH","NCK")</f>
        <v>0</v>
      </c>
      <c r="AK12" s="35">
        <f>+GETPIVOTDATA("XBC4",'bauchinh (2016)'!$A$3,"MA_HT","CLN","MA_QH","DXH")</f>
        <v>0</v>
      </c>
      <c r="AL12" s="35">
        <f>+GETPIVOTDATA("XBC4",'bauchinh (2016)'!$A$3,"MA_HT","CLN","MA_QH","DCH")</f>
        <v>0</v>
      </c>
      <c r="AM12" s="35">
        <f>+GETPIVOTDATA("XBC4",'bauchinh (2016)'!$A$3,"MA_HT","CLN","MA_QH","DKG")</f>
        <v>0</v>
      </c>
      <c r="AN12" s="35">
        <f>+GETPIVOTDATA("XBC4",'bauchinh (2016)'!$A$3,"MA_HT","CLN","MA_QH","DDT")</f>
        <v>0</v>
      </c>
      <c r="AO12" s="35">
        <f>+GETPIVOTDATA("XBC4",'bauchinh (2016)'!$A$3,"MA_HT","CLN","MA_QH","DDL")</f>
        <v>0</v>
      </c>
      <c r="AP12" s="35">
        <f>+GETPIVOTDATA("XBC4",'bauchinh (2016)'!$A$3,"MA_HT","CLN","MA_QH","DRA")</f>
        <v>0</v>
      </c>
      <c r="AQ12" s="35">
        <f>+GETPIVOTDATA("XBC4",'bauchinh (2016)'!$A$3,"MA_HT","CLN","MA_QH","ONT")</f>
        <v>0</v>
      </c>
      <c r="AR12" s="35">
        <f>+GETPIVOTDATA("XBC4",'bauchinh (2016)'!$A$3,"MA_HT","CLN","MA_QH","ODT")</f>
        <v>0</v>
      </c>
      <c r="AS12" s="35">
        <f>+GETPIVOTDATA("XBC4",'bauchinh (2016)'!$A$3,"MA_HT","CLN","MA_QH","TSC")</f>
        <v>0</v>
      </c>
      <c r="AT12" s="35">
        <f>+GETPIVOTDATA("XBC4",'bauchinh (2016)'!$A$3,"MA_HT","CLN","MA_QH","DTS")</f>
        <v>0</v>
      </c>
      <c r="AU12" s="35">
        <f>+GETPIVOTDATA("XBC4",'bauchinh (2016)'!$A$3,"MA_HT","CLN","MA_QH","DNG")</f>
        <v>0</v>
      </c>
      <c r="AV12" s="35">
        <f>+GETPIVOTDATA("XBC4",'bauchinh (2016)'!$A$3,"MA_HT","CLN","MA_QH","TON")</f>
        <v>0</v>
      </c>
      <c r="AW12" s="35">
        <f>+GETPIVOTDATA("XBC4",'bauchinh (2016)'!$A$3,"MA_HT","CLN","MA_QH","NTD")</f>
        <v>0</v>
      </c>
      <c r="AX12" s="35">
        <f>+GETPIVOTDATA("XBC4",'bauchinh (2016)'!$A$3,"MA_HT","CLN","MA_QH","SKX")</f>
        <v>0</v>
      </c>
      <c r="AY12" s="35">
        <f>+GETPIVOTDATA("XBC4",'bauchinh (2016)'!$A$3,"MA_HT","CLN","MA_QH","DSH")</f>
        <v>0</v>
      </c>
      <c r="AZ12" s="35">
        <f>+GETPIVOTDATA("XBC4",'bauchinh (2016)'!$A$3,"MA_HT","CLN","MA_QH","DKV")</f>
        <v>0</v>
      </c>
      <c r="BA12" s="140">
        <f>+GETPIVOTDATA("XBC4",'bauchinh (2016)'!$A$3,"MA_HT","CLN","MA_QH","TIN")</f>
        <v>0</v>
      </c>
      <c r="BB12" s="74">
        <f>+GETPIVOTDATA("XBC4",'bauchinh (2016)'!$A$3,"MA_HT","CLN","MA_QH","SON")</f>
        <v>0</v>
      </c>
      <c r="BC12" s="74">
        <f>+GETPIVOTDATA("XBC4",'bauchinh (2016)'!$A$3,"MA_HT","CLN","MA_QH","MNC")</f>
        <v>0</v>
      </c>
      <c r="BD12" s="35">
        <f>+GETPIVOTDATA("XBC4",'bauchinh (2016)'!$A$3,"MA_HT","CLN","MA_QH","PNK")</f>
        <v>0</v>
      </c>
      <c r="BE12" s="58">
        <f>+GETPIVOTDATA("XBC4",'bauchinh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+GETPIVOTDATA("XBC4",'bauchinh (2016)'!$A$3,"MA_HT","RSX","MA_QH","LUC")</f>
        <v>0</v>
      </c>
      <c r="H13" s="35">
        <f>+GETPIVOTDATA("XBC4",'bauchinh (2016)'!$A$3,"MA_HT","RSX","MA_QH","LUK")</f>
        <v>0</v>
      </c>
      <c r="I13" s="35">
        <f>+GETPIVOTDATA("XBC4",'bauchinh (2016)'!$A$3,"MA_HT","RSX","MA_QH","LUN")</f>
        <v>0</v>
      </c>
      <c r="J13" s="35">
        <f>+GETPIVOTDATA("XBC4",'bauchinh (2016)'!$A$3,"MA_HT","RSX","MA_QH","HNK")</f>
        <v>0</v>
      </c>
      <c r="K13" s="35">
        <f>+GETPIVOTDATA("XBC4",'bauchinh (2016)'!$A$3,"MA_HT","RSX","MA_QH","CLN")</f>
        <v>0</v>
      </c>
      <c r="L13" s="99" t="e">
        <f>$D13-$BF13</f>
        <v>#REF!</v>
      </c>
      <c r="M13" s="35">
        <f>+GETPIVOTDATA("XBC4",'bauchinh (2016)'!$A$3,"MA_HT","RSX","MA_QH","RPH")</f>
        <v>0</v>
      </c>
      <c r="N13" s="35">
        <f>+GETPIVOTDATA("XBC4",'bauchinh (2016)'!$A$3,"MA_HT","RSX","MA_QH","RDD")</f>
        <v>0</v>
      </c>
      <c r="O13" s="35">
        <f>+GETPIVOTDATA("XBC4",'bauchinh (2016)'!$A$3,"MA_HT","RSX","MA_QH","NTS")</f>
        <v>0</v>
      </c>
      <c r="P13" s="35">
        <f>+GETPIVOTDATA("XBC4",'bauchinh (2016)'!$A$3,"MA_HT","RSX","MA_QH","LMU")</f>
        <v>0</v>
      </c>
      <c r="Q13" s="35">
        <f>+GETPIVOTDATA("XBC4",'bauchinh (2016)'!$A$3,"MA_HT","RSX","MA_QH","NKH")</f>
        <v>0</v>
      </c>
      <c r="R13" s="63">
        <f t="shared" si="2"/>
        <v>0</v>
      </c>
      <c r="S13" s="35">
        <f>+GETPIVOTDATA("XBC4",'bauchinh (2016)'!$A$3,"MA_HT","RSX","MA_QH","CQP")</f>
        <v>0</v>
      </c>
      <c r="T13" s="35">
        <f>+GETPIVOTDATA("XBC4",'bauchinh (2016)'!$A$3,"MA_HT","RSX","MA_QH","CAN")</f>
        <v>0</v>
      </c>
      <c r="U13" s="35">
        <f>+GETPIVOTDATA("XBC4",'bauchinh (2016)'!$A$3,"MA_HT","RSX","MA_QH","SKK")</f>
        <v>0</v>
      </c>
      <c r="V13" s="35">
        <f>+GETPIVOTDATA("XBC4",'bauchinh (2016)'!$A$3,"MA_HT","RSX","MA_QH","SKT")</f>
        <v>0</v>
      </c>
      <c r="W13" s="35">
        <f>+GETPIVOTDATA("XBC4",'bauchinh (2016)'!$A$3,"MA_HT","RSX","MA_QH","SKN")</f>
        <v>0</v>
      </c>
      <c r="X13" s="35">
        <f>+GETPIVOTDATA("XBC4",'bauchinh (2016)'!$A$3,"MA_HT","RSX","MA_QH","TMD")</f>
        <v>0</v>
      </c>
      <c r="Y13" s="35">
        <f>+GETPIVOTDATA("XBC4",'bauchinh (2016)'!$A$3,"MA_HT","RSX","MA_QH","SKC")</f>
        <v>0</v>
      </c>
      <c r="Z13" s="35">
        <f>+GETPIVOTDATA("XBC4",'bauchinh (2016)'!$A$3,"MA_HT","RSX","MA_QH","SKS")</f>
        <v>0</v>
      </c>
      <c r="AA13" s="64">
        <f t="shared" si="4"/>
        <v>0</v>
      </c>
      <c r="AB13" s="35">
        <f>+GETPIVOTDATA("XBC4",'bauchinh (2016)'!$A$3,"MA_HT","RSX","MA_QH","DGT")</f>
        <v>0</v>
      </c>
      <c r="AC13" s="35">
        <f>+GETPIVOTDATA("XBC4",'bauchinh (2016)'!$A$3,"MA_HT","RSX","MA_QH","DTL")</f>
        <v>0</v>
      </c>
      <c r="AD13" s="35">
        <f>+GETPIVOTDATA("XBC4",'bauchinh (2016)'!$A$3,"MA_HT","RSX","MA_QH","DNL")</f>
        <v>0</v>
      </c>
      <c r="AE13" s="35">
        <f>+GETPIVOTDATA("XBC4",'bauchinh (2016)'!$A$3,"MA_HT","RSX","MA_QH","DBV")</f>
        <v>0</v>
      </c>
      <c r="AF13" s="35">
        <f>+GETPIVOTDATA("XBC4",'bauchinh (2016)'!$A$3,"MA_HT","RSX","MA_QH","DVH")</f>
        <v>0</v>
      </c>
      <c r="AG13" s="35">
        <f>+GETPIVOTDATA("XBC4",'bauchinh (2016)'!$A$3,"MA_HT","RSX","MA_QH","DYT")</f>
        <v>0</v>
      </c>
      <c r="AH13" s="35">
        <f>+GETPIVOTDATA("XBC4",'bauchinh (2016)'!$A$3,"MA_HT","RSX","MA_QH","DGD")</f>
        <v>0</v>
      </c>
      <c r="AI13" s="35">
        <f>+GETPIVOTDATA("XBC4",'bauchinh (2016)'!$A$3,"MA_HT","RSX","MA_QH","DTT")</f>
        <v>0</v>
      </c>
      <c r="AJ13" s="35">
        <f>+GETPIVOTDATA("XBC4",'bauchinh (2016)'!$A$3,"MA_HT","RSX","MA_QH","NCK")</f>
        <v>0</v>
      </c>
      <c r="AK13" s="35">
        <f>+GETPIVOTDATA("XBC4",'bauchinh (2016)'!$A$3,"MA_HT","RSX","MA_QH","DXH")</f>
        <v>0</v>
      </c>
      <c r="AL13" s="35">
        <f>+GETPIVOTDATA("XBC4",'bauchinh (2016)'!$A$3,"MA_HT","RSX","MA_QH","DCH")</f>
        <v>0</v>
      </c>
      <c r="AM13" s="35">
        <f>+GETPIVOTDATA("XBC4",'bauchinh (2016)'!$A$3,"MA_HT","RSX","MA_QH","DKG")</f>
        <v>0</v>
      </c>
      <c r="AN13" s="35">
        <f>+GETPIVOTDATA("XBC4",'bauchinh (2016)'!$A$3,"MA_HT","RSX","MA_QH","DDT")</f>
        <v>0</v>
      </c>
      <c r="AO13" s="35">
        <f>+GETPIVOTDATA("XBC4",'bauchinh (2016)'!$A$3,"MA_HT","RSX","MA_QH","DDL")</f>
        <v>0</v>
      </c>
      <c r="AP13" s="35">
        <f>+GETPIVOTDATA("XBC4",'bauchinh (2016)'!$A$3,"MA_HT","RSX","MA_QH","DRA")</f>
        <v>0</v>
      </c>
      <c r="AQ13" s="35">
        <f>+GETPIVOTDATA("XBC4",'bauchinh (2016)'!$A$3,"MA_HT","RSX","MA_QH","ONT")</f>
        <v>0</v>
      </c>
      <c r="AR13" s="35">
        <f>+GETPIVOTDATA("XBC4",'bauchinh (2016)'!$A$3,"MA_HT","RSX","MA_QH","ODT")</f>
        <v>0</v>
      </c>
      <c r="AS13" s="35">
        <f>+GETPIVOTDATA("XBC4",'bauchinh (2016)'!$A$3,"MA_HT","RSX","MA_QH","TSC")</f>
        <v>0</v>
      </c>
      <c r="AT13" s="35">
        <f>+GETPIVOTDATA("XBC4",'bauchinh (2016)'!$A$3,"MA_HT","RSX","MA_QH","DTS")</f>
        <v>0</v>
      </c>
      <c r="AU13" s="35">
        <f>+GETPIVOTDATA("XBC4",'bauchinh (2016)'!$A$3,"MA_HT","RSX","MA_QH","DNG")</f>
        <v>0</v>
      </c>
      <c r="AV13" s="35">
        <f>+GETPIVOTDATA("XBC4",'bauchinh (2016)'!$A$3,"MA_HT","RSX","MA_QH","TON")</f>
        <v>0</v>
      </c>
      <c r="AW13" s="35">
        <f>+GETPIVOTDATA("XBC4",'bauchinh (2016)'!$A$3,"MA_HT","RSX","MA_QH","NTD")</f>
        <v>0</v>
      </c>
      <c r="AX13" s="35">
        <f>+GETPIVOTDATA("XBC4",'bauchinh (2016)'!$A$3,"MA_HT","RSX","MA_QH","SKX")</f>
        <v>0</v>
      </c>
      <c r="AY13" s="35">
        <f>+GETPIVOTDATA("XBC4",'bauchinh (2016)'!$A$3,"MA_HT","RSX","MA_QH","DSH")</f>
        <v>0</v>
      </c>
      <c r="AZ13" s="35">
        <f>+GETPIVOTDATA("XBC4",'bauchinh (2016)'!$A$3,"MA_HT","RSX","MA_QH","DKV")</f>
        <v>0</v>
      </c>
      <c r="BA13" s="140">
        <f>+GETPIVOTDATA("XBC4",'bauchinh (2016)'!$A$3,"MA_HT","RSX","MA_QH","TIN")</f>
        <v>0</v>
      </c>
      <c r="BB13" s="74">
        <f>+GETPIVOTDATA("XBC4",'bauchinh (2016)'!$A$3,"MA_HT","RSX","MA_QH","SON")</f>
        <v>0</v>
      </c>
      <c r="BC13" s="74">
        <f>+GETPIVOTDATA("XBC4",'bauchinh (2016)'!$A$3,"MA_HT","RSX","MA_QH","MNC")</f>
        <v>0</v>
      </c>
      <c r="BD13" s="35">
        <f>+GETPIVOTDATA("XBC4",'bauchinh (2016)'!$A$3,"MA_HT","RSX","MA_QH","PNK")</f>
        <v>0</v>
      </c>
      <c r="BE13" s="58">
        <f>+GETPIVOTDATA("XBC4",'bauchinh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+GETPIVOTDATA("XBC4",'bauchinh (2016)'!$A$3,"MA_HT","RPH","MA_QH","LUC")</f>
        <v>0</v>
      </c>
      <c r="H14" s="35">
        <f>+GETPIVOTDATA("XBC4",'bauchinh (2016)'!$A$3,"MA_HT","RPH","MA_QH","LUK")</f>
        <v>0</v>
      </c>
      <c r="I14" s="35">
        <f>+GETPIVOTDATA("XBC4",'bauchinh (2016)'!$A$3,"MA_HT","RPH","MA_QH","LUN")</f>
        <v>0</v>
      </c>
      <c r="J14" s="35">
        <f>+GETPIVOTDATA("XBC4",'bauchinh (2016)'!$A$3,"MA_HT","RPH","MA_QH","HNK")</f>
        <v>0</v>
      </c>
      <c r="K14" s="35">
        <f>+GETPIVOTDATA("XBC4",'bauchinh (2016)'!$A$3,"MA_HT","RPH","MA_QH","CLN")</f>
        <v>0</v>
      </c>
      <c r="L14" s="35">
        <f>+GETPIVOTDATA("XBC4",'bauchinh (2016)'!$A$3,"MA_HT","RPH","MA_QH","RSX")</f>
        <v>0</v>
      </c>
      <c r="M14" s="99" t="e">
        <f>$D14-$BF14</f>
        <v>#REF!</v>
      </c>
      <c r="N14" s="35">
        <f>+GETPIVOTDATA("XBC4",'bauchinh (2016)'!$A$3,"MA_HT","RPH","MA_QH","RDD")</f>
        <v>0</v>
      </c>
      <c r="O14" s="35">
        <f>+GETPIVOTDATA("XBC4",'bauchinh (2016)'!$A$3,"MA_HT","RPH","MA_QH","NTS")</f>
        <v>0</v>
      </c>
      <c r="P14" s="35">
        <f>+GETPIVOTDATA("XBC4",'bauchinh (2016)'!$A$3,"MA_HT","RPH","MA_QH","LMU")</f>
        <v>0</v>
      </c>
      <c r="Q14" s="35">
        <f>+GETPIVOTDATA("XBC4",'bauchinh (2016)'!$A$3,"MA_HT","RPH","MA_QH","NKH")</f>
        <v>0</v>
      </c>
      <c r="R14" s="63">
        <f t="shared" si="2"/>
        <v>0</v>
      </c>
      <c r="S14" s="35">
        <f>+GETPIVOTDATA("XBC4",'bauchinh (2016)'!$A$3,"MA_HT","RPH","MA_QH","CQP")</f>
        <v>0</v>
      </c>
      <c r="T14" s="35">
        <f>+GETPIVOTDATA("XBC4",'bauchinh (2016)'!$A$3,"MA_HT","RPH","MA_QH","CAN")</f>
        <v>0</v>
      </c>
      <c r="U14" s="35">
        <f>+GETPIVOTDATA("XBC4",'bauchinh (2016)'!$A$3,"MA_HT","RPH","MA_QH","SKK")</f>
        <v>0</v>
      </c>
      <c r="V14" s="35">
        <f>+GETPIVOTDATA("XBC4",'bauchinh (2016)'!$A$3,"MA_HT","RPH","MA_QH","SKT")</f>
        <v>0</v>
      </c>
      <c r="W14" s="35">
        <f>+GETPIVOTDATA("XBC4",'bauchinh (2016)'!$A$3,"MA_HT","RPH","MA_QH","SKN")</f>
        <v>0</v>
      </c>
      <c r="X14" s="35">
        <f>+GETPIVOTDATA("XBC4",'bauchinh (2016)'!$A$3,"MA_HT","RPH","MA_QH","TMD")</f>
        <v>0</v>
      </c>
      <c r="Y14" s="35">
        <f>+GETPIVOTDATA("XBC4",'bauchinh (2016)'!$A$3,"MA_HT","RPH","MA_QH","SKC")</f>
        <v>0</v>
      </c>
      <c r="Z14" s="35">
        <f>+GETPIVOTDATA("XBC4",'bauchinh (2016)'!$A$3,"MA_HT","RPH","MA_QH","SKS")</f>
        <v>0</v>
      </c>
      <c r="AA14" s="64">
        <f t="shared" si="4"/>
        <v>0</v>
      </c>
      <c r="AB14" s="35">
        <f>+GETPIVOTDATA("XBC4",'bauchinh (2016)'!$A$3,"MA_HT","RPH","MA_QH","DGT")</f>
        <v>0</v>
      </c>
      <c r="AC14" s="35">
        <f>+GETPIVOTDATA("XBC4",'bauchinh (2016)'!$A$3,"MA_HT","RPH","MA_QH","DTL")</f>
        <v>0</v>
      </c>
      <c r="AD14" s="35">
        <f>+GETPIVOTDATA("XBC4",'bauchinh (2016)'!$A$3,"MA_HT","RPH","MA_QH","DNL")</f>
        <v>0</v>
      </c>
      <c r="AE14" s="35">
        <f>+GETPIVOTDATA("XBC4",'bauchinh (2016)'!$A$3,"MA_HT","RPH","MA_QH","DBV")</f>
        <v>0</v>
      </c>
      <c r="AF14" s="35">
        <f>+GETPIVOTDATA("XBC4",'bauchinh (2016)'!$A$3,"MA_HT","RPH","MA_QH","DVH")</f>
        <v>0</v>
      </c>
      <c r="AG14" s="35">
        <f>+GETPIVOTDATA("XBC4",'bauchinh (2016)'!$A$3,"MA_HT","RPH","MA_QH","DYT")</f>
        <v>0</v>
      </c>
      <c r="AH14" s="35">
        <f>+GETPIVOTDATA("XBC4",'bauchinh (2016)'!$A$3,"MA_HT","RPH","MA_QH","DGD")</f>
        <v>0</v>
      </c>
      <c r="AI14" s="35">
        <f>+GETPIVOTDATA("XBC4",'bauchinh (2016)'!$A$3,"MA_HT","RPH","MA_QH","DTT")</f>
        <v>0</v>
      </c>
      <c r="AJ14" s="35">
        <f>+GETPIVOTDATA("XBC4",'bauchinh (2016)'!$A$3,"MA_HT","RPH","MA_QH","NCK")</f>
        <v>0</v>
      </c>
      <c r="AK14" s="35">
        <f>+GETPIVOTDATA("XBC4",'bauchinh (2016)'!$A$3,"MA_HT","RPH","MA_QH","DXH")</f>
        <v>0</v>
      </c>
      <c r="AL14" s="35">
        <f>+GETPIVOTDATA("XBC4",'bauchinh (2016)'!$A$3,"MA_HT","RPH","MA_QH","DCH")</f>
        <v>0</v>
      </c>
      <c r="AM14" s="35">
        <f>+GETPIVOTDATA("XBC4",'bauchinh (2016)'!$A$3,"MA_HT","RPH","MA_QH","DKG")</f>
        <v>0</v>
      </c>
      <c r="AN14" s="35">
        <f>+GETPIVOTDATA("XBC4",'bauchinh (2016)'!$A$3,"MA_HT","RPH","MA_QH","DDT")</f>
        <v>0</v>
      </c>
      <c r="AO14" s="35">
        <f>+GETPIVOTDATA("XBC4",'bauchinh (2016)'!$A$3,"MA_HT","RPH","MA_QH","DDL")</f>
        <v>0</v>
      </c>
      <c r="AP14" s="35">
        <f>+GETPIVOTDATA("XBC4",'bauchinh (2016)'!$A$3,"MA_HT","RPH","MA_QH","DRA")</f>
        <v>0</v>
      </c>
      <c r="AQ14" s="35">
        <f>+GETPIVOTDATA("XBC4",'bauchinh (2016)'!$A$3,"MA_HT","RPH","MA_QH","ONT")</f>
        <v>0</v>
      </c>
      <c r="AR14" s="35">
        <f>+GETPIVOTDATA("XBC4",'bauchinh (2016)'!$A$3,"MA_HT","RPH","MA_QH","ODT")</f>
        <v>0</v>
      </c>
      <c r="AS14" s="35">
        <f>+GETPIVOTDATA("XBC4",'bauchinh (2016)'!$A$3,"MA_HT","RPH","MA_QH","TSC")</f>
        <v>0</v>
      </c>
      <c r="AT14" s="35">
        <f>+GETPIVOTDATA("XBC4",'bauchinh (2016)'!$A$3,"MA_HT","RPH","MA_QH","DTS")</f>
        <v>0</v>
      </c>
      <c r="AU14" s="35">
        <f>+GETPIVOTDATA("XBC4",'bauchinh (2016)'!$A$3,"MA_HT","RPH","MA_QH","DNG")</f>
        <v>0</v>
      </c>
      <c r="AV14" s="35">
        <f>+GETPIVOTDATA("XBC4",'bauchinh (2016)'!$A$3,"MA_HT","RPH","MA_QH","TON")</f>
        <v>0</v>
      </c>
      <c r="AW14" s="35">
        <f>+GETPIVOTDATA("XBC4",'bauchinh (2016)'!$A$3,"MA_HT","RPH","MA_QH","NTD")</f>
        <v>0</v>
      </c>
      <c r="AX14" s="35">
        <f>+GETPIVOTDATA("XBC4",'bauchinh (2016)'!$A$3,"MA_HT","RPH","MA_QH","SKX")</f>
        <v>0</v>
      </c>
      <c r="AY14" s="35">
        <f>+GETPIVOTDATA("XBC4",'bauchinh (2016)'!$A$3,"MA_HT","RPH","MA_QH","DSH")</f>
        <v>0</v>
      </c>
      <c r="AZ14" s="35">
        <f>+GETPIVOTDATA("XBC4",'bauchinh (2016)'!$A$3,"MA_HT","RPH","MA_QH","DKV")</f>
        <v>0</v>
      </c>
      <c r="BA14" s="140">
        <f>+GETPIVOTDATA("XBC4",'bauchinh (2016)'!$A$3,"MA_HT","RPH","MA_QH","TIN")</f>
        <v>0</v>
      </c>
      <c r="BB14" s="74">
        <f>+GETPIVOTDATA("XBC4",'bauchinh (2016)'!$A$3,"MA_HT","RPH","MA_QH","SON")</f>
        <v>0</v>
      </c>
      <c r="BC14" s="74">
        <f>+GETPIVOTDATA("XBC4",'bauchinh (2016)'!$A$3,"MA_HT","RPH","MA_QH","MNC")</f>
        <v>0</v>
      </c>
      <c r="BD14" s="35">
        <f>+GETPIVOTDATA("XBC4",'bauchinh (2016)'!$A$3,"MA_HT","RPH","MA_QH","PNK")</f>
        <v>0</v>
      </c>
      <c r="BE14" s="58">
        <f>+GETPIVOTDATA("XBC4",'bauchinh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+GETPIVOTDATA("XBC4",'bauchinh (2016)'!$A$3,"MA_HT","RDD","MA_QH","LUC")</f>
        <v>0</v>
      </c>
      <c r="H15" s="35">
        <f>+GETPIVOTDATA("XBC4",'bauchinh (2016)'!$A$3,"MA_HT","RDD","MA_QH","LUK")</f>
        <v>0</v>
      </c>
      <c r="I15" s="35">
        <f>+GETPIVOTDATA("XBC4",'bauchinh (2016)'!$A$3,"MA_HT","RDD","MA_QH","LUN")</f>
        <v>0</v>
      </c>
      <c r="J15" s="35">
        <f>+GETPIVOTDATA("XBC4",'bauchinh (2016)'!$A$3,"MA_HT","RDD","MA_QH","HNK")</f>
        <v>0</v>
      </c>
      <c r="K15" s="35">
        <f>+GETPIVOTDATA("XBC4",'bauchinh (2016)'!$A$3,"MA_HT","RDD","MA_QH","CLN")</f>
        <v>0</v>
      </c>
      <c r="L15" s="35">
        <f>+GETPIVOTDATA("XBC4",'bauchinh (2016)'!$A$3,"MA_HT","RDD","MA_QH","RSX")</f>
        <v>0</v>
      </c>
      <c r="M15" s="35">
        <f>+GETPIVOTDATA("XBC4",'bauchinh (2016)'!$A$3,"MA_HT","RDD","MA_QH","RPH")</f>
        <v>0</v>
      </c>
      <c r="N15" s="99" t="e">
        <f>$D15-$BF15</f>
        <v>#REF!</v>
      </c>
      <c r="O15" s="35">
        <f>+GETPIVOTDATA("XBC4",'bauchinh (2016)'!$A$3,"MA_HT","RDD","MA_QH","NTS")</f>
        <v>0</v>
      </c>
      <c r="P15" s="35">
        <f>+GETPIVOTDATA("XBC4",'bauchinh (2016)'!$A$3,"MA_HT","RDD","MA_QH","LMU")</f>
        <v>0</v>
      </c>
      <c r="Q15" s="35">
        <f>+GETPIVOTDATA("XBC4",'bauchinh (2016)'!$A$3,"MA_HT","RDD","MA_QH","NKH")</f>
        <v>0</v>
      </c>
      <c r="R15" s="63">
        <f t="shared" si="2"/>
        <v>0</v>
      </c>
      <c r="S15" s="35">
        <f>+GETPIVOTDATA("XBC4",'bauchinh (2016)'!$A$3,"MA_HT","RDD","MA_QH","CQP")</f>
        <v>0</v>
      </c>
      <c r="T15" s="35">
        <f>+GETPIVOTDATA("XBC4",'bauchinh (2016)'!$A$3,"MA_HT","RDD","MA_QH","CAN")</f>
        <v>0</v>
      </c>
      <c r="U15" s="35">
        <f>+GETPIVOTDATA("XBC4",'bauchinh (2016)'!$A$3,"MA_HT","RDD","MA_QH","SKK")</f>
        <v>0</v>
      </c>
      <c r="V15" s="35">
        <f>+GETPIVOTDATA("XBC4",'bauchinh (2016)'!$A$3,"MA_HT","RDD","MA_QH","SKT")</f>
        <v>0</v>
      </c>
      <c r="W15" s="35">
        <f>+GETPIVOTDATA("XBC4",'bauchinh (2016)'!$A$3,"MA_HT","RDD","MA_QH","SKN")</f>
        <v>0</v>
      </c>
      <c r="X15" s="35">
        <f>+GETPIVOTDATA("XBC4",'bauchinh (2016)'!$A$3,"MA_HT","RDD","MA_QH","TMD")</f>
        <v>0</v>
      </c>
      <c r="Y15" s="35">
        <f>+GETPIVOTDATA("XBC4",'bauchinh (2016)'!$A$3,"MA_HT","RDD","MA_QH","SKC")</f>
        <v>0</v>
      </c>
      <c r="Z15" s="35">
        <f>+GETPIVOTDATA("XBC4",'bauchinh (2016)'!$A$3,"MA_HT","RDD","MA_QH","SKS")</f>
        <v>0</v>
      </c>
      <c r="AA15" s="64">
        <f t="shared" si="4"/>
        <v>0</v>
      </c>
      <c r="AB15" s="35">
        <f>+GETPIVOTDATA("XBC4",'bauchinh (2016)'!$A$3,"MA_HT","RDD","MA_QH","DGT")</f>
        <v>0</v>
      </c>
      <c r="AC15" s="35">
        <f>+GETPIVOTDATA("XBC4",'bauchinh (2016)'!$A$3,"MA_HT","RDD","MA_QH","DTL")</f>
        <v>0</v>
      </c>
      <c r="AD15" s="35">
        <f>+GETPIVOTDATA("XBC4",'bauchinh (2016)'!$A$3,"MA_HT","RDD","MA_QH","DNL")</f>
        <v>0</v>
      </c>
      <c r="AE15" s="35">
        <f>+GETPIVOTDATA("XBC4",'bauchinh (2016)'!$A$3,"MA_HT","RDD","MA_QH","DBV")</f>
        <v>0</v>
      </c>
      <c r="AF15" s="35">
        <f>+GETPIVOTDATA("XBC4",'bauchinh (2016)'!$A$3,"MA_HT","RDD","MA_QH","DVH")</f>
        <v>0</v>
      </c>
      <c r="AG15" s="35">
        <f>+GETPIVOTDATA("XBC4",'bauchinh (2016)'!$A$3,"MA_HT","RDD","MA_QH","DYT")</f>
        <v>0</v>
      </c>
      <c r="AH15" s="35">
        <f>+GETPIVOTDATA("XBC4",'bauchinh (2016)'!$A$3,"MA_HT","RDD","MA_QH","DGD")</f>
        <v>0</v>
      </c>
      <c r="AI15" s="35">
        <f>+GETPIVOTDATA("XBC4",'bauchinh (2016)'!$A$3,"MA_HT","RDD","MA_QH","DTT")</f>
        <v>0</v>
      </c>
      <c r="AJ15" s="35">
        <f>+GETPIVOTDATA("XBC4",'bauchinh (2016)'!$A$3,"MA_HT","RDD","MA_QH","NCK")</f>
        <v>0</v>
      </c>
      <c r="AK15" s="35">
        <f>+GETPIVOTDATA("XBC4",'bauchinh (2016)'!$A$3,"MA_HT","RDD","MA_QH","DXH")</f>
        <v>0</v>
      </c>
      <c r="AL15" s="35">
        <f>+GETPIVOTDATA("XBC4",'bauchinh (2016)'!$A$3,"MA_HT","RDD","MA_QH","DCH")</f>
        <v>0</v>
      </c>
      <c r="AM15" s="35">
        <f>+GETPIVOTDATA("XBC4",'bauchinh (2016)'!$A$3,"MA_HT","RDD","MA_QH","DKG")</f>
        <v>0</v>
      </c>
      <c r="AN15" s="35">
        <f>+GETPIVOTDATA("XBC4",'bauchinh (2016)'!$A$3,"MA_HT","RDD","MA_QH","DDT")</f>
        <v>0</v>
      </c>
      <c r="AO15" s="35">
        <f>+GETPIVOTDATA("XBC4",'bauchinh (2016)'!$A$3,"MA_HT","RDD","MA_QH","DDL")</f>
        <v>0</v>
      </c>
      <c r="AP15" s="35">
        <f>+GETPIVOTDATA("XBC4",'bauchinh (2016)'!$A$3,"MA_HT","RDD","MA_QH","DRA")</f>
        <v>0</v>
      </c>
      <c r="AQ15" s="35">
        <f>+GETPIVOTDATA("XBC4",'bauchinh (2016)'!$A$3,"MA_HT","RDD","MA_QH","ONT")</f>
        <v>0</v>
      </c>
      <c r="AR15" s="35">
        <f>+GETPIVOTDATA("XBC4",'bauchinh (2016)'!$A$3,"MA_HT","RDD","MA_QH","ODT")</f>
        <v>0</v>
      </c>
      <c r="AS15" s="35">
        <f>+GETPIVOTDATA("XBC4",'bauchinh (2016)'!$A$3,"MA_HT","RDD","MA_QH","TSC")</f>
        <v>0</v>
      </c>
      <c r="AT15" s="35">
        <f>+GETPIVOTDATA("XBC4",'bauchinh (2016)'!$A$3,"MA_HT","RDD","MA_QH","DTS")</f>
        <v>0</v>
      </c>
      <c r="AU15" s="35">
        <f>+GETPIVOTDATA("XBC4",'bauchinh (2016)'!$A$3,"MA_HT","RDD","MA_QH","DNG")</f>
        <v>0</v>
      </c>
      <c r="AV15" s="35">
        <f>+GETPIVOTDATA("XBC4",'bauchinh (2016)'!$A$3,"MA_HT","RDD","MA_QH","TON")</f>
        <v>0</v>
      </c>
      <c r="AW15" s="35">
        <f>+GETPIVOTDATA("XBC4",'bauchinh (2016)'!$A$3,"MA_HT","RDD","MA_QH","NTD")</f>
        <v>0</v>
      </c>
      <c r="AX15" s="35">
        <f>+GETPIVOTDATA("XBC4",'bauchinh (2016)'!$A$3,"MA_HT","RDD","MA_QH","SKX")</f>
        <v>0</v>
      </c>
      <c r="AY15" s="35">
        <f>+GETPIVOTDATA("XBC4",'bauchinh (2016)'!$A$3,"MA_HT","RDD","MA_QH","DSH")</f>
        <v>0</v>
      </c>
      <c r="AZ15" s="35">
        <f>+GETPIVOTDATA("XBC4",'bauchinh (2016)'!$A$3,"MA_HT","RDD","MA_QH","DKV")</f>
        <v>0</v>
      </c>
      <c r="BA15" s="140">
        <f>+GETPIVOTDATA("XBC4",'bauchinh (2016)'!$A$3,"MA_HT","RDD","MA_QH","TIN")</f>
        <v>0</v>
      </c>
      <c r="BB15" s="74">
        <f>+GETPIVOTDATA("XBC4",'bauchinh (2016)'!$A$3,"MA_HT","RDD","MA_QH","SON")</f>
        <v>0</v>
      </c>
      <c r="BC15" s="74">
        <f>+GETPIVOTDATA("XBC4",'bauchinh (2016)'!$A$3,"MA_HT","RDD","MA_QH","MNC")</f>
        <v>0</v>
      </c>
      <c r="BD15" s="35">
        <f>+GETPIVOTDATA("XBC4",'bauchinh (2016)'!$A$3,"MA_HT","RDD","MA_QH","PNK")</f>
        <v>0</v>
      </c>
      <c r="BE15" s="58">
        <f>+GETPIVOTDATA("XBC4",'bauchinh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+GETPIVOTDATA("XBC4",'bauchinh (2016)'!$A$3,"MA_HT","NTS","MA_QH","LUC")</f>
        <v>0</v>
      </c>
      <c r="H16" s="35">
        <f>+GETPIVOTDATA("XBC4",'bauchinh (2016)'!$A$3,"MA_HT","NTS","MA_QH","LUK")</f>
        <v>0</v>
      </c>
      <c r="I16" s="35">
        <f>+GETPIVOTDATA("XBC4",'bauchinh (2016)'!$A$3,"MA_HT","NTS","MA_QH","LUN")</f>
        <v>0</v>
      </c>
      <c r="J16" s="35">
        <f>+GETPIVOTDATA("XBC4",'bauchinh (2016)'!$A$3,"MA_HT","NTS","MA_QH","HNK")</f>
        <v>0</v>
      </c>
      <c r="K16" s="35">
        <f>+GETPIVOTDATA("XBC4",'bauchinh (2016)'!$A$3,"MA_HT","NTS","MA_QH","CLN")</f>
        <v>0</v>
      </c>
      <c r="L16" s="35">
        <f>+GETPIVOTDATA("XBC4",'bauchinh (2016)'!$A$3,"MA_HT","NTS","MA_QH","RSX")</f>
        <v>0</v>
      </c>
      <c r="M16" s="35">
        <f>+GETPIVOTDATA("XBC4",'bauchinh (2016)'!$A$3,"MA_HT","NTS","MA_QH","RPH")</f>
        <v>0</v>
      </c>
      <c r="N16" s="35">
        <f>+GETPIVOTDATA("XBC4",'bauchinh (2016)'!$A$3,"MA_HT","NTS","MA_QH","RDD")</f>
        <v>0</v>
      </c>
      <c r="O16" s="99" t="e">
        <f>$D16-$BF16</f>
        <v>#REF!</v>
      </c>
      <c r="P16" s="35">
        <f>+GETPIVOTDATA("XBC4",'bauchinh (2016)'!$A$3,"MA_HT","NTS","MA_QH","LMU")</f>
        <v>0</v>
      </c>
      <c r="Q16" s="35">
        <f>+GETPIVOTDATA("XBC4",'bauchinh (2016)'!$A$3,"MA_HT","NTS","MA_QH","NKH")</f>
        <v>0</v>
      </c>
      <c r="R16" s="63">
        <f t="shared" si="2"/>
        <v>0</v>
      </c>
      <c r="S16" s="35">
        <f>+GETPIVOTDATA("XBC4",'bauchinh (2016)'!$A$3,"MA_HT","NTS","MA_QH","CQP")</f>
        <v>0</v>
      </c>
      <c r="T16" s="35">
        <f>+GETPIVOTDATA("XBC4",'bauchinh (2016)'!$A$3,"MA_HT","NTS","MA_QH","CAN")</f>
        <v>0</v>
      </c>
      <c r="U16" s="35">
        <f>+GETPIVOTDATA("XBC4",'bauchinh (2016)'!$A$3,"MA_HT","NTS","MA_QH","SKK")</f>
        <v>0</v>
      </c>
      <c r="V16" s="35">
        <f>+GETPIVOTDATA("XBC4",'bauchinh (2016)'!$A$3,"MA_HT","NTS","MA_QH","SKT")</f>
        <v>0</v>
      </c>
      <c r="W16" s="35">
        <f>+GETPIVOTDATA("XBC4",'bauchinh (2016)'!$A$3,"MA_HT","NTS","MA_QH","SKN")</f>
        <v>0</v>
      </c>
      <c r="X16" s="35">
        <f>+GETPIVOTDATA("XBC4",'bauchinh (2016)'!$A$3,"MA_HT","NTS","MA_QH","TMD")</f>
        <v>0</v>
      </c>
      <c r="Y16" s="35">
        <f>+GETPIVOTDATA("XBC4",'bauchinh (2016)'!$A$3,"MA_HT","NTS","MA_QH","SKC")</f>
        <v>0</v>
      </c>
      <c r="Z16" s="35">
        <f>+GETPIVOTDATA("XBC4",'bauchinh (2016)'!$A$3,"MA_HT","NTS","MA_QH","SKS")</f>
        <v>0</v>
      </c>
      <c r="AA16" s="64">
        <f t="shared" si="4"/>
        <v>0</v>
      </c>
      <c r="AB16" s="35">
        <f>+GETPIVOTDATA("XBC4",'bauchinh (2016)'!$A$3,"MA_HT","NTS","MA_QH","DGT")</f>
        <v>0</v>
      </c>
      <c r="AC16" s="35">
        <f>+GETPIVOTDATA("XBC4",'bauchinh (2016)'!$A$3,"MA_HT","NTS","MA_QH","DTL")</f>
        <v>0</v>
      </c>
      <c r="AD16" s="35">
        <f>+GETPIVOTDATA("XBC4",'bauchinh (2016)'!$A$3,"MA_HT","NTS","MA_QH","DNL")</f>
        <v>0</v>
      </c>
      <c r="AE16" s="35">
        <f>+GETPIVOTDATA("XBC4",'bauchinh (2016)'!$A$3,"MA_HT","NTS","MA_QH","DBV")</f>
        <v>0</v>
      </c>
      <c r="AF16" s="35">
        <f>+GETPIVOTDATA("XBC4",'bauchinh (2016)'!$A$3,"MA_HT","NTS","MA_QH","DVH")</f>
        <v>0</v>
      </c>
      <c r="AG16" s="35">
        <f>+GETPIVOTDATA("XBC4",'bauchinh (2016)'!$A$3,"MA_HT","NTS","MA_QH","DYT")</f>
        <v>0</v>
      </c>
      <c r="AH16" s="35">
        <f>+GETPIVOTDATA("XBC4",'bauchinh (2016)'!$A$3,"MA_HT","NTS","MA_QH","DGD")</f>
        <v>0</v>
      </c>
      <c r="AI16" s="35">
        <f>+GETPIVOTDATA("XBC4",'bauchinh (2016)'!$A$3,"MA_HT","NTS","MA_QH","DTT")</f>
        <v>0</v>
      </c>
      <c r="AJ16" s="35">
        <f>+GETPIVOTDATA("XBC4",'bauchinh (2016)'!$A$3,"MA_HT","NTS","MA_QH","NCK")</f>
        <v>0</v>
      </c>
      <c r="AK16" s="35">
        <f>+GETPIVOTDATA("XBC4",'bauchinh (2016)'!$A$3,"MA_HT","NTS","MA_QH","DXH")</f>
        <v>0</v>
      </c>
      <c r="AL16" s="35">
        <f>+GETPIVOTDATA("XBC4",'bauchinh (2016)'!$A$3,"MA_HT","NTS","MA_QH","DCH")</f>
        <v>0</v>
      </c>
      <c r="AM16" s="35">
        <f>+GETPIVOTDATA("XBC4",'bauchinh (2016)'!$A$3,"MA_HT","NTS","MA_QH","DKG")</f>
        <v>0</v>
      </c>
      <c r="AN16" s="35">
        <f>+GETPIVOTDATA("XBC4",'bauchinh (2016)'!$A$3,"MA_HT","NTS","MA_QH","DDT")</f>
        <v>0</v>
      </c>
      <c r="AO16" s="35">
        <f>+GETPIVOTDATA("XBC4",'bauchinh (2016)'!$A$3,"MA_HT","NTS","MA_QH","DDL")</f>
        <v>0</v>
      </c>
      <c r="AP16" s="35">
        <f>+GETPIVOTDATA("XBC4",'bauchinh (2016)'!$A$3,"MA_HT","NTS","MA_QH","DRA")</f>
        <v>0</v>
      </c>
      <c r="AQ16" s="35">
        <f>+GETPIVOTDATA("XBC4",'bauchinh (2016)'!$A$3,"MA_HT","NTS","MA_QH","ONT")</f>
        <v>0</v>
      </c>
      <c r="AR16" s="35">
        <f>+GETPIVOTDATA("XBC4",'bauchinh (2016)'!$A$3,"MA_HT","NTS","MA_QH","ODT")</f>
        <v>0</v>
      </c>
      <c r="AS16" s="35">
        <f>+GETPIVOTDATA("XBC4",'bauchinh (2016)'!$A$3,"MA_HT","NTS","MA_QH","TSC")</f>
        <v>0</v>
      </c>
      <c r="AT16" s="35">
        <f>+GETPIVOTDATA("XBC4",'bauchinh (2016)'!$A$3,"MA_HT","NTS","MA_QH","DTS")</f>
        <v>0</v>
      </c>
      <c r="AU16" s="35">
        <f>+GETPIVOTDATA("XBC4",'bauchinh (2016)'!$A$3,"MA_HT","NTS","MA_QH","DNG")</f>
        <v>0</v>
      </c>
      <c r="AV16" s="35">
        <f>+GETPIVOTDATA("XBC4",'bauchinh (2016)'!$A$3,"MA_HT","NTS","MA_QH","TON")</f>
        <v>0</v>
      </c>
      <c r="AW16" s="35">
        <f>+GETPIVOTDATA("XBC4",'bauchinh (2016)'!$A$3,"MA_HT","NTS","MA_QH","NTD")</f>
        <v>0</v>
      </c>
      <c r="AX16" s="35">
        <f>+GETPIVOTDATA("XBC4",'bauchinh (2016)'!$A$3,"MA_HT","NTS","MA_QH","SKX")</f>
        <v>0</v>
      </c>
      <c r="AY16" s="35">
        <f>+GETPIVOTDATA("XBC4",'bauchinh (2016)'!$A$3,"MA_HT","NTS","MA_QH","DSH")</f>
        <v>0</v>
      </c>
      <c r="AZ16" s="35">
        <f>+GETPIVOTDATA("XBC4",'bauchinh (2016)'!$A$3,"MA_HT","NTS","MA_QH","DKV")</f>
        <v>0</v>
      </c>
      <c r="BA16" s="140">
        <f>+GETPIVOTDATA("XBC4",'bauchinh (2016)'!$A$3,"MA_HT","NTS","MA_QH","TIN")</f>
        <v>0</v>
      </c>
      <c r="BB16" s="74">
        <f>+GETPIVOTDATA("XBC4",'bauchinh (2016)'!$A$3,"MA_HT","NTS","MA_QH","SON")</f>
        <v>0</v>
      </c>
      <c r="BC16" s="74">
        <f>+GETPIVOTDATA("XBC4",'bauchinh (2016)'!$A$3,"MA_HT","NTS","MA_QH","MNC")</f>
        <v>0</v>
      </c>
      <c r="BD16" s="35">
        <f>+GETPIVOTDATA("XBC4",'bauchinh (2016)'!$A$3,"MA_HT","NTS","MA_QH","PNK")</f>
        <v>0</v>
      </c>
      <c r="BE16" s="58">
        <f>+GETPIVOTDATA("XBC4",'bauchinh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+GETPIVOTDATA("XBC4",'bauchinh (2016)'!$A$3,"MA_HT","LMU","MA_QH","LUC")</f>
        <v>0</v>
      </c>
      <c r="H17" s="35">
        <f>+GETPIVOTDATA("XBC4",'bauchinh (2016)'!$A$3,"MA_HT","LMU","MA_QH","LUK")</f>
        <v>0</v>
      </c>
      <c r="I17" s="35">
        <f>+GETPIVOTDATA("XBC4",'bauchinh (2016)'!$A$3,"MA_HT","LMU","MA_QH","LUN")</f>
        <v>0</v>
      </c>
      <c r="J17" s="35">
        <f>+GETPIVOTDATA("XBC4",'bauchinh (2016)'!$A$3,"MA_HT","LMU","MA_QH","HNK")</f>
        <v>0</v>
      </c>
      <c r="K17" s="35">
        <f>+GETPIVOTDATA("XBC4",'bauchinh (2016)'!$A$3,"MA_HT","LMU","MA_QH","CLN")</f>
        <v>0</v>
      </c>
      <c r="L17" s="35">
        <f>+GETPIVOTDATA("XBC4",'bauchinh (2016)'!$A$3,"MA_HT","LMU","MA_QH","RSX")</f>
        <v>0</v>
      </c>
      <c r="M17" s="35">
        <f>+GETPIVOTDATA("XBC4",'bauchinh (2016)'!$A$3,"MA_HT","LMU","MA_QH","RPH")</f>
        <v>0</v>
      </c>
      <c r="N17" s="35">
        <f>+GETPIVOTDATA("XBC4",'bauchinh (2016)'!$A$3,"MA_HT","LMU","MA_QH","RDD")</f>
        <v>0</v>
      </c>
      <c r="O17" s="35">
        <f>+GETPIVOTDATA("XBC4",'bauchinh (2016)'!$A$3,"MA_HT","LMU","MA_QH","NTS")</f>
        <v>0</v>
      </c>
      <c r="P17" s="99" t="e">
        <f>$D17-$BF17</f>
        <v>#REF!</v>
      </c>
      <c r="Q17" s="35">
        <f>+GETPIVOTDATA("XBC4",'bauchinh (2016)'!$A$3,"MA_HT","LMU","MA_QH","NKH")</f>
        <v>0</v>
      </c>
      <c r="R17" s="63">
        <f t="shared" si="2"/>
        <v>0</v>
      </c>
      <c r="S17" s="35">
        <f>+GETPIVOTDATA("XBC4",'bauchinh (2016)'!$A$3,"MA_HT","LMU","MA_QH","CQP")</f>
        <v>0</v>
      </c>
      <c r="T17" s="35">
        <f>+GETPIVOTDATA("XBC4",'bauchinh (2016)'!$A$3,"MA_HT","LMU","MA_QH","CAN")</f>
        <v>0</v>
      </c>
      <c r="U17" s="35">
        <f>+GETPIVOTDATA("XBC4",'bauchinh (2016)'!$A$3,"MA_HT","LMU","MA_QH","SKK")</f>
        <v>0</v>
      </c>
      <c r="V17" s="35">
        <f>+GETPIVOTDATA("XBC4",'bauchinh (2016)'!$A$3,"MA_HT","LMU","MA_QH","SKT")</f>
        <v>0</v>
      </c>
      <c r="W17" s="35">
        <f>+GETPIVOTDATA("XBC4",'bauchinh (2016)'!$A$3,"MA_HT","LMU","MA_QH","SKN")</f>
        <v>0</v>
      </c>
      <c r="X17" s="35">
        <f>+GETPIVOTDATA("XBC4",'bauchinh (2016)'!$A$3,"MA_HT","LMU","MA_QH","TMD")</f>
        <v>0</v>
      </c>
      <c r="Y17" s="35">
        <f>+GETPIVOTDATA("XBC4",'bauchinh (2016)'!$A$3,"MA_HT","LMU","MA_QH","SKC")</f>
        <v>0</v>
      </c>
      <c r="Z17" s="35">
        <f>+GETPIVOTDATA("XBC4",'bauchinh (2016)'!$A$3,"MA_HT","LMU","MA_QH","SKS")</f>
        <v>0</v>
      </c>
      <c r="AA17" s="64">
        <f t="shared" si="4"/>
        <v>0</v>
      </c>
      <c r="AB17" s="35">
        <f>+GETPIVOTDATA("XBC4",'bauchinh (2016)'!$A$3,"MA_HT","LMU","MA_QH","DGT")</f>
        <v>0</v>
      </c>
      <c r="AC17" s="35">
        <f>+GETPIVOTDATA("XBC4",'bauchinh (2016)'!$A$3,"MA_HT","LMU","MA_QH","DTL")</f>
        <v>0</v>
      </c>
      <c r="AD17" s="35">
        <f>+GETPIVOTDATA("XBC4",'bauchinh (2016)'!$A$3,"MA_HT","LMU","MA_QH","DNL")</f>
        <v>0</v>
      </c>
      <c r="AE17" s="35">
        <f>+GETPIVOTDATA("XBC4",'bauchinh (2016)'!$A$3,"MA_HT","LMU","MA_QH","DBV")</f>
        <v>0</v>
      </c>
      <c r="AF17" s="35">
        <f>+GETPIVOTDATA("XBC4",'bauchinh (2016)'!$A$3,"MA_HT","LMU","MA_QH","DVH")</f>
        <v>0</v>
      </c>
      <c r="AG17" s="35">
        <f>+GETPIVOTDATA("XBC4",'bauchinh (2016)'!$A$3,"MA_HT","LMU","MA_QH","DYT")</f>
        <v>0</v>
      </c>
      <c r="AH17" s="35">
        <f>+GETPIVOTDATA("XBC4",'bauchinh (2016)'!$A$3,"MA_HT","LMU","MA_QH","DGD")</f>
        <v>0</v>
      </c>
      <c r="AI17" s="35">
        <f>+GETPIVOTDATA("XBC4",'bauchinh (2016)'!$A$3,"MA_HT","LMU","MA_QH","DTT")</f>
        <v>0</v>
      </c>
      <c r="AJ17" s="35">
        <f>+GETPIVOTDATA("XBC4",'bauchinh (2016)'!$A$3,"MA_HT","LMU","MA_QH","NCK")</f>
        <v>0</v>
      </c>
      <c r="AK17" s="35">
        <f>+GETPIVOTDATA("XBC4",'bauchinh (2016)'!$A$3,"MA_HT","LMU","MA_QH","DXH")</f>
        <v>0</v>
      </c>
      <c r="AL17" s="35">
        <f>+GETPIVOTDATA("XBC4",'bauchinh (2016)'!$A$3,"MA_HT","LMU","MA_QH","DCH")</f>
        <v>0</v>
      </c>
      <c r="AM17" s="35">
        <f>+GETPIVOTDATA("XBC4",'bauchinh (2016)'!$A$3,"MA_HT","LMU","MA_QH","DKG")</f>
        <v>0</v>
      </c>
      <c r="AN17" s="35">
        <f>+GETPIVOTDATA("XBC4",'bauchinh (2016)'!$A$3,"MA_HT","LMU","MA_QH","DDT")</f>
        <v>0</v>
      </c>
      <c r="AO17" s="35">
        <f>+GETPIVOTDATA("XBC4",'bauchinh (2016)'!$A$3,"MA_HT","LMU","MA_QH","DDL")</f>
        <v>0</v>
      </c>
      <c r="AP17" s="35">
        <f>+GETPIVOTDATA("XBC4",'bauchinh (2016)'!$A$3,"MA_HT","LMU","MA_QH","DRA")</f>
        <v>0</v>
      </c>
      <c r="AQ17" s="35">
        <f>+GETPIVOTDATA("XBC4",'bauchinh (2016)'!$A$3,"MA_HT","LMU","MA_QH","ONT")</f>
        <v>0</v>
      </c>
      <c r="AR17" s="35">
        <f>+GETPIVOTDATA("XBC4",'bauchinh (2016)'!$A$3,"MA_HT","LMU","MA_QH","ODT")</f>
        <v>0</v>
      </c>
      <c r="AS17" s="35">
        <f>+GETPIVOTDATA("XBC4",'bauchinh (2016)'!$A$3,"MA_HT","LMU","MA_QH","TSC")</f>
        <v>0</v>
      </c>
      <c r="AT17" s="35">
        <f>+GETPIVOTDATA("XBC4",'bauchinh (2016)'!$A$3,"MA_HT","LMU","MA_QH","DTS")</f>
        <v>0</v>
      </c>
      <c r="AU17" s="35">
        <f>+GETPIVOTDATA("XBC4",'bauchinh (2016)'!$A$3,"MA_HT","LMU","MA_QH","DNG")</f>
        <v>0</v>
      </c>
      <c r="AV17" s="35">
        <f>+GETPIVOTDATA("XBC4",'bauchinh (2016)'!$A$3,"MA_HT","LMU","MA_QH","TON")</f>
        <v>0</v>
      </c>
      <c r="AW17" s="35">
        <f>+GETPIVOTDATA("XBC4",'bauchinh (2016)'!$A$3,"MA_HT","LMU","MA_QH","NTD")</f>
        <v>0</v>
      </c>
      <c r="AX17" s="35">
        <f>+GETPIVOTDATA("XBC4",'bauchinh (2016)'!$A$3,"MA_HT","LMU","MA_QH","SKX")</f>
        <v>0</v>
      </c>
      <c r="AY17" s="35">
        <f>+GETPIVOTDATA("XBC4",'bauchinh (2016)'!$A$3,"MA_HT","LMU","MA_QH","DSH")</f>
        <v>0</v>
      </c>
      <c r="AZ17" s="35">
        <f>+GETPIVOTDATA("XBC4",'bauchinh (2016)'!$A$3,"MA_HT","LMU","MA_QH","DKV")</f>
        <v>0</v>
      </c>
      <c r="BA17" s="140">
        <f>+GETPIVOTDATA("XBC4",'bauchinh (2016)'!$A$3,"MA_HT","LMU","MA_QH","TIN")</f>
        <v>0</v>
      </c>
      <c r="BB17" s="74">
        <f>+GETPIVOTDATA("XBC4",'bauchinh (2016)'!$A$3,"MA_HT","LMU","MA_QH","SON")</f>
        <v>0</v>
      </c>
      <c r="BC17" s="74">
        <f>+GETPIVOTDATA("XBC4",'bauchinh (2016)'!$A$3,"MA_HT","LMU","MA_QH","MNC")</f>
        <v>0</v>
      </c>
      <c r="BD17" s="35">
        <f>+GETPIVOTDATA("XBC4",'bauchinh (2016)'!$A$3,"MA_HT","LMU","MA_QH","PNK")</f>
        <v>0</v>
      </c>
      <c r="BE17" s="58">
        <f>+GETPIVOTDATA("XBC4",'bauchinh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+GETPIVOTDATA("XBC4",'bauchinh (2016)'!$A$3,"MA_HT","NKH","MA_QH","LUC")</f>
        <v>0</v>
      </c>
      <c r="H18" s="35">
        <f>+GETPIVOTDATA("XBC4",'bauchinh (2016)'!$A$3,"MA_HT","NKH","MA_QH","LUK")</f>
        <v>0</v>
      </c>
      <c r="I18" s="35">
        <f>+GETPIVOTDATA("XBC4",'bauchinh (2016)'!$A$3,"MA_HT","NKH","MA_QH","LUN")</f>
        <v>0</v>
      </c>
      <c r="J18" s="35">
        <f>+GETPIVOTDATA("XBC4",'bauchinh (2016)'!$A$3,"MA_HT","NKH","MA_QH","HNK")</f>
        <v>0</v>
      </c>
      <c r="K18" s="35">
        <f>+GETPIVOTDATA("XBC4",'bauchinh (2016)'!$A$3,"MA_HT","NKH","MA_QH","CLN")</f>
        <v>0</v>
      </c>
      <c r="L18" s="35">
        <f>+GETPIVOTDATA("XBC4",'bauchinh (2016)'!$A$3,"MA_HT","NKH","MA_QH","RSX")</f>
        <v>0</v>
      </c>
      <c r="M18" s="35">
        <f>+GETPIVOTDATA("XBC4",'bauchinh (2016)'!$A$3,"MA_HT","NKH","MA_QH","RPH")</f>
        <v>0</v>
      </c>
      <c r="N18" s="35">
        <f>+GETPIVOTDATA("XBC4",'bauchinh (2016)'!$A$3,"MA_HT","NKH","MA_QH","RDD")</f>
        <v>0</v>
      </c>
      <c r="O18" s="35">
        <f>+GETPIVOTDATA("XBC4",'bauchinh (2016)'!$A$3,"MA_HT","NKH","MA_QH","NTS")</f>
        <v>0</v>
      </c>
      <c r="P18" s="35">
        <f>+GETPIVOTDATA("XBC4",'bauchinh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+GETPIVOTDATA("XBC4",'bauchinh (2016)'!$A$3,"MA_HT","NKH","MA_QH","CQP")</f>
        <v>0</v>
      </c>
      <c r="T18" s="35">
        <f>+GETPIVOTDATA("XBC4",'bauchinh (2016)'!$A$3,"MA_HT","NKH","MA_QH","CAN")</f>
        <v>0</v>
      </c>
      <c r="U18" s="35">
        <f>+GETPIVOTDATA("XBC4",'bauchinh (2016)'!$A$3,"MA_HT","NKH","MA_QH","SKK")</f>
        <v>0</v>
      </c>
      <c r="V18" s="35">
        <f>+GETPIVOTDATA("XBC4",'bauchinh (2016)'!$A$3,"MA_HT","NKH","MA_QH","SKT")</f>
        <v>0</v>
      </c>
      <c r="W18" s="35">
        <f>+GETPIVOTDATA("XBC4",'bauchinh (2016)'!$A$3,"MA_HT","NKH","MA_QH","SKN")</f>
        <v>0</v>
      </c>
      <c r="X18" s="35">
        <f>+GETPIVOTDATA("XBC4",'bauchinh (2016)'!$A$3,"MA_HT","NKH","MA_QH","TMD")</f>
        <v>0</v>
      </c>
      <c r="Y18" s="35">
        <f>+GETPIVOTDATA("XBC4",'bauchinh (2016)'!$A$3,"MA_HT","NKH","MA_QH","SKC")</f>
        <v>0</v>
      </c>
      <c r="Z18" s="35">
        <f>+GETPIVOTDATA("XBC4",'bauchinh (2016)'!$A$3,"MA_HT","NKH","MA_QH","SKS")</f>
        <v>0</v>
      </c>
      <c r="AA18" s="64">
        <f t="shared" si="4"/>
        <v>0</v>
      </c>
      <c r="AB18" s="35">
        <f>+GETPIVOTDATA("XBC4",'bauchinh (2016)'!$A$3,"MA_HT","NKH","MA_QH","DGT")</f>
        <v>0</v>
      </c>
      <c r="AC18" s="35">
        <f>+GETPIVOTDATA("XBC4",'bauchinh (2016)'!$A$3,"MA_HT","NKH","MA_QH","DTL")</f>
        <v>0</v>
      </c>
      <c r="AD18" s="35">
        <f>+GETPIVOTDATA("XBC4",'bauchinh (2016)'!$A$3,"MA_HT","NKH","MA_QH","DNL")</f>
        <v>0</v>
      </c>
      <c r="AE18" s="35">
        <f>+GETPIVOTDATA("XBC4",'bauchinh (2016)'!$A$3,"MA_HT","NKH","MA_QH","DBV")</f>
        <v>0</v>
      </c>
      <c r="AF18" s="35">
        <f>+GETPIVOTDATA("XBC4",'bauchinh (2016)'!$A$3,"MA_HT","NKH","MA_QH","DVH")</f>
        <v>0</v>
      </c>
      <c r="AG18" s="35">
        <f>+GETPIVOTDATA("XBC4",'bauchinh (2016)'!$A$3,"MA_HT","NKH","MA_QH","DYT")</f>
        <v>0</v>
      </c>
      <c r="AH18" s="35">
        <f>+GETPIVOTDATA("XBC4",'bauchinh (2016)'!$A$3,"MA_HT","NKH","MA_QH","DGD")</f>
        <v>0</v>
      </c>
      <c r="AI18" s="35">
        <f>+GETPIVOTDATA("XBC4",'bauchinh (2016)'!$A$3,"MA_HT","NKH","MA_QH","DTT")</f>
        <v>0</v>
      </c>
      <c r="AJ18" s="35">
        <f>+GETPIVOTDATA("XBC4",'bauchinh (2016)'!$A$3,"MA_HT","NKH","MA_QH","NCK")</f>
        <v>0</v>
      </c>
      <c r="AK18" s="35">
        <f>+GETPIVOTDATA("XBC4",'bauchinh (2016)'!$A$3,"MA_HT","NKH","MA_QH","DXH")</f>
        <v>0</v>
      </c>
      <c r="AL18" s="35">
        <f>+GETPIVOTDATA("XBC4",'bauchinh (2016)'!$A$3,"MA_HT","NKH","MA_QH","DCH")</f>
        <v>0</v>
      </c>
      <c r="AM18" s="35">
        <f>+GETPIVOTDATA("XBC4",'bauchinh (2016)'!$A$3,"MA_HT","NKH","MA_QH","DKG")</f>
        <v>0</v>
      </c>
      <c r="AN18" s="35">
        <f>+GETPIVOTDATA("XBC4",'bauchinh (2016)'!$A$3,"MA_HT","NKH","MA_QH","DDT")</f>
        <v>0</v>
      </c>
      <c r="AO18" s="35">
        <f>+GETPIVOTDATA("XBC4",'bauchinh (2016)'!$A$3,"MA_HT","NKH","MA_QH","DDL")</f>
        <v>0</v>
      </c>
      <c r="AP18" s="35">
        <f>+GETPIVOTDATA("XBC4",'bauchinh (2016)'!$A$3,"MA_HT","NKH","MA_QH","DRA")</f>
        <v>0</v>
      </c>
      <c r="AQ18" s="35">
        <f>+GETPIVOTDATA("XBC4",'bauchinh (2016)'!$A$3,"MA_HT","NKH","MA_QH","ONT")</f>
        <v>0</v>
      </c>
      <c r="AR18" s="35">
        <f>+GETPIVOTDATA("XBC4",'bauchinh (2016)'!$A$3,"MA_HT","NKH","MA_QH","ODT")</f>
        <v>0</v>
      </c>
      <c r="AS18" s="35">
        <f>+GETPIVOTDATA("XBC4",'bauchinh (2016)'!$A$3,"MA_HT","NKH","MA_QH","TSC")</f>
        <v>0</v>
      </c>
      <c r="AT18" s="35">
        <f>+GETPIVOTDATA("XBC4",'bauchinh (2016)'!$A$3,"MA_HT","NKH","MA_QH","DTS")</f>
        <v>0</v>
      </c>
      <c r="AU18" s="35">
        <f>+GETPIVOTDATA("XBC4",'bauchinh (2016)'!$A$3,"MA_HT","NKH","MA_QH","DNG")</f>
        <v>0</v>
      </c>
      <c r="AV18" s="35">
        <f>+GETPIVOTDATA("XBC4",'bauchinh (2016)'!$A$3,"MA_HT","NKH","MA_QH","TON")</f>
        <v>0</v>
      </c>
      <c r="AW18" s="35">
        <f>+GETPIVOTDATA("XBC4",'bauchinh (2016)'!$A$3,"MA_HT","NKH","MA_QH","NTD")</f>
        <v>0</v>
      </c>
      <c r="AX18" s="35">
        <f>+GETPIVOTDATA("XBC4",'bauchinh (2016)'!$A$3,"MA_HT","NKH","MA_QH","SKX")</f>
        <v>0</v>
      </c>
      <c r="AY18" s="35">
        <f>+GETPIVOTDATA("XBC4",'bauchinh (2016)'!$A$3,"MA_HT","NKH","MA_QH","DSH")</f>
        <v>0</v>
      </c>
      <c r="AZ18" s="35">
        <f>+GETPIVOTDATA("XBC4",'bauchinh (2016)'!$A$3,"MA_HT","NKH","MA_QH","DKV")</f>
        <v>0</v>
      </c>
      <c r="BA18" s="140">
        <f>+GETPIVOTDATA("XBC4",'bauchinh (2016)'!$A$3,"MA_HT","NKH","MA_QH","TIN")</f>
        <v>0</v>
      </c>
      <c r="BB18" s="74">
        <f>+GETPIVOTDATA("XBC4",'bauchinh (2016)'!$A$3,"MA_HT","NKH","MA_QH","SON")</f>
        <v>0</v>
      </c>
      <c r="BC18" s="74">
        <f>+GETPIVOTDATA("XBC4",'bauchinh (2016)'!$A$3,"MA_HT","NKH","MA_QH","MNC")</f>
        <v>0</v>
      </c>
      <c r="BD18" s="35">
        <f>+GETPIVOTDATA("XBC4",'bauchinh (2016)'!$A$3,"MA_HT","NKH","MA_QH","PNK")</f>
        <v>0</v>
      </c>
      <c r="BE18" s="58">
        <f>+GETPIVOTDATA("XBC4",'bauchinh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+GETPIVOTDATA("XBC4",'bauchinh (2016)'!$A$3,"MA_HT","CQP","MA_QH","LUC")</f>
        <v>0</v>
      </c>
      <c r="H20" s="35">
        <f>+GETPIVOTDATA("XBC4",'bauchinh (2016)'!$A$3,"MA_HT","CQP","MA_QH","LUK")</f>
        <v>0</v>
      </c>
      <c r="I20" s="35">
        <f>+GETPIVOTDATA("XBC4",'bauchinh (2016)'!$A$3,"MA_HT","CQP","MA_QH","LUN")</f>
        <v>0</v>
      </c>
      <c r="J20" s="35">
        <f>+GETPIVOTDATA("XBC4",'bauchinh (2016)'!$A$3,"MA_HT","CQP","MA_QH","HNK")</f>
        <v>0</v>
      </c>
      <c r="K20" s="35">
        <f>+GETPIVOTDATA("XBC4",'bauchinh (2016)'!$A$3,"MA_HT","CQP","MA_QH","CLN")</f>
        <v>0</v>
      </c>
      <c r="L20" s="35">
        <f>+GETPIVOTDATA("XBC4",'bauchinh (2016)'!$A$3,"MA_HT","CQP","MA_QH","RSX")</f>
        <v>0</v>
      </c>
      <c r="M20" s="35">
        <f>+GETPIVOTDATA("XBC4",'bauchinh (2016)'!$A$3,"MA_HT","CQP","MA_QH","RPH")</f>
        <v>0</v>
      </c>
      <c r="N20" s="35">
        <f>+GETPIVOTDATA("XBC4",'bauchinh (2016)'!$A$3,"MA_HT","CQP","MA_QH","RDD")</f>
        <v>0</v>
      </c>
      <c r="O20" s="35">
        <f>+GETPIVOTDATA("XBC4",'bauchinh (2016)'!$A$3,"MA_HT","CQP","MA_QH","NTS")</f>
        <v>0</v>
      </c>
      <c r="P20" s="35">
        <f>+GETPIVOTDATA("XBC4",'bauchinh (2016)'!$A$3,"MA_HT","CQP","MA_QH","LMU")</f>
        <v>0</v>
      </c>
      <c r="Q20" s="35">
        <f>+GETPIVOTDATA("XBC4",'bauchinh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+GETPIVOTDATA("XBC4",'bauchinh (2016)'!$A$3,"MA_HT","CQP","MA_QH","CAN")</f>
        <v>0</v>
      </c>
      <c r="U20" s="35">
        <f>+GETPIVOTDATA("XBC4",'bauchinh (2016)'!$A$3,"MA_HT","CQP","MA_QH","SKK")</f>
        <v>0</v>
      </c>
      <c r="V20" s="35">
        <f>+GETPIVOTDATA("XBC4",'bauchinh (2016)'!$A$3,"MA_HT","CQP","MA_QH","SKT")</f>
        <v>0</v>
      </c>
      <c r="W20" s="35">
        <f>+GETPIVOTDATA("XBC4",'bauchinh (2016)'!$A$3,"MA_HT","CQP","MA_QH","SKN")</f>
        <v>0</v>
      </c>
      <c r="X20" s="35">
        <f>+GETPIVOTDATA("XBC4",'bauchinh (2016)'!$A$3,"MA_HT","CQP","MA_QH","TMD")</f>
        <v>0</v>
      </c>
      <c r="Y20" s="35">
        <f>+GETPIVOTDATA("XBC4",'bauchinh (2016)'!$A$3,"MA_HT","CQP","MA_QH","SKC")</f>
        <v>0</v>
      </c>
      <c r="Z20" s="35">
        <f>+GETPIVOTDATA("XBC4",'bauchinh (2016)'!$A$3,"MA_HT","CQP","MA_QH","SKS")</f>
        <v>0</v>
      </c>
      <c r="AA20" s="64">
        <f t="shared" ref="AA20:AA27" si="12">+SUM(AB20:AM20)</f>
        <v>0</v>
      </c>
      <c r="AB20" s="35">
        <f>+GETPIVOTDATA("XBC4",'bauchinh (2016)'!$A$3,"MA_HT","CQP","MA_QH","DGT")</f>
        <v>0</v>
      </c>
      <c r="AC20" s="35">
        <f>+GETPIVOTDATA("XBC4",'bauchinh (2016)'!$A$3,"MA_HT","CQP","MA_QH","DTL")</f>
        <v>0</v>
      </c>
      <c r="AD20" s="35">
        <f>+GETPIVOTDATA("XBC4",'bauchinh (2016)'!$A$3,"MA_HT","CQP","MA_QH","DNL")</f>
        <v>0</v>
      </c>
      <c r="AE20" s="35">
        <f>+GETPIVOTDATA("XBC4",'bauchinh (2016)'!$A$3,"MA_HT","CQP","MA_QH","DBV")</f>
        <v>0</v>
      </c>
      <c r="AF20" s="35">
        <f>+GETPIVOTDATA("XBC4",'bauchinh (2016)'!$A$3,"MA_HT","CQP","MA_QH","DVH")</f>
        <v>0</v>
      </c>
      <c r="AG20" s="35">
        <f>+GETPIVOTDATA("XBC4",'bauchinh (2016)'!$A$3,"MA_HT","CQP","MA_QH","DYT")</f>
        <v>0</v>
      </c>
      <c r="AH20" s="35">
        <f>+GETPIVOTDATA("XBC4",'bauchinh (2016)'!$A$3,"MA_HT","CQP","MA_QH","DGD")</f>
        <v>0</v>
      </c>
      <c r="AI20" s="35">
        <f>+GETPIVOTDATA("XBC4",'bauchinh (2016)'!$A$3,"MA_HT","CQP","MA_QH","DTT")</f>
        <v>0</v>
      </c>
      <c r="AJ20" s="35">
        <f>+GETPIVOTDATA("XBC4",'bauchinh (2016)'!$A$3,"MA_HT","CQP","MA_QH","NCK")</f>
        <v>0</v>
      </c>
      <c r="AK20" s="35">
        <f>+GETPIVOTDATA("XBC4",'bauchinh (2016)'!$A$3,"MA_HT","CQP","MA_QH","DXH")</f>
        <v>0</v>
      </c>
      <c r="AL20" s="35">
        <f>+GETPIVOTDATA("XBC4",'bauchinh (2016)'!$A$3,"MA_HT","CQP","MA_QH","DCH")</f>
        <v>0</v>
      </c>
      <c r="AM20" s="35">
        <f>+GETPIVOTDATA("XBC4",'bauchinh (2016)'!$A$3,"MA_HT","CQP","MA_QH","DKG")</f>
        <v>0</v>
      </c>
      <c r="AN20" s="35">
        <f>+GETPIVOTDATA("XBC4",'bauchinh (2016)'!$A$3,"MA_HT","CQP","MA_QH","DDT")</f>
        <v>0</v>
      </c>
      <c r="AO20" s="35">
        <f>+GETPIVOTDATA("XBC4",'bauchinh (2016)'!$A$3,"MA_HT","CQP","MA_QH","DDL")</f>
        <v>0</v>
      </c>
      <c r="AP20" s="35">
        <f>+GETPIVOTDATA("XBC4",'bauchinh (2016)'!$A$3,"MA_HT","CQP","MA_QH","DRA")</f>
        <v>0</v>
      </c>
      <c r="AQ20" s="35">
        <f>+GETPIVOTDATA("XBC4",'bauchinh (2016)'!$A$3,"MA_HT","CQP","MA_QH","ONT")</f>
        <v>0</v>
      </c>
      <c r="AR20" s="35">
        <f>+GETPIVOTDATA("XBC4",'bauchinh (2016)'!$A$3,"MA_HT","CQP","MA_QH","ODT")</f>
        <v>0</v>
      </c>
      <c r="AS20" s="35">
        <f>+GETPIVOTDATA("XBC4",'bauchinh (2016)'!$A$3,"MA_HT","CQP","MA_QH","TSC")</f>
        <v>0</v>
      </c>
      <c r="AT20" s="35">
        <f>+GETPIVOTDATA("XBC4",'bauchinh (2016)'!$A$3,"MA_HT","CQP","MA_QH","DTS")</f>
        <v>0</v>
      </c>
      <c r="AU20" s="35">
        <f>+GETPIVOTDATA("XBC4",'bauchinh (2016)'!$A$3,"MA_HT","CQP","MA_QH","DNG")</f>
        <v>0</v>
      </c>
      <c r="AV20" s="35">
        <f>+GETPIVOTDATA("XBC4",'bauchinh (2016)'!$A$3,"MA_HT","CQP","MA_QH","TON")</f>
        <v>0</v>
      </c>
      <c r="AW20" s="35">
        <f>+GETPIVOTDATA("XBC4",'bauchinh (2016)'!$A$3,"MA_HT","CQP","MA_QH","NTD")</f>
        <v>0</v>
      </c>
      <c r="AX20" s="35">
        <f>+GETPIVOTDATA("XBC4",'bauchinh (2016)'!$A$3,"MA_HT","CQP","MA_QH","SKX")</f>
        <v>0</v>
      </c>
      <c r="AY20" s="35">
        <f>+GETPIVOTDATA("XBC4",'bauchinh (2016)'!$A$3,"MA_HT","CQP","MA_QH","DSH")</f>
        <v>0</v>
      </c>
      <c r="AZ20" s="35">
        <f>+GETPIVOTDATA("XBC4",'bauchinh (2016)'!$A$3,"MA_HT","CQP","MA_QH","DKV")</f>
        <v>0</v>
      </c>
      <c r="BA20" s="140">
        <f>+GETPIVOTDATA("XBC4",'bauchinh (2016)'!$A$3,"MA_HT","CQP","MA_QH","TIN")</f>
        <v>0</v>
      </c>
      <c r="BB20" s="74">
        <f>+GETPIVOTDATA("XBC4",'bauchinh (2016)'!$A$3,"MA_HT","CQP","MA_QH","SON")</f>
        <v>0</v>
      </c>
      <c r="BC20" s="74">
        <f>+GETPIVOTDATA("XBC4",'bauchinh (2016)'!$A$3,"MA_HT","CQP","MA_QH","MNC")</f>
        <v>0</v>
      </c>
      <c r="BD20" s="35">
        <f>+GETPIVOTDATA("XBC4",'bauchinh (2016)'!$A$3,"MA_HT","CQP","MA_QH","PNK")</f>
        <v>0</v>
      </c>
      <c r="BE20" s="58">
        <f>+GETPIVOTDATA("XBC4",'bauchinh (2016)'!$A$3,"MA_HT","CQP","MA_QH","CSD")</f>
        <v>0</v>
      </c>
      <c r="BF20" s="66">
        <f t="shared" ref="BF20:BF52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+GETPIVOTDATA("XBC4",'bauchinh (2016)'!$A$3,"MA_HT","CAN","MA_QH","LUC")</f>
        <v>0</v>
      </c>
      <c r="H21" s="35">
        <f>+GETPIVOTDATA("XBC4",'bauchinh (2016)'!$A$3,"MA_HT","CAN","MA_QH","LUK")</f>
        <v>0</v>
      </c>
      <c r="I21" s="35">
        <f>+GETPIVOTDATA("XBC4",'bauchinh (2016)'!$A$3,"MA_HT","CAN","MA_QH","LUN")</f>
        <v>0</v>
      </c>
      <c r="J21" s="35">
        <f>+GETPIVOTDATA("XBC4",'bauchinh (2016)'!$A$3,"MA_HT","CAN","MA_QH","HNK")</f>
        <v>0</v>
      </c>
      <c r="K21" s="35">
        <f>+GETPIVOTDATA("XBC4",'bauchinh (2016)'!$A$3,"MA_HT","CAN","MA_QH","CLN")</f>
        <v>0</v>
      </c>
      <c r="L21" s="35">
        <f>+GETPIVOTDATA("XBC4",'bauchinh (2016)'!$A$3,"MA_HT","CAN","MA_QH","RSX")</f>
        <v>0</v>
      </c>
      <c r="M21" s="35">
        <f>+GETPIVOTDATA("XBC4",'bauchinh (2016)'!$A$3,"MA_HT","CAN","MA_QH","RPH")</f>
        <v>0</v>
      </c>
      <c r="N21" s="35">
        <f>+GETPIVOTDATA("XBC4",'bauchinh (2016)'!$A$3,"MA_HT","CAN","MA_QH","RDD")</f>
        <v>0</v>
      </c>
      <c r="O21" s="35">
        <f>+GETPIVOTDATA("XBC4",'bauchinh (2016)'!$A$3,"MA_HT","CAN","MA_QH","NTS")</f>
        <v>0</v>
      </c>
      <c r="P21" s="35">
        <f>+GETPIVOTDATA("XBC4",'bauchinh (2016)'!$A$3,"MA_HT","CAN","MA_QH","LMU")</f>
        <v>0</v>
      </c>
      <c r="Q21" s="35">
        <f>+GETPIVOTDATA("XBC4",'bauchinh (2016)'!$A$3,"MA_HT","CAN","MA_QH","NKH")</f>
        <v>0</v>
      </c>
      <c r="R21" s="63">
        <f>SUM(S21,U21:AA21,AN21:BD21)</f>
        <v>0</v>
      </c>
      <c r="S21" s="35">
        <f>+GETPIVOTDATA("XBC4",'bauchinh (2016)'!$A$3,"MA_HT","CAN","MA_QH","CQP")</f>
        <v>0</v>
      </c>
      <c r="T21" s="99" t="e">
        <f>$D21-$BF21</f>
        <v>#REF!</v>
      </c>
      <c r="U21" s="35">
        <f>+GETPIVOTDATA("XBC4",'bauchinh (2016)'!$A$3,"MA_HT","CAN","MA_QH","SKK")</f>
        <v>0</v>
      </c>
      <c r="V21" s="35">
        <f>+GETPIVOTDATA("XBC4",'bauchinh (2016)'!$A$3,"MA_HT","CAN","MA_QH","SKT")</f>
        <v>0</v>
      </c>
      <c r="W21" s="35">
        <f>+GETPIVOTDATA("XBC4",'bauchinh (2016)'!$A$3,"MA_HT","CAN","MA_QH","SKN")</f>
        <v>0</v>
      </c>
      <c r="X21" s="35">
        <f>+GETPIVOTDATA("XBC4",'bauchinh (2016)'!$A$3,"MA_HT","CAN","MA_QH","TMD")</f>
        <v>0</v>
      </c>
      <c r="Y21" s="35">
        <f>+GETPIVOTDATA("XBC4",'bauchinh (2016)'!$A$3,"MA_HT","CAN","MA_QH","SKC")</f>
        <v>0</v>
      </c>
      <c r="Z21" s="35">
        <f>+GETPIVOTDATA("XBC4",'bauchinh (2016)'!$A$3,"MA_HT","CAN","MA_QH","SKS")</f>
        <v>0</v>
      </c>
      <c r="AA21" s="64">
        <f t="shared" si="12"/>
        <v>0</v>
      </c>
      <c r="AB21" s="35">
        <f>+GETPIVOTDATA("XBC4",'bauchinh (2016)'!$A$3,"MA_HT","CAN","MA_QH","DGT")</f>
        <v>0</v>
      </c>
      <c r="AC21" s="35">
        <f>+GETPIVOTDATA("XBC4",'bauchinh (2016)'!$A$3,"MA_HT","CAN","MA_QH","DTL")</f>
        <v>0</v>
      </c>
      <c r="AD21" s="35">
        <f>+GETPIVOTDATA("XBC4",'bauchinh (2016)'!$A$3,"MA_HT","CAN","MA_QH","DNL")</f>
        <v>0</v>
      </c>
      <c r="AE21" s="35">
        <f>+GETPIVOTDATA("XBC4",'bauchinh (2016)'!$A$3,"MA_HT","CAN","MA_QH","DBV")</f>
        <v>0</v>
      </c>
      <c r="AF21" s="35">
        <f>+GETPIVOTDATA("XBC4",'bauchinh (2016)'!$A$3,"MA_HT","CAN","MA_QH","DVH")</f>
        <v>0</v>
      </c>
      <c r="AG21" s="35">
        <f>+GETPIVOTDATA("XBC4",'bauchinh (2016)'!$A$3,"MA_HT","CAN","MA_QH","DYT")</f>
        <v>0</v>
      </c>
      <c r="AH21" s="35">
        <f>+GETPIVOTDATA("XBC4",'bauchinh (2016)'!$A$3,"MA_HT","CAN","MA_QH","DGD")</f>
        <v>0</v>
      </c>
      <c r="AI21" s="35">
        <f>+GETPIVOTDATA("XBC4",'bauchinh (2016)'!$A$3,"MA_HT","CAN","MA_QH","DTT")</f>
        <v>0</v>
      </c>
      <c r="AJ21" s="35">
        <f>+GETPIVOTDATA("XBC4",'bauchinh (2016)'!$A$3,"MA_HT","CAN","MA_QH","NCK")</f>
        <v>0</v>
      </c>
      <c r="AK21" s="35">
        <f>+GETPIVOTDATA("XBC4",'bauchinh (2016)'!$A$3,"MA_HT","CAN","MA_QH","DXH")</f>
        <v>0</v>
      </c>
      <c r="AL21" s="35">
        <f>+GETPIVOTDATA("XBC4",'bauchinh (2016)'!$A$3,"MA_HT","CAN","MA_QH","DCH")</f>
        <v>0</v>
      </c>
      <c r="AM21" s="35">
        <f>+GETPIVOTDATA("XBC4",'bauchinh (2016)'!$A$3,"MA_HT","CAN","MA_QH","DKG")</f>
        <v>0</v>
      </c>
      <c r="AN21" s="35">
        <f>+GETPIVOTDATA("XBC4",'bauchinh (2016)'!$A$3,"MA_HT","CAN","MA_QH","DDT")</f>
        <v>0</v>
      </c>
      <c r="AO21" s="35">
        <f>+GETPIVOTDATA("XBC4",'bauchinh (2016)'!$A$3,"MA_HT","CAN","MA_QH","DDL")</f>
        <v>0</v>
      </c>
      <c r="AP21" s="35">
        <f>+GETPIVOTDATA("XBC4",'bauchinh (2016)'!$A$3,"MA_HT","CAN","MA_QH","DRA")</f>
        <v>0</v>
      </c>
      <c r="AQ21" s="35">
        <f>+GETPIVOTDATA("XBC4",'bauchinh (2016)'!$A$3,"MA_HT","CAN","MA_QH","ONT")</f>
        <v>0</v>
      </c>
      <c r="AR21" s="35">
        <f>+GETPIVOTDATA("XBC4",'bauchinh (2016)'!$A$3,"MA_HT","CAN","MA_QH","ODT")</f>
        <v>0</v>
      </c>
      <c r="AS21" s="35">
        <f>+GETPIVOTDATA("XBC4",'bauchinh (2016)'!$A$3,"MA_HT","CAN","MA_QH","TSC")</f>
        <v>0</v>
      </c>
      <c r="AT21" s="35">
        <f>+GETPIVOTDATA("XBC4",'bauchinh (2016)'!$A$3,"MA_HT","CAN","MA_QH","DTS")</f>
        <v>0</v>
      </c>
      <c r="AU21" s="35">
        <f>+GETPIVOTDATA("XBC4",'bauchinh (2016)'!$A$3,"MA_HT","CAN","MA_QH","DNG")</f>
        <v>0</v>
      </c>
      <c r="AV21" s="35">
        <f>+GETPIVOTDATA("XBC4",'bauchinh (2016)'!$A$3,"MA_HT","CAN","MA_QH","TON")</f>
        <v>0</v>
      </c>
      <c r="AW21" s="35">
        <f>+GETPIVOTDATA("XBC4",'bauchinh (2016)'!$A$3,"MA_HT","CAN","MA_QH","NTD")</f>
        <v>0</v>
      </c>
      <c r="AX21" s="35">
        <f>+GETPIVOTDATA("XBC4",'bauchinh (2016)'!$A$3,"MA_HT","CAN","MA_QH","SKX")</f>
        <v>0</v>
      </c>
      <c r="AY21" s="35">
        <f>+GETPIVOTDATA("XBC4",'bauchinh (2016)'!$A$3,"MA_HT","CAN","MA_QH","DSH")</f>
        <v>0</v>
      </c>
      <c r="AZ21" s="35">
        <f>+GETPIVOTDATA("XBC4",'bauchinh (2016)'!$A$3,"MA_HT","CAN","MA_QH","DKV")</f>
        <v>0</v>
      </c>
      <c r="BA21" s="140">
        <f>+GETPIVOTDATA("XBC4",'bauchinh (2016)'!$A$3,"MA_HT","CAN","MA_QH","TIN")</f>
        <v>0</v>
      </c>
      <c r="BB21" s="74">
        <f>+GETPIVOTDATA("XBC4",'bauchinh (2016)'!$A$3,"MA_HT","CAN","MA_QH","SON")</f>
        <v>0</v>
      </c>
      <c r="BC21" s="74">
        <f>+GETPIVOTDATA("XBC4",'bauchinh (2016)'!$A$3,"MA_HT","CAN","MA_QH","MNC")</f>
        <v>0</v>
      </c>
      <c r="BD21" s="35">
        <f>+GETPIVOTDATA("XBC4",'bauchinh (2016)'!$A$3,"MA_HT","CAN","MA_QH","PNK")</f>
        <v>0</v>
      </c>
      <c r="BE21" s="58">
        <f>+GETPIVOTDATA("XBC4",'bauchinh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+GETPIVOTDATA("XBC4",'bauchinh (2016)'!$A$3,"MA_HT","SKK","MA_QH","LUC")</f>
        <v>0</v>
      </c>
      <c r="H22" s="35">
        <f>+GETPIVOTDATA("XBC4",'bauchinh (2016)'!$A$3,"MA_HT","SKK","MA_QH","LUK")</f>
        <v>0</v>
      </c>
      <c r="I22" s="35">
        <f>+GETPIVOTDATA("XBC4",'bauchinh (2016)'!$A$3,"MA_HT","SKK","MA_QH","LUN")</f>
        <v>0</v>
      </c>
      <c r="J22" s="35">
        <f>+GETPIVOTDATA("XBC4",'bauchinh (2016)'!$A$3,"MA_HT","SKK","MA_QH","HNK")</f>
        <v>0</v>
      </c>
      <c r="K22" s="35">
        <f>+GETPIVOTDATA("XBC4",'bauchinh (2016)'!$A$3,"MA_HT","SKK","MA_QH","CLN")</f>
        <v>0</v>
      </c>
      <c r="L22" s="35">
        <f>+GETPIVOTDATA("XBC4",'bauchinh (2016)'!$A$3,"MA_HT","SKK","MA_QH","RSX")</f>
        <v>0</v>
      </c>
      <c r="M22" s="35">
        <f>+GETPIVOTDATA("XBC4",'bauchinh (2016)'!$A$3,"MA_HT","SKK","MA_QH","RPH")</f>
        <v>0</v>
      </c>
      <c r="N22" s="35">
        <f>+GETPIVOTDATA("XBC4",'bauchinh (2016)'!$A$3,"MA_HT","SKK","MA_QH","RDD")</f>
        <v>0</v>
      </c>
      <c r="O22" s="35">
        <f>+GETPIVOTDATA("XBC4",'bauchinh (2016)'!$A$3,"MA_HT","SKK","MA_QH","NTS")</f>
        <v>0</v>
      </c>
      <c r="P22" s="35">
        <f>+GETPIVOTDATA("XBC4",'bauchinh (2016)'!$A$3,"MA_HT","SKK","MA_QH","LMU")</f>
        <v>0</v>
      </c>
      <c r="Q22" s="35">
        <f>+GETPIVOTDATA("XBC4",'bauchinh (2016)'!$A$3,"MA_HT","SKK","MA_QH","NKH")</f>
        <v>0</v>
      </c>
      <c r="R22" s="63">
        <f>SUM(S22:T22,V22:AA22,AN22:BD22)</f>
        <v>0</v>
      </c>
      <c r="S22" s="35">
        <f>+GETPIVOTDATA("XBC4",'bauchinh (2016)'!$A$3,"MA_HT","SKK","MA_QH","CQP")</f>
        <v>0</v>
      </c>
      <c r="T22" s="35">
        <f>+GETPIVOTDATA("XBC4",'bauchinh (2016)'!$A$3,"MA_HT","SKK","MA_QH","CAN")</f>
        <v>0</v>
      </c>
      <c r="U22" s="99" t="e">
        <f>$D22-$BF22</f>
        <v>#REF!</v>
      </c>
      <c r="V22" s="35">
        <f>+GETPIVOTDATA("XBC4",'bauchinh (2016)'!$A$3,"MA_HT","SKK","MA_QH","SKT")</f>
        <v>0</v>
      </c>
      <c r="W22" s="35">
        <f>+GETPIVOTDATA("XBC4",'bauchinh (2016)'!$A$3,"MA_HT","SKK","MA_QH","SKN")</f>
        <v>0</v>
      </c>
      <c r="X22" s="35">
        <f>+GETPIVOTDATA("XBC4",'bauchinh (2016)'!$A$3,"MA_HT","SKK","MA_QH","TMD")</f>
        <v>0</v>
      </c>
      <c r="Y22" s="35">
        <f>+GETPIVOTDATA("XBC4",'bauchinh (2016)'!$A$3,"MA_HT","SKK","MA_QH","SKC")</f>
        <v>0</v>
      </c>
      <c r="Z22" s="35">
        <f>+GETPIVOTDATA("XBC4",'bauchinh (2016)'!$A$3,"MA_HT","SKK","MA_QH","SKS")</f>
        <v>0</v>
      </c>
      <c r="AA22" s="64">
        <f t="shared" si="12"/>
        <v>0</v>
      </c>
      <c r="AB22" s="35">
        <f>+GETPIVOTDATA("XBC4",'bauchinh (2016)'!$A$3,"MA_HT","SKK","MA_QH","DGT")</f>
        <v>0</v>
      </c>
      <c r="AC22" s="35">
        <f>+GETPIVOTDATA("XBC4",'bauchinh (2016)'!$A$3,"MA_HT","SKK","MA_QH","DTL")</f>
        <v>0</v>
      </c>
      <c r="AD22" s="35">
        <f>+GETPIVOTDATA("XBC4",'bauchinh (2016)'!$A$3,"MA_HT","SKK","MA_QH","DNL")</f>
        <v>0</v>
      </c>
      <c r="AE22" s="35">
        <f>+GETPIVOTDATA("XBC4",'bauchinh (2016)'!$A$3,"MA_HT","SKK","MA_QH","DBV")</f>
        <v>0</v>
      </c>
      <c r="AF22" s="35">
        <f>+GETPIVOTDATA("XBC4",'bauchinh (2016)'!$A$3,"MA_HT","SKK","MA_QH","DVH")</f>
        <v>0</v>
      </c>
      <c r="AG22" s="35">
        <f>+GETPIVOTDATA("XBC4",'bauchinh (2016)'!$A$3,"MA_HT","SKK","MA_QH","DYT")</f>
        <v>0</v>
      </c>
      <c r="AH22" s="35">
        <f>+GETPIVOTDATA("XBC4",'bauchinh (2016)'!$A$3,"MA_HT","SKK","MA_QH","DGD")</f>
        <v>0</v>
      </c>
      <c r="AI22" s="35">
        <f>+GETPIVOTDATA("XBC4",'bauchinh (2016)'!$A$3,"MA_HT","SKK","MA_QH","DTT")</f>
        <v>0</v>
      </c>
      <c r="AJ22" s="35">
        <f>+GETPIVOTDATA("XBC4",'bauchinh (2016)'!$A$3,"MA_HT","SKK","MA_QH","NCK")</f>
        <v>0</v>
      </c>
      <c r="AK22" s="35">
        <f>+GETPIVOTDATA("XBC4",'bauchinh (2016)'!$A$3,"MA_HT","SKK","MA_QH","DXH")</f>
        <v>0</v>
      </c>
      <c r="AL22" s="35">
        <f>+GETPIVOTDATA("XBC4",'bauchinh (2016)'!$A$3,"MA_HT","SKK","MA_QH","DCH")</f>
        <v>0</v>
      </c>
      <c r="AM22" s="35">
        <f>+GETPIVOTDATA("XBC4",'bauchinh (2016)'!$A$3,"MA_HT","SKK","MA_QH","DKG")</f>
        <v>0</v>
      </c>
      <c r="AN22" s="35">
        <f>+GETPIVOTDATA("XBC4",'bauchinh (2016)'!$A$3,"MA_HT","SKK","MA_QH","DDT")</f>
        <v>0</v>
      </c>
      <c r="AO22" s="35">
        <f>+GETPIVOTDATA("XBC4",'bauchinh (2016)'!$A$3,"MA_HT","SKK","MA_QH","DDL")</f>
        <v>0</v>
      </c>
      <c r="AP22" s="35">
        <f>+GETPIVOTDATA("XBC4",'bauchinh (2016)'!$A$3,"MA_HT","SKK","MA_QH","DRA")</f>
        <v>0</v>
      </c>
      <c r="AQ22" s="35">
        <f>+GETPIVOTDATA("XBC4",'bauchinh (2016)'!$A$3,"MA_HT","SKK","MA_QH","ONT")</f>
        <v>0</v>
      </c>
      <c r="AR22" s="35">
        <f>+GETPIVOTDATA("XBC4",'bauchinh (2016)'!$A$3,"MA_HT","SKK","MA_QH","ODT")</f>
        <v>0</v>
      </c>
      <c r="AS22" s="35">
        <f>+GETPIVOTDATA("XBC4",'bauchinh (2016)'!$A$3,"MA_HT","SKK","MA_QH","TSC")</f>
        <v>0</v>
      </c>
      <c r="AT22" s="35">
        <f>+GETPIVOTDATA("XBC4",'bauchinh (2016)'!$A$3,"MA_HT","SKK","MA_QH","DTS")</f>
        <v>0</v>
      </c>
      <c r="AU22" s="35">
        <f>+GETPIVOTDATA("XBC4",'bauchinh (2016)'!$A$3,"MA_HT","SKK","MA_QH","DNG")</f>
        <v>0</v>
      </c>
      <c r="AV22" s="35">
        <f>+GETPIVOTDATA("XBC4",'bauchinh (2016)'!$A$3,"MA_HT","SKK","MA_QH","TON")</f>
        <v>0</v>
      </c>
      <c r="AW22" s="35">
        <f>+GETPIVOTDATA("XBC4",'bauchinh (2016)'!$A$3,"MA_HT","SKK","MA_QH","NTD")</f>
        <v>0</v>
      </c>
      <c r="AX22" s="35">
        <f>+GETPIVOTDATA("XBC4",'bauchinh (2016)'!$A$3,"MA_HT","SKK","MA_QH","SKX")</f>
        <v>0</v>
      </c>
      <c r="AY22" s="35">
        <f>+GETPIVOTDATA("XBC4",'bauchinh (2016)'!$A$3,"MA_HT","SKK","MA_QH","DSH")</f>
        <v>0</v>
      </c>
      <c r="AZ22" s="35">
        <f>+GETPIVOTDATA("XBC4",'bauchinh (2016)'!$A$3,"MA_HT","SKK","MA_QH","DKV")</f>
        <v>0</v>
      </c>
      <c r="BA22" s="140">
        <f>+GETPIVOTDATA("XBC4",'bauchinh (2016)'!$A$3,"MA_HT","SKK","MA_QH","TIN")</f>
        <v>0</v>
      </c>
      <c r="BB22" s="74">
        <f>+GETPIVOTDATA("XBC4",'bauchinh (2016)'!$A$3,"MA_HT","SKK","MA_QH","SON")</f>
        <v>0</v>
      </c>
      <c r="BC22" s="74">
        <f>+GETPIVOTDATA("XBC4",'bauchinh (2016)'!$A$3,"MA_HT","SKK","MA_QH","MNC")</f>
        <v>0</v>
      </c>
      <c r="BD22" s="35">
        <f>+GETPIVOTDATA("XBC4",'bauchinh (2016)'!$A$3,"MA_HT","SKK","MA_QH","PNK")</f>
        <v>0</v>
      </c>
      <c r="BE22" s="58">
        <f>+GETPIVOTDATA("XBC4",'bauchinh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+GETPIVOTDATA("XBC4",'bauchinh (2016)'!$A$3,"MA_HT","SKT","MA_QH","LUC")</f>
        <v>0</v>
      </c>
      <c r="H23" s="35">
        <f>+GETPIVOTDATA("XBC4",'bauchinh (2016)'!$A$3,"MA_HT","SKT","MA_QH","LUK")</f>
        <v>0</v>
      </c>
      <c r="I23" s="35">
        <f>+GETPIVOTDATA("XBC4",'bauchinh (2016)'!$A$3,"MA_HT","SKT","MA_QH","LUN")</f>
        <v>0</v>
      </c>
      <c r="J23" s="35">
        <f>+GETPIVOTDATA("XBC4",'bauchinh (2016)'!$A$3,"MA_HT","SKT","MA_QH","HNK")</f>
        <v>0</v>
      </c>
      <c r="K23" s="35">
        <f>+GETPIVOTDATA("XBC4",'bauchinh (2016)'!$A$3,"MA_HT","SKT","MA_QH","CLN")</f>
        <v>0</v>
      </c>
      <c r="L23" s="35">
        <f>+GETPIVOTDATA("XBC4",'bauchinh (2016)'!$A$3,"MA_HT","SKT","MA_QH","RSX")</f>
        <v>0</v>
      </c>
      <c r="M23" s="35">
        <f>+GETPIVOTDATA("XBC4",'bauchinh (2016)'!$A$3,"MA_HT","SKT","MA_QH","RPH")</f>
        <v>0</v>
      </c>
      <c r="N23" s="35">
        <f>+GETPIVOTDATA("XBC4",'bauchinh (2016)'!$A$3,"MA_HT","SKT","MA_QH","RDD")</f>
        <v>0</v>
      </c>
      <c r="O23" s="35">
        <f>+GETPIVOTDATA("XBC4",'bauchinh (2016)'!$A$3,"MA_HT","SKT","MA_QH","NTS")</f>
        <v>0</v>
      </c>
      <c r="P23" s="35">
        <f>+GETPIVOTDATA("XBC4",'bauchinh (2016)'!$A$3,"MA_HT","SKT","MA_QH","LMU")</f>
        <v>0</v>
      </c>
      <c r="Q23" s="35">
        <f>+GETPIVOTDATA("XBC4",'bauchinh (2016)'!$A$3,"MA_HT","SKT","MA_QH","NKH")</f>
        <v>0</v>
      </c>
      <c r="R23" s="63">
        <f>SUM(S23:U23,W23:AA23,AN23:BD23)</f>
        <v>0</v>
      </c>
      <c r="S23" s="35">
        <f>+GETPIVOTDATA("XBC4",'bauchinh (2016)'!$A$3,"MA_HT","SKT","MA_QH","CQP")</f>
        <v>0</v>
      </c>
      <c r="T23" s="35">
        <f>+GETPIVOTDATA("XBC4",'bauchinh (2016)'!$A$3,"MA_HT","SKT","MA_QH","CAN")</f>
        <v>0</v>
      </c>
      <c r="U23" s="35">
        <f>+GETPIVOTDATA("XBC4",'bauchinh (2016)'!$A$3,"MA_HT","SKT","MA_QH","SKK")</f>
        <v>0</v>
      </c>
      <c r="V23" s="99" t="e">
        <f>$D23-$BF23</f>
        <v>#REF!</v>
      </c>
      <c r="W23" s="35">
        <f>+GETPIVOTDATA("XBC4",'bauchinh (2016)'!$A$3,"MA_HT","SKT","MA_QH","SKN")</f>
        <v>0</v>
      </c>
      <c r="X23" s="35">
        <f>+GETPIVOTDATA("XBC4",'bauchinh (2016)'!$A$3,"MA_HT","SKT","MA_QH","TMD")</f>
        <v>0</v>
      </c>
      <c r="Y23" s="35">
        <f>+GETPIVOTDATA("XBC4",'bauchinh (2016)'!$A$3,"MA_HT","SKT","MA_QH","SKC")</f>
        <v>0</v>
      </c>
      <c r="Z23" s="35">
        <f>+GETPIVOTDATA("XBC4",'bauchinh (2016)'!$A$3,"MA_HT","SKT","MA_QH","SKS")</f>
        <v>0</v>
      </c>
      <c r="AA23" s="64">
        <f t="shared" si="12"/>
        <v>0</v>
      </c>
      <c r="AB23" s="35">
        <f>+GETPIVOTDATA("XBC4",'bauchinh (2016)'!$A$3,"MA_HT","SKT","MA_QH","DGT")</f>
        <v>0</v>
      </c>
      <c r="AC23" s="35">
        <f>+GETPIVOTDATA("XBC4",'bauchinh (2016)'!$A$3,"MA_HT","SKT","MA_QH","DTL")</f>
        <v>0</v>
      </c>
      <c r="AD23" s="35">
        <f>+GETPIVOTDATA("XBC4",'bauchinh (2016)'!$A$3,"MA_HT","SKT","MA_QH","DNL")</f>
        <v>0</v>
      </c>
      <c r="AE23" s="35">
        <f>+GETPIVOTDATA("XBC4",'bauchinh (2016)'!$A$3,"MA_HT","SKT","MA_QH","DBV")</f>
        <v>0</v>
      </c>
      <c r="AF23" s="35">
        <f>+GETPIVOTDATA("XBC4",'bauchinh (2016)'!$A$3,"MA_HT","SKT","MA_QH","DVH")</f>
        <v>0</v>
      </c>
      <c r="AG23" s="35">
        <f>+GETPIVOTDATA("XBC4",'bauchinh (2016)'!$A$3,"MA_HT","SKT","MA_QH","DYT")</f>
        <v>0</v>
      </c>
      <c r="AH23" s="35">
        <f>+GETPIVOTDATA("XBC4",'bauchinh (2016)'!$A$3,"MA_HT","SKT","MA_QH","DGD")</f>
        <v>0</v>
      </c>
      <c r="AI23" s="35">
        <f>+GETPIVOTDATA("XBC4",'bauchinh (2016)'!$A$3,"MA_HT","SKT","MA_QH","DTT")</f>
        <v>0</v>
      </c>
      <c r="AJ23" s="35">
        <f>+GETPIVOTDATA("XBC4",'bauchinh (2016)'!$A$3,"MA_HT","SKT","MA_QH","NCK")</f>
        <v>0</v>
      </c>
      <c r="AK23" s="35">
        <f>+GETPIVOTDATA("XBC4",'bauchinh (2016)'!$A$3,"MA_HT","SKT","MA_QH","DXH")</f>
        <v>0</v>
      </c>
      <c r="AL23" s="35">
        <f>+GETPIVOTDATA("XBC4",'bauchinh (2016)'!$A$3,"MA_HT","SKT","MA_QH","DCH")</f>
        <v>0</v>
      </c>
      <c r="AM23" s="35">
        <f>+GETPIVOTDATA("XBC4",'bauchinh (2016)'!$A$3,"MA_HT","SKT","MA_QH","DKG")</f>
        <v>0</v>
      </c>
      <c r="AN23" s="35">
        <f>+GETPIVOTDATA("XBC4",'bauchinh (2016)'!$A$3,"MA_HT","SKT","MA_QH","DDT")</f>
        <v>0</v>
      </c>
      <c r="AO23" s="35">
        <f>+GETPIVOTDATA("XBC4",'bauchinh (2016)'!$A$3,"MA_HT","SKT","MA_QH","DDL")</f>
        <v>0</v>
      </c>
      <c r="AP23" s="35">
        <f>+GETPIVOTDATA("XBC4",'bauchinh (2016)'!$A$3,"MA_HT","SKT","MA_QH","DRA")</f>
        <v>0</v>
      </c>
      <c r="AQ23" s="35">
        <f>+GETPIVOTDATA("XBC4",'bauchinh (2016)'!$A$3,"MA_HT","SKT","MA_QH","ONT")</f>
        <v>0</v>
      </c>
      <c r="AR23" s="35">
        <f>+GETPIVOTDATA("XBC4",'bauchinh (2016)'!$A$3,"MA_HT","SKT","MA_QH","ODT")</f>
        <v>0</v>
      </c>
      <c r="AS23" s="35">
        <f>+GETPIVOTDATA("XBC4",'bauchinh (2016)'!$A$3,"MA_HT","SKT","MA_QH","TSC")</f>
        <v>0</v>
      </c>
      <c r="AT23" s="35">
        <f>+GETPIVOTDATA("XBC4",'bauchinh (2016)'!$A$3,"MA_HT","SKT","MA_QH","DTS")</f>
        <v>0</v>
      </c>
      <c r="AU23" s="35">
        <f>+GETPIVOTDATA("XBC4",'bauchinh (2016)'!$A$3,"MA_HT","SKT","MA_QH","DNG")</f>
        <v>0</v>
      </c>
      <c r="AV23" s="35">
        <f>+GETPIVOTDATA("XBC4",'bauchinh (2016)'!$A$3,"MA_HT","SKT","MA_QH","TON")</f>
        <v>0</v>
      </c>
      <c r="AW23" s="35">
        <f>+GETPIVOTDATA("XBC4",'bauchinh (2016)'!$A$3,"MA_HT","SKT","MA_QH","NTD")</f>
        <v>0</v>
      </c>
      <c r="AX23" s="35">
        <f>+GETPIVOTDATA("XBC4",'bauchinh (2016)'!$A$3,"MA_HT","SKT","MA_QH","SKX")</f>
        <v>0</v>
      </c>
      <c r="AY23" s="35">
        <f>+GETPIVOTDATA("XBC4",'bauchinh (2016)'!$A$3,"MA_HT","SKT","MA_QH","DSH")</f>
        <v>0</v>
      </c>
      <c r="AZ23" s="35">
        <f>+GETPIVOTDATA("XBC4",'bauchinh (2016)'!$A$3,"MA_HT","SKT","MA_QH","DKV")</f>
        <v>0</v>
      </c>
      <c r="BA23" s="140">
        <f>+GETPIVOTDATA("XBC4",'bauchinh (2016)'!$A$3,"MA_HT","SKT","MA_QH","TIN")</f>
        <v>0</v>
      </c>
      <c r="BB23" s="74">
        <f>+GETPIVOTDATA("XBC4",'bauchinh (2016)'!$A$3,"MA_HT","SKT","MA_QH","SON")</f>
        <v>0</v>
      </c>
      <c r="BC23" s="74">
        <f>+GETPIVOTDATA("XBC4",'bauchinh (2016)'!$A$3,"MA_HT","SKT","MA_QH","MNC")</f>
        <v>0</v>
      </c>
      <c r="BD23" s="35">
        <f>+GETPIVOTDATA("XBC4",'bauchinh (2016)'!$A$3,"MA_HT","SKT","MA_QH","PNK")</f>
        <v>0</v>
      </c>
      <c r="BE23" s="58">
        <f>+GETPIVOTDATA("XBC4",'bauchinh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+GETPIVOTDATA("XBC4",'bauchinh (2016)'!$A$3,"MA_HT","SKN","MA_QH","LUC")</f>
        <v>0</v>
      </c>
      <c r="H24" s="35">
        <f>+GETPIVOTDATA("XBC4",'bauchinh (2016)'!$A$3,"MA_HT","SKN","MA_QH","LUK")</f>
        <v>0</v>
      </c>
      <c r="I24" s="35">
        <f>+GETPIVOTDATA("XBC4",'bauchinh (2016)'!$A$3,"MA_HT","SKN","MA_QH","LUN")</f>
        <v>0</v>
      </c>
      <c r="J24" s="35">
        <f>+GETPIVOTDATA("XBC4",'bauchinh (2016)'!$A$3,"MA_HT","SKN","MA_QH","HNK")</f>
        <v>0</v>
      </c>
      <c r="K24" s="35">
        <f>+GETPIVOTDATA("XBC4",'bauchinh (2016)'!$A$3,"MA_HT","SKN","MA_QH","CLN")</f>
        <v>0</v>
      </c>
      <c r="L24" s="35">
        <f>+GETPIVOTDATA("XBC4",'bauchinh (2016)'!$A$3,"MA_HT","SKN","MA_QH","RSX")</f>
        <v>0</v>
      </c>
      <c r="M24" s="35">
        <f>+GETPIVOTDATA("XBC4",'bauchinh (2016)'!$A$3,"MA_HT","SKN","MA_QH","RPH")</f>
        <v>0</v>
      </c>
      <c r="N24" s="35">
        <f>+GETPIVOTDATA("XBC4",'bauchinh (2016)'!$A$3,"MA_HT","SKN","MA_QH","RDD")</f>
        <v>0</v>
      </c>
      <c r="O24" s="35">
        <f>+GETPIVOTDATA("XBC4",'bauchinh (2016)'!$A$3,"MA_HT","SKN","MA_QH","NTS")</f>
        <v>0</v>
      </c>
      <c r="P24" s="35">
        <f>+GETPIVOTDATA("XBC4",'bauchinh (2016)'!$A$3,"MA_HT","SKN","MA_QH","LMU")</f>
        <v>0</v>
      </c>
      <c r="Q24" s="35">
        <f>+GETPIVOTDATA("XBC4",'bauchinh (2016)'!$A$3,"MA_HT","SKN","MA_QH","NKH")</f>
        <v>0</v>
      </c>
      <c r="R24" s="63">
        <f>SUM(S24:V24,X24:AA24,AN24:BD24)</f>
        <v>0</v>
      </c>
      <c r="S24" s="35">
        <f>+GETPIVOTDATA("XBC4",'bauchinh (2016)'!$A$3,"MA_HT","SKN","MA_QH","CQP")</f>
        <v>0</v>
      </c>
      <c r="T24" s="35">
        <f>+GETPIVOTDATA("XBC4",'bauchinh (2016)'!$A$3,"MA_HT","SKN","MA_QH","CAN")</f>
        <v>0</v>
      </c>
      <c r="U24" s="35">
        <f>+GETPIVOTDATA("XBC4",'bauchinh (2016)'!$A$3,"MA_HT","SKN","MA_QH","SKK")</f>
        <v>0</v>
      </c>
      <c r="V24" s="35">
        <f>+GETPIVOTDATA("XBC4",'bauchinh (2016)'!$A$3,"MA_HT","SKN","MA_QH","SKT")</f>
        <v>0</v>
      </c>
      <c r="W24" s="99" t="e">
        <f>$D24-$BF24</f>
        <v>#REF!</v>
      </c>
      <c r="X24" s="35">
        <f>+GETPIVOTDATA("XBC4",'bauchinh (2016)'!$A$3,"MA_HT","SKN","MA_QH","TMD")</f>
        <v>0</v>
      </c>
      <c r="Y24" s="35">
        <f>+GETPIVOTDATA("XBC4",'bauchinh (2016)'!$A$3,"MA_HT","SKN","MA_QH","SKC")</f>
        <v>0</v>
      </c>
      <c r="Z24" s="35">
        <f>+GETPIVOTDATA("XBC4",'bauchinh (2016)'!$A$3,"MA_HT","SKN","MA_QH","SKS")</f>
        <v>0</v>
      </c>
      <c r="AA24" s="64">
        <f t="shared" si="12"/>
        <v>0</v>
      </c>
      <c r="AB24" s="35">
        <f>+GETPIVOTDATA("XBC4",'bauchinh (2016)'!$A$3,"MA_HT","SKN","MA_QH","DGT")</f>
        <v>0</v>
      </c>
      <c r="AC24" s="35">
        <f>+GETPIVOTDATA("XBC4",'bauchinh (2016)'!$A$3,"MA_HT","SKN","MA_QH","DTL")</f>
        <v>0</v>
      </c>
      <c r="AD24" s="35">
        <f>+GETPIVOTDATA("XBC4",'bauchinh (2016)'!$A$3,"MA_HT","SKN","MA_QH","DNL")</f>
        <v>0</v>
      </c>
      <c r="AE24" s="35">
        <f>+GETPIVOTDATA("XBC4",'bauchinh (2016)'!$A$3,"MA_HT","SKN","MA_QH","DBV")</f>
        <v>0</v>
      </c>
      <c r="AF24" s="35">
        <f>+GETPIVOTDATA("XBC4",'bauchinh (2016)'!$A$3,"MA_HT","SKN","MA_QH","DVH")</f>
        <v>0</v>
      </c>
      <c r="AG24" s="35">
        <f>+GETPIVOTDATA("XBC4",'bauchinh (2016)'!$A$3,"MA_HT","SKN","MA_QH","DYT")</f>
        <v>0</v>
      </c>
      <c r="AH24" s="35">
        <f>+GETPIVOTDATA("XBC4",'bauchinh (2016)'!$A$3,"MA_HT","SKN","MA_QH","DGD")</f>
        <v>0</v>
      </c>
      <c r="AI24" s="35">
        <f>+GETPIVOTDATA("XBC4",'bauchinh (2016)'!$A$3,"MA_HT","SKN","MA_QH","DTT")</f>
        <v>0</v>
      </c>
      <c r="AJ24" s="35">
        <f>+GETPIVOTDATA("XBC4",'bauchinh (2016)'!$A$3,"MA_HT","SKN","MA_QH","NCK")</f>
        <v>0</v>
      </c>
      <c r="AK24" s="35">
        <f>+GETPIVOTDATA("XBC4",'bauchinh (2016)'!$A$3,"MA_HT","SKN","MA_QH","DXH")</f>
        <v>0</v>
      </c>
      <c r="AL24" s="35">
        <f>+GETPIVOTDATA("XBC4",'bauchinh (2016)'!$A$3,"MA_HT","SKN","MA_QH","DCH")</f>
        <v>0</v>
      </c>
      <c r="AM24" s="35">
        <f>+GETPIVOTDATA("XBC4",'bauchinh (2016)'!$A$3,"MA_HT","SKN","MA_QH","DKG")</f>
        <v>0</v>
      </c>
      <c r="AN24" s="35">
        <f>+GETPIVOTDATA("XBC4",'bauchinh (2016)'!$A$3,"MA_HT","SKN","MA_QH","DDT")</f>
        <v>0</v>
      </c>
      <c r="AO24" s="35">
        <f>+GETPIVOTDATA("XBC4",'bauchinh (2016)'!$A$3,"MA_HT","SKN","MA_QH","DDL")</f>
        <v>0</v>
      </c>
      <c r="AP24" s="35">
        <f>+GETPIVOTDATA("XBC4",'bauchinh (2016)'!$A$3,"MA_HT","SKN","MA_QH","DRA")</f>
        <v>0</v>
      </c>
      <c r="AQ24" s="35">
        <f>+GETPIVOTDATA("XBC4",'bauchinh (2016)'!$A$3,"MA_HT","SKN","MA_QH","ONT")</f>
        <v>0</v>
      </c>
      <c r="AR24" s="35">
        <f>+GETPIVOTDATA("XBC4",'bauchinh (2016)'!$A$3,"MA_HT","SKN","MA_QH","ODT")</f>
        <v>0</v>
      </c>
      <c r="AS24" s="35">
        <f>+GETPIVOTDATA("XBC4",'bauchinh (2016)'!$A$3,"MA_HT","SKN","MA_QH","TSC")</f>
        <v>0</v>
      </c>
      <c r="AT24" s="35">
        <f>+GETPIVOTDATA("XBC4",'bauchinh (2016)'!$A$3,"MA_HT","SKN","MA_QH","DTS")</f>
        <v>0</v>
      </c>
      <c r="AU24" s="35">
        <f>+GETPIVOTDATA("XBC4",'bauchinh (2016)'!$A$3,"MA_HT","SKN","MA_QH","DNG")</f>
        <v>0</v>
      </c>
      <c r="AV24" s="35">
        <f>+GETPIVOTDATA("XBC4",'bauchinh (2016)'!$A$3,"MA_HT","SKN","MA_QH","TON")</f>
        <v>0</v>
      </c>
      <c r="AW24" s="35">
        <f>+GETPIVOTDATA("XBC4",'bauchinh (2016)'!$A$3,"MA_HT","SKN","MA_QH","NTD")</f>
        <v>0</v>
      </c>
      <c r="AX24" s="35">
        <f>+GETPIVOTDATA("XBC4",'bauchinh (2016)'!$A$3,"MA_HT","SKN","MA_QH","SKX")</f>
        <v>0</v>
      </c>
      <c r="AY24" s="35">
        <f>+GETPIVOTDATA("XBC4",'bauchinh (2016)'!$A$3,"MA_HT","SKN","MA_QH","DSH")</f>
        <v>0</v>
      </c>
      <c r="AZ24" s="35">
        <f>+GETPIVOTDATA("XBC4",'bauchinh (2016)'!$A$3,"MA_HT","SKN","MA_QH","DKV")</f>
        <v>0</v>
      </c>
      <c r="BA24" s="140">
        <f>+GETPIVOTDATA("XBC4",'bauchinh (2016)'!$A$3,"MA_HT","SKN","MA_QH","TIN")</f>
        <v>0</v>
      </c>
      <c r="BB24" s="74">
        <f>+GETPIVOTDATA("XBC4",'bauchinh (2016)'!$A$3,"MA_HT","SKN","MA_QH","SON")</f>
        <v>0</v>
      </c>
      <c r="BC24" s="74">
        <f>+GETPIVOTDATA("XBC4",'bauchinh (2016)'!$A$3,"MA_HT","SKN","MA_QH","MNC")</f>
        <v>0</v>
      </c>
      <c r="BD24" s="35">
        <f>+GETPIVOTDATA("XBC4",'bauchinh (2016)'!$A$3,"MA_HT","SKN","MA_QH","PNK")</f>
        <v>0</v>
      </c>
      <c r="BE24" s="58">
        <f>+GETPIVOTDATA("XBC4",'bauchinh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+GETPIVOTDATA("XBC4",'bauchinh (2016)'!$A$3,"MA_HT","TMD","MA_QH","LUC")</f>
        <v>0</v>
      </c>
      <c r="H25" s="35">
        <f>+GETPIVOTDATA("XBC4",'bauchinh (2016)'!$A$3,"MA_HT","TMD","MA_QH","LUK")</f>
        <v>0</v>
      </c>
      <c r="I25" s="35">
        <f>+GETPIVOTDATA("XBC4",'bauchinh (2016)'!$A$3,"MA_HT","TMD","MA_QH","LUN")</f>
        <v>0</v>
      </c>
      <c r="J25" s="35">
        <f>+GETPIVOTDATA("XBC4",'bauchinh (2016)'!$A$3,"MA_HT","TMD","MA_QH","HNK")</f>
        <v>0</v>
      </c>
      <c r="K25" s="35">
        <f>+GETPIVOTDATA("XBC4",'bauchinh (2016)'!$A$3,"MA_HT","TMD","MA_QH","CLN")</f>
        <v>0</v>
      </c>
      <c r="L25" s="35">
        <f>+GETPIVOTDATA("XBC4",'bauchinh (2016)'!$A$3,"MA_HT","TMD","MA_QH","RSX")</f>
        <v>0</v>
      </c>
      <c r="M25" s="35">
        <f>+GETPIVOTDATA("XBC4",'bauchinh (2016)'!$A$3,"MA_HT","TMD","MA_QH","RPH")</f>
        <v>0</v>
      </c>
      <c r="N25" s="35">
        <f>+GETPIVOTDATA("XBC4",'bauchinh (2016)'!$A$3,"MA_HT","TMD","MA_QH","RDD")</f>
        <v>0</v>
      </c>
      <c r="O25" s="35">
        <f>+GETPIVOTDATA("XBC4",'bauchinh (2016)'!$A$3,"MA_HT","TMD","MA_QH","NTS")</f>
        <v>0</v>
      </c>
      <c r="P25" s="35">
        <f>+GETPIVOTDATA("XBC4",'bauchinh (2016)'!$A$3,"MA_HT","TMD","MA_QH","LMU")</f>
        <v>0</v>
      </c>
      <c r="Q25" s="35">
        <f>+GETPIVOTDATA("XBC4",'bauchinh (2016)'!$A$3,"MA_HT","TMD","MA_QH","NKH")</f>
        <v>0</v>
      </c>
      <c r="R25" s="63">
        <f>SUM(S25:W25,Y25:AA25,AN25:BD25)</f>
        <v>0</v>
      </c>
      <c r="S25" s="35">
        <f>+GETPIVOTDATA("XBC4",'bauchinh (2016)'!$A$3,"MA_HT","TMD","MA_QH","CQP")</f>
        <v>0</v>
      </c>
      <c r="T25" s="35">
        <f>+GETPIVOTDATA("XBC4",'bauchinh (2016)'!$A$3,"MA_HT","TMD","MA_QH","CAN")</f>
        <v>0</v>
      </c>
      <c r="U25" s="35">
        <f>+GETPIVOTDATA("XBC4",'bauchinh (2016)'!$A$3,"MA_HT","TMD","MA_QH","SKK")</f>
        <v>0</v>
      </c>
      <c r="V25" s="35">
        <f>+GETPIVOTDATA("XBC4",'bauchinh (2016)'!$A$3,"MA_HT","TMD","MA_QH","SKT")</f>
        <v>0</v>
      </c>
      <c r="W25" s="35">
        <f>+GETPIVOTDATA("XBC4",'bauchinh (2016)'!$A$3,"MA_HT","TMD","MA_QH","SKN")</f>
        <v>0</v>
      </c>
      <c r="X25" s="99" t="e">
        <f>$D25-$BF25</f>
        <v>#REF!</v>
      </c>
      <c r="Y25" s="35">
        <f>+GETPIVOTDATA("XBC4",'bauchinh (2016)'!$A$3,"MA_HT","TMD","MA_QH","SKC")</f>
        <v>0</v>
      </c>
      <c r="Z25" s="35">
        <f>+GETPIVOTDATA("XBC4",'bauchinh (2016)'!$A$3,"MA_HT","TMD","MA_QH","SKS")</f>
        <v>0</v>
      </c>
      <c r="AA25" s="64">
        <f t="shared" si="12"/>
        <v>0</v>
      </c>
      <c r="AB25" s="35">
        <f>+GETPIVOTDATA("XBC4",'bauchinh (2016)'!$A$3,"MA_HT","TMD","MA_QH","DGT")</f>
        <v>0</v>
      </c>
      <c r="AC25" s="35">
        <f>+GETPIVOTDATA("XBC4",'bauchinh (2016)'!$A$3,"MA_HT","TMD","MA_QH","DTL")</f>
        <v>0</v>
      </c>
      <c r="AD25" s="35">
        <f>+GETPIVOTDATA("XBC4",'bauchinh (2016)'!$A$3,"MA_HT","TMD","MA_QH","DNL")</f>
        <v>0</v>
      </c>
      <c r="AE25" s="35">
        <f>+GETPIVOTDATA("XBC4",'bauchinh (2016)'!$A$3,"MA_HT","TMD","MA_QH","DBV")</f>
        <v>0</v>
      </c>
      <c r="AF25" s="35">
        <f>+GETPIVOTDATA("XBC4",'bauchinh (2016)'!$A$3,"MA_HT","TMD","MA_QH","DVH")</f>
        <v>0</v>
      </c>
      <c r="AG25" s="35">
        <f>+GETPIVOTDATA("XBC4",'bauchinh (2016)'!$A$3,"MA_HT","TMD","MA_QH","DYT")</f>
        <v>0</v>
      </c>
      <c r="AH25" s="35">
        <f>+GETPIVOTDATA("XBC4",'bauchinh (2016)'!$A$3,"MA_HT","TMD","MA_QH","DGD")</f>
        <v>0</v>
      </c>
      <c r="AI25" s="35">
        <f>+GETPIVOTDATA("XBC4",'bauchinh (2016)'!$A$3,"MA_HT","TMD","MA_QH","DTT")</f>
        <v>0</v>
      </c>
      <c r="AJ25" s="35">
        <f>+GETPIVOTDATA("XBC4",'bauchinh (2016)'!$A$3,"MA_HT","TMD","MA_QH","NCK")</f>
        <v>0</v>
      </c>
      <c r="AK25" s="35">
        <f>+GETPIVOTDATA("XBC4",'bauchinh (2016)'!$A$3,"MA_HT","TMD","MA_QH","DXH")</f>
        <v>0</v>
      </c>
      <c r="AL25" s="35">
        <f>+GETPIVOTDATA("XBC4",'bauchinh (2016)'!$A$3,"MA_HT","TMD","MA_QH","DCH")</f>
        <v>0</v>
      </c>
      <c r="AM25" s="35">
        <f>+GETPIVOTDATA("XBC4",'bauchinh (2016)'!$A$3,"MA_HT","TMD","MA_QH","DKG")</f>
        <v>0</v>
      </c>
      <c r="AN25" s="35">
        <f>+GETPIVOTDATA("XBC4",'bauchinh (2016)'!$A$3,"MA_HT","TMD","MA_QH","DDT")</f>
        <v>0</v>
      </c>
      <c r="AO25" s="35">
        <f>+GETPIVOTDATA("XBC4",'bauchinh (2016)'!$A$3,"MA_HT","TMD","MA_QH","DDL")</f>
        <v>0</v>
      </c>
      <c r="AP25" s="35">
        <f>+GETPIVOTDATA("XBC4",'bauchinh (2016)'!$A$3,"MA_HT","TMD","MA_QH","DRA")</f>
        <v>0</v>
      </c>
      <c r="AQ25" s="35">
        <f>+GETPIVOTDATA("XBC4",'bauchinh (2016)'!$A$3,"MA_HT","TMD","MA_QH","ONT")</f>
        <v>0</v>
      </c>
      <c r="AR25" s="35">
        <f>+GETPIVOTDATA("XBC4",'bauchinh (2016)'!$A$3,"MA_HT","TMD","MA_QH","ODT")</f>
        <v>0</v>
      </c>
      <c r="AS25" s="35">
        <f>+GETPIVOTDATA("XBC4",'bauchinh (2016)'!$A$3,"MA_HT","TMD","MA_QH","TSC")</f>
        <v>0</v>
      </c>
      <c r="AT25" s="35">
        <f>+GETPIVOTDATA("XBC4",'bauchinh (2016)'!$A$3,"MA_HT","TMD","MA_QH","DTS")</f>
        <v>0</v>
      </c>
      <c r="AU25" s="35">
        <f>+GETPIVOTDATA("XBC4",'bauchinh (2016)'!$A$3,"MA_HT","TMD","MA_QH","DNG")</f>
        <v>0</v>
      </c>
      <c r="AV25" s="35">
        <f>+GETPIVOTDATA("XBC4",'bauchinh (2016)'!$A$3,"MA_HT","TMD","MA_QH","TON")</f>
        <v>0</v>
      </c>
      <c r="AW25" s="35">
        <f>+GETPIVOTDATA("XBC4",'bauchinh (2016)'!$A$3,"MA_HT","TMD","MA_QH","NTD")</f>
        <v>0</v>
      </c>
      <c r="AX25" s="35">
        <f>+GETPIVOTDATA("XBC4",'bauchinh (2016)'!$A$3,"MA_HT","TMD","MA_QH","SKX")</f>
        <v>0</v>
      </c>
      <c r="AY25" s="35">
        <f>+GETPIVOTDATA("XBC4",'bauchinh (2016)'!$A$3,"MA_HT","TMD","MA_QH","DSH")</f>
        <v>0</v>
      </c>
      <c r="AZ25" s="35">
        <f>+GETPIVOTDATA("XBC4",'bauchinh (2016)'!$A$3,"MA_HT","TMD","MA_QH","DKV")</f>
        <v>0</v>
      </c>
      <c r="BA25" s="140">
        <f>+GETPIVOTDATA("XBC4",'bauchinh (2016)'!$A$3,"MA_HT","TMD","MA_QH","TIN")</f>
        <v>0</v>
      </c>
      <c r="BB25" s="74">
        <f>+GETPIVOTDATA("XBC4",'bauchinh (2016)'!$A$3,"MA_HT","TMD","MA_QH","SON")</f>
        <v>0</v>
      </c>
      <c r="BC25" s="74">
        <f>+GETPIVOTDATA("XBC4",'bauchinh (2016)'!$A$3,"MA_HT","TMD","MA_QH","MNC")</f>
        <v>0</v>
      </c>
      <c r="BD25" s="35">
        <f>+GETPIVOTDATA("XBC4",'bauchinh (2016)'!$A$3,"MA_HT","TMD","MA_QH","PNK")</f>
        <v>0</v>
      </c>
      <c r="BE25" s="58">
        <f>+GETPIVOTDATA("XBC4",'bauchinh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+GETPIVOTDATA("XBC4",'bauchinh (2016)'!$A$3,"MA_HT","SKC","MA_QH","LUC")</f>
        <v>0</v>
      </c>
      <c r="H26" s="35">
        <f>+GETPIVOTDATA("XBC4",'bauchinh (2016)'!$A$3,"MA_HT","SKC","MA_QH","LUK")</f>
        <v>0</v>
      </c>
      <c r="I26" s="35">
        <f>+GETPIVOTDATA("XBC4",'bauchinh (2016)'!$A$3,"MA_HT","SKC","MA_QH","LUN")</f>
        <v>0</v>
      </c>
      <c r="J26" s="35">
        <f>+GETPIVOTDATA("XBC4",'bauchinh (2016)'!$A$3,"MA_HT","SKC","MA_QH","HNK")</f>
        <v>0</v>
      </c>
      <c r="K26" s="35">
        <f>+GETPIVOTDATA("XBC4",'bauchinh (2016)'!$A$3,"MA_HT","SKC","MA_QH","CLN")</f>
        <v>0</v>
      </c>
      <c r="L26" s="35">
        <f>+GETPIVOTDATA("XBC4",'bauchinh (2016)'!$A$3,"MA_HT","SKC","MA_QH","RSX")</f>
        <v>0</v>
      </c>
      <c r="M26" s="35">
        <f>+GETPIVOTDATA("XBC4",'bauchinh (2016)'!$A$3,"MA_HT","SKC","MA_QH","RPH")</f>
        <v>0</v>
      </c>
      <c r="N26" s="35">
        <f>+GETPIVOTDATA("XBC4",'bauchinh (2016)'!$A$3,"MA_HT","SKC","MA_QH","RDD")</f>
        <v>0</v>
      </c>
      <c r="O26" s="35">
        <f>+GETPIVOTDATA("XBC4",'bauchinh (2016)'!$A$3,"MA_HT","SKC","MA_QH","NTS")</f>
        <v>0</v>
      </c>
      <c r="P26" s="35">
        <f>+GETPIVOTDATA("XBC4",'bauchinh (2016)'!$A$3,"MA_HT","SKC","MA_QH","LMU")</f>
        <v>0</v>
      </c>
      <c r="Q26" s="35">
        <f>+GETPIVOTDATA("XBC4",'bauchinh (2016)'!$A$3,"MA_HT","SKC","MA_QH","NKH")</f>
        <v>0</v>
      </c>
      <c r="R26" s="63">
        <f>SUM(S26:X26,Z26,AN26:BD26)</f>
        <v>0</v>
      </c>
      <c r="S26" s="35">
        <f>+GETPIVOTDATA("XBC4",'bauchinh (2016)'!$A$3,"MA_HT","SKC","MA_QH","CQP")</f>
        <v>0</v>
      </c>
      <c r="T26" s="35">
        <f>+GETPIVOTDATA("XBC4",'bauchinh (2016)'!$A$3,"MA_HT","SKC","MA_QH","CAN")</f>
        <v>0</v>
      </c>
      <c r="U26" s="35">
        <f>+GETPIVOTDATA("XBC4",'bauchinh (2016)'!$A$3,"MA_HT","SKC","MA_QH","SKK")</f>
        <v>0</v>
      </c>
      <c r="V26" s="35">
        <f>+GETPIVOTDATA("XBC4",'bauchinh (2016)'!$A$3,"MA_HT","SKC","MA_QH","SKT")</f>
        <v>0</v>
      </c>
      <c r="W26" s="35">
        <f>+GETPIVOTDATA("XBC4",'bauchinh (2016)'!$A$3,"MA_HT","SKC","MA_QH","SKN")</f>
        <v>0</v>
      </c>
      <c r="X26" s="35">
        <f>+GETPIVOTDATA("XBC4",'bauchinh (2016)'!$A$3,"MA_HT","SKC","MA_QH","TMD")</f>
        <v>0</v>
      </c>
      <c r="Y26" s="99" t="e">
        <f>$D26-$BF26</f>
        <v>#REF!</v>
      </c>
      <c r="Z26" s="35">
        <f>+GETPIVOTDATA("XBC4",'bauchinh (2016)'!$A$3,"MA_HT","SKC","MA_QH","SKS")</f>
        <v>0</v>
      </c>
      <c r="AA26" s="64">
        <f t="shared" si="12"/>
        <v>0</v>
      </c>
      <c r="AB26" s="35">
        <f>+GETPIVOTDATA("XBC4",'bauchinh (2016)'!$A$3,"MA_HT","SKC","MA_QH","DGT")</f>
        <v>0</v>
      </c>
      <c r="AC26" s="35">
        <f>+GETPIVOTDATA("XBC4",'bauchinh (2016)'!$A$3,"MA_HT","SKC","MA_QH","DTL")</f>
        <v>0</v>
      </c>
      <c r="AD26" s="35">
        <f>+GETPIVOTDATA("XBC4",'bauchinh (2016)'!$A$3,"MA_HT","SKC","MA_QH","DNL")</f>
        <v>0</v>
      </c>
      <c r="AE26" s="35">
        <f>+GETPIVOTDATA("XBC4",'bauchinh (2016)'!$A$3,"MA_HT","SKC","MA_QH","DBV")</f>
        <v>0</v>
      </c>
      <c r="AF26" s="35">
        <f>+GETPIVOTDATA("XBC4",'bauchinh (2016)'!$A$3,"MA_HT","SKC","MA_QH","DVH")</f>
        <v>0</v>
      </c>
      <c r="AG26" s="35">
        <f>+GETPIVOTDATA("XBC4",'bauchinh (2016)'!$A$3,"MA_HT","SKC","MA_QH","DYT")</f>
        <v>0</v>
      </c>
      <c r="AH26" s="35">
        <f>+GETPIVOTDATA("XBC4",'bauchinh (2016)'!$A$3,"MA_HT","SKC","MA_QH","DGD")</f>
        <v>0</v>
      </c>
      <c r="AI26" s="35">
        <f>+GETPIVOTDATA("XBC4",'bauchinh (2016)'!$A$3,"MA_HT","SKC","MA_QH","DTT")</f>
        <v>0</v>
      </c>
      <c r="AJ26" s="35">
        <f>+GETPIVOTDATA("XBC4",'bauchinh (2016)'!$A$3,"MA_HT","SKC","MA_QH","NCK")</f>
        <v>0</v>
      </c>
      <c r="AK26" s="35">
        <f>+GETPIVOTDATA("XBC4",'bauchinh (2016)'!$A$3,"MA_HT","SKC","MA_QH","DXH")</f>
        <v>0</v>
      </c>
      <c r="AL26" s="35">
        <f>+GETPIVOTDATA("XBC4",'bauchinh (2016)'!$A$3,"MA_HT","SKC","MA_QH","DCH")</f>
        <v>0</v>
      </c>
      <c r="AM26" s="35">
        <f>+GETPIVOTDATA("XBC4",'bauchinh (2016)'!$A$3,"MA_HT","SKC","MA_QH","DKG")</f>
        <v>0</v>
      </c>
      <c r="AN26" s="35">
        <f>+GETPIVOTDATA("XBC4",'bauchinh (2016)'!$A$3,"MA_HT","SKC","MA_QH","DDT")</f>
        <v>0</v>
      </c>
      <c r="AO26" s="35">
        <f>+GETPIVOTDATA("XBC4",'bauchinh (2016)'!$A$3,"MA_HT","SKC","MA_QH","DDL")</f>
        <v>0</v>
      </c>
      <c r="AP26" s="35">
        <f>+GETPIVOTDATA("XBC4",'bauchinh (2016)'!$A$3,"MA_HT","SKC","MA_QH","DRA")</f>
        <v>0</v>
      </c>
      <c r="AQ26" s="35">
        <f>+GETPIVOTDATA("XBC4",'bauchinh (2016)'!$A$3,"MA_HT","SKC","MA_QH","ONT")</f>
        <v>0</v>
      </c>
      <c r="AR26" s="35">
        <f>+GETPIVOTDATA("XBC4",'bauchinh (2016)'!$A$3,"MA_HT","SKC","MA_QH","ODT")</f>
        <v>0</v>
      </c>
      <c r="AS26" s="35">
        <f>+GETPIVOTDATA("XBC4",'bauchinh (2016)'!$A$3,"MA_HT","SKC","MA_QH","TSC")</f>
        <v>0</v>
      </c>
      <c r="AT26" s="35">
        <f>+GETPIVOTDATA("XBC4",'bauchinh (2016)'!$A$3,"MA_HT","SKC","MA_QH","DTS")</f>
        <v>0</v>
      </c>
      <c r="AU26" s="35">
        <f>+GETPIVOTDATA("XBC4",'bauchinh (2016)'!$A$3,"MA_HT","SKC","MA_QH","DNG")</f>
        <v>0</v>
      </c>
      <c r="AV26" s="35">
        <f>+GETPIVOTDATA("XBC4",'bauchinh (2016)'!$A$3,"MA_HT","SKC","MA_QH","TON")</f>
        <v>0</v>
      </c>
      <c r="AW26" s="35">
        <f>+GETPIVOTDATA("XBC4",'bauchinh (2016)'!$A$3,"MA_HT","SKC","MA_QH","NTD")</f>
        <v>0</v>
      </c>
      <c r="AX26" s="35">
        <f>+GETPIVOTDATA("XBC4",'bauchinh (2016)'!$A$3,"MA_HT","SKC","MA_QH","SKX")</f>
        <v>0</v>
      </c>
      <c r="AY26" s="35">
        <f>+GETPIVOTDATA("XBC4",'bauchinh (2016)'!$A$3,"MA_HT","SKC","MA_QH","DSH")</f>
        <v>0</v>
      </c>
      <c r="AZ26" s="35">
        <f>+GETPIVOTDATA("XBC4",'bauchinh (2016)'!$A$3,"MA_HT","SKC","MA_QH","DKV")</f>
        <v>0</v>
      </c>
      <c r="BA26" s="140">
        <f>+GETPIVOTDATA("XBC4",'bauchinh (2016)'!$A$3,"MA_HT","SKC","MA_QH","TIN")</f>
        <v>0</v>
      </c>
      <c r="BB26" s="74">
        <f>+GETPIVOTDATA("XBC4",'bauchinh (2016)'!$A$3,"MA_HT","SKC","MA_QH","SON")</f>
        <v>0</v>
      </c>
      <c r="BC26" s="74">
        <f>+GETPIVOTDATA("XBC4",'bauchinh (2016)'!$A$3,"MA_HT","SKC","MA_QH","MNC")</f>
        <v>0</v>
      </c>
      <c r="BD26" s="35">
        <f>+GETPIVOTDATA("XBC4",'bauchinh (2016)'!$A$3,"MA_HT","SKC","MA_QH","PNK")</f>
        <v>0</v>
      </c>
      <c r="BE26" s="58">
        <f>+GETPIVOTDATA("XBC4",'bauchinh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+GETPIVOTDATA("XBC4",'bauchinh (2016)'!$A$3,"MA_HT","SKS","MA_QH","LUC")</f>
        <v>0</v>
      </c>
      <c r="H27" s="35">
        <f>+GETPIVOTDATA("XBC4",'bauchinh (2016)'!$A$3,"MA_HT","SKS","MA_QH","LUK")</f>
        <v>0</v>
      </c>
      <c r="I27" s="35">
        <f>+GETPIVOTDATA("XBC4",'bauchinh (2016)'!$A$3,"MA_HT","SKS","MA_QH","LUN")</f>
        <v>0</v>
      </c>
      <c r="J27" s="35">
        <f>+GETPIVOTDATA("XBC4",'bauchinh (2016)'!$A$3,"MA_HT","SKS","MA_QH","HNK")</f>
        <v>0</v>
      </c>
      <c r="K27" s="35">
        <f>+GETPIVOTDATA("XBC4",'bauchinh (2016)'!$A$3,"MA_HT","SKS","MA_QH","CLN")</f>
        <v>0</v>
      </c>
      <c r="L27" s="35">
        <f>+GETPIVOTDATA("XBC4",'bauchinh (2016)'!$A$3,"MA_HT","SKS","MA_QH","RSX")</f>
        <v>0</v>
      </c>
      <c r="M27" s="35">
        <f>+GETPIVOTDATA("XBC4",'bauchinh (2016)'!$A$3,"MA_HT","SKS","MA_QH","RPH")</f>
        <v>0</v>
      </c>
      <c r="N27" s="35">
        <f>+GETPIVOTDATA("XBC4",'bauchinh (2016)'!$A$3,"MA_HT","SKS","MA_QH","RDD")</f>
        <v>0</v>
      </c>
      <c r="O27" s="35">
        <f>+GETPIVOTDATA("XBC4",'bauchinh (2016)'!$A$3,"MA_HT","SKS","MA_QH","NTS")</f>
        <v>0</v>
      </c>
      <c r="P27" s="35">
        <f>+GETPIVOTDATA("XBC4",'bauchinh (2016)'!$A$3,"MA_HT","SKS","MA_QH","LMU")</f>
        <v>0</v>
      </c>
      <c r="Q27" s="35">
        <f>+GETPIVOTDATA("XBC4",'bauchinh (2016)'!$A$3,"MA_HT","SKS","MA_QH","NKH")</f>
        <v>0</v>
      </c>
      <c r="R27" s="63">
        <f>SUM(S27:Y27,AA27,AN27:BD27)</f>
        <v>0</v>
      </c>
      <c r="S27" s="35">
        <f>+GETPIVOTDATA("XBC4",'bauchinh (2016)'!$A$3,"MA_HT","SKS","MA_QH","CQP")</f>
        <v>0</v>
      </c>
      <c r="T27" s="35">
        <f>+GETPIVOTDATA("XBC4",'bauchinh (2016)'!$A$3,"MA_HT","SKS","MA_QH","CAN")</f>
        <v>0</v>
      </c>
      <c r="U27" s="35">
        <f>+GETPIVOTDATA("XBC4",'bauchinh (2016)'!$A$3,"MA_HT","SKS","MA_QH","SKK")</f>
        <v>0</v>
      </c>
      <c r="V27" s="35">
        <f>+GETPIVOTDATA("XBC4",'bauchinh (2016)'!$A$3,"MA_HT","SKS","MA_QH","SKT")</f>
        <v>0</v>
      </c>
      <c r="W27" s="35">
        <f>+GETPIVOTDATA("XBC4",'bauchinh (2016)'!$A$3,"MA_HT","SKS","MA_QH","SKN")</f>
        <v>0</v>
      </c>
      <c r="X27" s="35">
        <f>+GETPIVOTDATA("XBC4",'bauchinh (2016)'!$A$3,"MA_HT","SKS","MA_QH","TMD")</f>
        <v>0</v>
      </c>
      <c r="Y27" s="35">
        <f>+GETPIVOTDATA("XBC4",'bauchinh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+GETPIVOTDATA("XBC4",'bauchinh (2016)'!$A$3,"MA_HT","SKS","MA_QH","DGT")</f>
        <v>0</v>
      </c>
      <c r="AC27" s="35">
        <f>+GETPIVOTDATA("XBC4",'bauchinh (2016)'!$A$3,"MA_HT","SKS","MA_QH","DTL")</f>
        <v>0</v>
      </c>
      <c r="AD27" s="35">
        <f>+GETPIVOTDATA("XBC4",'bauchinh (2016)'!$A$3,"MA_HT","SKS","MA_QH","DNL")</f>
        <v>0</v>
      </c>
      <c r="AE27" s="35">
        <f>+GETPIVOTDATA("XBC4",'bauchinh (2016)'!$A$3,"MA_HT","SKS","MA_QH","DBV")</f>
        <v>0</v>
      </c>
      <c r="AF27" s="35">
        <f>+GETPIVOTDATA("XBC4",'bauchinh (2016)'!$A$3,"MA_HT","SKS","MA_QH","DVH")</f>
        <v>0</v>
      </c>
      <c r="AG27" s="35">
        <f>+GETPIVOTDATA("XBC4",'bauchinh (2016)'!$A$3,"MA_HT","SKS","MA_QH","DYT")</f>
        <v>0</v>
      </c>
      <c r="AH27" s="35">
        <f>+GETPIVOTDATA("XBC4",'bauchinh (2016)'!$A$3,"MA_HT","SKS","MA_QH","DGD")</f>
        <v>0</v>
      </c>
      <c r="AI27" s="35">
        <f>+GETPIVOTDATA("XBC4",'bauchinh (2016)'!$A$3,"MA_HT","SKS","MA_QH","DTT")</f>
        <v>0</v>
      </c>
      <c r="AJ27" s="35">
        <f>+GETPIVOTDATA("XBC4",'bauchinh (2016)'!$A$3,"MA_HT","SKS","MA_QH","NCK")</f>
        <v>0</v>
      </c>
      <c r="AK27" s="35">
        <f>+GETPIVOTDATA("XBC4",'bauchinh (2016)'!$A$3,"MA_HT","SKS","MA_QH","DXH")</f>
        <v>0</v>
      </c>
      <c r="AL27" s="35">
        <f>+GETPIVOTDATA("XBC4",'bauchinh (2016)'!$A$3,"MA_HT","SKS","MA_QH","DCH")</f>
        <v>0</v>
      </c>
      <c r="AM27" s="35">
        <f>+GETPIVOTDATA("XBC4",'bauchinh (2016)'!$A$3,"MA_HT","SKS","MA_QH","DKG")</f>
        <v>0</v>
      </c>
      <c r="AN27" s="35">
        <f>+GETPIVOTDATA("XBC4",'bauchinh (2016)'!$A$3,"MA_HT","SKS","MA_QH","DDT")</f>
        <v>0</v>
      </c>
      <c r="AO27" s="35">
        <f>+GETPIVOTDATA("XBC4",'bauchinh (2016)'!$A$3,"MA_HT","SKS","MA_QH","DDL")</f>
        <v>0</v>
      </c>
      <c r="AP27" s="35">
        <f>+GETPIVOTDATA("XBC4",'bauchinh (2016)'!$A$3,"MA_HT","SKS","MA_QH","DRA")</f>
        <v>0</v>
      </c>
      <c r="AQ27" s="35">
        <f>+GETPIVOTDATA("XBC4",'bauchinh (2016)'!$A$3,"MA_HT","SKS","MA_QH","ONT")</f>
        <v>0</v>
      </c>
      <c r="AR27" s="35">
        <f>+GETPIVOTDATA("XBC4",'bauchinh (2016)'!$A$3,"MA_HT","SKS","MA_QH","ODT")</f>
        <v>0</v>
      </c>
      <c r="AS27" s="35">
        <f>+GETPIVOTDATA("XBC4",'bauchinh (2016)'!$A$3,"MA_HT","SKS","MA_QH","TSC")</f>
        <v>0</v>
      </c>
      <c r="AT27" s="35">
        <f>+GETPIVOTDATA("XBC4",'bauchinh (2016)'!$A$3,"MA_HT","SKS","MA_QH","DTS")</f>
        <v>0</v>
      </c>
      <c r="AU27" s="35">
        <f>+GETPIVOTDATA("XBC4",'bauchinh (2016)'!$A$3,"MA_HT","SKS","MA_QH","DNG")</f>
        <v>0</v>
      </c>
      <c r="AV27" s="35">
        <f>+GETPIVOTDATA("XBC4",'bauchinh (2016)'!$A$3,"MA_HT","SKS","MA_QH","TON")</f>
        <v>0</v>
      </c>
      <c r="AW27" s="35">
        <f>+GETPIVOTDATA("XBC4",'bauchinh (2016)'!$A$3,"MA_HT","SKS","MA_QH","NTD")</f>
        <v>0</v>
      </c>
      <c r="AX27" s="35">
        <f>+GETPIVOTDATA("XBC4",'bauchinh (2016)'!$A$3,"MA_HT","SKS","MA_QH","SKX")</f>
        <v>0</v>
      </c>
      <c r="AY27" s="35">
        <f>+GETPIVOTDATA("XBC4",'bauchinh (2016)'!$A$3,"MA_HT","SKS","MA_QH","DSH")</f>
        <v>0</v>
      </c>
      <c r="AZ27" s="35">
        <f>+GETPIVOTDATA("XBC4",'bauchinh (2016)'!$A$3,"MA_HT","SKS","MA_QH","DKV")</f>
        <v>0</v>
      </c>
      <c r="BA27" s="140">
        <f>+GETPIVOTDATA("XBC4",'bauchinh (2016)'!$A$3,"MA_HT","SKS","MA_QH","TIN")</f>
        <v>0</v>
      </c>
      <c r="BB27" s="74">
        <f>+GETPIVOTDATA("XBC4",'bauchinh (2016)'!$A$3,"MA_HT","SKS","MA_QH","SON")</f>
        <v>0</v>
      </c>
      <c r="BC27" s="74">
        <f>+GETPIVOTDATA("XBC4",'bauchinh (2016)'!$A$3,"MA_HT","SKS","MA_QH","MNC")</f>
        <v>0</v>
      </c>
      <c r="BD27" s="35">
        <f>+GETPIVOTDATA("XBC4",'bauchinh (2016)'!$A$3,"MA_HT","SKS","MA_QH","PNK")</f>
        <v>0</v>
      </c>
      <c r="BE27" s="58">
        <f>+GETPIVOTDATA("XBC4",'bauchinh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+GETPIVOTDATA("XBC4",'bauchinh (2016)'!$A$3,"MA_HT","DGT","MA_QH","LUC")</f>
        <v>0</v>
      </c>
      <c r="H29" s="74">
        <f>+GETPIVOTDATA("XBC4",'bauchinh (2016)'!$A$3,"MA_HT","DGT","MA_QH","LUK")</f>
        <v>0</v>
      </c>
      <c r="I29" s="74">
        <f>+GETPIVOTDATA("XBC4",'bauchinh (2016)'!$A$3,"MA_HT","DGT","MA_QH","LUN")</f>
        <v>0</v>
      </c>
      <c r="J29" s="74">
        <f>+GETPIVOTDATA("XBC4",'bauchinh (2016)'!$A$3,"MA_HT","DGT","MA_QH","HNK")</f>
        <v>0</v>
      </c>
      <c r="K29" s="74">
        <f>+GETPIVOTDATA("XBC4",'bauchinh (2016)'!$A$3,"MA_HT","DGT","MA_QH","CLN")</f>
        <v>0</v>
      </c>
      <c r="L29" s="74">
        <f>+GETPIVOTDATA("XBC4",'bauchinh (2016)'!$A$3,"MA_HT","DGT","MA_QH","RSX")</f>
        <v>0</v>
      </c>
      <c r="M29" s="74">
        <f>+GETPIVOTDATA("XBC4",'bauchinh (2016)'!$A$3,"MA_HT","DGT","MA_QH","RPH")</f>
        <v>0</v>
      </c>
      <c r="N29" s="74">
        <f>+GETPIVOTDATA("XBC4",'bauchinh (2016)'!$A$3,"MA_HT","DGT","MA_QH","RDD")</f>
        <v>0</v>
      </c>
      <c r="O29" s="74">
        <f>+GETPIVOTDATA("XBC4",'bauchinh (2016)'!$A$3,"MA_HT","DGT","MA_QH","NTS")</f>
        <v>0</v>
      </c>
      <c r="P29" s="74">
        <f>+GETPIVOTDATA("XBC4",'bauchinh (2016)'!$A$3,"MA_HT","DGT","MA_QH","LMU")</f>
        <v>0</v>
      </c>
      <c r="Q29" s="74">
        <f>+GETPIVOTDATA("XBC4",'bauchinh (2016)'!$A$3,"MA_HT","DGT","MA_QH","NKH")</f>
        <v>0</v>
      </c>
      <c r="R29" s="72">
        <f>SUM(S29:AA29,AN29:BD29)</f>
        <v>0</v>
      </c>
      <c r="S29" s="74">
        <f>+GETPIVOTDATA("XBC4",'bauchinh (2016)'!$A$3,"MA_HT","DGT","MA_QH","CQP")</f>
        <v>0</v>
      </c>
      <c r="T29" s="74">
        <f>+GETPIVOTDATA("XBC4",'bauchinh (2016)'!$A$3,"MA_HT","DGT","MA_QH","CAN")</f>
        <v>0</v>
      </c>
      <c r="U29" s="74">
        <f>+GETPIVOTDATA("XBC4",'bauchinh (2016)'!$A$3,"MA_HT","DGT","MA_QH","SKK")</f>
        <v>0</v>
      </c>
      <c r="V29" s="74">
        <f>+GETPIVOTDATA("XBC4",'bauchinh (2016)'!$A$3,"MA_HT","DGT","MA_QH","SKT")</f>
        <v>0</v>
      </c>
      <c r="W29" s="74">
        <f>+GETPIVOTDATA("XBC4",'bauchinh (2016)'!$A$3,"MA_HT","DGT","MA_QH","SKN")</f>
        <v>0</v>
      </c>
      <c r="X29" s="74">
        <f>+GETPIVOTDATA("XBC4",'bauchinh (2016)'!$A$3,"MA_HT","DGT","MA_QH","TMD")</f>
        <v>0</v>
      </c>
      <c r="Y29" s="74">
        <f>+GETPIVOTDATA("XBC4",'bauchinh (2016)'!$A$3,"MA_HT","DGT","MA_QH","SKC")</f>
        <v>0</v>
      </c>
      <c r="Z29" s="74">
        <f>+GETPIVOTDATA("XBC4",'bauchinh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+GETPIVOTDATA("XBC4",'bauchinh (2016)'!$A$3,"MA_HT","DGT","MA_QH","DTL")</f>
        <v>0</v>
      </c>
      <c r="AD29" s="74">
        <f>+GETPIVOTDATA("XBC4",'bauchinh (2016)'!$A$3,"MA_HT","DGT","MA_QH","DNL")</f>
        <v>0</v>
      </c>
      <c r="AE29" s="74">
        <f>+GETPIVOTDATA("XBC4",'bauchinh (2016)'!$A$3,"MA_HT","DGT","MA_QH","DBV")</f>
        <v>0</v>
      </c>
      <c r="AF29" s="74">
        <f>+GETPIVOTDATA("XBC4",'bauchinh (2016)'!$A$3,"MA_HT","DGT","MA_QH","DVH")</f>
        <v>0</v>
      </c>
      <c r="AG29" s="74">
        <f>+GETPIVOTDATA("XBC4",'bauchinh (2016)'!$A$3,"MA_HT","DGT","MA_QH","DYT")</f>
        <v>0</v>
      </c>
      <c r="AH29" s="74">
        <f>+GETPIVOTDATA("XBC4",'bauchinh (2016)'!$A$3,"MA_HT","DGT","MA_QH","DGD")</f>
        <v>0</v>
      </c>
      <c r="AI29" s="74">
        <f>+GETPIVOTDATA("XBC4",'bauchinh (2016)'!$A$3,"MA_HT","DGT","MA_QH","DTT")</f>
        <v>0</v>
      </c>
      <c r="AJ29" s="74">
        <f>+GETPIVOTDATA("XBC4",'bauchinh (2016)'!$A$3,"MA_HT","DGT","MA_QH","NCK")</f>
        <v>0</v>
      </c>
      <c r="AK29" s="74">
        <f>+GETPIVOTDATA("XBC4",'bauchinh (2016)'!$A$3,"MA_HT","DGT","MA_QH","DXH")</f>
        <v>0</v>
      </c>
      <c r="AL29" s="74">
        <f>+GETPIVOTDATA("XBC4",'bauchinh (2016)'!$A$3,"MA_HT","DGT","MA_QH","DCH")</f>
        <v>0</v>
      </c>
      <c r="AM29" s="74">
        <f>+GETPIVOTDATA("XBC4",'bauchinh (2016)'!$A$3,"MA_HT","DGT","MA_QH","DKG")</f>
        <v>0</v>
      </c>
      <c r="AN29" s="74">
        <f>+GETPIVOTDATA("XBC4",'bauchinh (2016)'!$A$3,"MA_HT","DGT","MA_QH","DDT")</f>
        <v>0</v>
      </c>
      <c r="AO29" s="74">
        <f>+GETPIVOTDATA("XBC4",'bauchinh (2016)'!$A$3,"MA_HT","DGT","MA_QH","DDL")</f>
        <v>0</v>
      </c>
      <c r="AP29" s="74">
        <f>+GETPIVOTDATA("XBC4",'bauchinh (2016)'!$A$3,"MA_HT","DGT","MA_QH","DRA")</f>
        <v>0</v>
      </c>
      <c r="AQ29" s="74">
        <f>+GETPIVOTDATA("XBC4",'bauchinh (2016)'!$A$3,"MA_HT","DGT","MA_QH","ONT")</f>
        <v>0</v>
      </c>
      <c r="AR29" s="74">
        <f>+GETPIVOTDATA("XBC4",'bauchinh (2016)'!$A$3,"MA_HT","DGT","MA_QH","ODT")</f>
        <v>0</v>
      </c>
      <c r="AS29" s="74">
        <f>+GETPIVOTDATA("XBC4",'bauchinh (2016)'!$A$3,"MA_HT","DGT","MA_QH","TSC")</f>
        <v>0</v>
      </c>
      <c r="AT29" s="74">
        <f>+GETPIVOTDATA("XBC4",'bauchinh (2016)'!$A$3,"MA_HT","DGT","MA_QH","DTS")</f>
        <v>0</v>
      </c>
      <c r="AU29" s="74">
        <f>+GETPIVOTDATA("XBC4",'bauchinh (2016)'!$A$3,"MA_HT","DGT","MA_QH","DNG")</f>
        <v>0</v>
      </c>
      <c r="AV29" s="74">
        <f>+GETPIVOTDATA("XBC4",'bauchinh (2016)'!$A$3,"MA_HT","DGT","MA_QH","TON")</f>
        <v>0</v>
      </c>
      <c r="AW29" s="74">
        <f>+GETPIVOTDATA("XBC4",'bauchinh (2016)'!$A$3,"MA_HT","DGT","MA_QH","NTD")</f>
        <v>0</v>
      </c>
      <c r="AX29" s="74">
        <f>+GETPIVOTDATA("XBC4",'bauchinh (2016)'!$A$3,"MA_HT","DGT","MA_QH","SKX")</f>
        <v>0</v>
      </c>
      <c r="AY29" s="74">
        <f>+GETPIVOTDATA("XBC4",'bauchinh (2016)'!$A$3,"MA_HT","DGT","MA_QH","DSH")</f>
        <v>0</v>
      </c>
      <c r="AZ29" s="74">
        <f>+GETPIVOTDATA("XBC4",'bauchinh (2016)'!$A$3,"MA_HT","DGT","MA_QH","DKV")</f>
        <v>0</v>
      </c>
      <c r="BA29" s="139">
        <f>+GETPIVOTDATA("XBC4",'bauchinh (2016)'!$A$3,"MA_HT","DGT","MA_QH","TIN")</f>
        <v>0</v>
      </c>
      <c r="BB29" s="74">
        <f>+GETPIVOTDATA("XBC4",'bauchinh (2016)'!$A$3,"MA_HT","DGT","MA_QH","SON")</f>
        <v>0</v>
      </c>
      <c r="BC29" s="74">
        <f>+GETPIVOTDATA("XBC4",'bauchinh (2016)'!$A$3,"MA_HT","DGT","MA_QH","MNC")</f>
        <v>0</v>
      </c>
      <c r="BD29" s="74">
        <f>+GETPIVOTDATA("XBC4",'bauchinh (2016)'!$A$3,"MA_HT","DGT","MA_QH","PNK")</f>
        <v>0</v>
      </c>
      <c r="BE29" s="102">
        <f>+GETPIVOTDATA("XBC4",'bauchinh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+GETPIVOTDATA("XBC4",'bauchinh (2016)'!$A$3,"MA_HT","DTL","MA_QH","LUC")</f>
        <v>0</v>
      </c>
      <c r="H30" s="74">
        <f>+GETPIVOTDATA("XBC4",'bauchinh (2016)'!$A$3,"MA_HT","DTL","MA_QH","LUK")</f>
        <v>0</v>
      </c>
      <c r="I30" s="74">
        <f>+GETPIVOTDATA("XBC4",'bauchinh (2016)'!$A$3,"MA_HT","DTL","MA_QH","LUN")</f>
        <v>0</v>
      </c>
      <c r="J30" s="74">
        <f>+GETPIVOTDATA("XBC4",'bauchinh (2016)'!$A$3,"MA_HT","DTL","MA_QH","HNK")</f>
        <v>0</v>
      </c>
      <c r="K30" s="74">
        <f>+GETPIVOTDATA("XBC4",'bauchinh (2016)'!$A$3,"MA_HT","DTL","MA_QH","CLN")</f>
        <v>0</v>
      </c>
      <c r="L30" s="74">
        <f>+GETPIVOTDATA("XBC4",'bauchinh (2016)'!$A$3,"MA_HT","DTL","MA_QH","RSX")</f>
        <v>0</v>
      </c>
      <c r="M30" s="74">
        <f>+GETPIVOTDATA("XBC4",'bauchinh (2016)'!$A$3,"MA_HT","DTL","MA_QH","RPH")</f>
        <v>0</v>
      </c>
      <c r="N30" s="74">
        <f>+GETPIVOTDATA("XBC4",'bauchinh (2016)'!$A$3,"MA_HT","DTL","MA_QH","RDD")</f>
        <v>0</v>
      </c>
      <c r="O30" s="74">
        <f>+GETPIVOTDATA("XBC4",'bauchinh (2016)'!$A$3,"MA_HT","DTL","MA_QH","NTS")</f>
        <v>0</v>
      </c>
      <c r="P30" s="74">
        <f>+GETPIVOTDATA("XBC4",'bauchinh (2016)'!$A$3,"MA_HT","DTL","MA_QH","LMU")</f>
        <v>0</v>
      </c>
      <c r="Q30" s="74">
        <f>+GETPIVOTDATA("XBC4",'bauchinh (2016)'!$A$3,"MA_HT","DTL","MA_QH","NKH")</f>
        <v>0</v>
      </c>
      <c r="R30" s="72">
        <f t="shared" ref="R30:R39" si="20">SUM(S30:AA30,AN30:BD30)</f>
        <v>0</v>
      </c>
      <c r="S30" s="74">
        <f>+GETPIVOTDATA("XBC4",'bauchinh (2016)'!$A$3,"MA_HT","DTL","MA_QH","CQP")</f>
        <v>0</v>
      </c>
      <c r="T30" s="74">
        <f>+GETPIVOTDATA("XBC4",'bauchinh (2016)'!$A$3,"MA_HT","DTL","MA_QH","CAN")</f>
        <v>0</v>
      </c>
      <c r="U30" s="74">
        <f>+GETPIVOTDATA("XBC4",'bauchinh (2016)'!$A$3,"MA_HT","DTL","MA_QH","SKK")</f>
        <v>0</v>
      </c>
      <c r="V30" s="74">
        <f>+GETPIVOTDATA("XBC4",'bauchinh (2016)'!$A$3,"MA_HT","DTL","MA_QH","SKT")</f>
        <v>0</v>
      </c>
      <c r="W30" s="74">
        <f>+GETPIVOTDATA("XBC4",'bauchinh (2016)'!$A$3,"MA_HT","DTL","MA_QH","SKN")</f>
        <v>0</v>
      </c>
      <c r="X30" s="74">
        <f>+GETPIVOTDATA("XBC4",'bauchinh (2016)'!$A$3,"MA_HT","DTL","MA_QH","TMD")</f>
        <v>0</v>
      </c>
      <c r="Y30" s="74">
        <f>+GETPIVOTDATA("XBC4",'bauchinh (2016)'!$A$3,"MA_HT","DTL","MA_QH","SKC")</f>
        <v>0</v>
      </c>
      <c r="Z30" s="74">
        <f>+GETPIVOTDATA("XBC4",'bauchinh (2016)'!$A$3,"MA_HT","DTL","MA_QH","SKS")</f>
        <v>0</v>
      </c>
      <c r="AA30" s="64">
        <f>+SUM(AB30,AD30:AM30)</f>
        <v>0</v>
      </c>
      <c r="AB30" s="74">
        <f>+GETPIVOTDATA("XBC4",'bauchinh (2016)'!$A$3,"MA_HT","DTL","MA_QH","DGT")</f>
        <v>0</v>
      </c>
      <c r="AC30" s="100" t="e">
        <f>$D30-$BF30</f>
        <v>#REF!</v>
      </c>
      <c r="AD30" s="74">
        <f>+GETPIVOTDATA("XBC4",'bauchinh (2016)'!$A$3,"MA_HT","DTL","MA_QH","DNL")</f>
        <v>0</v>
      </c>
      <c r="AE30" s="74">
        <f>+GETPIVOTDATA("XBC4",'bauchinh (2016)'!$A$3,"MA_HT","DTL","MA_QH","DBV")</f>
        <v>0</v>
      </c>
      <c r="AF30" s="74">
        <f>+GETPIVOTDATA("XBC4",'bauchinh (2016)'!$A$3,"MA_HT","DTL","MA_QH","DVH")</f>
        <v>0</v>
      </c>
      <c r="AG30" s="74">
        <f>+GETPIVOTDATA("XBC4",'bauchinh (2016)'!$A$3,"MA_HT","DTL","MA_QH","DYT")</f>
        <v>0</v>
      </c>
      <c r="AH30" s="74">
        <f>+GETPIVOTDATA("XBC4",'bauchinh (2016)'!$A$3,"MA_HT","DTL","MA_QH","DGD")</f>
        <v>0</v>
      </c>
      <c r="AI30" s="74">
        <f>+GETPIVOTDATA("XBC4",'bauchinh (2016)'!$A$3,"MA_HT","DTL","MA_QH","DTT")</f>
        <v>0</v>
      </c>
      <c r="AJ30" s="74">
        <f>+GETPIVOTDATA("XBC4",'bauchinh (2016)'!$A$3,"MA_HT","DTL","MA_QH","NCK")</f>
        <v>0</v>
      </c>
      <c r="AK30" s="74">
        <f>+GETPIVOTDATA("XBC4",'bauchinh (2016)'!$A$3,"MA_HT","DTL","MA_QH","DXH")</f>
        <v>0</v>
      </c>
      <c r="AL30" s="74">
        <f>+GETPIVOTDATA("XBC4",'bauchinh (2016)'!$A$3,"MA_HT","DTL","MA_QH","DCH")</f>
        <v>0</v>
      </c>
      <c r="AM30" s="74">
        <f>+GETPIVOTDATA("XBC4",'bauchinh (2016)'!$A$3,"MA_HT","DTL","MA_QH","DKG")</f>
        <v>0</v>
      </c>
      <c r="AN30" s="74">
        <f>+GETPIVOTDATA("XBC4",'bauchinh (2016)'!$A$3,"MA_HT","DTL","MA_QH","DDT")</f>
        <v>0</v>
      </c>
      <c r="AO30" s="74">
        <f>+GETPIVOTDATA("XBC4",'bauchinh (2016)'!$A$3,"MA_HT","DTL","MA_QH","DDL")</f>
        <v>0</v>
      </c>
      <c r="AP30" s="74">
        <f>+GETPIVOTDATA("XBC4",'bauchinh (2016)'!$A$3,"MA_HT","DTL","MA_QH","DRA")</f>
        <v>0</v>
      </c>
      <c r="AQ30" s="74">
        <f>+GETPIVOTDATA("XBC4",'bauchinh (2016)'!$A$3,"MA_HT","DTL","MA_QH","ONT")</f>
        <v>0</v>
      </c>
      <c r="AR30" s="74">
        <f>+GETPIVOTDATA("XBC4",'bauchinh (2016)'!$A$3,"MA_HT","DTL","MA_QH","ODT")</f>
        <v>0</v>
      </c>
      <c r="AS30" s="74">
        <f>+GETPIVOTDATA("XBC4",'bauchinh (2016)'!$A$3,"MA_HT","DTL","MA_QH","TSC")</f>
        <v>0</v>
      </c>
      <c r="AT30" s="74">
        <f>+GETPIVOTDATA("XBC4",'bauchinh (2016)'!$A$3,"MA_HT","DTL","MA_QH","DTS")</f>
        <v>0</v>
      </c>
      <c r="AU30" s="74">
        <f>+GETPIVOTDATA("XBC4",'bauchinh (2016)'!$A$3,"MA_HT","DTL","MA_QH","DNG")</f>
        <v>0</v>
      </c>
      <c r="AV30" s="74">
        <f>+GETPIVOTDATA("XBC4",'bauchinh (2016)'!$A$3,"MA_HT","DTL","MA_QH","TON")</f>
        <v>0</v>
      </c>
      <c r="AW30" s="74">
        <f>+GETPIVOTDATA("XBC4",'bauchinh (2016)'!$A$3,"MA_HT","DTL","MA_QH","NTD")</f>
        <v>0</v>
      </c>
      <c r="AX30" s="74">
        <f>+GETPIVOTDATA("XBC4",'bauchinh (2016)'!$A$3,"MA_HT","DTL","MA_QH","SKX")</f>
        <v>0</v>
      </c>
      <c r="AY30" s="74">
        <f>+GETPIVOTDATA("XBC4",'bauchinh (2016)'!$A$3,"MA_HT","DTL","MA_QH","DSH")</f>
        <v>0</v>
      </c>
      <c r="AZ30" s="74">
        <f>+GETPIVOTDATA("XBC4",'bauchinh (2016)'!$A$3,"MA_HT","DTL","MA_QH","DKV")</f>
        <v>0</v>
      </c>
      <c r="BA30" s="139">
        <f>+GETPIVOTDATA("XBC4",'bauchinh (2016)'!$A$3,"MA_HT","DTL","MA_QH","TIN")</f>
        <v>0</v>
      </c>
      <c r="BB30" s="74">
        <f>+GETPIVOTDATA("XBC4",'bauchinh (2016)'!$A$3,"MA_HT","DTL","MA_QH","SON")</f>
        <v>0</v>
      </c>
      <c r="BC30" s="74">
        <f>+GETPIVOTDATA("XBC4",'bauchinh (2016)'!$A$3,"MA_HT","DTL","MA_QH","MNC")</f>
        <v>0</v>
      </c>
      <c r="BD30" s="74">
        <f>+GETPIVOTDATA("XBC4",'bauchinh (2016)'!$A$3,"MA_HT","DTL","MA_QH","PNK")</f>
        <v>0</v>
      </c>
      <c r="BE30" s="102">
        <f>+GETPIVOTDATA("XBC4",'bauchinh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+GETPIVOTDATA("XBC4",'bauchinh (2016)'!$A$3,"MA_HT","DNL","MA_QH","LUC")</f>
        <v>0</v>
      </c>
      <c r="H31" s="74">
        <f>+GETPIVOTDATA("XBC4",'bauchinh (2016)'!$A$3,"MA_HT","DNL","MA_QH","LUK")</f>
        <v>0</v>
      </c>
      <c r="I31" s="74">
        <f>+GETPIVOTDATA("XBC4",'bauchinh (2016)'!$A$3,"MA_HT","DNL","MA_QH","LUN")</f>
        <v>0</v>
      </c>
      <c r="J31" s="74">
        <f>+GETPIVOTDATA("XBC4",'bauchinh (2016)'!$A$3,"MA_HT","DNL","MA_QH","HNK")</f>
        <v>0</v>
      </c>
      <c r="K31" s="74">
        <f>+GETPIVOTDATA("XBC4",'bauchinh (2016)'!$A$3,"MA_HT","DNL","MA_QH","CLN")</f>
        <v>0</v>
      </c>
      <c r="L31" s="74">
        <f>+GETPIVOTDATA("XBC4",'bauchinh (2016)'!$A$3,"MA_HT","DNL","MA_QH","RSX")</f>
        <v>0</v>
      </c>
      <c r="M31" s="74">
        <f>+GETPIVOTDATA("XBC4",'bauchinh (2016)'!$A$3,"MA_HT","DNL","MA_QH","RPH")</f>
        <v>0</v>
      </c>
      <c r="N31" s="74">
        <f>+GETPIVOTDATA("XBC4",'bauchinh (2016)'!$A$3,"MA_HT","DNL","MA_QH","RDD")</f>
        <v>0</v>
      </c>
      <c r="O31" s="74">
        <f>+GETPIVOTDATA("XBC4",'bauchinh (2016)'!$A$3,"MA_HT","DNL","MA_QH","NTS")</f>
        <v>0</v>
      </c>
      <c r="P31" s="74">
        <f>+GETPIVOTDATA("XBC4",'bauchinh (2016)'!$A$3,"MA_HT","DNL","MA_QH","LMU")</f>
        <v>0</v>
      </c>
      <c r="Q31" s="74">
        <f>+GETPIVOTDATA("XBC4",'bauchinh (2016)'!$A$3,"MA_HT","DNL","MA_QH","NKH")</f>
        <v>0</v>
      </c>
      <c r="R31" s="72">
        <f t="shared" si="20"/>
        <v>0</v>
      </c>
      <c r="S31" s="74">
        <f>+GETPIVOTDATA("XBC4",'bauchinh (2016)'!$A$3,"MA_HT","DNL","MA_QH","CQP")</f>
        <v>0</v>
      </c>
      <c r="T31" s="74">
        <f>+GETPIVOTDATA("XBC4",'bauchinh (2016)'!$A$3,"MA_HT","DNL","MA_QH","CAN")</f>
        <v>0</v>
      </c>
      <c r="U31" s="74">
        <f>+GETPIVOTDATA("XBC4",'bauchinh (2016)'!$A$3,"MA_HT","DNL","MA_QH","SKK")</f>
        <v>0</v>
      </c>
      <c r="V31" s="74">
        <f>+GETPIVOTDATA("XBC4",'bauchinh (2016)'!$A$3,"MA_HT","DNL","MA_QH","SKT")</f>
        <v>0</v>
      </c>
      <c r="W31" s="74">
        <f>+GETPIVOTDATA("XBC4",'bauchinh (2016)'!$A$3,"MA_HT","DNL","MA_QH","SKN")</f>
        <v>0</v>
      </c>
      <c r="X31" s="74">
        <f>+GETPIVOTDATA("XBC4",'bauchinh (2016)'!$A$3,"MA_HT","DNL","MA_QH","TMD")</f>
        <v>0</v>
      </c>
      <c r="Y31" s="74">
        <f>+GETPIVOTDATA("XBC4",'bauchinh (2016)'!$A$3,"MA_HT","DNL","MA_QH","SKC")</f>
        <v>0</v>
      </c>
      <c r="Z31" s="74">
        <f>+GETPIVOTDATA("XBC4",'bauchinh (2016)'!$A$3,"MA_HT","DNL","MA_QH","SKS")</f>
        <v>0</v>
      </c>
      <c r="AA31" s="64">
        <f>+SUM(AB31:AC31,AE31:AM31)</f>
        <v>0</v>
      </c>
      <c r="AB31" s="74">
        <f>+GETPIVOTDATA("XBC4",'bauchinh (2016)'!$A$3,"MA_HT","DNL","MA_QH","DGT")</f>
        <v>0</v>
      </c>
      <c r="AC31" s="74">
        <f>+GETPIVOTDATA("XBC4",'bauchinh (2016)'!$A$3,"MA_HT","DNL","MA_QH","DTL")</f>
        <v>0</v>
      </c>
      <c r="AD31" s="100" t="e">
        <f>$D31-$BF31</f>
        <v>#REF!</v>
      </c>
      <c r="AE31" s="74">
        <f>+GETPIVOTDATA("XBC4",'bauchinh (2016)'!$A$3,"MA_HT","DNL","MA_QH","DBV")</f>
        <v>0</v>
      </c>
      <c r="AF31" s="74">
        <f>+GETPIVOTDATA("XBC4",'bauchinh (2016)'!$A$3,"MA_HT","DNL","MA_QH","DVH")</f>
        <v>0</v>
      </c>
      <c r="AG31" s="74">
        <f>+GETPIVOTDATA("XBC4",'bauchinh (2016)'!$A$3,"MA_HT","DNL","MA_QH","DYT")</f>
        <v>0</v>
      </c>
      <c r="AH31" s="74">
        <f>+GETPIVOTDATA("XBC4",'bauchinh (2016)'!$A$3,"MA_HT","DNL","MA_QH","DGD")</f>
        <v>0</v>
      </c>
      <c r="AI31" s="74">
        <f>+GETPIVOTDATA("XBC4",'bauchinh (2016)'!$A$3,"MA_HT","DNL","MA_QH","DTT")</f>
        <v>0</v>
      </c>
      <c r="AJ31" s="74">
        <f>+GETPIVOTDATA("XBC4",'bauchinh (2016)'!$A$3,"MA_HT","DNL","MA_QH","NCK")</f>
        <v>0</v>
      </c>
      <c r="AK31" s="74">
        <f>+GETPIVOTDATA("XBC4",'bauchinh (2016)'!$A$3,"MA_HT","DNL","MA_QH","DXH")</f>
        <v>0</v>
      </c>
      <c r="AL31" s="74">
        <f>+GETPIVOTDATA("XBC4",'bauchinh (2016)'!$A$3,"MA_HT","DNL","MA_QH","DCH")</f>
        <v>0</v>
      </c>
      <c r="AM31" s="74">
        <f>+GETPIVOTDATA("XBC4",'bauchinh (2016)'!$A$3,"MA_HT","DNL","MA_QH","DKG")</f>
        <v>0</v>
      </c>
      <c r="AN31" s="74">
        <f>+GETPIVOTDATA("XBC4",'bauchinh (2016)'!$A$3,"MA_HT","DNL","MA_QH","DDT")</f>
        <v>0</v>
      </c>
      <c r="AO31" s="74">
        <f>+GETPIVOTDATA("XBC4",'bauchinh (2016)'!$A$3,"MA_HT","DNL","MA_QH","DDL")</f>
        <v>0</v>
      </c>
      <c r="AP31" s="74">
        <f>+GETPIVOTDATA("XBC4",'bauchinh (2016)'!$A$3,"MA_HT","DNL","MA_QH","DRA")</f>
        <v>0</v>
      </c>
      <c r="AQ31" s="74">
        <f>+GETPIVOTDATA("XBC4",'bauchinh (2016)'!$A$3,"MA_HT","DNL","MA_QH","ONT")</f>
        <v>0</v>
      </c>
      <c r="AR31" s="74">
        <f>+GETPIVOTDATA("XBC4",'bauchinh (2016)'!$A$3,"MA_HT","DNL","MA_QH","ODT")</f>
        <v>0</v>
      </c>
      <c r="AS31" s="74">
        <f>+GETPIVOTDATA("XBC4",'bauchinh (2016)'!$A$3,"MA_HT","DNL","MA_QH","TSC")</f>
        <v>0</v>
      </c>
      <c r="AT31" s="74">
        <f>+GETPIVOTDATA("XBC4",'bauchinh (2016)'!$A$3,"MA_HT","DNL","MA_QH","DTS")</f>
        <v>0</v>
      </c>
      <c r="AU31" s="74">
        <f>+GETPIVOTDATA("XBC4",'bauchinh (2016)'!$A$3,"MA_HT","DNL","MA_QH","DNG")</f>
        <v>0</v>
      </c>
      <c r="AV31" s="74">
        <f>+GETPIVOTDATA("XBC4",'bauchinh (2016)'!$A$3,"MA_HT","DNL","MA_QH","TON")</f>
        <v>0</v>
      </c>
      <c r="AW31" s="74">
        <f>+GETPIVOTDATA("XBC4",'bauchinh (2016)'!$A$3,"MA_HT","DNL","MA_QH","NTD")</f>
        <v>0</v>
      </c>
      <c r="AX31" s="74">
        <f>+GETPIVOTDATA("XBC4",'bauchinh (2016)'!$A$3,"MA_HT","DNL","MA_QH","SKX")</f>
        <v>0</v>
      </c>
      <c r="AY31" s="74">
        <f>+GETPIVOTDATA("XBC4",'bauchinh (2016)'!$A$3,"MA_HT","DNL","MA_QH","DSH")</f>
        <v>0</v>
      </c>
      <c r="AZ31" s="74">
        <f>+GETPIVOTDATA("XBC4",'bauchinh (2016)'!$A$3,"MA_HT","DNL","MA_QH","DKV")</f>
        <v>0</v>
      </c>
      <c r="BA31" s="139">
        <f>+GETPIVOTDATA("XBC4",'bauchinh (2016)'!$A$3,"MA_HT","DNL","MA_QH","TIN")</f>
        <v>0</v>
      </c>
      <c r="BB31" s="74">
        <f>+GETPIVOTDATA("XBC4",'bauchinh (2016)'!$A$3,"MA_HT","DNL","MA_QH","SON")</f>
        <v>0</v>
      </c>
      <c r="BC31" s="74">
        <f>+GETPIVOTDATA("XBC4",'bauchinh (2016)'!$A$3,"MA_HT","DNL","MA_QH","MNC")</f>
        <v>0</v>
      </c>
      <c r="BD31" s="74">
        <f>+GETPIVOTDATA("XBC4",'bauchinh (2016)'!$A$3,"MA_HT","DNL","MA_QH","PNK")</f>
        <v>0</v>
      </c>
      <c r="BE31" s="102">
        <f>+GETPIVOTDATA("XBC4",'bauchinh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+GETPIVOTDATA("XBC4",'bauchinh (2016)'!$A$3,"MA_HT","DBV","MA_QH","LUC")</f>
        <v>0</v>
      </c>
      <c r="H32" s="74">
        <f>+GETPIVOTDATA("XBC4",'bauchinh (2016)'!$A$3,"MA_HT","DBV","MA_QH","LUK")</f>
        <v>0</v>
      </c>
      <c r="I32" s="74">
        <f>+GETPIVOTDATA("XBC4",'bauchinh (2016)'!$A$3,"MA_HT","DBV","MA_QH","LUN")</f>
        <v>0</v>
      </c>
      <c r="J32" s="74">
        <f>+GETPIVOTDATA("XBC4",'bauchinh (2016)'!$A$3,"MA_HT","DBV","MA_QH","HNK")</f>
        <v>0</v>
      </c>
      <c r="K32" s="74">
        <f>+GETPIVOTDATA("XBC4",'bauchinh (2016)'!$A$3,"MA_HT","DBV","MA_QH","CLN")</f>
        <v>0</v>
      </c>
      <c r="L32" s="74">
        <f>+GETPIVOTDATA("XBC4",'bauchinh (2016)'!$A$3,"MA_HT","DBV","MA_QH","RSX")</f>
        <v>0</v>
      </c>
      <c r="M32" s="74">
        <f>+GETPIVOTDATA("XBC4",'bauchinh (2016)'!$A$3,"MA_HT","DBV","MA_QH","RPH")</f>
        <v>0</v>
      </c>
      <c r="N32" s="74">
        <f>+GETPIVOTDATA("XBC4",'bauchinh (2016)'!$A$3,"MA_HT","DBV","MA_QH","RDD")</f>
        <v>0</v>
      </c>
      <c r="O32" s="74">
        <f>+GETPIVOTDATA("XBC4",'bauchinh (2016)'!$A$3,"MA_HT","DBV","MA_QH","NTS")</f>
        <v>0</v>
      </c>
      <c r="P32" s="74">
        <f>+GETPIVOTDATA("XBC4",'bauchinh (2016)'!$A$3,"MA_HT","DBV","MA_QH","LMU")</f>
        <v>0</v>
      </c>
      <c r="Q32" s="74">
        <f>+GETPIVOTDATA("XBC4",'bauchinh (2016)'!$A$3,"MA_HT","DBV","MA_QH","NKH")</f>
        <v>0</v>
      </c>
      <c r="R32" s="72">
        <f t="shared" si="20"/>
        <v>0</v>
      </c>
      <c r="S32" s="74">
        <f>+GETPIVOTDATA("XBC4",'bauchinh (2016)'!$A$3,"MA_HT","DBV","MA_QH","CQP")</f>
        <v>0</v>
      </c>
      <c r="T32" s="74">
        <f>+GETPIVOTDATA("XBC4",'bauchinh (2016)'!$A$3,"MA_HT","DBV","MA_QH","CAN")</f>
        <v>0</v>
      </c>
      <c r="U32" s="74">
        <f>+GETPIVOTDATA("XBC4",'bauchinh (2016)'!$A$3,"MA_HT","DBV","MA_QH","SKK")</f>
        <v>0</v>
      </c>
      <c r="V32" s="74">
        <f>+GETPIVOTDATA("XBC4",'bauchinh (2016)'!$A$3,"MA_HT","DBV","MA_QH","SKT")</f>
        <v>0</v>
      </c>
      <c r="W32" s="74">
        <f>+GETPIVOTDATA("XBC4",'bauchinh (2016)'!$A$3,"MA_HT","DBV","MA_QH","SKN")</f>
        <v>0</v>
      </c>
      <c r="X32" s="74">
        <f>+GETPIVOTDATA("XBC4",'bauchinh (2016)'!$A$3,"MA_HT","DBV","MA_QH","TMD")</f>
        <v>0</v>
      </c>
      <c r="Y32" s="74">
        <f>+GETPIVOTDATA("XBC4",'bauchinh (2016)'!$A$3,"MA_HT","DBV","MA_QH","SKC")</f>
        <v>0</v>
      </c>
      <c r="Z32" s="74">
        <f>+GETPIVOTDATA("XBC4",'bauchinh (2016)'!$A$3,"MA_HT","DBV","MA_QH","SKS")</f>
        <v>0</v>
      </c>
      <c r="AA32" s="64">
        <f>+SUM(AB32:AD32,AF32:AM32)</f>
        <v>0</v>
      </c>
      <c r="AB32" s="74">
        <f>+GETPIVOTDATA("XBC4",'bauchinh (2016)'!$A$3,"MA_HT","DBV","MA_QH","DGT")</f>
        <v>0</v>
      </c>
      <c r="AC32" s="74">
        <f>+GETPIVOTDATA("XBC4",'bauchinh (2016)'!$A$3,"MA_HT","DBV","MA_QH","DTL")</f>
        <v>0</v>
      </c>
      <c r="AD32" s="74">
        <f>+GETPIVOTDATA("XBC4",'bauchinh (2016)'!$A$3,"MA_HT","DBV","MA_QH","DNL")</f>
        <v>0</v>
      </c>
      <c r="AE32" s="100" t="e">
        <f>$D32-$BF32</f>
        <v>#REF!</v>
      </c>
      <c r="AF32" s="74">
        <f>+GETPIVOTDATA("XBC4",'bauchinh (2016)'!$A$3,"MA_HT","DBV","MA_QH","DVH")</f>
        <v>0</v>
      </c>
      <c r="AG32" s="74">
        <f>+GETPIVOTDATA("XBC4",'bauchinh (2016)'!$A$3,"MA_HT","DBV","MA_QH","DYT")</f>
        <v>0</v>
      </c>
      <c r="AH32" s="74">
        <f>+GETPIVOTDATA("XBC4",'bauchinh (2016)'!$A$3,"MA_HT","DBV","MA_QH","DGD")</f>
        <v>0</v>
      </c>
      <c r="AI32" s="74">
        <f>+GETPIVOTDATA("XBC4",'bauchinh (2016)'!$A$3,"MA_HT","DBV","MA_QH","DTT")</f>
        <v>0</v>
      </c>
      <c r="AJ32" s="74">
        <f>+GETPIVOTDATA("XBC4",'bauchinh (2016)'!$A$3,"MA_HT","DBV","MA_QH","NCK")</f>
        <v>0</v>
      </c>
      <c r="AK32" s="74">
        <f>+GETPIVOTDATA("XBC4",'bauchinh (2016)'!$A$3,"MA_HT","DBV","MA_QH","DXH")</f>
        <v>0</v>
      </c>
      <c r="AL32" s="74">
        <f>+GETPIVOTDATA("XBC4",'bauchinh (2016)'!$A$3,"MA_HT","DBV","MA_QH","DCH")</f>
        <v>0</v>
      </c>
      <c r="AM32" s="74">
        <f>+GETPIVOTDATA("XBC4",'bauchinh (2016)'!$A$3,"MA_HT","DBV","MA_QH","DKG")</f>
        <v>0</v>
      </c>
      <c r="AN32" s="74">
        <f>+GETPIVOTDATA("XBC4",'bauchinh (2016)'!$A$3,"MA_HT","DBV","MA_QH","DDT")</f>
        <v>0</v>
      </c>
      <c r="AO32" s="74">
        <f>+GETPIVOTDATA("XBC4",'bauchinh (2016)'!$A$3,"MA_HT","DBV","MA_QH","DDL")</f>
        <v>0</v>
      </c>
      <c r="AP32" s="74">
        <f>+GETPIVOTDATA("XBC4",'bauchinh (2016)'!$A$3,"MA_HT","DBV","MA_QH","DRA")</f>
        <v>0</v>
      </c>
      <c r="AQ32" s="74">
        <f>+GETPIVOTDATA("XBC4",'bauchinh (2016)'!$A$3,"MA_HT","DBV","MA_QH","ONT")</f>
        <v>0</v>
      </c>
      <c r="AR32" s="74">
        <f>+GETPIVOTDATA("XBC4",'bauchinh (2016)'!$A$3,"MA_HT","DBV","MA_QH","ODT")</f>
        <v>0</v>
      </c>
      <c r="AS32" s="74">
        <f>+GETPIVOTDATA("XBC4",'bauchinh (2016)'!$A$3,"MA_HT","DBV","MA_QH","TSC")</f>
        <v>0</v>
      </c>
      <c r="AT32" s="74">
        <f>+GETPIVOTDATA("XBC4",'bauchinh (2016)'!$A$3,"MA_HT","DBV","MA_QH","DTS")</f>
        <v>0</v>
      </c>
      <c r="AU32" s="74">
        <f>+GETPIVOTDATA("XBC4",'bauchinh (2016)'!$A$3,"MA_HT","DBV","MA_QH","DNG")</f>
        <v>0</v>
      </c>
      <c r="AV32" s="74">
        <f>+GETPIVOTDATA("XBC4",'bauchinh (2016)'!$A$3,"MA_HT","DBV","MA_QH","TON")</f>
        <v>0</v>
      </c>
      <c r="AW32" s="74">
        <f>+GETPIVOTDATA("XBC4",'bauchinh (2016)'!$A$3,"MA_HT","DBV","MA_QH","NTD")</f>
        <v>0</v>
      </c>
      <c r="AX32" s="74">
        <f>+GETPIVOTDATA("XBC4",'bauchinh (2016)'!$A$3,"MA_HT","DBV","MA_QH","SKX")</f>
        <v>0</v>
      </c>
      <c r="AY32" s="74">
        <f>+GETPIVOTDATA("XBC4",'bauchinh (2016)'!$A$3,"MA_HT","DBV","MA_QH","DSH")</f>
        <v>0</v>
      </c>
      <c r="AZ32" s="74">
        <f>+GETPIVOTDATA("XBC4",'bauchinh (2016)'!$A$3,"MA_HT","DBV","MA_QH","DKV")</f>
        <v>0</v>
      </c>
      <c r="BA32" s="139">
        <f>+GETPIVOTDATA("XBC4",'bauchinh (2016)'!$A$3,"MA_HT","DBV","MA_QH","TIN")</f>
        <v>0</v>
      </c>
      <c r="BB32" s="74">
        <f>+GETPIVOTDATA("XBC4",'bauchinh (2016)'!$A$3,"MA_HT","DBV","MA_QH","SON")</f>
        <v>0</v>
      </c>
      <c r="BC32" s="74">
        <f>+GETPIVOTDATA("XBC4",'bauchinh (2016)'!$A$3,"MA_HT","DBV","MA_QH","MNC")</f>
        <v>0</v>
      </c>
      <c r="BD32" s="74">
        <f>+GETPIVOTDATA("XBC4",'bauchinh (2016)'!$A$3,"MA_HT","DBV","MA_QH","PNK")</f>
        <v>0</v>
      </c>
      <c r="BE32" s="102">
        <f>+GETPIVOTDATA("XBC4",'bauchinh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+GETPIVOTDATA("XBC4",'bauchinh (2016)'!$A$3,"MA_HT","DVH","MA_QH","LUC")</f>
        <v>0</v>
      </c>
      <c r="H33" s="74">
        <f>+GETPIVOTDATA("XBC4",'bauchinh (2016)'!$A$3,"MA_HT","DVH","MA_QH","LUK")</f>
        <v>0</v>
      </c>
      <c r="I33" s="74">
        <f>+GETPIVOTDATA("XBC4",'bauchinh (2016)'!$A$3,"MA_HT","DVH","MA_QH","LUN")</f>
        <v>0</v>
      </c>
      <c r="J33" s="74">
        <f>+GETPIVOTDATA("XBC4",'bauchinh (2016)'!$A$3,"MA_HT","DVH","MA_QH","HNK")</f>
        <v>0</v>
      </c>
      <c r="K33" s="74">
        <f>+GETPIVOTDATA("XBC4",'bauchinh (2016)'!$A$3,"MA_HT","DVH","MA_QH","CLN")</f>
        <v>0</v>
      </c>
      <c r="L33" s="74">
        <f>+GETPIVOTDATA("XBC4",'bauchinh (2016)'!$A$3,"MA_HT","DVH","MA_QH","RSX")</f>
        <v>0</v>
      </c>
      <c r="M33" s="74">
        <f>+GETPIVOTDATA("XBC4",'bauchinh (2016)'!$A$3,"MA_HT","DVH","MA_QH","RPH")</f>
        <v>0</v>
      </c>
      <c r="N33" s="74">
        <f>+GETPIVOTDATA("XBC4",'bauchinh (2016)'!$A$3,"MA_HT","DVH","MA_QH","RDD")</f>
        <v>0</v>
      </c>
      <c r="O33" s="74">
        <f>+GETPIVOTDATA("XBC4",'bauchinh (2016)'!$A$3,"MA_HT","DVH","MA_QH","NTS")</f>
        <v>0</v>
      </c>
      <c r="P33" s="74">
        <f>+GETPIVOTDATA("XBC4",'bauchinh (2016)'!$A$3,"MA_HT","DVH","MA_QH","LMU")</f>
        <v>0</v>
      </c>
      <c r="Q33" s="74">
        <f>+GETPIVOTDATA("XBC4",'bauchinh (2016)'!$A$3,"MA_HT","DVH","MA_QH","NKH")</f>
        <v>0</v>
      </c>
      <c r="R33" s="72">
        <f t="shared" si="20"/>
        <v>0</v>
      </c>
      <c r="S33" s="74">
        <f>+GETPIVOTDATA("XBC4",'bauchinh (2016)'!$A$3,"MA_HT","DVH","MA_QH","CQP")</f>
        <v>0</v>
      </c>
      <c r="T33" s="74">
        <f>+GETPIVOTDATA("XBC4",'bauchinh (2016)'!$A$3,"MA_HT","DVH","MA_QH","CAN")</f>
        <v>0</v>
      </c>
      <c r="U33" s="74">
        <f>+GETPIVOTDATA("XBC4",'bauchinh (2016)'!$A$3,"MA_HT","DVH","MA_QH","SKK")</f>
        <v>0</v>
      </c>
      <c r="V33" s="74">
        <f>+GETPIVOTDATA("XBC4",'bauchinh (2016)'!$A$3,"MA_HT","DVH","MA_QH","SKT")</f>
        <v>0</v>
      </c>
      <c r="W33" s="74">
        <f>+GETPIVOTDATA("XBC4",'bauchinh (2016)'!$A$3,"MA_HT","DVH","MA_QH","SKN")</f>
        <v>0</v>
      </c>
      <c r="X33" s="74">
        <f>+GETPIVOTDATA("XBC4",'bauchinh (2016)'!$A$3,"MA_HT","DVH","MA_QH","TMD")</f>
        <v>0</v>
      </c>
      <c r="Y33" s="74">
        <f>+GETPIVOTDATA("XBC4",'bauchinh (2016)'!$A$3,"MA_HT","DVH","MA_QH","SKC")</f>
        <v>0</v>
      </c>
      <c r="Z33" s="74">
        <f>+GETPIVOTDATA("XBC4",'bauchinh (2016)'!$A$3,"MA_HT","DVH","MA_QH","SKS")</f>
        <v>0</v>
      </c>
      <c r="AA33" s="64">
        <f>+SUM(AB33:AE33,AG33:AM33)</f>
        <v>0</v>
      </c>
      <c r="AB33" s="74">
        <f>+GETPIVOTDATA("XBC4",'bauchinh (2016)'!$A$3,"MA_HT","DVH","MA_QH","DGT")</f>
        <v>0</v>
      </c>
      <c r="AC33" s="74">
        <f>+GETPIVOTDATA("XBC4",'bauchinh (2016)'!$A$3,"MA_HT","DVH","MA_QH","DTL")</f>
        <v>0</v>
      </c>
      <c r="AD33" s="74">
        <f>+GETPIVOTDATA("XBC4",'bauchinh (2016)'!$A$3,"MA_HT","DVH","MA_QH","DNL")</f>
        <v>0</v>
      </c>
      <c r="AE33" s="74">
        <f>+GETPIVOTDATA("XBC4",'bauchinh (2016)'!$A$3,"MA_HT","DVH","MA_QH","DBV")</f>
        <v>0</v>
      </c>
      <c r="AF33" s="100" t="e">
        <f>$D33-$BF33</f>
        <v>#REF!</v>
      </c>
      <c r="AG33" s="74">
        <f>+GETPIVOTDATA("XBC4",'bauchinh (2016)'!$A$3,"MA_HT","DVH","MA_QH","DYT")</f>
        <v>0</v>
      </c>
      <c r="AH33" s="74">
        <f>+GETPIVOTDATA("XBC4",'bauchinh (2016)'!$A$3,"MA_HT","DVH","MA_QH","DGD")</f>
        <v>0</v>
      </c>
      <c r="AI33" s="74">
        <f>+GETPIVOTDATA("XBC4",'bauchinh (2016)'!$A$3,"MA_HT","DVH","MA_QH","DTT")</f>
        <v>0</v>
      </c>
      <c r="AJ33" s="74">
        <f>+GETPIVOTDATA("XBC4",'bauchinh (2016)'!$A$3,"MA_HT","DVH","MA_QH","NCK")</f>
        <v>0</v>
      </c>
      <c r="AK33" s="74">
        <f>+GETPIVOTDATA("XBC4",'bauchinh (2016)'!$A$3,"MA_HT","DVH","MA_QH","DXH")</f>
        <v>0</v>
      </c>
      <c r="AL33" s="74">
        <f>+GETPIVOTDATA("XBC4",'bauchinh (2016)'!$A$3,"MA_HT","DVH","MA_QH","DCH")</f>
        <v>0</v>
      </c>
      <c r="AM33" s="74">
        <f>+GETPIVOTDATA("XBC4",'bauchinh (2016)'!$A$3,"MA_HT","DVH","MA_QH","DKG")</f>
        <v>0</v>
      </c>
      <c r="AN33" s="74">
        <f>+GETPIVOTDATA("XBC4",'bauchinh (2016)'!$A$3,"MA_HT","DVH","MA_QH","DDT")</f>
        <v>0</v>
      </c>
      <c r="AO33" s="74">
        <f>+GETPIVOTDATA("XBC4",'bauchinh (2016)'!$A$3,"MA_HT","DVH","MA_QH","DDL")</f>
        <v>0</v>
      </c>
      <c r="AP33" s="74">
        <f>+GETPIVOTDATA("XBC4",'bauchinh (2016)'!$A$3,"MA_HT","DVH","MA_QH","DRA")</f>
        <v>0</v>
      </c>
      <c r="AQ33" s="74">
        <f>+GETPIVOTDATA("XBC4",'bauchinh (2016)'!$A$3,"MA_HT","DVH","MA_QH","ONT")</f>
        <v>0</v>
      </c>
      <c r="AR33" s="74">
        <f>+GETPIVOTDATA("XBC4",'bauchinh (2016)'!$A$3,"MA_HT","DVH","MA_QH","ODT")</f>
        <v>0</v>
      </c>
      <c r="AS33" s="74">
        <f>+GETPIVOTDATA("XBC4",'bauchinh (2016)'!$A$3,"MA_HT","DVH","MA_QH","TSC")</f>
        <v>0</v>
      </c>
      <c r="AT33" s="74">
        <f>+GETPIVOTDATA("XBC4",'bauchinh (2016)'!$A$3,"MA_HT","DVH","MA_QH","DTS")</f>
        <v>0</v>
      </c>
      <c r="AU33" s="74">
        <f>+GETPIVOTDATA("XBC4",'bauchinh (2016)'!$A$3,"MA_HT","DVH","MA_QH","DNG")</f>
        <v>0</v>
      </c>
      <c r="AV33" s="74">
        <f>+GETPIVOTDATA("XBC4",'bauchinh (2016)'!$A$3,"MA_HT","DVH","MA_QH","TON")</f>
        <v>0</v>
      </c>
      <c r="AW33" s="74">
        <f>+GETPIVOTDATA("XBC4",'bauchinh (2016)'!$A$3,"MA_HT","DVH","MA_QH","NTD")</f>
        <v>0</v>
      </c>
      <c r="AX33" s="74">
        <f>+GETPIVOTDATA("XBC4",'bauchinh (2016)'!$A$3,"MA_HT","DVH","MA_QH","SKX")</f>
        <v>0</v>
      </c>
      <c r="AY33" s="74">
        <f>+GETPIVOTDATA("XBC4",'bauchinh (2016)'!$A$3,"MA_HT","DVH","MA_QH","DSH")</f>
        <v>0</v>
      </c>
      <c r="AZ33" s="74">
        <f>+GETPIVOTDATA("XBC4",'bauchinh (2016)'!$A$3,"MA_HT","DVH","MA_QH","DKV")</f>
        <v>0</v>
      </c>
      <c r="BA33" s="139">
        <f>+GETPIVOTDATA("XBC4",'bauchinh (2016)'!$A$3,"MA_HT","DVH","MA_QH","TIN")</f>
        <v>0</v>
      </c>
      <c r="BB33" s="74">
        <f>+GETPIVOTDATA("XBC4",'bauchinh (2016)'!$A$3,"MA_HT","DVH","MA_QH","SON")</f>
        <v>0</v>
      </c>
      <c r="BC33" s="74">
        <f>+GETPIVOTDATA("XBC4",'bauchinh (2016)'!$A$3,"MA_HT","DVH","MA_QH","MNC")</f>
        <v>0</v>
      </c>
      <c r="BD33" s="74">
        <f>+GETPIVOTDATA("XBC4",'bauchinh (2016)'!$A$3,"MA_HT","DVH","MA_QH","PNK")</f>
        <v>0</v>
      </c>
      <c r="BE33" s="102">
        <f>+GETPIVOTDATA("XBC4",'bauchinh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+GETPIVOTDATA("XBC4",'bauchinh (2016)'!$A$3,"MA_HT","DYT","MA_QH","LUC")</f>
        <v>0</v>
      </c>
      <c r="H34" s="74">
        <f>+GETPIVOTDATA("XBC4",'bauchinh (2016)'!$A$3,"MA_HT","DYT","MA_QH","LUK")</f>
        <v>0</v>
      </c>
      <c r="I34" s="74">
        <f>+GETPIVOTDATA("XBC4",'bauchinh (2016)'!$A$3,"MA_HT","DYT","MA_QH","LUN")</f>
        <v>0</v>
      </c>
      <c r="J34" s="74">
        <f>+GETPIVOTDATA("XBC4",'bauchinh (2016)'!$A$3,"MA_HT","DYT","MA_QH","HNK")</f>
        <v>0</v>
      </c>
      <c r="K34" s="74">
        <f>+GETPIVOTDATA("XBC4",'bauchinh (2016)'!$A$3,"MA_HT","DYT","MA_QH","CLN")</f>
        <v>0</v>
      </c>
      <c r="L34" s="74">
        <f>+GETPIVOTDATA("XBC4",'bauchinh (2016)'!$A$3,"MA_HT","DYT","MA_QH","RSX")</f>
        <v>0</v>
      </c>
      <c r="M34" s="74">
        <f>+GETPIVOTDATA("XBC4",'bauchinh (2016)'!$A$3,"MA_HT","DYT","MA_QH","RPH")</f>
        <v>0</v>
      </c>
      <c r="N34" s="74">
        <f>+GETPIVOTDATA("XBC4",'bauchinh (2016)'!$A$3,"MA_HT","DYT","MA_QH","RDD")</f>
        <v>0</v>
      </c>
      <c r="O34" s="74">
        <f>+GETPIVOTDATA("XBC4",'bauchinh (2016)'!$A$3,"MA_HT","DYT","MA_QH","NTS")</f>
        <v>0</v>
      </c>
      <c r="P34" s="74">
        <f>+GETPIVOTDATA("XBC4",'bauchinh (2016)'!$A$3,"MA_HT","DYT","MA_QH","LMU")</f>
        <v>0</v>
      </c>
      <c r="Q34" s="74">
        <f>+GETPIVOTDATA("XBC4",'bauchinh (2016)'!$A$3,"MA_HT","DYT","MA_QH","NKH")</f>
        <v>0</v>
      </c>
      <c r="R34" s="72">
        <f t="shared" si="20"/>
        <v>0</v>
      </c>
      <c r="S34" s="74">
        <f>+GETPIVOTDATA("XBC4",'bauchinh (2016)'!$A$3,"MA_HT","DYT","MA_QH","CQP")</f>
        <v>0</v>
      </c>
      <c r="T34" s="74">
        <f>+GETPIVOTDATA("XBC4",'bauchinh (2016)'!$A$3,"MA_HT","DYT","MA_QH","CAN")</f>
        <v>0</v>
      </c>
      <c r="U34" s="74">
        <f>+GETPIVOTDATA("XBC4",'bauchinh (2016)'!$A$3,"MA_HT","DYT","MA_QH","SKK")</f>
        <v>0</v>
      </c>
      <c r="V34" s="74">
        <f>+GETPIVOTDATA("XBC4",'bauchinh (2016)'!$A$3,"MA_HT","DYT","MA_QH","SKT")</f>
        <v>0</v>
      </c>
      <c r="W34" s="74">
        <f>+GETPIVOTDATA("XBC4",'bauchinh (2016)'!$A$3,"MA_HT","DYT","MA_QH","SKN")</f>
        <v>0</v>
      </c>
      <c r="X34" s="74">
        <f>+GETPIVOTDATA("XBC4",'bauchinh (2016)'!$A$3,"MA_HT","DYT","MA_QH","TMD")</f>
        <v>0</v>
      </c>
      <c r="Y34" s="74">
        <f>+GETPIVOTDATA("XBC4",'bauchinh (2016)'!$A$3,"MA_HT","DYT","MA_QH","SKC")</f>
        <v>0</v>
      </c>
      <c r="Z34" s="74">
        <f>+GETPIVOTDATA("XBC4",'bauchinh (2016)'!$A$3,"MA_HT","DYT","MA_QH","SKS")</f>
        <v>0</v>
      </c>
      <c r="AA34" s="64">
        <f>+SUM(AB34:AF34,AH34:AM34)</f>
        <v>0</v>
      </c>
      <c r="AB34" s="74">
        <f>+GETPIVOTDATA("XBC4",'bauchinh (2016)'!$A$3,"MA_HT","DYT","MA_QH","DGT")</f>
        <v>0</v>
      </c>
      <c r="AC34" s="74">
        <f>+GETPIVOTDATA("XBC4",'bauchinh (2016)'!$A$3,"MA_HT","DYT","MA_QH","DTL")</f>
        <v>0</v>
      </c>
      <c r="AD34" s="74">
        <f>+GETPIVOTDATA("XBC4",'bauchinh (2016)'!$A$3,"MA_HT","DYT","MA_QH","DNL")</f>
        <v>0</v>
      </c>
      <c r="AE34" s="74">
        <f>+GETPIVOTDATA("XBC4",'bauchinh (2016)'!$A$3,"MA_HT","DYT","MA_QH","DBV")</f>
        <v>0</v>
      </c>
      <c r="AF34" s="74">
        <f>+GETPIVOTDATA("XBC4",'bauchinh (2016)'!$A$3,"MA_HT","DYT","MA_QH","DVH")</f>
        <v>0</v>
      </c>
      <c r="AG34" s="100" t="e">
        <f>$D34-$BF34</f>
        <v>#REF!</v>
      </c>
      <c r="AH34" s="74">
        <f>+GETPIVOTDATA("XBC4",'bauchinh (2016)'!$A$3,"MA_HT","DYT","MA_QH","DGD")</f>
        <v>0</v>
      </c>
      <c r="AI34" s="74">
        <f>+GETPIVOTDATA("XBC4",'bauchinh (2016)'!$A$3,"MA_HT","DYT","MA_QH","DTT")</f>
        <v>0</v>
      </c>
      <c r="AJ34" s="74">
        <f>+GETPIVOTDATA("XBC4",'bauchinh (2016)'!$A$3,"MA_HT","DYT","MA_QH","NCK")</f>
        <v>0</v>
      </c>
      <c r="AK34" s="74">
        <f>+GETPIVOTDATA("XBC4",'bauchinh (2016)'!$A$3,"MA_HT","DYT","MA_QH","DXH")</f>
        <v>0</v>
      </c>
      <c r="AL34" s="74">
        <f>+GETPIVOTDATA("XBC4",'bauchinh (2016)'!$A$3,"MA_HT","DYT","MA_QH","DCH")</f>
        <v>0</v>
      </c>
      <c r="AM34" s="74">
        <f>+GETPIVOTDATA("XBC4",'bauchinh (2016)'!$A$3,"MA_HT","DYT","MA_QH","DKG")</f>
        <v>0</v>
      </c>
      <c r="AN34" s="74">
        <f>+GETPIVOTDATA("XBC4",'bauchinh (2016)'!$A$3,"MA_HT","DYT","MA_QH","DDT")</f>
        <v>0</v>
      </c>
      <c r="AO34" s="74">
        <f>+GETPIVOTDATA("XBC4",'bauchinh (2016)'!$A$3,"MA_HT","DYT","MA_QH","DDL")</f>
        <v>0</v>
      </c>
      <c r="AP34" s="74">
        <f>+GETPIVOTDATA("XBC4",'bauchinh (2016)'!$A$3,"MA_HT","DYT","MA_QH","DRA")</f>
        <v>0</v>
      </c>
      <c r="AQ34" s="74">
        <f>+GETPIVOTDATA("XBC4",'bauchinh (2016)'!$A$3,"MA_HT","DYT","MA_QH","ONT")</f>
        <v>0</v>
      </c>
      <c r="AR34" s="74">
        <f>+GETPIVOTDATA("XBC4",'bauchinh (2016)'!$A$3,"MA_HT","DYT","MA_QH","ODT")</f>
        <v>0</v>
      </c>
      <c r="AS34" s="74">
        <f>+GETPIVOTDATA("XBC4",'bauchinh (2016)'!$A$3,"MA_HT","DYT","MA_QH","TSC")</f>
        <v>0</v>
      </c>
      <c r="AT34" s="74">
        <f>+GETPIVOTDATA("XBC4",'bauchinh (2016)'!$A$3,"MA_HT","DYT","MA_QH","DTS")</f>
        <v>0</v>
      </c>
      <c r="AU34" s="74">
        <f>+GETPIVOTDATA("XBC4",'bauchinh (2016)'!$A$3,"MA_HT","DYT","MA_QH","DNG")</f>
        <v>0</v>
      </c>
      <c r="AV34" s="74">
        <f>+GETPIVOTDATA("XBC4",'bauchinh (2016)'!$A$3,"MA_HT","DYT","MA_QH","TON")</f>
        <v>0</v>
      </c>
      <c r="AW34" s="74">
        <f>+GETPIVOTDATA("XBC4",'bauchinh (2016)'!$A$3,"MA_HT","DYT","MA_QH","NTD")</f>
        <v>0</v>
      </c>
      <c r="AX34" s="74">
        <f>+GETPIVOTDATA("XBC4",'bauchinh (2016)'!$A$3,"MA_HT","DYT","MA_QH","SKX")</f>
        <v>0</v>
      </c>
      <c r="AY34" s="74">
        <f>+GETPIVOTDATA("XBC4",'bauchinh (2016)'!$A$3,"MA_HT","DYT","MA_QH","DSH")</f>
        <v>0</v>
      </c>
      <c r="AZ34" s="74">
        <f>+GETPIVOTDATA("XBC4",'bauchinh (2016)'!$A$3,"MA_HT","DYT","MA_QH","DKV")</f>
        <v>0</v>
      </c>
      <c r="BA34" s="139">
        <f>+GETPIVOTDATA("XBC4",'bauchinh (2016)'!$A$3,"MA_HT","DYT","MA_QH","TIN")</f>
        <v>0</v>
      </c>
      <c r="BB34" s="74">
        <f>+GETPIVOTDATA("XBC4",'bauchinh (2016)'!$A$3,"MA_HT","DYT","MA_QH","SON")</f>
        <v>0</v>
      </c>
      <c r="BC34" s="74">
        <f>+GETPIVOTDATA("XBC4",'bauchinh (2016)'!$A$3,"MA_HT","DYT","MA_QH","MNC")</f>
        <v>0</v>
      </c>
      <c r="BD34" s="74">
        <f>+GETPIVOTDATA("XBC4",'bauchinh (2016)'!$A$3,"MA_HT","DYT","MA_QH","PNK")</f>
        <v>0</v>
      </c>
      <c r="BE34" s="102">
        <f>+GETPIVOTDATA("XBC4",'bauchinh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+GETPIVOTDATA("XBC4",'bauchinh (2016)'!$A$3,"MA_HT","DGD","MA_QH","LUC")</f>
        <v>0</v>
      </c>
      <c r="H35" s="74">
        <f>+GETPIVOTDATA("XBC4",'bauchinh (2016)'!$A$3,"MA_HT","DGD","MA_QH","LUK")</f>
        <v>0</v>
      </c>
      <c r="I35" s="74">
        <f>+GETPIVOTDATA("XBC4",'bauchinh (2016)'!$A$3,"MA_HT","DGD","MA_QH","LUN")</f>
        <v>0</v>
      </c>
      <c r="J35" s="74">
        <f>+GETPIVOTDATA("XBC4",'bauchinh (2016)'!$A$3,"MA_HT","DGD","MA_QH","HNK")</f>
        <v>0</v>
      </c>
      <c r="K35" s="74">
        <f>+GETPIVOTDATA("XBC4",'bauchinh (2016)'!$A$3,"MA_HT","DGD","MA_QH","CLN")</f>
        <v>0</v>
      </c>
      <c r="L35" s="74">
        <f>+GETPIVOTDATA("XBC4",'bauchinh (2016)'!$A$3,"MA_HT","DGD","MA_QH","RSX")</f>
        <v>0</v>
      </c>
      <c r="M35" s="74">
        <f>+GETPIVOTDATA("XBC4",'bauchinh (2016)'!$A$3,"MA_HT","DGD","MA_QH","RPH")</f>
        <v>0</v>
      </c>
      <c r="N35" s="74">
        <f>+GETPIVOTDATA("XBC4",'bauchinh (2016)'!$A$3,"MA_HT","DGD","MA_QH","RDD")</f>
        <v>0</v>
      </c>
      <c r="O35" s="74">
        <f>+GETPIVOTDATA("XBC4",'bauchinh (2016)'!$A$3,"MA_HT","DGD","MA_QH","NTS")</f>
        <v>0</v>
      </c>
      <c r="P35" s="74">
        <f>+GETPIVOTDATA("XBC4",'bauchinh (2016)'!$A$3,"MA_HT","DGD","MA_QH","LMU")</f>
        <v>0</v>
      </c>
      <c r="Q35" s="74">
        <f>+GETPIVOTDATA("XBC4",'bauchinh (2016)'!$A$3,"MA_HT","DGD","MA_QH","NKH")</f>
        <v>0</v>
      </c>
      <c r="R35" s="72">
        <f t="shared" si="20"/>
        <v>0</v>
      </c>
      <c r="S35" s="74">
        <f>+GETPIVOTDATA("XBC4",'bauchinh (2016)'!$A$3,"MA_HT","DGD","MA_QH","CQP")</f>
        <v>0</v>
      </c>
      <c r="T35" s="74">
        <f>+GETPIVOTDATA("XBC4",'bauchinh (2016)'!$A$3,"MA_HT","DGD","MA_QH","CAN")</f>
        <v>0</v>
      </c>
      <c r="U35" s="74">
        <f>+GETPIVOTDATA("XBC4",'bauchinh (2016)'!$A$3,"MA_HT","DGD","MA_QH","SKK")</f>
        <v>0</v>
      </c>
      <c r="V35" s="74">
        <f>+GETPIVOTDATA("XBC4",'bauchinh (2016)'!$A$3,"MA_HT","DGD","MA_QH","SKT")</f>
        <v>0</v>
      </c>
      <c r="W35" s="74">
        <f>+GETPIVOTDATA("XBC4",'bauchinh (2016)'!$A$3,"MA_HT","DGD","MA_QH","SKN")</f>
        <v>0</v>
      </c>
      <c r="X35" s="74">
        <f>+GETPIVOTDATA("XBC4",'bauchinh (2016)'!$A$3,"MA_HT","DGD","MA_QH","TMD")</f>
        <v>0</v>
      </c>
      <c r="Y35" s="74">
        <f>+GETPIVOTDATA("XBC4",'bauchinh (2016)'!$A$3,"MA_HT","DGD","MA_QH","SKC")</f>
        <v>0</v>
      </c>
      <c r="Z35" s="74">
        <f>+GETPIVOTDATA("XBC4",'bauchinh (2016)'!$A$3,"MA_HT","DGD","MA_QH","SKS")</f>
        <v>0</v>
      </c>
      <c r="AA35" s="64">
        <f>+SUM(AB35:AG35,AI35:AM35)</f>
        <v>0</v>
      </c>
      <c r="AB35" s="74">
        <f>+GETPIVOTDATA("XBC4",'bauchinh (2016)'!$A$3,"MA_HT","DGD","MA_QH","DGT")</f>
        <v>0</v>
      </c>
      <c r="AC35" s="74">
        <f>+GETPIVOTDATA("XBC4",'bauchinh (2016)'!$A$3,"MA_HT","DGD","MA_QH","DTL")</f>
        <v>0</v>
      </c>
      <c r="AD35" s="74">
        <f>+GETPIVOTDATA("XBC4",'bauchinh (2016)'!$A$3,"MA_HT","DGD","MA_QH","DNL")</f>
        <v>0</v>
      </c>
      <c r="AE35" s="74">
        <f>+GETPIVOTDATA("XBC4",'bauchinh (2016)'!$A$3,"MA_HT","DGD","MA_QH","DBV")</f>
        <v>0</v>
      </c>
      <c r="AF35" s="74">
        <f>+GETPIVOTDATA("XBC4",'bauchinh (2016)'!$A$3,"MA_HT","DGD","MA_QH","DVH")</f>
        <v>0</v>
      </c>
      <c r="AG35" s="74">
        <f>+GETPIVOTDATA("XBC4",'bauchinh (2016)'!$A$3,"MA_HT","DGD","MA_QH","DYT")</f>
        <v>0</v>
      </c>
      <c r="AH35" s="100" t="e">
        <f>$D35-$BF35</f>
        <v>#REF!</v>
      </c>
      <c r="AI35" s="74">
        <f>+GETPIVOTDATA("XBC4",'bauchinh (2016)'!$A$3,"MA_HT","DGD","MA_QH","DTT")</f>
        <v>0</v>
      </c>
      <c r="AJ35" s="74">
        <f>+GETPIVOTDATA("XBC4",'bauchinh (2016)'!$A$3,"MA_HT","DGD","MA_QH","NCK")</f>
        <v>0</v>
      </c>
      <c r="AK35" s="74">
        <f>+GETPIVOTDATA("XBC4",'bauchinh (2016)'!$A$3,"MA_HT","DGD","MA_QH","DXH")</f>
        <v>0</v>
      </c>
      <c r="AL35" s="74">
        <f>+GETPIVOTDATA("XBC4",'bauchinh (2016)'!$A$3,"MA_HT","DGD","MA_QH","DCH")</f>
        <v>0</v>
      </c>
      <c r="AM35" s="74">
        <f>+GETPIVOTDATA("XBC4",'bauchinh (2016)'!$A$3,"MA_HT","DGD","MA_QH","DKG")</f>
        <v>0</v>
      </c>
      <c r="AN35" s="74">
        <f>+GETPIVOTDATA("XBC4",'bauchinh (2016)'!$A$3,"MA_HT","DGD","MA_QH","DDT")</f>
        <v>0</v>
      </c>
      <c r="AO35" s="74">
        <f>+GETPIVOTDATA("XBC4",'bauchinh (2016)'!$A$3,"MA_HT","DGD","MA_QH","DDL")</f>
        <v>0</v>
      </c>
      <c r="AP35" s="74">
        <f>+GETPIVOTDATA("XBC4",'bauchinh (2016)'!$A$3,"MA_HT","DGD","MA_QH","DRA")</f>
        <v>0</v>
      </c>
      <c r="AQ35" s="74">
        <f>+GETPIVOTDATA("XBC4",'bauchinh (2016)'!$A$3,"MA_HT","DGD","MA_QH","ONT")</f>
        <v>0</v>
      </c>
      <c r="AR35" s="74">
        <f>+GETPIVOTDATA("XBC4",'bauchinh (2016)'!$A$3,"MA_HT","DGD","MA_QH","ODT")</f>
        <v>0</v>
      </c>
      <c r="AS35" s="74">
        <f>+GETPIVOTDATA("XBC4",'bauchinh (2016)'!$A$3,"MA_HT","DGD","MA_QH","TSC")</f>
        <v>0</v>
      </c>
      <c r="AT35" s="74">
        <f>+GETPIVOTDATA("XBC4",'bauchinh (2016)'!$A$3,"MA_HT","DGD","MA_QH","DTS")</f>
        <v>0</v>
      </c>
      <c r="AU35" s="74">
        <f>+GETPIVOTDATA("XBC4",'bauchinh (2016)'!$A$3,"MA_HT","DGD","MA_QH","DNG")</f>
        <v>0</v>
      </c>
      <c r="AV35" s="74">
        <f>+GETPIVOTDATA("XBC4",'bauchinh (2016)'!$A$3,"MA_HT","DGD","MA_QH","TON")</f>
        <v>0</v>
      </c>
      <c r="AW35" s="74">
        <f>+GETPIVOTDATA("XBC4",'bauchinh (2016)'!$A$3,"MA_HT","DGD","MA_QH","NTD")</f>
        <v>0</v>
      </c>
      <c r="AX35" s="74">
        <f>+GETPIVOTDATA("XBC4",'bauchinh (2016)'!$A$3,"MA_HT","DGD","MA_QH","SKX")</f>
        <v>0</v>
      </c>
      <c r="AY35" s="74">
        <f>+GETPIVOTDATA("XBC4",'bauchinh (2016)'!$A$3,"MA_HT","DGD","MA_QH","DSH")</f>
        <v>0</v>
      </c>
      <c r="AZ35" s="74">
        <f>+GETPIVOTDATA("XBC4",'bauchinh (2016)'!$A$3,"MA_HT","DGD","MA_QH","DKV")</f>
        <v>0</v>
      </c>
      <c r="BA35" s="139">
        <f>+GETPIVOTDATA("XBC4",'bauchinh (2016)'!$A$3,"MA_HT","DGD","MA_QH","TIN")</f>
        <v>0</v>
      </c>
      <c r="BB35" s="74">
        <f>+GETPIVOTDATA("XBC4",'bauchinh (2016)'!$A$3,"MA_HT","DGD","MA_QH","SON")</f>
        <v>0</v>
      </c>
      <c r="BC35" s="74">
        <f>+GETPIVOTDATA("XBC4",'bauchinh (2016)'!$A$3,"MA_HT","DGD","MA_QH","MNC")</f>
        <v>0</v>
      </c>
      <c r="BD35" s="74">
        <f>+GETPIVOTDATA("XBC4",'bauchinh (2016)'!$A$3,"MA_HT","DGD","MA_QH","PNK")</f>
        <v>0</v>
      </c>
      <c r="BE35" s="102">
        <f>+GETPIVOTDATA("XBC4",'bauchinh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+GETPIVOTDATA("XBC4",'bauchinh (2016)'!$A$3,"MA_HT","DTT","MA_QH","LUC")</f>
        <v>0</v>
      </c>
      <c r="H36" s="74">
        <f>+GETPIVOTDATA("XBC4",'bauchinh (2016)'!$A$3,"MA_HT","DTT","MA_QH","LUK")</f>
        <v>0</v>
      </c>
      <c r="I36" s="74">
        <f>+GETPIVOTDATA("XBC4",'bauchinh (2016)'!$A$3,"MA_HT","DTT","MA_QH","LUN")</f>
        <v>0</v>
      </c>
      <c r="J36" s="74">
        <f>+GETPIVOTDATA("XBC4",'bauchinh (2016)'!$A$3,"MA_HT","DTT","MA_QH","HNK")</f>
        <v>0</v>
      </c>
      <c r="K36" s="74">
        <f>+GETPIVOTDATA("XBC4",'bauchinh (2016)'!$A$3,"MA_HT","DTT","MA_QH","CLN")</f>
        <v>0</v>
      </c>
      <c r="L36" s="74">
        <f>+GETPIVOTDATA("XBC4",'bauchinh (2016)'!$A$3,"MA_HT","DTT","MA_QH","RSX")</f>
        <v>0</v>
      </c>
      <c r="M36" s="74">
        <f>+GETPIVOTDATA("XBC4",'bauchinh (2016)'!$A$3,"MA_HT","DTT","MA_QH","RPH")</f>
        <v>0</v>
      </c>
      <c r="N36" s="74">
        <f>+GETPIVOTDATA("XBC4",'bauchinh (2016)'!$A$3,"MA_HT","DTT","MA_QH","RDD")</f>
        <v>0</v>
      </c>
      <c r="O36" s="74">
        <f>+GETPIVOTDATA("XBC4",'bauchinh (2016)'!$A$3,"MA_HT","DTT","MA_QH","NTS")</f>
        <v>0</v>
      </c>
      <c r="P36" s="74">
        <f>+GETPIVOTDATA("XBC4",'bauchinh (2016)'!$A$3,"MA_HT","DTT","MA_QH","LMU")</f>
        <v>0</v>
      </c>
      <c r="Q36" s="74">
        <f>+GETPIVOTDATA("XBC4",'bauchinh (2016)'!$A$3,"MA_HT","DTT","MA_QH","NKH")</f>
        <v>0</v>
      </c>
      <c r="R36" s="72">
        <f>SUM(S36:AA36,AN36:BD36)</f>
        <v>0</v>
      </c>
      <c r="S36" s="74">
        <f>+GETPIVOTDATA("XBC4",'bauchinh (2016)'!$A$3,"MA_HT","DTT","MA_QH","CQP")</f>
        <v>0</v>
      </c>
      <c r="T36" s="74">
        <f>+GETPIVOTDATA("XBC4",'bauchinh (2016)'!$A$3,"MA_HT","DTT","MA_QH","CAN")</f>
        <v>0</v>
      </c>
      <c r="U36" s="74">
        <f>+GETPIVOTDATA("XBC4",'bauchinh (2016)'!$A$3,"MA_HT","DTT","MA_QH","SKK")</f>
        <v>0</v>
      </c>
      <c r="V36" s="74">
        <f>+GETPIVOTDATA("XBC4",'bauchinh (2016)'!$A$3,"MA_HT","DTT","MA_QH","SKT")</f>
        <v>0</v>
      </c>
      <c r="W36" s="74">
        <f>+GETPIVOTDATA("XBC4",'bauchinh (2016)'!$A$3,"MA_HT","DTT","MA_QH","SKN")</f>
        <v>0</v>
      </c>
      <c r="X36" s="74">
        <f>+GETPIVOTDATA("XBC4",'bauchinh (2016)'!$A$3,"MA_HT","DTT","MA_QH","TMD")</f>
        <v>0</v>
      </c>
      <c r="Y36" s="74">
        <f>+GETPIVOTDATA("XBC4",'bauchinh (2016)'!$A$3,"MA_HT","DTT","MA_QH","SKC")</f>
        <v>0</v>
      </c>
      <c r="Z36" s="74">
        <f>+GETPIVOTDATA("XBC4",'bauchinh (2016)'!$A$3,"MA_HT","DTT","MA_QH","SKS")</f>
        <v>0</v>
      </c>
      <c r="AA36" s="64">
        <f>+SUM(AB36:AH36,AJ36:AM36)</f>
        <v>0</v>
      </c>
      <c r="AB36" s="74">
        <f>+GETPIVOTDATA("XBC4",'bauchinh (2016)'!$A$3,"MA_HT","DTT","MA_QH","DGT")</f>
        <v>0</v>
      </c>
      <c r="AC36" s="74">
        <f>+GETPIVOTDATA("XBC4",'bauchinh (2016)'!$A$3,"MA_HT","DTT","MA_QH","DTL")</f>
        <v>0</v>
      </c>
      <c r="AD36" s="74">
        <f>+GETPIVOTDATA("XBC4",'bauchinh (2016)'!$A$3,"MA_HT","DTT","MA_QH","DNL")</f>
        <v>0</v>
      </c>
      <c r="AE36" s="74">
        <f>+GETPIVOTDATA("XBC4",'bauchinh (2016)'!$A$3,"MA_HT","DTT","MA_QH","DBV")</f>
        <v>0</v>
      </c>
      <c r="AF36" s="74">
        <f>+GETPIVOTDATA("XBC4",'bauchinh (2016)'!$A$3,"MA_HT","DTT","MA_QH","DVH")</f>
        <v>0</v>
      </c>
      <c r="AG36" s="74">
        <f>+GETPIVOTDATA("XBC4",'bauchinh (2016)'!$A$3,"MA_HT","DTT","MA_QH","DYT")</f>
        <v>0</v>
      </c>
      <c r="AH36" s="74">
        <f>+GETPIVOTDATA("XBC4",'bauchinh (2016)'!$A$3,"MA_HT","DTT","MA_QH","DGD")</f>
        <v>0</v>
      </c>
      <c r="AI36" s="100" t="e">
        <f>$D36-$BF36</f>
        <v>#REF!</v>
      </c>
      <c r="AJ36" s="74">
        <f>+GETPIVOTDATA("XBC4",'bauchinh (2016)'!$A$3,"MA_HT","DTT","MA_QH","NCK")</f>
        <v>0</v>
      </c>
      <c r="AK36" s="74">
        <f>+GETPIVOTDATA("XBC4",'bauchinh (2016)'!$A$3,"MA_HT","DTT","MA_QH","DXH")</f>
        <v>0</v>
      </c>
      <c r="AL36" s="74">
        <f>+GETPIVOTDATA("XBC4",'bauchinh (2016)'!$A$3,"MA_HT","DTT","MA_QH","DCH")</f>
        <v>0</v>
      </c>
      <c r="AM36" s="74">
        <f>+GETPIVOTDATA("XBC4",'bauchinh (2016)'!$A$3,"MA_HT","DTT","MA_QH","DKG")</f>
        <v>0</v>
      </c>
      <c r="AN36" s="74">
        <f>+GETPIVOTDATA("XBC4",'bauchinh (2016)'!$A$3,"MA_HT","DTT","MA_QH","DDT")</f>
        <v>0</v>
      </c>
      <c r="AO36" s="74">
        <f>+GETPIVOTDATA("XBC4",'bauchinh (2016)'!$A$3,"MA_HT","DTT","MA_QH","DDL")</f>
        <v>0</v>
      </c>
      <c r="AP36" s="74">
        <f>+GETPIVOTDATA("XBC4",'bauchinh (2016)'!$A$3,"MA_HT","DTT","MA_QH","DRA")</f>
        <v>0</v>
      </c>
      <c r="AQ36" s="74">
        <f>+GETPIVOTDATA("XBC4",'bauchinh (2016)'!$A$3,"MA_HT","DTT","MA_QH","ONT")</f>
        <v>0</v>
      </c>
      <c r="AR36" s="74">
        <f>+GETPIVOTDATA("XBC4",'bauchinh (2016)'!$A$3,"MA_HT","DTT","MA_QH","ODT")</f>
        <v>0</v>
      </c>
      <c r="AS36" s="74">
        <f>+GETPIVOTDATA("XBC4",'bauchinh (2016)'!$A$3,"MA_HT","DTT","MA_QH","TSC")</f>
        <v>0</v>
      </c>
      <c r="AT36" s="74">
        <f>+GETPIVOTDATA("XBC4",'bauchinh (2016)'!$A$3,"MA_HT","DTT","MA_QH","DTS")</f>
        <v>0</v>
      </c>
      <c r="AU36" s="74">
        <f>+GETPIVOTDATA("XBC4",'bauchinh (2016)'!$A$3,"MA_HT","DTT","MA_QH","DNG")</f>
        <v>0</v>
      </c>
      <c r="AV36" s="74">
        <f>+GETPIVOTDATA("XBC4",'bauchinh (2016)'!$A$3,"MA_HT","DTT","MA_QH","TON")</f>
        <v>0</v>
      </c>
      <c r="AW36" s="74">
        <f>+GETPIVOTDATA("XBC4",'bauchinh (2016)'!$A$3,"MA_HT","DTT","MA_QH","NTD")</f>
        <v>0</v>
      </c>
      <c r="AX36" s="74">
        <f>+GETPIVOTDATA("XBC4",'bauchinh (2016)'!$A$3,"MA_HT","DTT","MA_QH","SKX")</f>
        <v>0</v>
      </c>
      <c r="AY36" s="74">
        <f>+GETPIVOTDATA("XBC4",'bauchinh (2016)'!$A$3,"MA_HT","DTT","MA_QH","DSH")</f>
        <v>0</v>
      </c>
      <c r="AZ36" s="74">
        <f>+GETPIVOTDATA("XBC4",'bauchinh (2016)'!$A$3,"MA_HT","DTT","MA_QH","DKV")</f>
        <v>0</v>
      </c>
      <c r="BA36" s="139">
        <f>+GETPIVOTDATA("XBC4",'bauchinh (2016)'!$A$3,"MA_HT","DTT","MA_QH","TIN")</f>
        <v>0</v>
      </c>
      <c r="BB36" s="74">
        <f>+GETPIVOTDATA("XBC4",'bauchinh (2016)'!$A$3,"MA_HT","DTT","MA_QH","SON")</f>
        <v>0</v>
      </c>
      <c r="BC36" s="74">
        <f>+GETPIVOTDATA("XBC4",'bauchinh (2016)'!$A$3,"MA_HT","DTT","MA_QH","MNC")</f>
        <v>0</v>
      </c>
      <c r="BD36" s="74">
        <f>+GETPIVOTDATA("XBC4",'bauchinh (2016)'!$A$3,"MA_HT","DTT","MA_QH","PNK")</f>
        <v>0</v>
      </c>
      <c r="BE36" s="102">
        <f>+GETPIVOTDATA("XBC4",'bauchinh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+GETPIVOTDATA("XBC4",'bauchinh (2016)'!$A$3,"MA_HT","NCK","MA_QH","LUC")</f>
        <v>0</v>
      </c>
      <c r="H37" s="74">
        <f>+GETPIVOTDATA("XBC4",'bauchinh (2016)'!$A$3,"MA_HT","NCK","MA_QH","LUK")</f>
        <v>0</v>
      </c>
      <c r="I37" s="74">
        <f>+GETPIVOTDATA("XBC4",'bauchinh (2016)'!$A$3,"MA_HT","NCK","MA_QH","LUN")</f>
        <v>0</v>
      </c>
      <c r="J37" s="74">
        <f>+GETPIVOTDATA("XBC4",'bauchinh (2016)'!$A$3,"MA_HT","NCK","MA_QH","HNK")</f>
        <v>0</v>
      </c>
      <c r="K37" s="74">
        <f>+GETPIVOTDATA("XBC4",'bauchinh (2016)'!$A$3,"MA_HT","NCK","MA_QH","CLN")</f>
        <v>0</v>
      </c>
      <c r="L37" s="74">
        <f>+GETPIVOTDATA("XBC4",'bauchinh (2016)'!$A$3,"MA_HT","NCK","MA_QH","RSX")</f>
        <v>0</v>
      </c>
      <c r="M37" s="74">
        <f>+GETPIVOTDATA("XBC4",'bauchinh (2016)'!$A$3,"MA_HT","NCK","MA_QH","RPH")</f>
        <v>0</v>
      </c>
      <c r="N37" s="74">
        <f>+GETPIVOTDATA("XBC4",'bauchinh (2016)'!$A$3,"MA_HT","NCK","MA_QH","RDD")</f>
        <v>0</v>
      </c>
      <c r="O37" s="74">
        <f>+GETPIVOTDATA("XBC4",'bauchinh (2016)'!$A$3,"MA_HT","NCK","MA_QH","NTS")</f>
        <v>0</v>
      </c>
      <c r="P37" s="74">
        <f>+GETPIVOTDATA("XBC4",'bauchinh (2016)'!$A$3,"MA_HT","NCK","MA_QH","LMU")</f>
        <v>0</v>
      </c>
      <c r="Q37" s="74">
        <f>+GETPIVOTDATA("XBC4",'bauchinh (2016)'!$A$3,"MA_HT","NCK","MA_QH","NKH")</f>
        <v>0</v>
      </c>
      <c r="R37" s="72">
        <f t="shared" si="20"/>
        <v>0</v>
      </c>
      <c r="S37" s="74">
        <f>+GETPIVOTDATA("XBC4",'bauchinh (2016)'!$A$3,"MA_HT","NCK","MA_QH","CQP")</f>
        <v>0</v>
      </c>
      <c r="T37" s="74">
        <f>+GETPIVOTDATA("XBC4",'bauchinh (2016)'!$A$3,"MA_HT","NCK","MA_QH","CAN")</f>
        <v>0</v>
      </c>
      <c r="U37" s="74">
        <f>+GETPIVOTDATA("XBC4",'bauchinh (2016)'!$A$3,"MA_HT","NCK","MA_QH","SKK")</f>
        <v>0</v>
      </c>
      <c r="V37" s="74">
        <f>+GETPIVOTDATA("XBC4",'bauchinh (2016)'!$A$3,"MA_HT","NCK","MA_QH","SKT")</f>
        <v>0</v>
      </c>
      <c r="W37" s="74">
        <f>+GETPIVOTDATA("XBC4",'bauchinh (2016)'!$A$3,"MA_HT","NCK","MA_QH","SKN")</f>
        <v>0</v>
      </c>
      <c r="X37" s="74">
        <f>+GETPIVOTDATA("XBC4",'bauchinh (2016)'!$A$3,"MA_HT","NCK","MA_QH","TMD")</f>
        <v>0</v>
      </c>
      <c r="Y37" s="74">
        <f>+GETPIVOTDATA("XBC4",'bauchinh (2016)'!$A$3,"MA_HT","NCK","MA_QH","SKC")</f>
        <v>0</v>
      </c>
      <c r="Z37" s="74">
        <f>+GETPIVOTDATA("XBC4",'bauchinh (2016)'!$A$3,"MA_HT","NCK","MA_QH","SKS")</f>
        <v>0</v>
      </c>
      <c r="AA37" s="64">
        <f>+SUM(AB37:AI37,AK37:AM37)</f>
        <v>0</v>
      </c>
      <c r="AB37" s="74">
        <f>+GETPIVOTDATA("XBC4",'bauchinh (2016)'!$A$3,"MA_HT","NCK","MA_QH","DGT")</f>
        <v>0</v>
      </c>
      <c r="AC37" s="74">
        <f>+GETPIVOTDATA("XBC4",'bauchinh (2016)'!$A$3,"MA_HT","NCK","MA_QH","DTL")</f>
        <v>0</v>
      </c>
      <c r="AD37" s="74">
        <f>+GETPIVOTDATA("XBC4",'bauchinh (2016)'!$A$3,"MA_HT","NCK","MA_QH","DNL")</f>
        <v>0</v>
      </c>
      <c r="AE37" s="74">
        <f>+GETPIVOTDATA("XBC4",'bauchinh (2016)'!$A$3,"MA_HT","NCK","MA_QH","DBV")</f>
        <v>0</v>
      </c>
      <c r="AF37" s="74">
        <f>+GETPIVOTDATA("XBC4",'bauchinh (2016)'!$A$3,"MA_HT","NCK","MA_QH","DVH")</f>
        <v>0</v>
      </c>
      <c r="AG37" s="74">
        <f>+GETPIVOTDATA("XBC4",'bauchinh (2016)'!$A$3,"MA_HT","NCK","MA_QH","DYT")</f>
        <v>0</v>
      </c>
      <c r="AH37" s="74">
        <f>+GETPIVOTDATA("XBC4",'bauchinh (2016)'!$A$3,"MA_HT","NCK","MA_QH","DGD")</f>
        <v>0</v>
      </c>
      <c r="AI37" s="74">
        <f>+GETPIVOTDATA("XBC4",'bauchinh (2016)'!$A$3,"MA_HT","NCK","MA_QH","DTT")</f>
        <v>0</v>
      </c>
      <c r="AJ37" s="100" t="e">
        <f>$D37-$BF37</f>
        <v>#REF!</v>
      </c>
      <c r="AK37" s="74">
        <f>+GETPIVOTDATA("XBC4",'bauchinh (2016)'!$A$3,"MA_HT","NCK","MA_QH","DXH")</f>
        <v>0</v>
      </c>
      <c r="AL37" s="74">
        <f>+GETPIVOTDATA("XBC4",'bauchinh (2016)'!$A$3,"MA_HT","NCK","MA_QH","DCH")</f>
        <v>0</v>
      </c>
      <c r="AM37" s="74">
        <f>+GETPIVOTDATA("XBC4",'bauchinh (2016)'!$A$3,"MA_HT","NCK","MA_QH","DKG")</f>
        <v>0</v>
      </c>
      <c r="AN37" s="74">
        <f>+GETPIVOTDATA("XBC4",'bauchinh (2016)'!$A$3,"MA_HT","NCK","MA_QH","DDT")</f>
        <v>0</v>
      </c>
      <c r="AO37" s="74">
        <f>+GETPIVOTDATA("XBC4",'bauchinh (2016)'!$A$3,"MA_HT","NCK","MA_QH","DDL")</f>
        <v>0</v>
      </c>
      <c r="AP37" s="74">
        <f>+GETPIVOTDATA("XBC4",'bauchinh (2016)'!$A$3,"MA_HT","NCK","MA_QH","DRA")</f>
        <v>0</v>
      </c>
      <c r="AQ37" s="74">
        <f>+GETPIVOTDATA("XBC4",'bauchinh (2016)'!$A$3,"MA_HT","NCK","MA_QH","ONT")</f>
        <v>0</v>
      </c>
      <c r="AR37" s="74">
        <f>+GETPIVOTDATA("XBC4",'bauchinh (2016)'!$A$3,"MA_HT","NCK","MA_QH","ODT")</f>
        <v>0</v>
      </c>
      <c r="AS37" s="74">
        <f>+GETPIVOTDATA("XBC4",'bauchinh (2016)'!$A$3,"MA_HT","NCK","MA_QH","TSC")</f>
        <v>0</v>
      </c>
      <c r="AT37" s="74">
        <f>+GETPIVOTDATA("XBC4",'bauchinh (2016)'!$A$3,"MA_HT","NCK","MA_QH","DTS")</f>
        <v>0</v>
      </c>
      <c r="AU37" s="74">
        <f>+GETPIVOTDATA("XBC4",'bauchinh (2016)'!$A$3,"MA_HT","NCK","MA_QH","DNG")</f>
        <v>0</v>
      </c>
      <c r="AV37" s="74">
        <f>+GETPIVOTDATA("XBC4",'bauchinh (2016)'!$A$3,"MA_HT","NCK","MA_QH","TON")</f>
        <v>0</v>
      </c>
      <c r="AW37" s="74">
        <f>+GETPIVOTDATA("XBC4",'bauchinh (2016)'!$A$3,"MA_HT","NCK","MA_QH","NTD")</f>
        <v>0</v>
      </c>
      <c r="AX37" s="74">
        <f>+GETPIVOTDATA("XBC4",'bauchinh (2016)'!$A$3,"MA_HT","NCK","MA_QH","SKX")</f>
        <v>0</v>
      </c>
      <c r="AY37" s="74">
        <f>+GETPIVOTDATA("XBC4",'bauchinh (2016)'!$A$3,"MA_HT","NCK","MA_QH","DSH")</f>
        <v>0</v>
      </c>
      <c r="AZ37" s="74">
        <f>+GETPIVOTDATA("XBC4",'bauchinh (2016)'!$A$3,"MA_HT","NCK","MA_QH","DKV")</f>
        <v>0</v>
      </c>
      <c r="BA37" s="139">
        <f>+GETPIVOTDATA("XBC4",'bauchinh (2016)'!$A$3,"MA_HT","NCK","MA_QH","TIN")</f>
        <v>0</v>
      </c>
      <c r="BB37" s="74">
        <f>+GETPIVOTDATA("XBC4",'bauchinh (2016)'!$A$3,"MA_HT","NCK","MA_QH","SON")</f>
        <v>0</v>
      </c>
      <c r="BC37" s="74">
        <f>+GETPIVOTDATA("XBC4",'bauchinh (2016)'!$A$3,"MA_HT","NCK","MA_QH","MNC")</f>
        <v>0</v>
      </c>
      <c r="BD37" s="74">
        <f>+GETPIVOTDATA("XBC4",'bauchinh (2016)'!$A$3,"MA_HT","NCK","MA_QH","PNK")</f>
        <v>0</v>
      </c>
      <c r="BE37" s="102">
        <f>+GETPIVOTDATA("XBC4",'bauchinh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+GETPIVOTDATA("XBC4",'bauchinh (2016)'!$A$3,"MA_HT","DXH","MA_QH","LUC")</f>
        <v>0</v>
      </c>
      <c r="H38" s="74">
        <f>+GETPIVOTDATA("XBC4",'bauchinh (2016)'!$A$3,"MA_HT","DXH","MA_QH","LUK")</f>
        <v>0</v>
      </c>
      <c r="I38" s="74">
        <f>+GETPIVOTDATA("XBC4",'bauchinh (2016)'!$A$3,"MA_HT","DXH","MA_QH","LUN")</f>
        <v>0</v>
      </c>
      <c r="J38" s="74">
        <f>+GETPIVOTDATA("XBC4",'bauchinh (2016)'!$A$3,"MA_HT","DXH","MA_QH","HNK")</f>
        <v>0</v>
      </c>
      <c r="K38" s="74">
        <f>+GETPIVOTDATA("XBC4",'bauchinh (2016)'!$A$3,"MA_HT","DXH","MA_QH","CLN")</f>
        <v>0</v>
      </c>
      <c r="L38" s="74">
        <f>+GETPIVOTDATA("XBC4",'bauchinh (2016)'!$A$3,"MA_HT","DXH","MA_QH","RSX")</f>
        <v>0</v>
      </c>
      <c r="M38" s="74">
        <f>+GETPIVOTDATA("XBC4",'bauchinh (2016)'!$A$3,"MA_HT","DXH","MA_QH","RPH")</f>
        <v>0</v>
      </c>
      <c r="N38" s="74">
        <f>+GETPIVOTDATA("XBC4",'bauchinh (2016)'!$A$3,"MA_HT","DXH","MA_QH","RDD")</f>
        <v>0</v>
      </c>
      <c r="O38" s="74">
        <f>+GETPIVOTDATA("XBC4",'bauchinh (2016)'!$A$3,"MA_HT","DXH","MA_QH","NTS")</f>
        <v>0</v>
      </c>
      <c r="P38" s="74">
        <f>+GETPIVOTDATA("XBC4",'bauchinh (2016)'!$A$3,"MA_HT","DXH","MA_QH","LMU")</f>
        <v>0</v>
      </c>
      <c r="Q38" s="74">
        <f>+GETPIVOTDATA("XBC4",'bauchinh (2016)'!$A$3,"MA_HT","DXH","MA_QH","NKH")</f>
        <v>0</v>
      </c>
      <c r="R38" s="72">
        <f t="shared" si="20"/>
        <v>0</v>
      </c>
      <c r="S38" s="74">
        <f>+GETPIVOTDATA("XBC4",'bauchinh (2016)'!$A$3,"MA_HT","DXH","MA_QH","CQP")</f>
        <v>0</v>
      </c>
      <c r="T38" s="74">
        <f>+GETPIVOTDATA("XBC4",'bauchinh (2016)'!$A$3,"MA_HT","DXH","MA_QH","CAN")</f>
        <v>0</v>
      </c>
      <c r="U38" s="74">
        <f>+GETPIVOTDATA("XBC4",'bauchinh (2016)'!$A$3,"MA_HT","DXH","MA_QH","SKK")</f>
        <v>0</v>
      </c>
      <c r="V38" s="74">
        <f>+GETPIVOTDATA("XBC4",'bauchinh (2016)'!$A$3,"MA_HT","DXH","MA_QH","SKT")</f>
        <v>0</v>
      </c>
      <c r="W38" s="74">
        <f>+GETPIVOTDATA("XBC4",'bauchinh (2016)'!$A$3,"MA_HT","DXH","MA_QH","SKN")</f>
        <v>0</v>
      </c>
      <c r="X38" s="74">
        <f>+GETPIVOTDATA("XBC4",'bauchinh (2016)'!$A$3,"MA_HT","DXH","MA_QH","TMD")</f>
        <v>0</v>
      </c>
      <c r="Y38" s="74">
        <f>+GETPIVOTDATA("XBC4",'bauchinh (2016)'!$A$3,"MA_HT","DXH","MA_QH","SKC")</f>
        <v>0</v>
      </c>
      <c r="Z38" s="74">
        <f>+GETPIVOTDATA("XBC4",'bauchinh (2016)'!$A$3,"MA_HT","DXH","MA_QH","SKS")</f>
        <v>0</v>
      </c>
      <c r="AA38" s="64">
        <f>+SUM(AB38:AJ38,AL38:AM38)</f>
        <v>0</v>
      </c>
      <c r="AB38" s="74">
        <f>+GETPIVOTDATA("XBC4",'bauchinh (2016)'!$A$3,"MA_HT","DXH","MA_QH","DGT")</f>
        <v>0</v>
      </c>
      <c r="AC38" s="74">
        <f>+GETPIVOTDATA("XBC4",'bauchinh (2016)'!$A$3,"MA_HT","DXH","MA_QH","DTL")</f>
        <v>0</v>
      </c>
      <c r="AD38" s="74">
        <f>+GETPIVOTDATA("XBC4",'bauchinh (2016)'!$A$3,"MA_HT","DXH","MA_QH","DNL")</f>
        <v>0</v>
      </c>
      <c r="AE38" s="74">
        <f>+GETPIVOTDATA("XBC4",'bauchinh (2016)'!$A$3,"MA_HT","DXH","MA_QH","DBV")</f>
        <v>0</v>
      </c>
      <c r="AF38" s="74">
        <f>+GETPIVOTDATA("XBC4",'bauchinh (2016)'!$A$3,"MA_HT","DXH","MA_QH","DVH")</f>
        <v>0</v>
      </c>
      <c r="AG38" s="74">
        <f>+GETPIVOTDATA("XBC4",'bauchinh (2016)'!$A$3,"MA_HT","DXH","MA_QH","DYT")</f>
        <v>0</v>
      </c>
      <c r="AH38" s="74">
        <f>+GETPIVOTDATA("XBC4",'bauchinh (2016)'!$A$3,"MA_HT","DXH","MA_QH","DGD")</f>
        <v>0</v>
      </c>
      <c r="AI38" s="74">
        <f>+GETPIVOTDATA("XBC4",'bauchinh (2016)'!$A$3,"MA_HT","DXH","MA_QH","DTT")</f>
        <v>0</v>
      </c>
      <c r="AJ38" s="74">
        <f>+GETPIVOTDATA("XBC4",'bauchinh (2016)'!$A$3,"MA_HT","DXH","MA_QH","NCK")</f>
        <v>0</v>
      </c>
      <c r="AK38" s="100" t="e">
        <f>$D38-$BF38</f>
        <v>#REF!</v>
      </c>
      <c r="AL38" s="74">
        <f>+GETPIVOTDATA("XBC4",'bauchinh (2016)'!$A$3,"MA_HT","DXH","MA_QH","DCH")</f>
        <v>0</v>
      </c>
      <c r="AM38" s="74">
        <f>+GETPIVOTDATA("XBC4",'bauchinh (2016)'!$A$3,"MA_HT","DXH","MA_QH","DKG")</f>
        <v>0</v>
      </c>
      <c r="AN38" s="74">
        <f>+GETPIVOTDATA("XBC4",'bauchinh (2016)'!$A$3,"MA_HT","DXH","MA_QH","DDT")</f>
        <v>0</v>
      </c>
      <c r="AO38" s="74">
        <f>+GETPIVOTDATA("XBC4",'bauchinh (2016)'!$A$3,"MA_HT","DXH","MA_QH","DDL")</f>
        <v>0</v>
      </c>
      <c r="AP38" s="74">
        <f>+GETPIVOTDATA("XBC4",'bauchinh (2016)'!$A$3,"MA_HT","DXH","MA_QH","DRA")</f>
        <v>0</v>
      </c>
      <c r="AQ38" s="74">
        <f>+GETPIVOTDATA("XBC4",'bauchinh (2016)'!$A$3,"MA_HT","DXH","MA_QH","ONT")</f>
        <v>0</v>
      </c>
      <c r="AR38" s="74">
        <f>+GETPIVOTDATA("XBC4",'bauchinh (2016)'!$A$3,"MA_HT","DXH","MA_QH","ODT")</f>
        <v>0</v>
      </c>
      <c r="AS38" s="74">
        <f>+GETPIVOTDATA("XBC4",'bauchinh (2016)'!$A$3,"MA_HT","DXH","MA_QH","TSC")</f>
        <v>0</v>
      </c>
      <c r="AT38" s="74">
        <f>+GETPIVOTDATA("XBC4",'bauchinh (2016)'!$A$3,"MA_HT","DXH","MA_QH","DTS")</f>
        <v>0</v>
      </c>
      <c r="AU38" s="74">
        <f>+GETPIVOTDATA("XBC4",'bauchinh (2016)'!$A$3,"MA_HT","DXH","MA_QH","DNG")</f>
        <v>0</v>
      </c>
      <c r="AV38" s="74">
        <f>+GETPIVOTDATA("XBC4",'bauchinh (2016)'!$A$3,"MA_HT","DXH","MA_QH","TON")</f>
        <v>0</v>
      </c>
      <c r="AW38" s="74">
        <f>+GETPIVOTDATA("XBC4",'bauchinh (2016)'!$A$3,"MA_HT","DXH","MA_QH","NTD")</f>
        <v>0</v>
      </c>
      <c r="AX38" s="74">
        <f>+GETPIVOTDATA("XBC4",'bauchinh (2016)'!$A$3,"MA_HT","DXH","MA_QH","SKX")</f>
        <v>0</v>
      </c>
      <c r="AY38" s="74">
        <f>+GETPIVOTDATA("XBC4",'bauchinh (2016)'!$A$3,"MA_HT","DXH","MA_QH","DSH")</f>
        <v>0</v>
      </c>
      <c r="AZ38" s="74">
        <f>+GETPIVOTDATA("XBC4",'bauchinh (2016)'!$A$3,"MA_HT","DXH","MA_QH","DKV")</f>
        <v>0</v>
      </c>
      <c r="BA38" s="139">
        <f>+GETPIVOTDATA("XBC4",'bauchinh (2016)'!$A$3,"MA_HT","DXH","MA_QH","TIN")</f>
        <v>0</v>
      </c>
      <c r="BB38" s="74">
        <f>+GETPIVOTDATA("XBC4",'bauchinh (2016)'!$A$3,"MA_HT","DXH","MA_QH","SON")</f>
        <v>0</v>
      </c>
      <c r="BC38" s="74">
        <f>+GETPIVOTDATA("XBC4",'bauchinh (2016)'!$A$3,"MA_HT","DXH","MA_QH","MNC")</f>
        <v>0</v>
      </c>
      <c r="BD38" s="74">
        <f>+GETPIVOTDATA("XBC4",'bauchinh (2016)'!$A$3,"MA_HT","DXH","MA_QH","PNK")</f>
        <v>0</v>
      </c>
      <c r="BE38" s="102">
        <f>+GETPIVOTDATA("XBC4",'bauchinh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+GETPIVOTDATA("XBC4",'bauchinh (2016)'!$A$3,"MA_HT","DCH","MA_QH","LUC")</f>
        <v>0</v>
      </c>
      <c r="H39" s="74">
        <f>+GETPIVOTDATA("XBC4",'bauchinh (2016)'!$A$3,"MA_HT","DCH","MA_QH","LUK")</f>
        <v>0</v>
      </c>
      <c r="I39" s="74">
        <f>+GETPIVOTDATA("XBC4",'bauchinh (2016)'!$A$3,"MA_HT","DCH","MA_QH","LUN")</f>
        <v>0</v>
      </c>
      <c r="J39" s="74">
        <f>+GETPIVOTDATA("XBC4",'bauchinh (2016)'!$A$3,"MA_HT","DCH","MA_QH","HNK")</f>
        <v>0</v>
      </c>
      <c r="K39" s="74">
        <f>+GETPIVOTDATA("XBC4",'bauchinh (2016)'!$A$3,"MA_HT","DCH","MA_QH","CLN")</f>
        <v>0</v>
      </c>
      <c r="L39" s="74">
        <f>+GETPIVOTDATA("XBC4",'bauchinh (2016)'!$A$3,"MA_HT","DCH","MA_QH","RSX")</f>
        <v>0</v>
      </c>
      <c r="M39" s="74">
        <f>+GETPIVOTDATA("XBC4",'bauchinh (2016)'!$A$3,"MA_HT","DCH","MA_QH","RPH")</f>
        <v>0</v>
      </c>
      <c r="N39" s="74">
        <f>+GETPIVOTDATA("XBC4",'bauchinh (2016)'!$A$3,"MA_HT","DCH","MA_QH","RDD")</f>
        <v>0</v>
      </c>
      <c r="O39" s="74">
        <f>+GETPIVOTDATA("XBC4",'bauchinh (2016)'!$A$3,"MA_HT","DCH","MA_QH","NTS")</f>
        <v>0</v>
      </c>
      <c r="P39" s="74">
        <f>+GETPIVOTDATA("XBC4",'bauchinh (2016)'!$A$3,"MA_HT","DCH","MA_QH","LMU")</f>
        <v>0</v>
      </c>
      <c r="Q39" s="74">
        <f>+GETPIVOTDATA("XBC4",'bauchinh (2016)'!$A$3,"MA_HT","DCH","MA_QH","NKH")</f>
        <v>0</v>
      </c>
      <c r="R39" s="72">
        <f t="shared" si="20"/>
        <v>0</v>
      </c>
      <c r="S39" s="74">
        <f>+GETPIVOTDATA("XBC4",'bauchinh (2016)'!$A$3,"MA_HT","DCH","MA_QH","CQP")</f>
        <v>0</v>
      </c>
      <c r="T39" s="74">
        <f>+GETPIVOTDATA("XBC4",'bauchinh (2016)'!$A$3,"MA_HT","DCH","MA_QH","CAN")</f>
        <v>0</v>
      </c>
      <c r="U39" s="74">
        <f>+GETPIVOTDATA("XBC4",'bauchinh (2016)'!$A$3,"MA_HT","DCH","MA_QH","SKK")</f>
        <v>0</v>
      </c>
      <c r="V39" s="74">
        <f>+GETPIVOTDATA("XBC4",'bauchinh (2016)'!$A$3,"MA_HT","DCH","MA_QH","SKT")</f>
        <v>0</v>
      </c>
      <c r="W39" s="74">
        <f>+GETPIVOTDATA("XBC4",'bauchinh (2016)'!$A$3,"MA_HT","DCH","MA_QH","SKN")</f>
        <v>0</v>
      </c>
      <c r="X39" s="74">
        <f>+GETPIVOTDATA("XBC4",'bauchinh (2016)'!$A$3,"MA_HT","DCH","MA_QH","TMD")</f>
        <v>0</v>
      </c>
      <c r="Y39" s="74">
        <f>+GETPIVOTDATA("XBC4",'bauchinh (2016)'!$A$3,"MA_HT","DCH","MA_QH","SKC")</f>
        <v>0</v>
      </c>
      <c r="Z39" s="74">
        <f>+GETPIVOTDATA("XBC4",'bauchinh (2016)'!$A$3,"MA_HT","DCH","MA_QH","SKS")</f>
        <v>0</v>
      </c>
      <c r="AA39" s="64">
        <f>+SUM(AB39:AK39,AM39)</f>
        <v>0</v>
      </c>
      <c r="AB39" s="74">
        <f>+GETPIVOTDATA("XBC4",'bauchinh (2016)'!$A$3,"MA_HT","DCH","MA_QH","DGT")</f>
        <v>0</v>
      </c>
      <c r="AC39" s="74">
        <f>+GETPIVOTDATA("XBC4",'bauchinh (2016)'!$A$3,"MA_HT","DCH","MA_QH","DTL")</f>
        <v>0</v>
      </c>
      <c r="AD39" s="74">
        <f>+GETPIVOTDATA("XBC4",'bauchinh (2016)'!$A$3,"MA_HT","DCH","MA_QH","DNL")</f>
        <v>0</v>
      </c>
      <c r="AE39" s="74">
        <f>+GETPIVOTDATA("XBC4",'bauchinh (2016)'!$A$3,"MA_HT","DCH","MA_QH","DBV")</f>
        <v>0</v>
      </c>
      <c r="AF39" s="74">
        <f>+GETPIVOTDATA("XBC4",'bauchinh (2016)'!$A$3,"MA_HT","DCH","MA_QH","DVH")</f>
        <v>0</v>
      </c>
      <c r="AG39" s="74">
        <f>+GETPIVOTDATA("XBC4",'bauchinh (2016)'!$A$3,"MA_HT","DCH","MA_QH","DYT")</f>
        <v>0</v>
      </c>
      <c r="AH39" s="74">
        <f>+GETPIVOTDATA("XBC4",'bauchinh (2016)'!$A$3,"MA_HT","DCH","MA_QH","DGD")</f>
        <v>0</v>
      </c>
      <c r="AI39" s="74">
        <f>+GETPIVOTDATA("XBC4",'bauchinh (2016)'!$A$3,"MA_HT","DCH","MA_QH","DTT")</f>
        <v>0</v>
      </c>
      <c r="AJ39" s="74">
        <f>+GETPIVOTDATA("XBC4",'bauchinh (2016)'!$A$3,"MA_HT","DCH","MA_QH","NCK")</f>
        <v>0</v>
      </c>
      <c r="AK39" s="74">
        <f>+GETPIVOTDATA("XBC4",'bauchinh (2016)'!$A$3,"MA_HT","DCH","MA_QH","DXH")</f>
        <v>0</v>
      </c>
      <c r="AL39" s="100" t="e">
        <f>$D39-$BF39</f>
        <v>#REF!</v>
      </c>
      <c r="AM39" s="74">
        <f>+GETPIVOTDATA("XBC4",'bauchinh (2016)'!$A$3,"MA_HT","DXH","MA_QH","DKG")</f>
        <v>0</v>
      </c>
      <c r="AN39" s="74">
        <f>+GETPIVOTDATA("XBC4",'bauchinh (2016)'!$A$3,"MA_HT","DCH","MA_QH","DDT")</f>
        <v>0</v>
      </c>
      <c r="AO39" s="74">
        <f>+GETPIVOTDATA("XBC4",'bauchinh (2016)'!$A$3,"MA_HT","DCH","MA_QH","DDL")</f>
        <v>0</v>
      </c>
      <c r="AP39" s="74">
        <f>+GETPIVOTDATA("XBC4",'bauchinh (2016)'!$A$3,"MA_HT","DCH","MA_QH","DRA")</f>
        <v>0</v>
      </c>
      <c r="AQ39" s="74">
        <f>+GETPIVOTDATA("XBC4",'bauchinh (2016)'!$A$3,"MA_HT","DCH","MA_QH","ONT")</f>
        <v>0</v>
      </c>
      <c r="AR39" s="74">
        <f>+GETPIVOTDATA("XBC4",'bauchinh (2016)'!$A$3,"MA_HT","DCH","MA_QH","ODT")</f>
        <v>0</v>
      </c>
      <c r="AS39" s="74">
        <f>+GETPIVOTDATA("XBC4",'bauchinh (2016)'!$A$3,"MA_HT","DCH","MA_QH","TSC")</f>
        <v>0</v>
      </c>
      <c r="AT39" s="74">
        <f>+GETPIVOTDATA("XBC4",'bauchinh (2016)'!$A$3,"MA_HT","DCH","MA_QH","DTS")</f>
        <v>0</v>
      </c>
      <c r="AU39" s="74">
        <f>+GETPIVOTDATA("XBC4",'bauchinh (2016)'!$A$3,"MA_HT","DCH","MA_QH","DNG")</f>
        <v>0</v>
      </c>
      <c r="AV39" s="74">
        <f>+GETPIVOTDATA("XBC4",'bauchinh (2016)'!$A$3,"MA_HT","DCH","MA_QH","TON")</f>
        <v>0</v>
      </c>
      <c r="AW39" s="74">
        <f>+GETPIVOTDATA("XBC4",'bauchinh (2016)'!$A$3,"MA_HT","DCH","MA_QH","NTD")</f>
        <v>0</v>
      </c>
      <c r="AX39" s="74">
        <f>+GETPIVOTDATA("XBC4",'bauchinh (2016)'!$A$3,"MA_HT","DCH","MA_QH","SKX")</f>
        <v>0</v>
      </c>
      <c r="AY39" s="74">
        <f>+GETPIVOTDATA("XBC4",'bauchinh (2016)'!$A$3,"MA_HT","DCH","MA_QH","DSH")</f>
        <v>0</v>
      </c>
      <c r="AZ39" s="74">
        <f>+GETPIVOTDATA("XBC4",'bauchinh (2016)'!$A$3,"MA_HT","DCH","MA_QH","DKV")</f>
        <v>0</v>
      </c>
      <c r="BA39" s="139">
        <f>+GETPIVOTDATA("XBC4",'bauchinh (2016)'!$A$3,"MA_HT","DCH","MA_QH","TIN")</f>
        <v>0</v>
      </c>
      <c r="BB39" s="74">
        <f>+GETPIVOTDATA("XBC4",'bauchinh (2016)'!$A$3,"MA_HT","DCH","MA_QH","SON")</f>
        <v>0</v>
      </c>
      <c r="BC39" s="74">
        <f>+GETPIVOTDATA("XBC4",'bauchinh (2016)'!$A$3,"MA_HT","DCH","MA_QH","MNC")</f>
        <v>0</v>
      </c>
      <c r="BD39" s="74">
        <f>+GETPIVOTDATA("XBC4",'bauchinh (2016)'!$A$3,"MA_HT","DCH","MA_QH","PNK")</f>
        <v>0</v>
      </c>
      <c r="BE39" s="102">
        <f>+GETPIVOTDATA("XBC4",'bauchinh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+GETPIVOTDATA("XBC4",'bauchinh (2016)'!$A$3,"MA_HT","DKG","MA_QH","LUC")</f>
        <v>0</v>
      </c>
      <c r="H40" s="74">
        <f>+GETPIVOTDATA("XBC4",'bauchinh (2016)'!$A$3,"MA_HT","DKG","MA_QH","LUK")</f>
        <v>0</v>
      </c>
      <c r="I40" s="74">
        <f>+GETPIVOTDATA("XBC4",'bauchinh (2016)'!$A$3,"MA_HT","DKG","MA_QH","LUN")</f>
        <v>0</v>
      </c>
      <c r="J40" s="74">
        <f>+GETPIVOTDATA("XBC4",'bauchinh (2016)'!$A$3,"MA_HT","DKG","MA_QH","HNK")</f>
        <v>0</v>
      </c>
      <c r="K40" s="74">
        <f>+GETPIVOTDATA("XBC4",'bauchinh (2016)'!$A$3,"MA_HT","DKG","MA_QH","CLN")</f>
        <v>0</v>
      </c>
      <c r="L40" s="74">
        <f>+GETPIVOTDATA("XBC4",'bauchinh (2016)'!$A$3,"MA_HT","DKG","MA_QH","RSX")</f>
        <v>0</v>
      </c>
      <c r="M40" s="74">
        <f>+GETPIVOTDATA("XBC4",'bauchinh (2016)'!$A$3,"MA_HT","DKG","MA_QH","RPH")</f>
        <v>0</v>
      </c>
      <c r="N40" s="74">
        <f>+GETPIVOTDATA("XBC4",'bauchinh (2016)'!$A$3,"MA_HT","DKG","MA_QH","RDD")</f>
        <v>0</v>
      </c>
      <c r="O40" s="74">
        <f>+GETPIVOTDATA("XBC4",'bauchinh (2016)'!$A$3,"MA_HT","DKG","MA_QH","NTS")</f>
        <v>0</v>
      </c>
      <c r="P40" s="74">
        <f>+GETPIVOTDATA("XBC4",'bauchinh (2016)'!$A$3,"MA_HT","DKG","MA_QH","LMU")</f>
        <v>0</v>
      </c>
      <c r="Q40" s="74">
        <f>+GETPIVOTDATA("XBC4",'bauchinh (2016)'!$A$3,"MA_HT","DKG","MA_QH","NKH")</f>
        <v>0</v>
      </c>
      <c r="R40" s="72">
        <f>SUM(S40:AA40,AN40:BD40)</f>
        <v>0</v>
      </c>
      <c r="S40" s="74">
        <f>+GETPIVOTDATA("XBC4",'bauchinh (2016)'!$A$3,"MA_HT","DKG","MA_QH","CQP")</f>
        <v>0</v>
      </c>
      <c r="T40" s="74">
        <f>+GETPIVOTDATA("XBC4",'bauchinh (2016)'!$A$3,"MA_HT","DKG","MA_QH","CAN")</f>
        <v>0</v>
      </c>
      <c r="U40" s="74">
        <f>+GETPIVOTDATA("XBC4",'bauchinh (2016)'!$A$3,"MA_HT","DKG","MA_QH","SKK")</f>
        <v>0</v>
      </c>
      <c r="V40" s="74">
        <f>+GETPIVOTDATA("XBC4",'bauchinh (2016)'!$A$3,"MA_HT","DKG","MA_QH","SKT")</f>
        <v>0</v>
      </c>
      <c r="W40" s="74">
        <f>+GETPIVOTDATA("XBC4",'bauchinh (2016)'!$A$3,"MA_HT","DKG","MA_QH","SKN")</f>
        <v>0</v>
      </c>
      <c r="X40" s="74">
        <f>+GETPIVOTDATA("XBC4",'bauchinh (2016)'!$A$3,"MA_HT","DKG","MA_QH","TMD")</f>
        <v>0</v>
      </c>
      <c r="Y40" s="74">
        <f>+GETPIVOTDATA("XBC4",'bauchinh (2016)'!$A$3,"MA_HT","DKG","MA_QH","SKC")</f>
        <v>0</v>
      </c>
      <c r="Z40" s="74">
        <f>+GETPIVOTDATA("XBC4",'bauchinh (2016)'!$A$3,"MA_HT","DKG","MA_QH","SKS")</f>
        <v>0</v>
      </c>
      <c r="AA40" s="64">
        <f>+SUM(AB40:AL40)</f>
        <v>0</v>
      </c>
      <c r="AB40" s="74">
        <f>+GETPIVOTDATA("XBC4",'bauchinh (2016)'!$A$3,"MA_HT","DKG","MA_QH","DGT")</f>
        <v>0</v>
      </c>
      <c r="AC40" s="74">
        <f>+GETPIVOTDATA("XBC4",'bauchinh (2016)'!$A$3,"MA_HT","DKG","MA_QH","DTL")</f>
        <v>0</v>
      </c>
      <c r="AD40" s="74">
        <f>+GETPIVOTDATA("XBC4",'bauchinh (2016)'!$A$3,"MA_HT","DKG","MA_QH","DNL")</f>
        <v>0</v>
      </c>
      <c r="AE40" s="74">
        <f>+GETPIVOTDATA("XBC4",'bauchinh (2016)'!$A$3,"MA_HT","DKG","MA_QH","DBV")</f>
        <v>0</v>
      </c>
      <c r="AF40" s="74">
        <f>+GETPIVOTDATA("XBC4",'bauchinh (2016)'!$A$3,"MA_HT","DKG","MA_QH","DVH")</f>
        <v>0</v>
      </c>
      <c r="AG40" s="74">
        <f>+GETPIVOTDATA("XBC4",'bauchinh (2016)'!$A$3,"MA_HT","DKG","MA_QH","DYT")</f>
        <v>0</v>
      </c>
      <c r="AH40" s="74">
        <f>+GETPIVOTDATA("XBC4",'bauchinh (2016)'!$A$3,"MA_HT","DKG","MA_QH","DGD")</f>
        <v>0</v>
      </c>
      <c r="AI40" s="74">
        <f>+GETPIVOTDATA("XBC4",'bauchinh (2016)'!$A$3,"MA_HT","DKG","MA_QH","DTT")</f>
        <v>0</v>
      </c>
      <c r="AJ40" s="74">
        <f>+GETPIVOTDATA("XBC4",'bauchinh (2016)'!$A$3,"MA_HT","DKG","MA_QH","NCK")</f>
        <v>0</v>
      </c>
      <c r="AK40" s="74">
        <f>+GETPIVOTDATA("XBC4",'bauchinh (2016)'!$A$3,"MA_HT","DKG","MA_QH","DXH")</f>
        <v>0</v>
      </c>
      <c r="AL40" s="122">
        <f>+GETPIVOTDATA("XBC4",'bauchinh (2016)'!$A$3,"MA_HT","DDT","MA_QH","DKG")</f>
        <v>0</v>
      </c>
      <c r="AM40" s="100" t="e">
        <f>$D40-$BF40</f>
        <v>#REF!</v>
      </c>
      <c r="AN40" s="74">
        <f>+GETPIVOTDATA("XBC4",'bauchinh (2016)'!$A$3,"MA_HT","DKG","MA_QH","DDT")</f>
        <v>0</v>
      </c>
      <c r="AO40" s="74">
        <f>+GETPIVOTDATA("XBC4",'bauchinh (2016)'!$A$3,"MA_HT","DKG","MA_QH","DDL")</f>
        <v>0</v>
      </c>
      <c r="AP40" s="74">
        <f>+GETPIVOTDATA("XBC4",'bauchinh (2016)'!$A$3,"MA_HT","DKG","MA_QH","DRA")</f>
        <v>0</v>
      </c>
      <c r="AQ40" s="74">
        <f>+GETPIVOTDATA("XBC4",'bauchinh (2016)'!$A$3,"MA_HT","DKG","MA_QH","ONT")</f>
        <v>0</v>
      </c>
      <c r="AR40" s="74">
        <f>+GETPIVOTDATA("XBC4",'bauchinh (2016)'!$A$3,"MA_HT","DKG","MA_QH","ODT")</f>
        <v>0</v>
      </c>
      <c r="AS40" s="74">
        <f>+GETPIVOTDATA("XBC4",'bauchinh (2016)'!$A$3,"MA_HT","DKG","MA_QH","TSC")</f>
        <v>0</v>
      </c>
      <c r="AT40" s="74">
        <f>+GETPIVOTDATA("XBC4",'bauchinh (2016)'!$A$3,"MA_HT","DKG","MA_QH","DTS")</f>
        <v>0</v>
      </c>
      <c r="AU40" s="74">
        <f>+GETPIVOTDATA("XBC4",'bauchinh (2016)'!$A$3,"MA_HT","DKG","MA_QH","DNG")</f>
        <v>0</v>
      </c>
      <c r="AV40" s="74">
        <f>+GETPIVOTDATA("XBC4",'bauchinh (2016)'!$A$3,"MA_HT","DKG","MA_QH","TON")</f>
        <v>0</v>
      </c>
      <c r="AW40" s="74">
        <f>+GETPIVOTDATA("XBC4",'bauchinh (2016)'!$A$3,"MA_HT","DKG","MA_QH","NTD")</f>
        <v>0</v>
      </c>
      <c r="AX40" s="74">
        <f>+GETPIVOTDATA("XBC4",'bauchinh (2016)'!$A$3,"MA_HT","DKG","MA_QH","SKX")</f>
        <v>0</v>
      </c>
      <c r="AY40" s="74">
        <f>+GETPIVOTDATA("XBC4",'bauchinh (2016)'!$A$3,"MA_HT","DKG","MA_QH","DSH")</f>
        <v>0</v>
      </c>
      <c r="AZ40" s="74">
        <f>+GETPIVOTDATA("XBC4",'bauchinh (2016)'!$A$3,"MA_HT","DKG","MA_QH","DKV")</f>
        <v>0</v>
      </c>
      <c r="BA40" s="139">
        <f>+GETPIVOTDATA("XBC4",'bauchinh (2016)'!$A$3,"MA_HT","DKG","MA_QH","TIN")</f>
        <v>0</v>
      </c>
      <c r="BB40" s="74">
        <f>+GETPIVOTDATA("XBC4",'bauchinh (2016)'!$A$3,"MA_HT","DKG","MA_QH","SON")</f>
        <v>0</v>
      </c>
      <c r="BC40" s="74">
        <f>+GETPIVOTDATA("XBC4",'bauchinh (2016)'!$A$3,"MA_HT","DKG","MA_QH","MNC")</f>
        <v>0</v>
      </c>
      <c r="BD40" s="74">
        <f>+GETPIVOTDATA("XBC4",'bauchinh (2016)'!$A$3,"MA_HT","DKG","MA_QH","PNK")</f>
        <v>0</v>
      </c>
      <c r="BE40" s="102">
        <f>+GETPIVOTDATA("XBC4",'bauchinh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+GETPIVOTDATA("XBC4",'bauchinh (2016)'!$A$3,"MA_HT","DDT","MA_QH","LUC")</f>
        <v>0</v>
      </c>
      <c r="H41" s="122">
        <f>+GETPIVOTDATA("XBC4",'bauchinh (2016)'!$A$3,"MA_HT","DDT","MA_QH","LUK")</f>
        <v>0</v>
      </c>
      <c r="I41" s="122">
        <f>+GETPIVOTDATA("XBC4",'bauchinh (2016)'!$A$3,"MA_HT","DDT","MA_QH","LUN")</f>
        <v>0</v>
      </c>
      <c r="J41" s="122">
        <f>+GETPIVOTDATA("XBC4",'bauchinh (2016)'!$A$3,"MA_HT","DDT","MA_QH","HNK")</f>
        <v>0</v>
      </c>
      <c r="K41" s="122">
        <f>+GETPIVOTDATA("XBC4",'bauchinh (2016)'!$A$3,"MA_HT","DDT","MA_QH","CLN")</f>
        <v>0</v>
      </c>
      <c r="L41" s="122">
        <f>+GETPIVOTDATA("XBC4",'bauchinh (2016)'!$A$3,"MA_HT","DDT","MA_QH","RSX")</f>
        <v>0</v>
      </c>
      <c r="M41" s="122">
        <f>+GETPIVOTDATA("XBC4",'bauchinh (2016)'!$A$3,"MA_HT","DDT","MA_QH","RPH")</f>
        <v>0</v>
      </c>
      <c r="N41" s="122">
        <f>+GETPIVOTDATA("XBC4",'bauchinh (2016)'!$A$3,"MA_HT","DDT","MA_QH","RDD")</f>
        <v>0</v>
      </c>
      <c r="O41" s="122">
        <f>+GETPIVOTDATA("XBC4",'bauchinh (2016)'!$A$3,"MA_HT","DDT","MA_QH","NTS")</f>
        <v>0</v>
      </c>
      <c r="P41" s="122">
        <f>+GETPIVOTDATA("XBC4",'bauchinh (2016)'!$A$3,"MA_HT","DDT","MA_QH","LMU")</f>
        <v>0</v>
      </c>
      <c r="Q41" s="122">
        <f>+GETPIVOTDATA("XBC4",'bauchinh (2016)'!$A$3,"MA_HT","DDT","MA_QH","NKH")</f>
        <v>0</v>
      </c>
      <c r="R41" s="123">
        <f>SUM(S41:AA41,AO41:BD41)</f>
        <v>0</v>
      </c>
      <c r="S41" s="122">
        <f>+GETPIVOTDATA("XBC4",'bauchinh (2016)'!$A$3,"MA_HT","DDT","MA_QH","CQP")</f>
        <v>0</v>
      </c>
      <c r="T41" s="122">
        <f>+GETPIVOTDATA("XBC4",'bauchinh (2016)'!$A$3,"MA_HT","DDT","MA_QH","CAN")</f>
        <v>0</v>
      </c>
      <c r="U41" s="122">
        <f>+GETPIVOTDATA("XBC4",'bauchinh (2016)'!$A$3,"MA_HT","DDT","MA_QH","SKK")</f>
        <v>0</v>
      </c>
      <c r="V41" s="122">
        <f>+GETPIVOTDATA("XBC4",'bauchinh (2016)'!$A$3,"MA_HT","DDT","MA_QH","SKT")</f>
        <v>0</v>
      </c>
      <c r="W41" s="122">
        <f>+GETPIVOTDATA("XBC4",'bauchinh (2016)'!$A$3,"MA_HT","DDT","MA_QH","SKN")</f>
        <v>0</v>
      </c>
      <c r="X41" s="122">
        <f>+GETPIVOTDATA("XBC4",'bauchinh (2016)'!$A$3,"MA_HT","DDT","MA_QH","TMD")</f>
        <v>0</v>
      </c>
      <c r="Y41" s="122">
        <f>+GETPIVOTDATA("XBC4",'bauchinh (2016)'!$A$3,"MA_HT","DDT","MA_QH","SKC")</f>
        <v>0</v>
      </c>
      <c r="Z41" s="122">
        <f>+GETPIVOTDATA("XBC4",'bauchinh (2016)'!$A$3,"MA_HT","DDT","MA_QH","SKS")</f>
        <v>0</v>
      </c>
      <c r="AA41" s="121">
        <f t="shared" ref="AA41:AA58" si="21">+SUM(AB41:AM41)</f>
        <v>0</v>
      </c>
      <c r="AB41" s="122">
        <f>+GETPIVOTDATA("XBC4",'bauchinh (2016)'!$A$3,"MA_HT","DDT","MA_QH","DGT")</f>
        <v>0</v>
      </c>
      <c r="AC41" s="122">
        <f>+GETPIVOTDATA("XBC4",'bauchinh (2016)'!$A$3,"MA_HT","DDT","MA_QH","DTL")</f>
        <v>0</v>
      </c>
      <c r="AD41" s="122">
        <f>+GETPIVOTDATA("XBC4",'bauchinh (2016)'!$A$3,"MA_HT","DDT","MA_QH","DNL")</f>
        <v>0</v>
      </c>
      <c r="AE41" s="122">
        <f>+GETPIVOTDATA("XBC4",'bauchinh (2016)'!$A$3,"MA_HT","DDT","MA_QH","DBV")</f>
        <v>0</v>
      </c>
      <c r="AF41" s="122">
        <f>+GETPIVOTDATA("XBC4",'bauchinh (2016)'!$A$3,"MA_HT","DDT","MA_QH","DVH")</f>
        <v>0</v>
      </c>
      <c r="AG41" s="122">
        <f>+GETPIVOTDATA("XBC4",'bauchinh (2016)'!$A$3,"MA_HT","DDT","MA_QH","DYT")</f>
        <v>0</v>
      </c>
      <c r="AH41" s="122">
        <f>+GETPIVOTDATA("XBC4",'bauchinh (2016)'!$A$3,"MA_HT","DDT","MA_QH","DGD")</f>
        <v>0</v>
      </c>
      <c r="AI41" s="122">
        <f>+GETPIVOTDATA("XBC4",'bauchinh (2016)'!$A$3,"MA_HT","DDT","MA_QH","DTT")</f>
        <v>0</v>
      </c>
      <c r="AJ41" s="122">
        <f>+GETPIVOTDATA("XBC4",'bauchinh (2016)'!$A$3,"MA_HT","DDT","MA_QH","NCK")</f>
        <v>0</v>
      </c>
      <c r="AK41" s="122">
        <f>+GETPIVOTDATA("XBC4",'bauchinh (2016)'!$A$3,"MA_HT","DDT","MA_QH","DXH")</f>
        <v>0</v>
      </c>
      <c r="AL41" s="122">
        <f>+GETPIVOTDATA("XBC4",'bauchinh (2016)'!$A$3,"MA_HT","DDT","MA_QH","DCH")</f>
        <v>0</v>
      </c>
      <c r="AM41" s="122">
        <f>+GETPIVOTDATA("XBC4",'bauchinh (2016)'!$A$3,"MA_HT","DDT","MA_QH","DKG")</f>
        <v>0</v>
      </c>
      <c r="AN41" s="124" t="e">
        <f>$D41-$BF41</f>
        <v>#REF!</v>
      </c>
      <c r="AO41" s="122">
        <f>+GETPIVOTDATA("XBC4",'bauchinh (2016)'!$A$3,"MA_HT","DDT","MA_QH","DDL")</f>
        <v>0</v>
      </c>
      <c r="AP41" s="122">
        <f>+GETPIVOTDATA("XBC4",'bauchinh (2016)'!$A$3,"MA_HT","DDT","MA_QH","DRA")</f>
        <v>0</v>
      </c>
      <c r="AQ41" s="122">
        <f>+GETPIVOTDATA("XBC4",'bauchinh (2016)'!$A$3,"MA_HT","DDT","MA_QH","ONT")</f>
        <v>0</v>
      </c>
      <c r="AR41" s="122">
        <f>+GETPIVOTDATA("XBC4",'bauchinh (2016)'!$A$3,"MA_HT","DDT","MA_QH","ODT")</f>
        <v>0</v>
      </c>
      <c r="AS41" s="122">
        <f>+GETPIVOTDATA("XBC4",'bauchinh (2016)'!$A$3,"MA_HT","DDT","MA_QH","TSC")</f>
        <v>0</v>
      </c>
      <c r="AT41" s="122">
        <f>+GETPIVOTDATA("XBC4",'bauchinh (2016)'!$A$3,"MA_HT","DDT","MA_QH","DTS")</f>
        <v>0</v>
      </c>
      <c r="AU41" s="122">
        <f>+GETPIVOTDATA("XBC4",'bauchinh (2016)'!$A$3,"MA_HT","DDT","MA_QH","DNG")</f>
        <v>0</v>
      </c>
      <c r="AV41" s="122">
        <f>+GETPIVOTDATA("XBC4",'bauchinh (2016)'!$A$3,"MA_HT","DDT","MA_QH","TON")</f>
        <v>0</v>
      </c>
      <c r="AW41" s="122">
        <f>+GETPIVOTDATA("XBC4",'bauchinh (2016)'!$A$3,"MA_HT","DDT","MA_QH","NTD")</f>
        <v>0</v>
      </c>
      <c r="AX41" s="122">
        <f>+GETPIVOTDATA("XBC4",'bauchinh (2016)'!$A$3,"MA_HT","DDT","MA_QH","SKX")</f>
        <v>0</v>
      </c>
      <c r="AY41" s="122">
        <f>+GETPIVOTDATA("XBC4",'bauchinh (2016)'!$A$3,"MA_HT","DDT","MA_QH","DSH")</f>
        <v>0</v>
      </c>
      <c r="AZ41" s="122">
        <f>+GETPIVOTDATA("XBC4",'bauchinh (2016)'!$A$3,"MA_HT","DDT","MA_QH","DKV")</f>
        <v>0</v>
      </c>
      <c r="BA41" s="141">
        <f>+GETPIVOTDATA("XBC4",'bauchinh (2016)'!$A$3,"MA_HT","DDT","MA_QH","TIN")</f>
        <v>0</v>
      </c>
      <c r="BB41" s="125">
        <f>+GETPIVOTDATA("XBC4",'bauchinh (2016)'!$A$3,"MA_HT","DDT","MA_QH","SON")</f>
        <v>0</v>
      </c>
      <c r="BC41" s="125">
        <f>+GETPIVOTDATA("XBC4",'bauchinh (2016)'!$A$3,"MA_HT","DDT","MA_QH","MNC")</f>
        <v>0</v>
      </c>
      <c r="BD41" s="122">
        <f>+GETPIVOTDATA("XBC4",'bauchinh (2016)'!$A$3,"MA_HT","DDT","MA_QH","PNK")</f>
        <v>0</v>
      </c>
      <c r="BE41" s="126">
        <f>+GETPIVOTDATA("XBC4",'bauchinh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+GETPIVOTDATA("XBC4",'bauchinh (2016)'!$A$3,"MA_HT","DDL","MA_QH","LUC")</f>
        <v>0</v>
      </c>
      <c r="H42" s="35">
        <f>+GETPIVOTDATA("XBC4",'bauchinh (2016)'!$A$3,"MA_HT","DDL","MA_QH","LUK")</f>
        <v>0</v>
      </c>
      <c r="I42" s="35">
        <f>+GETPIVOTDATA("XBC4",'bauchinh (2016)'!$A$3,"MA_HT","DDL","MA_QH","LUN")</f>
        <v>0</v>
      </c>
      <c r="J42" s="35">
        <f>+GETPIVOTDATA("XBC4",'bauchinh (2016)'!$A$3,"MA_HT","DDL","MA_QH","HNK")</f>
        <v>0</v>
      </c>
      <c r="K42" s="35">
        <f>+GETPIVOTDATA("XBC4",'bauchinh (2016)'!$A$3,"MA_HT","DDL","MA_QH","CLN")</f>
        <v>0</v>
      </c>
      <c r="L42" s="35">
        <f>+GETPIVOTDATA("XBC4",'bauchinh (2016)'!$A$3,"MA_HT","DDL","MA_QH","RSX")</f>
        <v>0</v>
      </c>
      <c r="M42" s="35">
        <f>+GETPIVOTDATA("XBC4",'bauchinh (2016)'!$A$3,"MA_HT","DDL","MA_QH","RPH")</f>
        <v>0</v>
      </c>
      <c r="N42" s="35">
        <f>+GETPIVOTDATA("XBC4",'bauchinh (2016)'!$A$3,"MA_HT","DDL","MA_QH","RDD")</f>
        <v>0</v>
      </c>
      <c r="O42" s="35">
        <f>+GETPIVOTDATA("XBC4",'bauchinh (2016)'!$A$3,"MA_HT","DDL","MA_QH","NTS")</f>
        <v>0</v>
      </c>
      <c r="P42" s="35">
        <f>+GETPIVOTDATA("XBC4",'bauchinh (2016)'!$A$3,"MA_HT","DDL","MA_QH","LMU")</f>
        <v>0</v>
      </c>
      <c r="Q42" s="35">
        <f>+GETPIVOTDATA("XBC4",'bauchinh (2016)'!$A$3,"MA_HT","DDL","MA_QH","NKH")</f>
        <v>0</v>
      </c>
      <c r="R42" s="106">
        <f>SUM(S42:AA42,AN42,AP42:BD42)</f>
        <v>0</v>
      </c>
      <c r="S42" s="35">
        <f>+GETPIVOTDATA("XBC4",'bauchinh (2016)'!$A$3,"MA_HT","DDL","MA_QH","CQP")</f>
        <v>0</v>
      </c>
      <c r="T42" s="35">
        <f>+GETPIVOTDATA("XBC4",'bauchinh (2016)'!$A$3,"MA_HT","DDL","MA_QH","CAN")</f>
        <v>0</v>
      </c>
      <c r="U42" s="35">
        <f>+GETPIVOTDATA("XBC4",'bauchinh (2016)'!$A$3,"MA_HT","DDL","MA_QH","SKK")</f>
        <v>0</v>
      </c>
      <c r="V42" s="35">
        <f>+GETPIVOTDATA("XBC4",'bauchinh (2016)'!$A$3,"MA_HT","DDL","MA_QH","SKT")</f>
        <v>0</v>
      </c>
      <c r="W42" s="35">
        <f>+GETPIVOTDATA("XBC4",'bauchinh (2016)'!$A$3,"MA_HT","DDL","MA_QH","SKN")</f>
        <v>0</v>
      </c>
      <c r="X42" s="35">
        <f>+GETPIVOTDATA("XBC4",'bauchinh (2016)'!$A$3,"MA_HT","DDL","MA_QH","TMD")</f>
        <v>0</v>
      </c>
      <c r="Y42" s="35">
        <f>+GETPIVOTDATA("XBC4",'bauchinh (2016)'!$A$3,"MA_HT","DDL","MA_QH","SKC")</f>
        <v>0</v>
      </c>
      <c r="Z42" s="35">
        <f>+GETPIVOTDATA("XBC4",'bauchinh (2016)'!$A$3,"MA_HT","DDL","MA_QH","SKS")</f>
        <v>0</v>
      </c>
      <c r="AA42" s="64">
        <f t="shared" si="21"/>
        <v>0</v>
      </c>
      <c r="AB42" s="35">
        <f>+GETPIVOTDATA("XBC4",'bauchinh (2016)'!$A$3,"MA_HT","DDL","MA_QH","DGT")</f>
        <v>0</v>
      </c>
      <c r="AC42" s="35">
        <f>+GETPIVOTDATA("XBC4",'bauchinh (2016)'!$A$3,"MA_HT","DDL","MA_QH","DTL")</f>
        <v>0</v>
      </c>
      <c r="AD42" s="35">
        <f>+GETPIVOTDATA("XBC4",'bauchinh (2016)'!$A$3,"MA_HT","DDL","MA_QH","DNL")</f>
        <v>0</v>
      </c>
      <c r="AE42" s="35">
        <f>+GETPIVOTDATA("XBC4",'bauchinh (2016)'!$A$3,"MA_HT","DDL","MA_QH","DBV")</f>
        <v>0</v>
      </c>
      <c r="AF42" s="35">
        <f>+GETPIVOTDATA("XBC4",'bauchinh (2016)'!$A$3,"MA_HT","DDL","MA_QH","DVH")</f>
        <v>0</v>
      </c>
      <c r="AG42" s="35">
        <f>+GETPIVOTDATA("XBC4",'bauchinh (2016)'!$A$3,"MA_HT","DDL","MA_QH","DYT")</f>
        <v>0</v>
      </c>
      <c r="AH42" s="35">
        <f>+GETPIVOTDATA("XBC4",'bauchinh (2016)'!$A$3,"MA_HT","DDL","MA_QH","DGD")</f>
        <v>0</v>
      </c>
      <c r="AI42" s="35">
        <f>+GETPIVOTDATA("XBC4",'bauchinh (2016)'!$A$3,"MA_HT","DDL","MA_QH","DTT")</f>
        <v>0</v>
      </c>
      <c r="AJ42" s="35">
        <f>+GETPIVOTDATA("XBC4",'bauchinh (2016)'!$A$3,"MA_HT","DDL","MA_QH","NCK")</f>
        <v>0</v>
      </c>
      <c r="AK42" s="35">
        <f>+GETPIVOTDATA("XBC4",'bauchinh (2016)'!$A$3,"MA_HT","DDL","MA_QH","DXH")</f>
        <v>0</v>
      </c>
      <c r="AL42" s="35">
        <f>+GETPIVOTDATA("XBC4",'bauchinh (2016)'!$A$3,"MA_HT","DDL","MA_QH","DCH")</f>
        <v>0</v>
      </c>
      <c r="AM42" s="35">
        <f>+GETPIVOTDATA("XBC4",'bauchinh (2016)'!$A$3,"MA_HT","DDL","MA_QH","DKG")</f>
        <v>0</v>
      </c>
      <c r="AN42" s="35">
        <f>+GETPIVOTDATA("XBC4",'bauchinh (2016)'!$A$3,"MA_HT","DDL","MA_QH","DDT")</f>
        <v>0</v>
      </c>
      <c r="AO42" s="99" t="e">
        <f>$D42-$BF42</f>
        <v>#REF!</v>
      </c>
      <c r="AP42" s="35">
        <f>+GETPIVOTDATA("XBC4",'bauchinh (2016)'!$A$3,"MA_HT","DDL","MA_QH","DRA")</f>
        <v>0</v>
      </c>
      <c r="AQ42" s="35">
        <f>+GETPIVOTDATA("XBC4",'bauchinh (2016)'!$A$3,"MA_HT","DDL","MA_QH","ONT")</f>
        <v>0</v>
      </c>
      <c r="AR42" s="35">
        <f>+GETPIVOTDATA("XBC4",'bauchinh (2016)'!$A$3,"MA_HT","DDL","MA_QH","ODT")</f>
        <v>0</v>
      </c>
      <c r="AS42" s="35">
        <f>+GETPIVOTDATA("XBC4",'bauchinh (2016)'!$A$3,"MA_HT","DDL","MA_QH","TSC")</f>
        <v>0</v>
      </c>
      <c r="AT42" s="35">
        <f>+GETPIVOTDATA("XBC4",'bauchinh (2016)'!$A$3,"MA_HT","DDL","MA_QH","DTS")</f>
        <v>0</v>
      </c>
      <c r="AU42" s="35">
        <f>+GETPIVOTDATA("XBC4",'bauchinh (2016)'!$A$3,"MA_HT","DDL","MA_QH","DNG")</f>
        <v>0</v>
      </c>
      <c r="AV42" s="35">
        <f>+GETPIVOTDATA("XBC4",'bauchinh (2016)'!$A$3,"MA_HT","DDL","MA_QH","TON")</f>
        <v>0</v>
      </c>
      <c r="AW42" s="35">
        <f>+GETPIVOTDATA("XBC4",'bauchinh (2016)'!$A$3,"MA_HT","DDL","MA_QH","NTD")</f>
        <v>0</v>
      </c>
      <c r="AX42" s="35">
        <f>+GETPIVOTDATA("XBC4",'bauchinh (2016)'!$A$3,"MA_HT","DDL","MA_QH","SKX")</f>
        <v>0</v>
      </c>
      <c r="AY42" s="35">
        <f>+GETPIVOTDATA("XBC4",'bauchinh (2016)'!$A$3,"MA_HT","DDL","MA_QH","DSH")</f>
        <v>0</v>
      </c>
      <c r="AZ42" s="35">
        <f>+GETPIVOTDATA("XBC4",'bauchinh (2016)'!$A$3,"MA_HT","DDL","MA_QH","DKV")</f>
        <v>0</v>
      </c>
      <c r="BA42" s="140">
        <f>+GETPIVOTDATA("XBC4",'bauchinh (2016)'!$A$3,"MA_HT","DDL","MA_QH","TIN")</f>
        <v>0</v>
      </c>
      <c r="BB42" s="74">
        <f>+GETPIVOTDATA("XBC4",'bauchinh (2016)'!$A$3,"MA_HT","DDL","MA_QH","SON")</f>
        <v>0</v>
      </c>
      <c r="BC42" s="74">
        <f>+GETPIVOTDATA("XBC4",'bauchinh (2016)'!$A$3,"MA_HT","DDL","MA_QH","MNC")</f>
        <v>0</v>
      </c>
      <c r="BD42" s="35">
        <f>+GETPIVOTDATA("XBC4",'bauchinh (2016)'!$A$3,"MA_HT","DDL","MA_QH","PNK")</f>
        <v>0</v>
      </c>
      <c r="BE42" s="58">
        <f>+GETPIVOTDATA("XBC4",'bauchinh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+GETPIVOTDATA("XBC4",'bauchinh (2016)'!$A$3,"MA_HT","DRA","MA_QH","LUC")</f>
        <v>0</v>
      </c>
      <c r="H43" s="35">
        <f>+GETPIVOTDATA("XBC4",'bauchinh (2016)'!$A$3,"MA_HT","DRA","MA_QH","LUK")</f>
        <v>0</v>
      </c>
      <c r="I43" s="35">
        <f>+GETPIVOTDATA("XBC4",'bauchinh (2016)'!$A$3,"MA_HT","DRA","MA_QH","LUN")</f>
        <v>0</v>
      </c>
      <c r="J43" s="35">
        <f>+GETPIVOTDATA("XBC4",'bauchinh (2016)'!$A$3,"MA_HT","DRA","MA_QH","HNK")</f>
        <v>0</v>
      </c>
      <c r="K43" s="35">
        <f>+GETPIVOTDATA("XBC4",'bauchinh (2016)'!$A$3,"MA_HT","DRA","MA_QH","CLN")</f>
        <v>0</v>
      </c>
      <c r="L43" s="35">
        <f>+GETPIVOTDATA("XBC4",'bauchinh (2016)'!$A$3,"MA_HT","DRA","MA_QH","RSX")</f>
        <v>0</v>
      </c>
      <c r="M43" s="35">
        <f>+GETPIVOTDATA("XBC4",'bauchinh (2016)'!$A$3,"MA_HT","DRA","MA_QH","RPH")</f>
        <v>0</v>
      </c>
      <c r="N43" s="35">
        <f>+GETPIVOTDATA("XBC4",'bauchinh (2016)'!$A$3,"MA_HT","DRA","MA_QH","RDD")</f>
        <v>0</v>
      </c>
      <c r="O43" s="35">
        <f>+GETPIVOTDATA("XBC4",'bauchinh (2016)'!$A$3,"MA_HT","DRA","MA_QH","NTS")</f>
        <v>0</v>
      </c>
      <c r="P43" s="35">
        <f>+GETPIVOTDATA("XBC4",'bauchinh (2016)'!$A$3,"MA_HT","DRA","MA_QH","LMU")</f>
        <v>0</v>
      </c>
      <c r="Q43" s="35">
        <f>+GETPIVOTDATA("XBC4",'bauchinh (2016)'!$A$3,"MA_HT","DRA","MA_QH","NKH")</f>
        <v>0</v>
      </c>
      <c r="R43" s="106">
        <f>SUM(S43:AA43,AN43:AO43,AQ43:BD43)</f>
        <v>0</v>
      </c>
      <c r="S43" s="35">
        <f>+GETPIVOTDATA("XBC4",'bauchinh (2016)'!$A$3,"MA_HT","DRA","MA_QH","CQP")</f>
        <v>0</v>
      </c>
      <c r="T43" s="35">
        <f>+GETPIVOTDATA("XBC4",'bauchinh (2016)'!$A$3,"MA_HT","DRA","MA_QH","CAN")</f>
        <v>0</v>
      </c>
      <c r="U43" s="35">
        <f>+GETPIVOTDATA("XBC4",'bauchinh (2016)'!$A$3,"MA_HT","DRA","MA_QH","SKK")</f>
        <v>0</v>
      </c>
      <c r="V43" s="35">
        <f>+GETPIVOTDATA("XBC4",'bauchinh (2016)'!$A$3,"MA_HT","DRA","MA_QH","SKT")</f>
        <v>0</v>
      </c>
      <c r="W43" s="35">
        <f>+GETPIVOTDATA("XBC4",'bauchinh (2016)'!$A$3,"MA_HT","DRA","MA_QH","SKN")</f>
        <v>0</v>
      </c>
      <c r="X43" s="35">
        <f>+GETPIVOTDATA("XBC4",'bauchinh (2016)'!$A$3,"MA_HT","DRA","MA_QH","TMD")</f>
        <v>0</v>
      </c>
      <c r="Y43" s="35">
        <f>+GETPIVOTDATA("XBC4",'bauchinh (2016)'!$A$3,"MA_HT","DRA","MA_QH","SKC")</f>
        <v>0</v>
      </c>
      <c r="Z43" s="35">
        <f>+GETPIVOTDATA("XBC4",'bauchinh (2016)'!$A$3,"MA_HT","DRA","MA_QH","SKS")</f>
        <v>0</v>
      </c>
      <c r="AA43" s="64">
        <f t="shared" si="21"/>
        <v>0</v>
      </c>
      <c r="AB43" s="35">
        <f>+GETPIVOTDATA("XBC4",'bauchinh (2016)'!$A$3,"MA_HT","DRA","MA_QH","DGT")</f>
        <v>0</v>
      </c>
      <c r="AC43" s="35">
        <f>+GETPIVOTDATA("XBC4",'bauchinh (2016)'!$A$3,"MA_HT","DRA","MA_QH","DTL")</f>
        <v>0</v>
      </c>
      <c r="AD43" s="35">
        <f>+GETPIVOTDATA("XBC4",'bauchinh (2016)'!$A$3,"MA_HT","DRA","MA_QH","DNL")</f>
        <v>0</v>
      </c>
      <c r="AE43" s="35">
        <f>+GETPIVOTDATA("XBC4",'bauchinh (2016)'!$A$3,"MA_HT","DRA","MA_QH","DBV")</f>
        <v>0</v>
      </c>
      <c r="AF43" s="35">
        <f>+GETPIVOTDATA("XBC4",'bauchinh (2016)'!$A$3,"MA_HT","DRA","MA_QH","DVH")</f>
        <v>0</v>
      </c>
      <c r="AG43" s="35">
        <f>+GETPIVOTDATA("XBC4",'bauchinh (2016)'!$A$3,"MA_HT","DRA","MA_QH","DYT")</f>
        <v>0</v>
      </c>
      <c r="AH43" s="35">
        <f>+GETPIVOTDATA("XBC4",'bauchinh (2016)'!$A$3,"MA_HT","DRA","MA_QH","DGD")</f>
        <v>0</v>
      </c>
      <c r="AI43" s="35">
        <f>+GETPIVOTDATA("XBC4",'bauchinh (2016)'!$A$3,"MA_HT","DRA","MA_QH","DTT")</f>
        <v>0</v>
      </c>
      <c r="AJ43" s="35">
        <f>+GETPIVOTDATA("XBC4",'bauchinh (2016)'!$A$3,"MA_HT","DRA","MA_QH","NCK")</f>
        <v>0</v>
      </c>
      <c r="AK43" s="35">
        <f>+GETPIVOTDATA("XBC4",'bauchinh (2016)'!$A$3,"MA_HT","DRA","MA_QH","DXH")</f>
        <v>0</v>
      </c>
      <c r="AL43" s="35">
        <f>+GETPIVOTDATA("XBC4",'bauchinh (2016)'!$A$3,"MA_HT","DRA","MA_QH","DCH")</f>
        <v>0</v>
      </c>
      <c r="AM43" s="35">
        <f>+GETPIVOTDATA("XBC4",'bauchinh (2016)'!$A$3,"MA_HT","DRA","MA_QH","DKG")</f>
        <v>0</v>
      </c>
      <c r="AN43" s="35">
        <f>+GETPIVOTDATA("XBC4",'bauchinh (2016)'!$A$3,"MA_HT","DRA","MA_QH","DDT")</f>
        <v>0</v>
      </c>
      <c r="AO43" s="35">
        <f>+GETPIVOTDATA("XBC4",'bauchinh (2016)'!$A$3,"MA_HT","DRA","MA_QH","DDL")</f>
        <v>0</v>
      </c>
      <c r="AP43" s="99" t="e">
        <f>$D43-$BF43</f>
        <v>#REF!</v>
      </c>
      <c r="AQ43" s="35">
        <f>+GETPIVOTDATA("XBC4",'bauchinh (2016)'!$A$3,"MA_HT","DRA","MA_QH","ONT")</f>
        <v>0</v>
      </c>
      <c r="AR43" s="35">
        <f>+GETPIVOTDATA("XBC4",'bauchinh (2016)'!$A$3,"MA_HT","DRA","MA_QH","ODT")</f>
        <v>0</v>
      </c>
      <c r="AS43" s="35">
        <f>+GETPIVOTDATA("XBC4",'bauchinh (2016)'!$A$3,"MA_HT","DRA","MA_QH","TSC")</f>
        <v>0</v>
      </c>
      <c r="AT43" s="35">
        <f>+GETPIVOTDATA("XBC4",'bauchinh (2016)'!$A$3,"MA_HT","DRA","MA_QH","DTS")</f>
        <v>0</v>
      </c>
      <c r="AU43" s="35">
        <f>+GETPIVOTDATA("XBC4",'bauchinh (2016)'!$A$3,"MA_HT","DRA","MA_QH","DNG")</f>
        <v>0</v>
      </c>
      <c r="AV43" s="35">
        <f>+GETPIVOTDATA("XBC4",'bauchinh (2016)'!$A$3,"MA_HT","DRA","MA_QH","TON")</f>
        <v>0</v>
      </c>
      <c r="AW43" s="35">
        <f>+GETPIVOTDATA("XBC4",'bauchinh (2016)'!$A$3,"MA_HT","DRA","MA_QH","NTD")</f>
        <v>0</v>
      </c>
      <c r="AX43" s="35">
        <f>+GETPIVOTDATA("XBC4",'bauchinh (2016)'!$A$3,"MA_HT","DRA","MA_QH","SKX")</f>
        <v>0</v>
      </c>
      <c r="AY43" s="35">
        <f>+GETPIVOTDATA("XBC4",'bauchinh (2016)'!$A$3,"MA_HT","DRA","MA_QH","DSH")</f>
        <v>0</v>
      </c>
      <c r="AZ43" s="35">
        <f>+GETPIVOTDATA("XBC4",'bauchinh (2016)'!$A$3,"MA_HT","DRA","MA_QH","DKV")</f>
        <v>0</v>
      </c>
      <c r="BA43" s="140">
        <f>+GETPIVOTDATA("XBC4",'bauchinh (2016)'!$A$3,"MA_HT","DRA","MA_QH","TIN")</f>
        <v>0</v>
      </c>
      <c r="BB43" s="74">
        <f>+GETPIVOTDATA("XBC4",'bauchinh (2016)'!$A$3,"MA_HT","DRA","MA_QH","SON")</f>
        <v>0</v>
      </c>
      <c r="BC43" s="74">
        <f>+GETPIVOTDATA("XBC4",'bauchinh (2016)'!$A$3,"MA_HT","DRA","MA_QH","MNC")</f>
        <v>0</v>
      </c>
      <c r="BD43" s="35">
        <f>+GETPIVOTDATA("XBC4",'bauchinh (2016)'!$A$3,"MA_HT","DRA","MA_QH","PNK")</f>
        <v>0</v>
      </c>
      <c r="BE43" s="58">
        <f>+GETPIVOTDATA("XBC4",'bauchinh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+GETPIVOTDATA("XBC4",'bauchinh (2016)'!$A$3,"MA_HT","ONT","MA_QH","LUC")</f>
        <v>0</v>
      </c>
      <c r="H44" s="35">
        <f>+GETPIVOTDATA("XBC4",'bauchinh (2016)'!$A$3,"MA_HT","ONT","MA_QH","LUK")</f>
        <v>0</v>
      </c>
      <c r="I44" s="35">
        <f>+GETPIVOTDATA("XBC4",'bauchinh (2016)'!$A$3,"MA_HT","ONT","MA_QH","LUN")</f>
        <v>0</v>
      </c>
      <c r="J44" s="35">
        <f>+GETPIVOTDATA("XBC4",'bauchinh (2016)'!$A$3,"MA_HT","ONT","MA_QH","HNK")</f>
        <v>0</v>
      </c>
      <c r="K44" s="35">
        <f>+GETPIVOTDATA("XBC4",'bauchinh (2016)'!$A$3,"MA_HT","ONT","MA_QH","CLN")</f>
        <v>0</v>
      </c>
      <c r="L44" s="35">
        <f>+GETPIVOTDATA("XBC4",'bauchinh (2016)'!$A$3,"MA_HT","ONT","MA_QH","RSX")</f>
        <v>0</v>
      </c>
      <c r="M44" s="35">
        <f>+GETPIVOTDATA("XBC4",'bauchinh (2016)'!$A$3,"MA_HT","ONT","MA_QH","RPH")</f>
        <v>0</v>
      </c>
      <c r="N44" s="35">
        <f>+GETPIVOTDATA("XBC4",'bauchinh (2016)'!$A$3,"MA_HT","ONT","MA_QH","RDD")</f>
        <v>0</v>
      </c>
      <c r="O44" s="35">
        <f>+GETPIVOTDATA("XBC4",'bauchinh (2016)'!$A$3,"MA_HT","ONT","MA_QH","NTS")</f>
        <v>0</v>
      </c>
      <c r="P44" s="35">
        <f>+GETPIVOTDATA("XBC4",'bauchinh (2016)'!$A$3,"MA_HT","ONT","MA_QH","LMU")</f>
        <v>0</v>
      </c>
      <c r="Q44" s="35">
        <f>+GETPIVOTDATA("XBC4",'bauchinh (2016)'!$A$3,"MA_HT","ONT","MA_QH","NKH")</f>
        <v>0</v>
      </c>
      <c r="R44" s="106">
        <f>SUM(S44:AA44,AN44:AP44,AR44:BD44)</f>
        <v>0</v>
      </c>
      <c r="S44" s="35">
        <f>+GETPIVOTDATA("XBC4",'bauchinh (2016)'!$A$3,"MA_HT","ONT","MA_QH","CQP")</f>
        <v>0</v>
      </c>
      <c r="T44" s="35">
        <f>+GETPIVOTDATA("XBC4",'bauchinh (2016)'!$A$3,"MA_HT","ONT","MA_QH","CAN")</f>
        <v>0</v>
      </c>
      <c r="U44" s="35">
        <f>+GETPIVOTDATA("XBC4",'bauchinh (2016)'!$A$3,"MA_HT","ONT","MA_QH","SKK")</f>
        <v>0</v>
      </c>
      <c r="V44" s="35">
        <f>+GETPIVOTDATA("XBC4",'bauchinh (2016)'!$A$3,"MA_HT","ONT","MA_QH","SKT")</f>
        <v>0</v>
      </c>
      <c r="W44" s="35">
        <f>+GETPIVOTDATA("XBC4",'bauchinh (2016)'!$A$3,"MA_HT","ONT","MA_QH","SKN")</f>
        <v>0</v>
      </c>
      <c r="X44" s="35">
        <f>+GETPIVOTDATA("XBC4",'bauchinh (2016)'!$A$3,"MA_HT","ONT","MA_QH","TMD")</f>
        <v>0</v>
      </c>
      <c r="Y44" s="35">
        <f>+GETPIVOTDATA("XBC4",'bauchinh (2016)'!$A$3,"MA_HT","ONT","MA_QH","SKC")</f>
        <v>0</v>
      </c>
      <c r="Z44" s="35">
        <f>+GETPIVOTDATA("XBC4",'bauchinh (2016)'!$A$3,"MA_HT","ONT","MA_QH","SKS")</f>
        <v>0</v>
      </c>
      <c r="AA44" s="64">
        <f t="shared" si="21"/>
        <v>0</v>
      </c>
      <c r="AB44" s="35">
        <f>+GETPIVOTDATA("XBC4",'bauchinh (2016)'!$A$3,"MA_HT","ONT","MA_QH","DGT")</f>
        <v>0</v>
      </c>
      <c r="AC44" s="35">
        <f>+GETPIVOTDATA("XBC4",'bauchinh (2016)'!$A$3,"MA_HT","ONT","MA_QH","DTL")</f>
        <v>0</v>
      </c>
      <c r="AD44" s="35">
        <f>+GETPIVOTDATA("XBC4",'bauchinh (2016)'!$A$3,"MA_HT","ONT","MA_QH","DNL")</f>
        <v>0</v>
      </c>
      <c r="AE44" s="35">
        <f>+GETPIVOTDATA("XBC4",'bauchinh (2016)'!$A$3,"MA_HT","ONT","MA_QH","DBV")</f>
        <v>0</v>
      </c>
      <c r="AF44" s="35">
        <f>+GETPIVOTDATA("XBC4",'bauchinh (2016)'!$A$3,"MA_HT","ONT","MA_QH","DVH")</f>
        <v>0</v>
      </c>
      <c r="AG44" s="35">
        <f>+GETPIVOTDATA("XBC4",'bauchinh (2016)'!$A$3,"MA_HT","ONT","MA_QH","DYT")</f>
        <v>0</v>
      </c>
      <c r="AH44" s="35">
        <f>+GETPIVOTDATA("XBC4",'bauchinh (2016)'!$A$3,"MA_HT","ONT","MA_QH","DGD")</f>
        <v>0</v>
      </c>
      <c r="AI44" s="35">
        <f>+GETPIVOTDATA("XBC4",'bauchinh (2016)'!$A$3,"MA_HT","ONT","MA_QH","DTT")</f>
        <v>0</v>
      </c>
      <c r="AJ44" s="35">
        <f>+GETPIVOTDATA("XBC4",'bauchinh (2016)'!$A$3,"MA_HT","ONT","MA_QH","NCK")</f>
        <v>0</v>
      </c>
      <c r="AK44" s="35">
        <f>+GETPIVOTDATA("XBC4",'bauchinh (2016)'!$A$3,"MA_HT","ONT","MA_QH","DXH")</f>
        <v>0</v>
      </c>
      <c r="AL44" s="35">
        <f>+GETPIVOTDATA("XBC4",'bauchinh (2016)'!$A$3,"MA_HT","ONT","MA_QH","DCH")</f>
        <v>0</v>
      </c>
      <c r="AM44" s="35">
        <f>+GETPIVOTDATA("XBC4",'bauchinh (2016)'!$A$3,"MA_HT","ONT","MA_QH","DKG")</f>
        <v>0</v>
      </c>
      <c r="AN44" s="35">
        <f>+GETPIVOTDATA("XBC4",'bauchinh (2016)'!$A$3,"MA_HT","ONT","MA_QH","DDT")</f>
        <v>0</v>
      </c>
      <c r="AO44" s="35">
        <f>+GETPIVOTDATA("XBC4",'bauchinh (2016)'!$A$3,"MA_HT","ONT","MA_QH","DDL")</f>
        <v>0</v>
      </c>
      <c r="AP44" s="35">
        <f>+GETPIVOTDATA("XBC4",'bauchinh (2016)'!$A$3,"MA_HT","ONT","MA_QH","DRA")</f>
        <v>0</v>
      </c>
      <c r="AQ44" s="99" t="e">
        <f>$D44-$BF44</f>
        <v>#REF!</v>
      </c>
      <c r="AR44" s="35">
        <f>+GETPIVOTDATA("XBC4",'bauchinh (2016)'!$A$3,"MA_HT","ONT","MA_QH","ODT")</f>
        <v>0</v>
      </c>
      <c r="AS44" s="35">
        <f>+GETPIVOTDATA("XBC4",'bauchinh (2016)'!$A$3,"MA_HT","ONT","MA_QH","TSC")</f>
        <v>0</v>
      </c>
      <c r="AT44" s="35">
        <f>+GETPIVOTDATA("XBC4",'bauchinh (2016)'!$A$3,"MA_HT","ONT","MA_QH","DTS")</f>
        <v>0</v>
      </c>
      <c r="AU44" s="35">
        <f>+GETPIVOTDATA("XBC4",'bauchinh (2016)'!$A$3,"MA_HT","ONT","MA_QH","DNG")</f>
        <v>0</v>
      </c>
      <c r="AV44" s="35">
        <f>+GETPIVOTDATA("XBC4",'bauchinh (2016)'!$A$3,"MA_HT","ONT","MA_QH","TON")</f>
        <v>0</v>
      </c>
      <c r="AW44" s="35">
        <f>+GETPIVOTDATA("XBC4",'bauchinh (2016)'!$A$3,"MA_HT","ONT","MA_QH","NTD")</f>
        <v>0</v>
      </c>
      <c r="AX44" s="35">
        <f>+GETPIVOTDATA("XBC4",'bauchinh (2016)'!$A$3,"MA_HT","ONT","MA_QH","SKX")</f>
        <v>0</v>
      </c>
      <c r="AY44" s="35">
        <f>+GETPIVOTDATA("XBC4",'bauchinh (2016)'!$A$3,"MA_HT","ONT","MA_QH","DSH")</f>
        <v>0</v>
      </c>
      <c r="AZ44" s="35">
        <f>+GETPIVOTDATA("XBC4",'bauchinh (2016)'!$A$3,"MA_HT","ONT","MA_QH","DKV")</f>
        <v>0</v>
      </c>
      <c r="BA44" s="140">
        <f>+GETPIVOTDATA("XBC4",'bauchinh (2016)'!$A$3,"MA_HT","ONT","MA_QH","TIN")</f>
        <v>0</v>
      </c>
      <c r="BB44" s="74">
        <f>+GETPIVOTDATA("XBC4",'bauchinh (2016)'!$A$3,"MA_HT","ONT","MA_QH","SON")</f>
        <v>0</v>
      </c>
      <c r="BC44" s="74">
        <f>+GETPIVOTDATA("XBC4",'bauchinh (2016)'!$A$3,"MA_HT","ONT","MA_QH","MNC")</f>
        <v>0</v>
      </c>
      <c r="BD44" s="35">
        <f>+GETPIVOTDATA("XBC4",'bauchinh (2016)'!$A$3,"MA_HT","ONT","MA_QH","PNK")</f>
        <v>0</v>
      </c>
      <c r="BE44" s="58">
        <f>+GETPIVOTDATA("XBC4",'bauchinh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+GETPIVOTDATA("XBC4",'bauchinh (2016)'!$A$3,"MA_HT","ODT","MA_QH","LUC")</f>
        <v>0</v>
      </c>
      <c r="H45" s="111">
        <f>+GETPIVOTDATA("XBC4",'bauchinh (2016)'!$A$3,"MA_HT","ODT","MA_QH","LUK")</f>
        <v>0</v>
      </c>
      <c r="I45" s="111">
        <f>+GETPIVOTDATA("XBC4",'bauchinh (2016)'!$A$3,"MA_HT","ODT","MA_QH","LUN")</f>
        <v>0</v>
      </c>
      <c r="J45" s="111">
        <f>+GETPIVOTDATA("XBC4",'bauchinh (2016)'!$A$3,"MA_HT","ODT","MA_QH","HNK")</f>
        <v>0</v>
      </c>
      <c r="K45" s="111">
        <f>+GETPIVOTDATA("XBC4",'bauchinh (2016)'!$A$3,"MA_HT","ODT","MA_QH","CLN")</f>
        <v>0</v>
      </c>
      <c r="L45" s="111">
        <f>+GETPIVOTDATA("XBC4",'bauchinh (2016)'!$A$3,"MA_HT","ODT","MA_QH","RSX")</f>
        <v>0</v>
      </c>
      <c r="M45" s="111">
        <f>+GETPIVOTDATA("XBC4",'bauchinh (2016)'!$A$3,"MA_HT","ODT","MA_QH","RPH")</f>
        <v>0</v>
      </c>
      <c r="N45" s="111">
        <f>+GETPIVOTDATA("XBC4",'bauchinh (2016)'!$A$3,"MA_HT","ODT","MA_QH","RDD")</f>
        <v>0</v>
      </c>
      <c r="O45" s="111">
        <f>+GETPIVOTDATA("XBC4",'bauchinh (2016)'!$A$3,"MA_HT","ODT","MA_QH","NTS")</f>
        <v>0</v>
      </c>
      <c r="P45" s="111">
        <f>+GETPIVOTDATA("XBC4",'bauchinh (2016)'!$A$3,"MA_HT","ODT","MA_QH","LMU")</f>
        <v>0</v>
      </c>
      <c r="Q45" s="111">
        <f>+GETPIVOTDATA("XBC4",'bauchinh (2016)'!$A$3,"MA_HT","ODT","MA_QH","NKH")</f>
        <v>0</v>
      </c>
      <c r="R45" s="106">
        <f>SUM(S45:AA45,AN45:AQ45,AS45:BD45)</f>
        <v>0</v>
      </c>
      <c r="S45" s="111">
        <f>+GETPIVOTDATA("XBC4",'bauchinh (2016)'!$A$3,"MA_HT","ODT","MA_QH","CQP")</f>
        <v>0</v>
      </c>
      <c r="T45" s="111">
        <f>+GETPIVOTDATA("XBC4",'bauchinh (2016)'!$A$3,"MA_HT","ODT","MA_QH","CAN")</f>
        <v>0</v>
      </c>
      <c r="U45" s="111">
        <f>+GETPIVOTDATA("XBC4",'bauchinh (2016)'!$A$3,"MA_HT","ODT","MA_QH","SKK")</f>
        <v>0</v>
      </c>
      <c r="V45" s="111">
        <f>+GETPIVOTDATA("XBC4",'bauchinh (2016)'!$A$3,"MA_HT","ODT","MA_QH","SKT")</f>
        <v>0</v>
      </c>
      <c r="W45" s="111">
        <f>+GETPIVOTDATA("XBC4",'bauchinh (2016)'!$A$3,"MA_HT","ODT","MA_QH","SKN")</f>
        <v>0</v>
      </c>
      <c r="X45" s="111">
        <f>+GETPIVOTDATA("XBC4",'bauchinh (2016)'!$A$3,"MA_HT","ODT","MA_QH","TMD")</f>
        <v>0</v>
      </c>
      <c r="Y45" s="111">
        <f>+GETPIVOTDATA("XBC4",'bauchinh (2016)'!$A$3,"MA_HT","ODT","MA_QH","SKC")</f>
        <v>0</v>
      </c>
      <c r="Z45" s="111">
        <f>+GETPIVOTDATA("XBC4",'bauchinh (2016)'!$A$3,"MA_HT","ODT","MA_QH","SKS")</f>
        <v>0</v>
      </c>
      <c r="AA45" s="104">
        <f t="shared" si="21"/>
        <v>0</v>
      </c>
      <c r="AB45" s="111">
        <f>+GETPIVOTDATA("XBC4",'bauchinh (2016)'!$A$3,"MA_HT","ODT","MA_QH","DGT")</f>
        <v>0</v>
      </c>
      <c r="AC45" s="111">
        <f>+GETPIVOTDATA("XBC4",'bauchinh (2016)'!$A$3,"MA_HT","ODT","MA_QH","DTL")</f>
        <v>0</v>
      </c>
      <c r="AD45" s="111">
        <f>+GETPIVOTDATA("XBC4",'bauchinh (2016)'!$A$3,"MA_HT","ODT","MA_QH","DNL")</f>
        <v>0</v>
      </c>
      <c r="AE45" s="111">
        <f>+GETPIVOTDATA("XBC4",'bauchinh (2016)'!$A$3,"MA_HT","ODT","MA_QH","DBV")</f>
        <v>0</v>
      </c>
      <c r="AF45" s="111">
        <f>+GETPIVOTDATA("XBC4",'bauchinh (2016)'!$A$3,"MA_HT","ODT","MA_QH","DVH")</f>
        <v>0</v>
      </c>
      <c r="AG45" s="111">
        <f>+GETPIVOTDATA("XBC4",'bauchinh (2016)'!$A$3,"MA_HT","ODT","MA_QH","DYT")</f>
        <v>0</v>
      </c>
      <c r="AH45" s="111">
        <f>+GETPIVOTDATA("XBC4",'bauchinh (2016)'!$A$3,"MA_HT","ODT","MA_QH","DGD")</f>
        <v>0</v>
      </c>
      <c r="AI45" s="111">
        <f>+GETPIVOTDATA("XBC4",'bauchinh (2016)'!$A$3,"MA_HT","ODT","MA_QH","DTT")</f>
        <v>0</v>
      </c>
      <c r="AJ45" s="111">
        <f>+GETPIVOTDATA("XBC4",'bauchinh (2016)'!$A$3,"MA_HT","ODT","MA_QH","NCK")</f>
        <v>0</v>
      </c>
      <c r="AK45" s="111">
        <f>+GETPIVOTDATA("XBC4",'bauchinh (2016)'!$A$3,"MA_HT","ODT","MA_QH","DXH")</f>
        <v>0</v>
      </c>
      <c r="AL45" s="111">
        <f>+GETPIVOTDATA("XBC4",'bauchinh (2016)'!$A$3,"MA_HT","ODT","MA_QH","DCH")</f>
        <v>0</v>
      </c>
      <c r="AM45" s="111">
        <f>+GETPIVOTDATA("XBC4",'bauchinh (2016)'!$A$3,"MA_HT","ODT","MA_QH","DKG")</f>
        <v>0</v>
      </c>
      <c r="AN45" s="111">
        <f>+GETPIVOTDATA("XBC4",'bauchinh (2016)'!$A$3,"MA_HT","ODT","MA_QH","DDT")</f>
        <v>0</v>
      </c>
      <c r="AO45" s="111">
        <f>+GETPIVOTDATA("XBC4",'bauchinh (2016)'!$A$3,"MA_HT","ODT","MA_QH","DDL")</f>
        <v>0</v>
      </c>
      <c r="AP45" s="111">
        <f>+GETPIVOTDATA("XBC4",'bauchinh (2016)'!$A$3,"MA_HT","ODT","MA_QH","DRA")</f>
        <v>0</v>
      </c>
      <c r="AQ45" s="111">
        <f>+GETPIVOTDATA("XBC4",'bauchinh (2016)'!$A$3,"MA_HT","ODT","MA_QH","ONT")</f>
        <v>0</v>
      </c>
      <c r="AR45" s="112" t="e">
        <f>$D45-$BF45</f>
        <v>#REF!</v>
      </c>
      <c r="AS45" s="111">
        <f>+GETPIVOTDATA("XBC4",'bauchinh (2016)'!$A$3,"MA_HT","ODT","MA_QH","TSC")</f>
        <v>0</v>
      </c>
      <c r="AT45" s="111">
        <f>+GETPIVOTDATA("XBC4",'bauchinh (2016)'!$A$3,"MA_HT","ODT","MA_QH","DTS")</f>
        <v>0</v>
      </c>
      <c r="AU45" s="111">
        <f>+GETPIVOTDATA("XBC4",'bauchinh (2016)'!$A$3,"MA_HT","ODT","MA_QH","DNG")</f>
        <v>0</v>
      </c>
      <c r="AV45" s="111">
        <f>+GETPIVOTDATA("XBC4",'bauchinh (2016)'!$A$3,"MA_HT","ODT","MA_QH","TON")</f>
        <v>0</v>
      </c>
      <c r="AW45" s="111">
        <f>+GETPIVOTDATA("XBC4",'bauchinh (2016)'!$A$3,"MA_HT","ODT","MA_QH","NTD")</f>
        <v>0</v>
      </c>
      <c r="AX45" s="111">
        <f>+GETPIVOTDATA("XBC4",'bauchinh (2016)'!$A$3,"MA_HT","ODT","MA_QH","SKX")</f>
        <v>0</v>
      </c>
      <c r="AY45" s="111">
        <f>+GETPIVOTDATA("XBC4",'bauchinh (2016)'!$A$3,"MA_HT","ODT","MA_QH","DSH")</f>
        <v>0</v>
      </c>
      <c r="AZ45" s="111">
        <f>+GETPIVOTDATA("XBC4",'bauchinh (2016)'!$A$3,"MA_HT","ODT","MA_QH","DKV")</f>
        <v>0</v>
      </c>
      <c r="BA45" s="142">
        <f>+GETPIVOTDATA("XBC4",'bauchinh (2016)'!$A$3,"MA_HT","ODT","MA_QH","TIN")</f>
        <v>0</v>
      </c>
      <c r="BB45" s="105">
        <f>+GETPIVOTDATA("XBC4",'bauchinh (2016)'!$A$3,"MA_HT","ODT","MA_QH","SON")</f>
        <v>0</v>
      </c>
      <c r="BC45" s="105">
        <f>+GETPIVOTDATA("XBC4",'bauchinh (2016)'!$A$3,"MA_HT","ODT","MA_QH","MNC")</f>
        <v>0</v>
      </c>
      <c r="BD45" s="111">
        <f>+GETPIVOTDATA("XBC4",'bauchinh (2016)'!$A$3,"MA_HT","ODT","MA_QH","PNK")</f>
        <v>0</v>
      </c>
      <c r="BE45" s="113">
        <f>+GETPIVOTDATA("XBC4",'bauchinh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+GETPIVOTDATA("XBC4",'bauchinh (2016)'!$A$3,"MA_HT","TSC","MA_QH","LUC")</f>
        <v>0</v>
      </c>
      <c r="H46" s="35">
        <f>+GETPIVOTDATA("XBC4",'bauchinh (2016)'!$A$3,"MA_HT","TSC","MA_QH","LUK")</f>
        <v>0</v>
      </c>
      <c r="I46" s="35">
        <f>+GETPIVOTDATA("XBC4",'bauchinh (2016)'!$A$3,"MA_HT","TSC","MA_QH","LUN")</f>
        <v>0</v>
      </c>
      <c r="J46" s="35">
        <f>+GETPIVOTDATA("XBC4",'bauchinh (2016)'!$A$3,"MA_HT","TSC","MA_QH","HNK")</f>
        <v>0</v>
      </c>
      <c r="K46" s="35">
        <f>+GETPIVOTDATA("XBC4",'bauchinh (2016)'!$A$3,"MA_HT","TSC","MA_QH","CLN")</f>
        <v>0</v>
      </c>
      <c r="L46" s="35">
        <f>+GETPIVOTDATA("XBC4",'bauchinh (2016)'!$A$3,"MA_HT","TSC","MA_QH","RSX")</f>
        <v>0</v>
      </c>
      <c r="M46" s="35">
        <f>+GETPIVOTDATA("XBC4",'bauchinh (2016)'!$A$3,"MA_HT","TSC","MA_QH","RPH")</f>
        <v>0</v>
      </c>
      <c r="N46" s="35">
        <f>+GETPIVOTDATA("XBC4",'bauchinh (2016)'!$A$3,"MA_HT","TSC","MA_QH","RDD")</f>
        <v>0</v>
      </c>
      <c r="O46" s="35">
        <f>+GETPIVOTDATA("XBC4",'bauchinh (2016)'!$A$3,"MA_HT","TSC","MA_QH","NTS")</f>
        <v>0</v>
      </c>
      <c r="P46" s="35">
        <f>+GETPIVOTDATA("XBC4",'bauchinh (2016)'!$A$3,"MA_HT","TSC","MA_QH","LMU")</f>
        <v>0</v>
      </c>
      <c r="Q46" s="35">
        <f>+GETPIVOTDATA("XBC4",'bauchinh (2016)'!$A$3,"MA_HT","TSC","MA_QH","NKH")</f>
        <v>0</v>
      </c>
      <c r="R46" s="72">
        <f>SUM(S46:AA46,AN46:AR46,AT46:BD46)</f>
        <v>0</v>
      </c>
      <c r="S46" s="35">
        <f>+GETPIVOTDATA("XBC4",'bauchinh (2016)'!$A$3,"MA_HT","TSC","MA_QH","CQP")</f>
        <v>0</v>
      </c>
      <c r="T46" s="35">
        <f>+GETPIVOTDATA("XBC4",'bauchinh (2016)'!$A$3,"MA_HT","TSC","MA_QH","CAN")</f>
        <v>0</v>
      </c>
      <c r="U46" s="35">
        <f>+GETPIVOTDATA("XBC4",'bauchinh (2016)'!$A$3,"MA_HT","TSC","MA_QH","SKK")</f>
        <v>0</v>
      </c>
      <c r="V46" s="35">
        <f>+GETPIVOTDATA("XBC4",'bauchinh (2016)'!$A$3,"MA_HT","TSC","MA_QH","SKT")</f>
        <v>0</v>
      </c>
      <c r="W46" s="35">
        <f>+GETPIVOTDATA("XBC4",'bauchinh (2016)'!$A$3,"MA_HT","TSC","MA_QH","SKN")</f>
        <v>0</v>
      </c>
      <c r="X46" s="35">
        <f>+GETPIVOTDATA("XBC4",'bauchinh (2016)'!$A$3,"MA_HT","TSC","MA_QH","TMD")</f>
        <v>0</v>
      </c>
      <c r="Y46" s="35">
        <f>+GETPIVOTDATA("XBC4",'bauchinh (2016)'!$A$3,"MA_HT","TSC","MA_QH","SKC")</f>
        <v>0</v>
      </c>
      <c r="Z46" s="35">
        <f>+GETPIVOTDATA("XBC4",'bauchinh (2016)'!$A$3,"MA_HT","TSC","MA_QH","SKS")</f>
        <v>0</v>
      </c>
      <c r="AA46" s="64">
        <f t="shared" si="21"/>
        <v>0</v>
      </c>
      <c r="AB46" s="35">
        <f>+GETPIVOTDATA("XBC4",'bauchinh (2016)'!$A$3,"MA_HT","TSC","MA_QH","DGT")</f>
        <v>0</v>
      </c>
      <c r="AC46" s="35">
        <f>+GETPIVOTDATA("XBC4",'bauchinh (2016)'!$A$3,"MA_HT","TSC","MA_QH","DTL")</f>
        <v>0</v>
      </c>
      <c r="AD46" s="35">
        <f>+GETPIVOTDATA("XBC4",'bauchinh (2016)'!$A$3,"MA_HT","TSC","MA_QH","DNL")</f>
        <v>0</v>
      </c>
      <c r="AE46" s="35">
        <f>+GETPIVOTDATA("XBC4",'bauchinh (2016)'!$A$3,"MA_HT","TSC","MA_QH","DBV")</f>
        <v>0</v>
      </c>
      <c r="AF46" s="35">
        <f>+GETPIVOTDATA("XBC4",'bauchinh (2016)'!$A$3,"MA_HT","TSC","MA_QH","DVH")</f>
        <v>0</v>
      </c>
      <c r="AG46" s="35">
        <f>+GETPIVOTDATA("XBC4",'bauchinh (2016)'!$A$3,"MA_HT","TSC","MA_QH","DYT")</f>
        <v>0</v>
      </c>
      <c r="AH46" s="35">
        <f>+GETPIVOTDATA("XBC4",'bauchinh (2016)'!$A$3,"MA_HT","TSC","MA_QH","DGD")</f>
        <v>0</v>
      </c>
      <c r="AI46" s="35">
        <f>+GETPIVOTDATA("XBC4",'bauchinh (2016)'!$A$3,"MA_HT","TSC","MA_QH","DTT")</f>
        <v>0</v>
      </c>
      <c r="AJ46" s="35">
        <f>+GETPIVOTDATA("XBC4",'bauchinh (2016)'!$A$3,"MA_HT","TSC","MA_QH","NCK")</f>
        <v>0</v>
      </c>
      <c r="AK46" s="35">
        <f>+GETPIVOTDATA("XBC4",'bauchinh (2016)'!$A$3,"MA_HT","TSC","MA_QH","DXH")</f>
        <v>0</v>
      </c>
      <c r="AL46" s="35">
        <f>+GETPIVOTDATA("XBC4",'bauchinh (2016)'!$A$3,"MA_HT","TSC","MA_QH","DCH")</f>
        <v>0</v>
      </c>
      <c r="AM46" s="35">
        <f>+GETPIVOTDATA("XBC4",'bauchinh (2016)'!$A$3,"MA_HT","TSC","MA_QH","DKG")</f>
        <v>0</v>
      </c>
      <c r="AN46" s="35">
        <f>+GETPIVOTDATA("XBC4",'bauchinh (2016)'!$A$3,"MA_HT","TSC","MA_QH","DDT")</f>
        <v>0</v>
      </c>
      <c r="AO46" s="35">
        <f>+GETPIVOTDATA("XBC4",'bauchinh (2016)'!$A$3,"MA_HT","TSC","MA_QH","DDL")</f>
        <v>0</v>
      </c>
      <c r="AP46" s="35">
        <f>+GETPIVOTDATA("XBC4",'bauchinh (2016)'!$A$3,"MA_HT","TSC","MA_QH","DRA")</f>
        <v>0</v>
      </c>
      <c r="AQ46" s="35">
        <f>+GETPIVOTDATA("XBC4",'bauchinh (2016)'!$A$3,"MA_HT","TSC","MA_QH","ONT")</f>
        <v>0</v>
      </c>
      <c r="AR46" s="35">
        <f>+GETPIVOTDATA("XBC4",'bauchinh (2016)'!$A$3,"MA_HT","TSC","MA_QH","ODT")</f>
        <v>0</v>
      </c>
      <c r="AS46" s="99" t="e">
        <f>$D46-$BF46</f>
        <v>#REF!</v>
      </c>
      <c r="AT46" s="35">
        <f>+GETPIVOTDATA("XBC4",'bauchinh (2016)'!$A$3,"MA_HT","TSC","MA_QH","DTS")</f>
        <v>0</v>
      </c>
      <c r="AU46" s="35">
        <f>+GETPIVOTDATA("XBC4",'bauchinh (2016)'!$A$3,"MA_HT","TSC","MA_QH","DNG")</f>
        <v>0</v>
      </c>
      <c r="AV46" s="35">
        <f>+GETPIVOTDATA("XBC4",'bauchinh (2016)'!$A$3,"MA_HT","TSC","MA_QH","TON")</f>
        <v>0</v>
      </c>
      <c r="AW46" s="35">
        <f>+GETPIVOTDATA("XBC4",'bauchinh (2016)'!$A$3,"MA_HT","TSC","MA_QH","NTD")</f>
        <v>0</v>
      </c>
      <c r="AX46" s="35">
        <f>+GETPIVOTDATA("XBC4",'bauchinh (2016)'!$A$3,"MA_HT","TSC","MA_QH","SKX")</f>
        <v>0</v>
      </c>
      <c r="AY46" s="35">
        <f>+GETPIVOTDATA("XBC4",'bauchinh (2016)'!$A$3,"MA_HT","TSC","MA_QH","DSH")</f>
        <v>0</v>
      </c>
      <c r="AZ46" s="35">
        <f>+GETPIVOTDATA("XBC4",'bauchinh (2016)'!$A$3,"MA_HT","TSC","MA_QH","DKV")</f>
        <v>0</v>
      </c>
      <c r="BA46" s="140">
        <f>+GETPIVOTDATA("XBC4",'bauchinh (2016)'!$A$3,"MA_HT","TSC","MA_QH","TIN")</f>
        <v>0</v>
      </c>
      <c r="BB46" s="74">
        <f>+GETPIVOTDATA("XBC4",'bauchinh (2016)'!$A$3,"MA_HT","TSC","MA_QH","SON")</f>
        <v>0</v>
      </c>
      <c r="BC46" s="74">
        <f>+GETPIVOTDATA("XBC4",'bauchinh (2016)'!$A$3,"MA_HT","TSC","MA_QH","MNC")</f>
        <v>0</v>
      </c>
      <c r="BD46" s="35">
        <f>+GETPIVOTDATA("XBC4",'bauchinh (2016)'!$A$3,"MA_HT","TSC","MA_QH","PNK")</f>
        <v>0</v>
      </c>
      <c r="BE46" s="58">
        <f>+GETPIVOTDATA("XBC4",'bauchinh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+GETPIVOTDATA("XBC4",'bauchinh (2016)'!$A$3,"MA_HT","DTS","MA_QH","LUC")</f>
        <v>0</v>
      </c>
      <c r="H47" s="122">
        <f>+GETPIVOTDATA("XBC4",'bauchinh (2016)'!$A$3,"MA_HT","DTS","MA_QH","LUK")</f>
        <v>0</v>
      </c>
      <c r="I47" s="122">
        <f>+GETPIVOTDATA("XBC4",'bauchinh (2016)'!$A$3,"MA_HT","DTS","MA_QH","LUN")</f>
        <v>0</v>
      </c>
      <c r="J47" s="122">
        <f>+GETPIVOTDATA("XBC4",'bauchinh (2016)'!$A$3,"MA_HT","DTS","MA_QH","HNK")</f>
        <v>0</v>
      </c>
      <c r="K47" s="122">
        <f>+GETPIVOTDATA("XBC4",'bauchinh (2016)'!$A$3,"MA_HT","DTS","MA_QH","CLN")</f>
        <v>0</v>
      </c>
      <c r="L47" s="122">
        <f>+GETPIVOTDATA("XBC4",'bauchinh (2016)'!$A$3,"MA_HT","DTS","MA_QH","RSX")</f>
        <v>0</v>
      </c>
      <c r="M47" s="122">
        <f>+GETPIVOTDATA("XBC4",'bauchinh (2016)'!$A$3,"MA_HT","DTS","MA_QH","RPH")</f>
        <v>0</v>
      </c>
      <c r="N47" s="122">
        <f>+GETPIVOTDATA("XBC4",'bauchinh (2016)'!$A$3,"MA_HT","DTS","MA_QH","RDD")</f>
        <v>0</v>
      </c>
      <c r="O47" s="122">
        <f>+GETPIVOTDATA("XBC4",'bauchinh (2016)'!$A$3,"MA_HT","DTS","MA_QH","NTS")</f>
        <v>0</v>
      </c>
      <c r="P47" s="122">
        <f>+GETPIVOTDATA("XBC4",'bauchinh (2016)'!$A$3,"MA_HT","DTS","MA_QH","LMU")</f>
        <v>0</v>
      </c>
      <c r="Q47" s="122">
        <f>+GETPIVOTDATA("XBC4",'bauchinh (2016)'!$A$3,"MA_HT","DTS","MA_QH","NKH")</f>
        <v>0</v>
      </c>
      <c r="R47" s="123">
        <f>SUM(S47:AA47,AN47:AS47,AU47:BD47)</f>
        <v>0</v>
      </c>
      <c r="S47" s="122">
        <f>+GETPIVOTDATA("XBC4",'bauchinh (2016)'!$A$3,"MA_HT","DTS","MA_QH","CQP")</f>
        <v>0</v>
      </c>
      <c r="T47" s="122">
        <f>+GETPIVOTDATA("XBC4",'bauchinh (2016)'!$A$3,"MA_HT","DTS","MA_QH","CAN")</f>
        <v>0</v>
      </c>
      <c r="U47" s="122">
        <f>+GETPIVOTDATA("XBC4",'bauchinh (2016)'!$A$3,"MA_HT","DTS","MA_QH","SKK")</f>
        <v>0</v>
      </c>
      <c r="V47" s="122">
        <f>+GETPIVOTDATA("XBC4",'bauchinh (2016)'!$A$3,"MA_HT","DTS","MA_QH","SKT")</f>
        <v>0</v>
      </c>
      <c r="W47" s="122">
        <f>+GETPIVOTDATA("XBC4",'bauchinh (2016)'!$A$3,"MA_HT","DTS","MA_QH","SKN")</f>
        <v>0</v>
      </c>
      <c r="X47" s="122">
        <f>+GETPIVOTDATA("XBC4",'bauchinh (2016)'!$A$3,"MA_HT","DTS","MA_QH","TMD")</f>
        <v>0</v>
      </c>
      <c r="Y47" s="122">
        <f>+GETPIVOTDATA("XBC4",'bauchinh (2016)'!$A$3,"MA_HT","DTS","MA_QH","SKC")</f>
        <v>0</v>
      </c>
      <c r="Z47" s="122">
        <f>+GETPIVOTDATA("XBC4",'bauchinh (2016)'!$A$3,"MA_HT","DTS","MA_QH","SKS")</f>
        <v>0</v>
      </c>
      <c r="AA47" s="121">
        <f t="shared" si="21"/>
        <v>0</v>
      </c>
      <c r="AB47" s="122">
        <f>+GETPIVOTDATA("XBC4",'bauchinh (2016)'!$A$3,"MA_HT","DTS","MA_QH","DGT")</f>
        <v>0</v>
      </c>
      <c r="AC47" s="122">
        <f>+GETPIVOTDATA("XBC4",'bauchinh (2016)'!$A$3,"MA_HT","DTS","MA_QH","DTL")</f>
        <v>0</v>
      </c>
      <c r="AD47" s="122">
        <f>+GETPIVOTDATA("XBC4",'bauchinh (2016)'!$A$3,"MA_HT","DTS","MA_QH","DNL")</f>
        <v>0</v>
      </c>
      <c r="AE47" s="122">
        <f>+GETPIVOTDATA("XBC4",'bauchinh (2016)'!$A$3,"MA_HT","DTS","MA_QH","DBV")</f>
        <v>0</v>
      </c>
      <c r="AF47" s="122">
        <f>+GETPIVOTDATA("XBC4",'bauchinh (2016)'!$A$3,"MA_HT","DTS","MA_QH","DVH")</f>
        <v>0</v>
      </c>
      <c r="AG47" s="122">
        <f>+GETPIVOTDATA("XBC4",'bauchinh (2016)'!$A$3,"MA_HT","DTS","MA_QH","DYT")</f>
        <v>0</v>
      </c>
      <c r="AH47" s="122">
        <f>+GETPIVOTDATA("XBC4",'bauchinh (2016)'!$A$3,"MA_HT","DTS","MA_QH","DGD")</f>
        <v>0</v>
      </c>
      <c r="AI47" s="122">
        <f>+GETPIVOTDATA("XBC4",'bauchinh (2016)'!$A$3,"MA_HT","DTS","MA_QH","DTT")</f>
        <v>0</v>
      </c>
      <c r="AJ47" s="122">
        <f>+GETPIVOTDATA("XBC4",'bauchinh (2016)'!$A$3,"MA_HT","DTS","MA_QH","NCK")</f>
        <v>0</v>
      </c>
      <c r="AK47" s="122">
        <f>+GETPIVOTDATA("XBC4",'bauchinh (2016)'!$A$3,"MA_HT","DTS","MA_QH","DXH")</f>
        <v>0</v>
      </c>
      <c r="AL47" s="122">
        <f>+GETPIVOTDATA("XBC4",'bauchinh (2016)'!$A$3,"MA_HT","DTS","MA_QH","DCH")</f>
        <v>0</v>
      </c>
      <c r="AM47" s="122">
        <f>+GETPIVOTDATA("XBC4",'bauchinh (2016)'!$A$3,"MA_HT","DTS","MA_QH","DKG")</f>
        <v>0</v>
      </c>
      <c r="AN47" s="122">
        <f>+GETPIVOTDATA("XBC4",'bauchinh (2016)'!$A$3,"MA_HT","DTS","MA_QH","DDT")</f>
        <v>0</v>
      </c>
      <c r="AO47" s="122">
        <f>+GETPIVOTDATA("XBC4",'bauchinh (2016)'!$A$3,"MA_HT","DTS","MA_QH","DDL")</f>
        <v>0</v>
      </c>
      <c r="AP47" s="122">
        <f>+GETPIVOTDATA("XBC4",'bauchinh (2016)'!$A$3,"MA_HT","DTS","MA_QH","DRA")</f>
        <v>0</v>
      </c>
      <c r="AQ47" s="122">
        <f>+GETPIVOTDATA("XBC4",'bauchinh (2016)'!$A$3,"MA_HT","DTS","MA_QH","ONT")</f>
        <v>0</v>
      </c>
      <c r="AR47" s="122">
        <f>+GETPIVOTDATA("XBC4",'bauchinh (2016)'!$A$3,"MA_HT","DTS","MA_QH","ODT")</f>
        <v>0</v>
      </c>
      <c r="AS47" s="122">
        <f>+GETPIVOTDATA("XBC4",'bauchinh (2016)'!$A$3,"MA_HT","DTS","MA_QH","TSC")</f>
        <v>0</v>
      </c>
      <c r="AT47" s="124" t="e">
        <f>$D47-$BF47</f>
        <v>#REF!</v>
      </c>
      <c r="AU47" s="122">
        <f>+GETPIVOTDATA("XBC4",'bauchinh (2016)'!$A$3,"MA_HT","DTS","MA_QH","DNG")</f>
        <v>0</v>
      </c>
      <c r="AV47" s="122">
        <f>+GETPIVOTDATA("XBC4",'bauchinh (2016)'!$A$3,"MA_HT","DTS","MA_QH","TON")</f>
        <v>0</v>
      </c>
      <c r="AW47" s="122">
        <f>+GETPIVOTDATA("XBC4",'bauchinh (2016)'!$A$3,"MA_HT","DTS","MA_QH","NTD")</f>
        <v>0</v>
      </c>
      <c r="AX47" s="122">
        <f>+GETPIVOTDATA("XBC4",'bauchinh (2016)'!$A$3,"MA_HT","DTS","MA_QH","SKX")</f>
        <v>0</v>
      </c>
      <c r="AY47" s="122">
        <f>+GETPIVOTDATA("XBC4",'bauchinh (2016)'!$A$3,"MA_HT","DTS","MA_QH","DSH")</f>
        <v>0</v>
      </c>
      <c r="AZ47" s="122">
        <f>+GETPIVOTDATA("XBC4",'bauchinh (2016)'!$A$3,"MA_HT","DTS","MA_QH","DKV")</f>
        <v>0</v>
      </c>
      <c r="BA47" s="141">
        <f>+GETPIVOTDATA("XBC4",'bauchinh (2016)'!$A$3,"MA_HT","DTS","MA_QH","TIN")</f>
        <v>0</v>
      </c>
      <c r="BB47" s="125">
        <f>+GETPIVOTDATA("XBC4",'bauchinh (2016)'!$A$3,"MA_HT","DTS","MA_QH","SON")</f>
        <v>0</v>
      </c>
      <c r="BC47" s="125">
        <f>+GETPIVOTDATA("XBC4",'bauchinh (2016)'!$A$3,"MA_HT","DTS","MA_QH","MNC")</f>
        <v>0</v>
      </c>
      <c r="BD47" s="122">
        <f>+GETPIVOTDATA("XBC4",'bauchinh (2016)'!$A$3,"MA_HT","DTS","MA_QH","PNK")</f>
        <v>0</v>
      </c>
      <c r="BE47" s="126">
        <f>+GETPIVOTDATA("XBC4",'bauchinh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+GETPIVOTDATA("XBC4",'bauchinh (2016)'!$A$3,"MA_HT","DNG","MA_QH","LUC")</f>
        <v>0</v>
      </c>
      <c r="H48" s="35">
        <f>+GETPIVOTDATA("XBC4",'bauchinh (2016)'!$A$3,"MA_HT","DNG","MA_QH","LUK")</f>
        <v>0</v>
      </c>
      <c r="I48" s="35">
        <f>+GETPIVOTDATA("XBC4",'bauchinh (2016)'!$A$3,"MA_HT","DNG","MA_QH","LUN")</f>
        <v>0</v>
      </c>
      <c r="J48" s="35">
        <f>+GETPIVOTDATA("XBC4",'bauchinh (2016)'!$A$3,"MA_HT","DNG","MA_QH","HNK")</f>
        <v>0</v>
      </c>
      <c r="K48" s="35">
        <f>+GETPIVOTDATA("XBC4",'bauchinh (2016)'!$A$3,"MA_HT","DNG","MA_QH","CLN")</f>
        <v>0</v>
      </c>
      <c r="L48" s="35">
        <f>+GETPIVOTDATA("XBC4",'bauchinh (2016)'!$A$3,"MA_HT","DNG","MA_QH","RSX")</f>
        <v>0</v>
      </c>
      <c r="M48" s="35">
        <f>+GETPIVOTDATA("XBC4",'bauchinh (2016)'!$A$3,"MA_HT","DNG","MA_QH","RPH")</f>
        <v>0</v>
      </c>
      <c r="N48" s="35">
        <f>+GETPIVOTDATA("XBC4",'bauchinh (2016)'!$A$3,"MA_HT","DNG","MA_QH","RDD")</f>
        <v>0</v>
      </c>
      <c r="O48" s="35">
        <f>+GETPIVOTDATA("XBC4",'bauchinh (2016)'!$A$3,"MA_HT","DNG","MA_QH","NTS")</f>
        <v>0</v>
      </c>
      <c r="P48" s="35">
        <f>+GETPIVOTDATA("XBC4",'bauchinh (2016)'!$A$3,"MA_HT","DNG","MA_QH","LMU")</f>
        <v>0</v>
      </c>
      <c r="Q48" s="35">
        <f>+GETPIVOTDATA("XBC4",'bauchinh (2016)'!$A$3,"MA_HT","DNG","MA_QH","NKH")</f>
        <v>0</v>
      </c>
      <c r="R48" s="106">
        <f>SUM(S48:AA48,AN48:AT48,AV48:BD48)</f>
        <v>0</v>
      </c>
      <c r="S48" s="35">
        <f>+GETPIVOTDATA("XBC4",'bauchinh (2016)'!$A$3,"MA_HT","DNG","MA_QH","CQP")</f>
        <v>0</v>
      </c>
      <c r="T48" s="35">
        <f>+GETPIVOTDATA("XBC4",'bauchinh (2016)'!$A$3,"MA_HT","DNG","MA_QH","CAN")</f>
        <v>0</v>
      </c>
      <c r="U48" s="35">
        <f>+GETPIVOTDATA("XBC4",'bauchinh (2016)'!$A$3,"MA_HT","DNG","MA_QH","SKK")</f>
        <v>0</v>
      </c>
      <c r="V48" s="35">
        <f>+GETPIVOTDATA("XBC4",'bauchinh (2016)'!$A$3,"MA_HT","DNG","MA_QH","SKT")</f>
        <v>0</v>
      </c>
      <c r="W48" s="35">
        <f>+GETPIVOTDATA("XBC4",'bauchinh (2016)'!$A$3,"MA_HT","DNG","MA_QH","SKN")</f>
        <v>0</v>
      </c>
      <c r="X48" s="35">
        <f>+GETPIVOTDATA("XBC4",'bauchinh (2016)'!$A$3,"MA_HT","DNG","MA_QH","TMD")</f>
        <v>0</v>
      </c>
      <c r="Y48" s="35">
        <f>+GETPIVOTDATA("XBC4",'bauchinh (2016)'!$A$3,"MA_HT","DNG","MA_QH","SKC")</f>
        <v>0</v>
      </c>
      <c r="Z48" s="35">
        <f>+GETPIVOTDATA("XBC4",'bauchinh (2016)'!$A$3,"MA_HT","DNG","MA_QH","SKS")</f>
        <v>0</v>
      </c>
      <c r="AA48" s="64">
        <f t="shared" si="21"/>
        <v>0</v>
      </c>
      <c r="AB48" s="35">
        <f>+GETPIVOTDATA("XBC4",'bauchinh (2016)'!$A$3,"MA_HT","DNG","MA_QH","DGT")</f>
        <v>0</v>
      </c>
      <c r="AC48" s="35">
        <f>+GETPIVOTDATA("XBC4",'bauchinh (2016)'!$A$3,"MA_HT","DNG","MA_QH","DTL")</f>
        <v>0</v>
      </c>
      <c r="AD48" s="35">
        <f>+GETPIVOTDATA("XBC4",'bauchinh (2016)'!$A$3,"MA_HT","DNG","MA_QH","DNL")</f>
        <v>0</v>
      </c>
      <c r="AE48" s="35">
        <f>+GETPIVOTDATA("XBC4",'bauchinh (2016)'!$A$3,"MA_HT","DNG","MA_QH","DBV")</f>
        <v>0</v>
      </c>
      <c r="AF48" s="35">
        <f>+GETPIVOTDATA("XBC4",'bauchinh (2016)'!$A$3,"MA_HT","DNG","MA_QH","DVH")</f>
        <v>0</v>
      </c>
      <c r="AG48" s="35">
        <f>+GETPIVOTDATA("XBC4",'bauchinh (2016)'!$A$3,"MA_HT","DNG","MA_QH","DYT")</f>
        <v>0</v>
      </c>
      <c r="AH48" s="35">
        <f>+GETPIVOTDATA("XBC4",'bauchinh (2016)'!$A$3,"MA_HT","DNG","MA_QH","DGD")</f>
        <v>0</v>
      </c>
      <c r="AI48" s="35">
        <f>+GETPIVOTDATA("XBC4",'bauchinh (2016)'!$A$3,"MA_HT","DNG","MA_QH","DTT")</f>
        <v>0</v>
      </c>
      <c r="AJ48" s="35">
        <f>+GETPIVOTDATA("XBC4",'bauchinh (2016)'!$A$3,"MA_HT","DNG","MA_QH","NCK")</f>
        <v>0</v>
      </c>
      <c r="AK48" s="35">
        <f>+GETPIVOTDATA("XBC4",'bauchinh (2016)'!$A$3,"MA_HT","DNG","MA_QH","DXH")</f>
        <v>0</v>
      </c>
      <c r="AL48" s="35">
        <f>+GETPIVOTDATA("XBC4",'bauchinh (2016)'!$A$3,"MA_HT","DNG","MA_QH","DCH")</f>
        <v>0</v>
      </c>
      <c r="AM48" s="35">
        <f>+GETPIVOTDATA("XBC4",'bauchinh (2016)'!$A$3,"MA_HT","DNG","MA_QH","DKG")</f>
        <v>0</v>
      </c>
      <c r="AN48" s="35">
        <f>+GETPIVOTDATA("XBC4",'bauchinh (2016)'!$A$3,"MA_HT","DNG","MA_QH","DDT")</f>
        <v>0</v>
      </c>
      <c r="AO48" s="35">
        <f>+GETPIVOTDATA("XBC4",'bauchinh (2016)'!$A$3,"MA_HT","DNG","MA_QH","DDL")</f>
        <v>0</v>
      </c>
      <c r="AP48" s="35">
        <f>+GETPIVOTDATA("XBC4",'bauchinh (2016)'!$A$3,"MA_HT","DNG","MA_QH","DRA")</f>
        <v>0</v>
      </c>
      <c r="AQ48" s="35">
        <f>+GETPIVOTDATA("XBC4",'bauchinh (2016)'!$A$3,"MA_HT","DNG","MA_QH","ONT")</f>
        <v>0</v>
      </c>
      <c r="AR48" s="35">
        <f>+GETPIVOTDATA("XBC4",'bauchinh (2016)'!$A$3,"MA_HT","DNG","MA_QH","ODT")</f>
        <v>0</v>
      </c>
      <c r="AS48" s="35">
        <f>+GETPIVOTDATA("XBC4",'bauchinh (2016)'!$A$3,"MA_HT","DNG","MA_QH","TSC")</f>
        <v>0</v>
      </c>
      <c r="AT48" s="35">
        <f>+GETPIVOTDATA("XBC4",'bauchinh (2016)'!$A$3,"MA_HT","DNG","MA_QH","DTS")</f>
        <v>0</v>
      </c>
      <c r="AU48" s="99" t="e">
        <f>$D48-$BF48</f>
        <v>#REF!</v>
      </c>
      <c r="AV48" s="35">
        <f>+GETPIVOTDATA("XBC4",'bauchinh (2016)'!$A$3,"MA_HT","DNG","MA_QH","TON")</f>
        <v>0</v>
      </c>
      <c r="AW48" s="35">
        <f>+GETPIVOTDATA("XBC4",'bauchinh (2016)'!$A$3,"MA_HT","DNG","MA_QH","NTD")</f>
        <v>0</v>
      </c>
      <c r="AX48" s="35">
        <f>+GETPIVOTDATA("XBC4",'bauchinh (2016)'!$A$3,"MA_HT","DNG","MA_QH","SKX")</f>
        <v>0</v>
      </c>
      <c r="AY48" s="35">
        <f>+GETPIVOTDATA("XBC4",'bauchinh (2016)'!$A$3,"MA_HT","DNG","MA_QH","DSH")</f>
        <v>0</v>
      </c>
      <c r="AZ48" s="35">
        <f>+GETPIVOTDATA("XBC4",'bauchinh (2016)'!$A$3,"MA_HT","DNG","MA_QH","DKV")</f>
        <v>0</v>
      </c>
      <c r="BA48" s="140">
        <f>+GETPIVOTDATA("XBC4",'bauchinh (2016)'!$A$3,"MA_HT","DNG","MA_QH","TIN")</f>
        <v>0</v>
      </c>
      <c r="BB48" s="74">
        <f>+GETPIVOTDATA("XBC4",'bauchinh (2016)'!$A$3,"MA_HT","DNG","MA_QH","SON")</f>
        <v>0</v>
      </c>
      <c r="BC48" s="74">
        <f>+GETPIVOTDATA("XBC4",'bauchinh (2016)'!$A$3,"MA_HT","DNG","MA_QH","MNC")</f>
        <v>0</v>
      </c>
      <c r="BD48" s="35">
        <f>+GETPIVOTDATA("XBC4",'bauchinh (2016)'!$A$3,"MA_HT","DNG","MA_QH","PNK")</f>
        <v>0</v>
      </c>
      <c r="BE48" s="58">
        <f>+GETPIVOTDATA("XBC4",'bauchinh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+GETPIVOTDATA("XBC4",'bauchinh (2016)'!$A$3,"MA_HT","TON","MA_QH","LUC")</f>
        <v>0</v>
      </c>
      <c r="H49" s="35">
        <f>+GETPIVOTDATA("XBC4",'bauchinh (2016)'!$A$3,"MA_HT","TON","MA_QH","LUK")</f>
        <v>0</v>
      </c>
      <c r="I49" s="35">
        <f>+GETPIVOTDATA("XBC4",'bauchinh (2016)'!$A$3,"MA_HT","TON","MA_QH","LUN")</f>
        <v>0</v>
      </c>
      <c r="J49" s="35">
        <f>+GETPIVOTDATA("XBC4",'bauchinh (2016)'!$A$3,"MA_HT","TON","MA_QH","HNK")</f>
        <v>0</v>
      </c>
      <c r="K49" s="35">
        <f>+GETPIVOTDATA("XBC4",'bauchinh (2016)'!$A$3,"MA_HT","TON","MA_QH","CLN")</f>
        <v>0</v>
      </c>
      <c r="L49" s="35">
        <f>+GETPIVOTDATA("XBC4",'bauchinh (2016)'!$A$3,"MA_HT","TON","MA_QH","RSX")</f>
        <v>0</v>
      </c>
      <c r="M49" s="35">
        <f>+GETPIVOTDATA("XBC4",'bauchinh (2016)'!$A$3,"MA_HT","TON","MA_QH","RPH")</f>
        <v>0</v>
      </c>
      <c r="N49" s="35">
        <f>+GETPIVOTDATA("XBC4",'bauchinh (2016)'!$A$3,"MA_HT","TON","MA_QH","RDD")</f>
        <v>0</v>
      </c>
      <c r="O49" s="35">
        <f>+GETPIVOTDATA("XBC4",'bauchinh (2016)'!$A$3,"MA_HT","TON","MA_QH","NTS")</f>
        <v>0</v>
      </c>
      <c r="P49" s="35">
        <f>+GETPIVOTDATA("XBC4",'bauchinh (2016)'!$A$3,"MA_HT","TON","MA_QH","LMU")</f>
        <v>0</v>
      </c>
      <c r="Q49" s="35">
        <f>+GETPIVOTDATA("XBC4",'bauchinh (2016)'!$A$3,"MA_HT","TON","MA_QH","NKH")</f>
        <v>0</v>
      </c>
      <c r="R49" s="106">
        <f>SUM(S49:AA49,AN49:AU49,AW49:BD49)</f>
        <v>0</v>
      </c>
      <c r="S49" s="35">
        <f>+GETPIVOTDATA("XBC4",'bauchinh (2016)'!$A$3,"MA_HT","TON","MA_QH","CQP")</f>
        <v>0</v>
      </c>
      <c r="T49" s="35">
        <f>+GETPIVOTDATA("XBC4",'bauchinh (2016)'!$A$3,"MA_HT","TON","MA_QH","CAN")</f>
        <v>0</v>
      </c>
      <c r="U49" s="35">
        <f>+GETPIVOTDATA("XBC4",'bauchinh (2016)'!$A$3,"MA_HT","TON","MA_QH","SKK")</f>
        <v>0</v>
      </c>
      <c r="V49" s="35">
        <f>+GETPIVOTDATA("XBC4",'bauchinh (2016)'!$A$3,"MA_HT","TON","MA_QH","SKT")</f>
        <v>0</v>
      </c>
      <c r="W49" s="35">
        <f>+GETPIVOTDATA("XBC4",'bauchinh (2016)'!$A$3,"MA_HT","TON","MA_QH","SKN")</f>
        <v>0</v>
      </c>
      <c r="X49" s="35">
        <f>+GETPIVOTDATA("XBC4",'bauchinh (2016)'!$A$3,"MA_HT","TON","MA_QH","TMD")</f>
        <v>0</v>
      </c>
      <c r="Y49" s="35">
        <f>+GETPIVOTDATA("XBC4",'bauchinh (2016)'!$A$3,"MA_HT","TON","MA_QH","SKC")</f>
        <v>0</v>
      </c>
      <c r="Z49" s="35">
        <f>+GETPIVOTDATA("XBC4",'bauchinh (2016)'!$A$3,"MA_HT","TON","MA_QH","SKS")</f>
        <v>0</v>
      </c>
      <c r="AA49" s="64">
        <f t="shared" si="21"/>
        <v>0</v>
      </c>
      <c r="AB49" s="35">
        <f>+GETPIVOTDATA("XBC4",'bauchinh (2016)'!$A$3,"MA_HT","TON","MA_QH","DGT")</f>
        <v>0</v>
      </c>
      <c r="AC49" s="35">
        <f>+GETPIVOTDATA("XBC4",'bauchinh (2016)'!$A$3,"MA_HT","TON","MA_QH","DTL")</f>
        <v>0</v>
      </c>
      <c r="AD49" s="35">
        <f>+GETPIVOTDATA("XBC4",'bauchinh (2016)'!$A$3,"MA_HT","TON","MA_QH","DNL")</f>
        <v>0</v>
      </c>
      <c r="AE49" s="35">
        <f>+GETPIVOTDATA("XBC4",'bauchinh (2016)'!$A$3,"MA_HT","TON","MA_QH","DBV")</f>
        <v>0</v>
      </c>
      <c r="AF49" s="35">
        <f>+GETPIVOTDATA("XBC4",'bauchinh (2016)'!$A$3,"MA_HT","TON","MA_QH","DVH")</f>
        <v>0</v>
      </c>
      <c r="AG49" s="35">
        <f>+GETPIVOTDATA("XBC4",'bauchinh (2016)'!$A$3,"MA_HT","TON","MA_QH","DYT")</f>
        <v>0</v>
      </c>
      <c r="AH49" s="35">
        <f>+GETPIVOTDATA("XBC4",'bauchinh (2016)'!$A$3,"MA_HT","TON","MA_QH","DGD")</f>
        <v>0</v>
      </c>
      <c r="AI49" s="35">
        <f>+GETPIVOTDATA("XBC4",'bauchinh (2016)'!$A$3,"MA_HT","TON","MA_QH","DTT")</f>
        <v>0</v>
      </c>
      <c r="AJ49" s="35">
        <f>+GETPIVOTDATA("XBC4",'bauchinh (2016)'!$A$3,"MA_HT","TON","MA_QH","NCK")</f>
        <v>0</v>
      </c>
      <c r="AK49" s="35">
        <f>+GETPIVOTDATA("XBC4",'bauchinh (2016)'!$A$3,"MA_HT","TON","MA_QH","DXH")</f>
        <v>0</v>
      </c>
      <c r="AL49" s="35">
        <f>+GETPIVOTDATA("XBC4",'bauchinh (2016)'!$A$3,"MA_HT","TON","MA_QH","DCH")</f>
        <v>0</v>
      </c>
      <c r="AM49" s="35">
        <f>+GETPIVOTDATA("XBC4",'bauchinh (2016)'!$A$3,"MA_HT","TON","MA_QH","DKG")</f>
        <v>0</v>
      </c>
      <c r="AN49" s="35">
        <f>+GETPIVOTDATA("XBC4",'bauchinh (2016)'!$A$3,"MA_HT","TON","MA_QH","DDT")</f>
        <v>0</v>
      </c>
      <c r="AO49" s="35">
        <f>+GETPIVOTDATA("XBC4",'bauchinh (2016)'!$A$3,"MA_HT","TON","MA_QH","DDL")</f>
        <v>0</v>
      </c>
      <c r="AP49" s="35">
        <f>+GETPIVOTDATA("XBC4",'bauchinh (2016)'!$A$3,"MA_HT","TON","MA_QH","DRA")</f>
        <v>0</v>
      </c>
      <c r="AQ49" s="35">
        <f>+GETPIVOTDATA("XBC4",'bauchinh (2016)'!$A$3,"MA_HT","TON","MA_QH","ONT")</f>
        <v>0</v>
      </c>
      <c r="AR49" s="35">
        <f>+GETPIVOTDATA("XBC4",'bauchinh (2016)'!$A$3,"MA_HT","TON","MA_QH","ODT")</f>
        <v>0</v>
      </c>
      <c r="AS49" s="35">
        <f>+GETPIVOTDATA("XBC4",'bauchinh (2016)'!$A$3,"MA_HT","TON","MA_QH","TSC")</f>
        <v>0</v>
      </c>
      <c r="AT49" s="35">
        <f>+GETPIVOTDATA("XBC4",'bauchinh (2016)'!$A$3,"MA_HT","TON","MA_QH","DTS")</f>
        <v>0</v>
      </c>
      <c r="AU49" s="35">
        <f>+GETPIVOTDATA("XBC4",'bauchinh (2016)'!$A$3,"MA_HT","TON","MA_QH","DNG")</f>
        <v>0</v>
      </c>
      <c r="AV49" s="99" t="e">
        <f>$D49-$BF49</f>
        <v>#REF!</v>
      </c>
      <c r="AW49" s="35">
        <f>+GETPIVOTDATA("XBC4",'bauchinh (2016)'!$A$3,"MA_HT","TON","MA_QH","NTD")</f>
        <v>0</v>
      </c>
      <c r="AX49" s="35">
        <f>+GETPIVOTDATA("XBC4",'bauchinh (2016)'!$A$3,"MA_HT","TON","MA_QH","SKX")</f>
        <v>0</v>
      </c>
      <c r="AY49" s="35">
        <f>+GETPIVOTDATA("XBC4",'bauchinh (2016)'!$A$3,"MA_HT","TON","MA_QH","DSH")</f>
        <v>0</v>
      </c>
      <c r="AZ49" s="35">
        <f>+GETPIVOTDATA("XBC4",'bauchinh (2016)'!$A$3,"MA_HT","TON","MA_QH","DKV")</f>
        <v>0</v>
      </c>
      <c r="BA49" s="140">
        <f>+GETPIVOTDATA("XBC4",'bauchinh (2016)'!$A$3,"MA_HT","TON","MA_QH","TIN")</f>
        <v>0</v>
      </c>
      <c r="BB49" s="74">
        <f>+GETPIVOTDATA("XBC4",'bauchinh (2016)'!$A$3,"MA_HT","TON","MA_QH","SON")</f>
        <v>0</v>
      </c>
      <c r="BC49" s="74">
        <f>+GETPIVOTDATA("XBC4",'bauchinh (2016)'!$A$3,"MA_HT","TON","MA_QH","MNC")</f>
        <v>0</v>
      </c>
      <c r="BD49" s="35">
        <f>+GETPIVOTDATA("XBC4",'bauchinh (2016)'!$A$3,"MA_HT","TON","MA_QH","PNK")</f>
        <v>0</v>
      </c>
      <c r="BE49" s="58">
        <f>+GETPIVOTDATA("XBC4",'bauchinh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+GETPIVOTDATA("XBC4",'bauchinh (2016)'!$A$3,"MA_HT","NTD","MA_QH","LUC")</f>
        <v>0</v>
      </c>
      <c r="H50" s="35">
        <f>+GETPIVOTDATA("XBC4",'bauchinh (2016)'!$A$3,"MA_HT","NTD","MA_QH","LUK")</f>
        <v>0</v>
      </c>
      <c r="I50" s="35">
        <f>+GETPIVOTDATA("XBC4",'bauchinh (2016)'!$A$3,"MA_HT","NTD","MA_QH","LUN")</f>
        <v>0</v>
      </c>
      <c r="J50" s="35">
        <f>+GETPIVOTDATA("XBC4",'bauchinh (2016)'!$A$3,"MA_HT","NTD","MA_QH","HNK")</f>
        <v>0</v>
      </c>
      <c r="K50" s="35">
        <f>+GETPIVOTDATA("XBC4",'bauchinh (2016)'!$A$3,"MA_HT","NTD","MA_QH","CLN")</f>
        <v>0</v>
      </c>
      <c r="L50" s="35">
        <f>+GETPIVOTDATA("XBC4",'bauchinh (2016)'!$A$3,"MA_HT","NTD","MA_QH","RSX")</f>
        <v>0</v>
      </c>
      <c r="M50" s="35">
        <f>+GETPIVOTDATA("XBC4",'bauchinh (2016)'!$A$3,"MA_HT","NTD","MA_QH","RPH")</f>
        <v>0</v>
      </c>
      <c r="N50" s="35">
        <f>+GETPIVOTDATA("XBC4",'bauchinh (2016)'!$A$3,"MA_HT","NTD","MA_QH","RDD")</f>
        <v>0</v>
      </c>
      <c r="O50" s="35">
        <f>+GETPIVOTDATA("XBC4",'bauchinh (2016)'!$A$3,"MA_HT","NTD","MA_QH","NTS")</f>
        <v>0</v>
      </c>
      <c r="P50" s="35">
        <f>+GETPIVOTDATA("XBC4",'bauchinh (2016)'!$A$3,"MA_HT","NTD","MA_QH","LMU")</f>
        <v>0</v>
      </c>
      <c r="Q50" s="35">
        <f>+GETPIVOTDATA("XBC4",'bauchinh (2016)'!$A$3,"MA_HT","NTD","MA_QH","NKH")</f>
        <v>0</v>
      </c>
      <c r="R50" s="106">
        <f>SUM(S50:AA50,AN50:AV50,AX50:BD50)</f>
        <v>0</v>
      </c>
      <c r="S50" s="35">
        <f>+GETPIVOTDATA("XBC4",'bauchinh (2016)'!$A$3,"MA_HT","NTD","MA_QH","CQP")</f>
        <v>0</v>
      </c>
      <c r="T50" s="35">
        <f>+GETPIVOTDATA("XBC4",'bauchinh (2016)'!$A$3,"MA_HT","NTD","MA_QH","CAN")</f>
        <v>0</v>
      </c>
      <c r="U50" s="35">
        <f>+GETPIVOTDATA("XBC4",'bauchinh (2016)'!$A$3,"MA_HT","NTD","MA_QH","SKK")</f>
        <v>0</v>
      </c>
      <c r="V50" s="35">
        <f>+GETPIVOTDATA("XBC4",'bauchinh (2016)'!$A$3,"MA_HT","NTD","MA_QH","SKT")</f>
        <v>0</v>
      </c>
      <c r="W50" s="35">
        <f>+GETPIVOTDATA("XBC4",'bauchinh (2016)'!$A$3,"MA_HT","NTD","MA_QH","SKN")</f>
        <v>0</v>
      </c>
      <c r="X50" s="35">
        <f>+GETPIVOTDATA("XBC4",'bauchinh (2016)'!$A$3,"MA_HT","NTD","MA_QH","TMD")</f>
        <v>0</v>
      </c>
      <c r="Y50" s="35">
        <f>+GETPIVOTDATA("XBC4",'bauchinh (2016)'!$A$3,"MA_HT","NTD","MA_QH","SKC")</f>
        <v>0</v>
      </c>
      <c r="Z50" s="35">
        <f>+GETPIVOTDATA("XBC4",'bauchinh (2016)'!$A$3,"MA_HT","NTD","MA_QH","SKS")</f>
        <v>0</v>
      </c>
      <c r="AA50" s="64">
        <f t="shared" si="21"/>
        <v>0</v>
      </c>
      <c r="AB50" s="35">
        <f>+GETPIVOTDATA("XBC4",'bauchinh (2016)'!$A$3,"MA_HT","NTD","MA_QH","DGT")</f>
        <v>0</v>
      </c>
      <c r="AC50" s="35">
        <f>+GETPIVOTDATA("XBC4",'bauchinh (2016)'!$A$3,"MA_HT","NTD","MA_QH","DTL")</f>
        <v>0</v>
      </c>
      <c r="AD50" s="35">
        <f>+GETPIVOTDATA("XBC4",'bauchinh (2016)'!$A$3,"MA_HT","NTD","MA_QH","DNL")</f>
        <v>0</v>
      </c>
      <c r="AE50" s="35">
        <f>+GETPIVOTDATA("XBC4",'bauchinh (2016)'!$A$3,"MA_HT","NTD","MA_QH","DBV")</f>
        <v>0</v>
      </c>
      <c r="AF50" s="35">
        <f>+GETPIVOTDATA("XBC4",'bauchinh (2016)'!$A$3,"MA_HT","NTD","MA_QH","DVH")</f>
        <v>0</v>
      </c>
      <c r="AG50" s="35">
        <f>+GETPIVOTDATA("XBC4",'bauchinh (2016)'!$A$3,"MA_HT","NTD","MA_QH","DYT")</f>
        <v>0</v>
      </c>
      <c r="AH50" s="35">
        <f>+GETPIVOTDATA("XBC4",'bauchinh (2016)'!$A$3,"MA_HT","NTD","MA_QH","DGD")</f>
        <v>0</v>
      </c>
      <c r="AI50" s="35">
        <f>+GETPIVOTDATA("XBC4",'bauchinh (2016)'!$A$3,"MA_HT","NTD","MA_QH","DTT")</f>
        <v>0</v>
      </c>
      <c r="AJ50" s="35">
        <f>+GETPIVOTDATA("XBC4",'bauchinh (2016)'!$A$3,"MA_HT","NTD","MA_QH","NCK")</f>
        <v>0</v>
      </c>
      <c r="AK50" s="35">
        <f>+GETPIVOTDATA("XBC4",'bauchinh (2016)'!$A$3,"MA_HT","NTD","MA_QH","DXH")</f>
        <v>0</v>
      </c>
      <c r="AL50" s="35">
        <f>+GETPIVOTDATA("XBC4",'bauchinh (2016)'!$A$3,"MA_HT","NTD","MA_QH","DCH")</f>
        <v>0</v>
      </c>
      <c r="AM50" s="35">
        <f>+GETPIVOTDATA("XBC4",'bauchinh (2016)'!$A$3,"MA_HT","NTD","MA_QH","DKG")</f>
        <v>0</v>
      </c>
      <c r="AN50" s="35">
        <f>+GETPIVOTDATA("XBC4",'bauchinh (2016)'!$A$3,"MA_HT","NTD","MA_QH","DDT")</f>
        <v>0</v>
      </c>
      <c r="AO50" s="35">
        <f>+GETPIVOTDATA("XBC4",'bauchinh (2016)'!$A$3,"MA_HT","NTD","MA_QH","DDL")</f>
        <v>0</v>
      </c>
      <c r="AP50" s="35">
        <f>+GETPIVOTDATA("XBC4",'bauchinh (2016)'!$A$3,"MA_HT","NTD","MA_QH","DRA")</f>
        <v>0</v>
      </c>
      <c r="AQ50" s="35">
        <f>+GETPIVOTDATA("XBC4",'bauchinh (2016)'!$A$3,"MA_HT","NTD","MA_QH","ONT")</f>
        <v>0</v>
      </c>
      <c r="AR50" s="35">
        <f>+GETPIVOTDATA("XBC4",'bauchinh (2016)'!$A$3,"MA_HT","NTD","MA_QH","ODT")</f>
        <v>0</v>
      </c>
      <c r="AS50" s="35">
        <f>+GETPIVOTDATA("XBC4",'bauchinh (2016)'!$A$3,"MA_HT","NTD","MA_QH","TSC")</f>
        <v>0</v>
      </c>
      <c r="AT50" s="35">
        <f>+GETPIVOTDATA("XBC4",'bauchinh (2016)'!$A$3,"MA_HT","NTD","MA_QH","DTS")</f>
        <v>0</v>
      </c>
      <c r="AU50" s="35">
        <f>+GETPIVOTDATA("XBC4",'bauchinh (2016)'!$A$3,"MA_HT","NTD","MA_QH","DNG")</f>
        <v>0</v>
      </c>
      <c r="AV50" s="35">
        <f>+GETPIVOTDATA("XBC4",'bauchinh (2016)'!$A$3,"MA_HT","NTD","MA_QH","TON")</f>
        <v>0</v>
      </c>
      <c r="AW50" s="99" t="e">
        <f>$D50-$BF50</f>
        <v>#REF!</v>
      </c>
      <c r="AX50" s="35">
        <f>+GETPIVOTDATA("XBC4",'bauchinh (2016)'!$A$3,"MA_HT","NTD","MA_QH","SKX")</f>
        <v>0</v>
      </c>
      <c r="AY50" s="35">
        <f>+GETPIVOTDATA("XBC4",'bauchinh (2016)'!$A$3,"MA_HT","NTD","MA_QH","DSH")</f>
        <v>0</v>
      </c>
      <c r="AZ50" s="35">
        <f>+GETPIVOTDATA("XBC4",'bauchinh (2016)'!$A$3,"MA_HT","NTD","MA_QH","DKV")</f>
        <v>0</v>
      </c>
      <c r="BA50" s="140">
        <f>+GETPIVOTDATA("XBC4",'bauchinh (2016)'!$A$3,"MA_HT","NTD","MA_QH","TIN")</f>
        <v>0</v>
      </c>
      <c r="BB50" s="74">
        <f>+GETPIVOTDATA("XBC4",'bauchinh (2016)'!$A$3,"MA_HT","NTD","MA_QH","SON")</f>
        <v>0</v>
      </c>
      <c r="BC50" s="74">
        <f>+GETPIVOTDATA("XBC4",'bauchinh (2016)'!$A$3,"MA_HT","NTD","MA_QH","MNC")</f>
        <v>0</v>
      </c>
      <c r="BD50" s="35">
        <f>+GETPIVOTDATA("XBC4",'bauchinh (2016)'!$A$3,"MA_HT","NTD","MA_QH","PNK")</f>
        <v>0</v>
      </c>
      <c r="BE50" s="58">
        <f>+GETPIVOTDATA("XBC4",'bauchinh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+GETPIVOTDATA("XBC4",'bauchinh (2016)'!$A$3,"MA_HT","SKX","MA_QH","LUC")</f>
        <v>0</v>
      </c>
      <c r="H51" s="35">
        <f>+GETPIVOTDATA("XBC4",'bauchinh (2016)'!$A$3,"MA_HT","SKX","MA_QH","LUK")</f>
        <v>0</v>
      </c>
      <c r="I51" s="35">
        <f>+GETPIVOTDATA("XBC4",'bauchinh (2016)'!$A$3,"MA_HT","SKX","MA_QH","LUN")</f>
        <v>0</v>
      </c>
      <c r="J51" s="35">
        <f>+GETPIVOTDATA("XBC4",'bauchinh (2016)'!$A$3,"MA_HT","SKX","MA_QH","HNK")</f>
        <v>0</v>
      </c>
      <c r="K51" s="35">
        <f>+GETPIVOTDATA("XBC4",'bauchinh (2016)'!$A$3,"MA_HT","SKX","MA_QH","CLN")</f>
        <v>0</v>
      </c>
      <c r="L51" s="35">
        <f>+GETPIVOTDATA("XBC4",'bauchinh (2016)'!$A$3,"MA_HT","SKX","MA_QH","RSX")</f>
        <v>0</v>
      </c>
      <c r="M51" s="35">
        <f>+GETPIVOTDATA("XBC4",'bauchinh (2016)'!$A$3,"MA_HT","SKX","MA_QH","RPH")</f>
        <v>0</v>
      </c>
      <c r="N51" s="35">
        <f>+GETPIVOTDATA("XBC4",'bauchinh (2016)'!$A$3,"MA_HT","SKX","MA_QH","RDD")</f>
        <v>0</v>
      </c>
      <c r="O51" s="35">
        <f>+GETPIVOTDATA("XBC4",'bauchinh (2016)'!$A$3,"MA_HT","SKX","MA_QH","NTS")</f>
        <v>0</v>
      </c>
      <c r="P51" s="35">
        <f>+GETPIVOTDATA("XBC4",'bauchinh (2016)'!$A$3,"MA_HT","SKX","MA_QH","LMU")</f>
        <v>0</v>
      </c>
      <c r="Q51" s="35">
        <f>+GETPIVOTDATA("XBC4",'bauchinh (2016)'!$A$3,"MA_HT","SKX","MA_QH","NKH")</f>
        <v>0</v>
      </c>
      <c r="R51" s="106">
        <f>SUM(S51:AA51,AN51:AW51,AY51:BD51)</f>
        <v>0</v>
      </c>
      <c r="S51" s="35">
        <f>+GETPIVOTDATA("XBC4",'bauchinh (2016)'!$A$3,"MA_HT","SKX","MA_QH","CQP")</f>
        <v>0</v>
      </c>
      <c r="T51" s="35">
        <f>+GETPIVOTDATA("XBC4",'bauchinh (2016)'!$A$3,"MA_HT","SKX","MA_QH","CAN")</f>
        <v>0</v>
      </c>
      <c r="U51" s="35">
        <f>+GETPIVOTDATA("XBC4",'bauchinh (2016)'!$A$3,"MA_HT","SKX","MA_QH","SKK")</f>
        <v>0</v>
      </c>
      <c r="V51" s="35">
        <f>+GETPIVOTDATA("XBC4",'bauchinh (2016)'!$A$3,"MA_HT","SKX","MA_QH","SKT")</f>
        <v>0</v>
      </c>
      <c r="W51" s="35">
        <f>+GETPIVOTDATA("XBC4",'bauchinh (2016)'!$A$3,"MA_HT","SKX","MA_QH","SKN")</f>
        <v>0</v>
      </c>
      <c r="X51" s="35">
        <f>+GETPIVOTDATA("XBC4",'bauchinh (2016)'!$A$3,"MA_HT","SKX","MA_QH","TMD")</f>
        <v>0</v>
      </c>
      <c r="Y51" s="35">
        <f>+GETPIVOTDATA("XBC4",'bauchinh (2016)'!$A$3,"MA_HT","SKX","MA_QH","SKC")</f>
        <v>0</v>
      </c>
      <c r="Z51" s="35">
        <f>+GETPIVOTDATA("XBC4",'bauchinh (2016)'!$A$3,"MA_HT","SKX","MA_QH","SKS")</f>
        <v>0</v>
      </c>
      <c r="AA51" s="64">
        <f t="shared" si="21"/>
        <v>0</v>
      </c>
      <c r="AB51" s="35">
        <f>+GETPIVOTDATA("XBC4",'bauchinh (2016)'!$A$3,"MA_HT","SKX","MA_QH","DGT")</f>
        <v>0</v>
      </c>
      <c r="AC51" s="35">
        <f>+GETPIVOTDATA("XBC4",'bauchinh (2016)'!$A$3,"MA_HT","SKX","MA_QH","DTL")</f>
        <v>0</v>
      </c>
      <c r="AD51" s="35">
        <f>+GETPIVOTDATA("XBC4",'bauchinh (2016)'!$A$3,"MA_HT","SKX","MA_QH","DNL")</f>
        <v>0</v>
      </c>
      <c r="AE51" s="35">
        <f>+GETPIVOTDATA("XBC4",'bauchinh (2016)'!$A$3,"MA_HT","SKX","MA_QH","DBV")</f>
        <v>0</v>
      </c>
      <c r="AF51" s="35">
        <f>+GETPIVOTDATA("XBC4",'bauchinh (2016)'!$A$3,"MA_HT","SKX","MA_QH","DVH")</f>
        <v>0</v>
      </c>
      <c r="AG51" s="35">
        <f>+GETPIVOTDATA("XBC4",'bauchinh (2016)'!$A$3,"MA_HT","SKX","MA_QH","DYT")</f>
        <v>0</v>
      </c>
      <c r="AH51" s="35">
        <f>+GETPIVOTDATA("XBC4",'bauchinh (2016)'!$A$3,"MA_HT","SKX","MA_QH","DGD")</f>
        <v>0</v>
      </c>
      <c r="AI51" s="35">
        <f>+GETPIVOTDATA("XBC4",'bauchinh (2016)'!$A$3,"MA_HT","SKX","MA_QH","DTT")</f>
        <v>0</v>
      </c>
      <c r="AJ51" s="35">
        <f>+GETPIVOTDATA("XBC4",'bauchinh (2016)'!$A$3,"MA_HT","SKX","MA_QH","NCK")</f>
        <v>0</v>
      </c>
      <c r="AK51" s="35">
        <f>+GETPIVOTDATA("XBC4",'bauchinh (2016)'!$A$3,"MA_HT","SKX","MA_QH","DXH")</f>
        <v>0</v>
      </c>
      <c r="AL51" s="35">
        <f>+GETPIVOTDATA("XBC4",'bauchinh (2016)'!$A$3,"MA_HT","SKX","MA_QH","DCH")</f>
        <v>0</v>
      </c>
      <c r="AM51" s="35">
        <f>+GETPIVOTDATA("XBC4",'bauchinh (2016)'!$A$3,"MA_HT","SKX","MA_QH","DKG")</f>
        <v>0</v>
      </c>
      <c r="AN51" s="35">
        <f>+GETPIVOTDATA("XBC4",'bauchinh (2016)'!$A$3,"MA_HT","SKX","MA_QH","DDT")</f>
        <v>0</v>
      </c>
      <c r="AO51" s="35">
        <f>+GETPIVOTDATA("XBC4",'bauchinh (2016)'!$A$3,"MA_HT","SKX","MA_QH","DDL")</f>
        <v>0</v>
      </c>
      <c r="AP51" s="35">
        <f>+GETPIVOTDATA("XBC4",'bauchinh (2016)'!$A$3,"MA_HT","SKX","MA_QH","DRA")</f>
        <v>0</v>
      </c>
      <c r="AQ51" s="35">
        <f>+GETPIVOTDATA("XBC4",'bauchinh (2016)'!$A$3,"MA_HT","SKX","MA_QH","ONT")</f>
        <v>0</v>
      </c>
      <c r="AR51" s="35">
        <f>+GETPIVOTDATA("XBC4",'bauchinh (2016)'!$A$3,"MA_HT","SKX","MA_QH","ODT")</f>
        <v>0</v>
      </c>
      <c r="AS51" s="35">
        <f>+GETPIVOTDATA("XBC4",'bauchinh (2016)'!$A$3,"MA_HT","SKX","MA_QH","TSC")</f>
        <v>0</v>
      </c>
      <c r="AT51" s="35">
        <f>+GETPIVOTDATA("XBC4",'bauchinh (2016)'!$A$3,"MA_HT","SKX","MA_QH","DTS")</f>
        <v>0</v>
      </c>
      <c r="AU51" s="35">
        <f>+GETPIVOTDATA("XBC4",'bauchinh (2016)'!$A$3,"MA_HT","SKX","MA_QH","DNG")</f>
        <v>0</v>
      </c>
      <c r="AV51" s="35">
        <f>+GETPIVOTDATA("XBC4",'bauchinh (2016)'!$A$3,"MA_HT","SKX","MA_QH","TON")</f>
        <v>0</v>
      </c>
      <c r="AW51" s="35">
        <f>+GETPIVOTDATA("XBC4",'bauchinh (2016)'!$A$3,"MA_HT","SKX","MA_QH","NTD")</f>
        <v>0</v>
      </c>
      <c r="AX51" s="99" t="e">
        <f>$D51-$BF51</f>
        <v>#REF!</v>
      </c>
      <c r="AY51" s="35">
        <f>+GETPIVOTDATA("XBC4",'bauchinh (2016)'!$A$3,"MA_HT","SKX","MA_QH","DSH")</f>
        <v>0</v>
      </c>
      <c r="AZ51" s="35">
        <f>+GETPIVOTDATA("XBC4",'bauchinh (2016)'!$A$3,"MA_HT","SKX","MA_QH","DKV")</f>
        <v>0</v>
      </c>
      <c r="BA51" s="140">
        <f>+GETPIVOTDATA("XBC4",'bauchinh (2016)'!$A$3,"MA_HT","SKX","MA_QH","TIN")</f>
        <v>0</v>
      </c>
      <c r="BB51" s="74">
        <f>+GETPIVOTDATA("XBC4",'bauchinh (2016)'!$A$3,"MA_HT","SKX","MA_QH","SON")</f>
        <v>0</v>
      </c>
      <c r="BC51" s="74">
        <f>+GETPIVOTDATA("XBC4",'bauchinh (2016)'!$A$3,"MA_HT","SKX","MA_QH","MNC")</f>
        <v>0</v>
      </c>
      <c r="BD51" s="35">
        <f>+GETPIVOTDATA("XBC4",'bauchinh (2016)'!$A$3,"MA_HT","SKX","MA_QH","PNK")</f>
        <v>0</v>
      </c>
      <c r="BE51" s="58">
        <f>+GETPIVOTDATA("XBC4",'bauchinh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+GETPIVOTDATA("XBC4",'bauchinh (2016)'!$A$3,"MA_HT","DSH","MA_QH","LUC")</f>
        <v>0</v>
      </c>
      <c r="H52" s="35">
        <f>+GETPIVOTDATA("XBC4",'bauchinh (2016)'!$A$3,"MA_HT","DSH","MA_QH","LUK")</f>
        <v>0</v>
      </c>
      <c r="I52" s="35">
        <f>+GETPIVOTDATA("XBC4",'bauchinh (2016)'!$A$3,"MA_HT","DSH","MA_QH","LUN")</f>
        <v>0</v>
      </c>
      <c r="J52" s="35">
        <f>+GETPIVOTDATA("XBC4",'bauchinh (2016)'!$A$3,"MA_HT","DSH","MA_QH","HNK")</f>
        <v>0</v>
      </c>
      <c r="K52" s="35">
        <f>+GETPIVOTDATA("XBC4",'bauchinh (2016)'!$A$3,"MA_HT","DSH","MA_QH","CLN")</f>
        <v>0</v>
      </c>
      <c r="L52" s="35">
        <f>+GETPIVOTDATA("XBC4",'bauchinh (2016)'!$A$3,"MA_HT","DSH","MA_QH","RSX")</f>
        <v>0</v>
      </c>
      <c r="M52" s="35">
        <f>+GETPIVOTDATA("XBC4",'bauchinh (2016)'!$A$3,"MA_HT","DSH","MA_QH","RPH")</f>
        <v>0</v>
      </c>
      <c r="N52" s="35">
        <f>+GETPIVOTDATA("XBC4",'bauchinh (2016)'!$A$3,"MA_HT","DSH","MA_QH","RDD")</f>
        <v>0</v>
      </c>
      <c r="O52" s="35">
        <f>+GETPIVOTDATA("XBC4",'bauchinh (2016)'!$A$3,"MA_HT","DSH","MA_QH","NTS")</f>
        <v>0</v>
      </c>
      <c r="P52" s="35">
        <f>+GETPIVOTDATA("XBC4",'bauchinh (2016)'!$A$3,"MA_HT","DSH","MA_QH","LMU")</f>
        <v>0</v>
      </c>
      <c r="Q52" s="35">
        <f>+GETPIVOTDATA("XBC4",'bauchinh (2016)'!$A$3,"MA_HT","DSH","MA_QH","NKH")</f>
        <v>0</v>
      </c>
      <c r="R52" s="106">
        <f>SUM(S52:AA52,AN52:AX52,AZ52:BD52)</f>
        <v>0</v>
      </c>
      <c r="S52" s="35">
        <f>+GETPIVOTDATA("XBC4",'bauchinh (2016)'!$A$3,"MA_HT","DSH","MA_QH","CQP")</f>
        <v>0</v>
      </c>
      <c r="T52" s="35">
        <f>+GETPIVOTDATA("XBC4",'bauchinh (2016)'!$A$3,"MA_HT","DSH","MA_QH","CAN")</f>
        <v>0</v>
      </c>
      <c r="U52" s="35">
        <f>+GETPIVOTDATA("XBC4",'bauchinh (2016)'!$A$3,"MA_HT","DSH","MA_QH","SKK")</f>
        <v>0</v>
      </c>
      <c r="V52" s="35">
        <f>+GETPIVOTDATA("XBC4",'bauchinh (2016)'!$A$3,"MA_HT","DSH","MA_QH","SKT")</f>
        <v>0</v>
      </c>
      <c r="W52" s="35">
        <f>+GETPIVOTDATA("XBC4",'bauchinh (2016)'!$A$3,"MA_HT","DSH","MA_QH","SKN")</f>
        <v>0</v>
      </c>
      <c r="X52" s="35">
        <f>+GETPIVOTDATA("XBC4",'bauchinh (2016)'!$A$3,"MA_HT","DSH","MA_QH","TMD")</f>
        <v>0</v>
      </c>
      <c r="Y52" s="35">
        <f>+GETPIVOTDATA("XBC4",'bauchinh (2016)'!$A$3,"MA_HT","DSH","MA_QH","SKC")</f>
        <v>0</v>
      </c>
      <c r="Z52" s="35">
        <f>+GETPIVOTDATA("XBC4",'bauchinh (2016)'!$A$3,"MA_HT","DSH","MA_QH","SKS")</f>
        <v>0</v>
      </c>
      <c r="AA52" s="64">
        <f t="shared" si="21"/>
        <v>0</v>
      </c>
      <c r="AB52" s="35">
        <f>+GETPIVOTDATA("XBC4",'bauchinh (2016)'!$A$3,"MA_HT","DSH","MA_QH","DGT")</f>
        <v>0</v>
      </c>
      <c r="AC52" s="35">
        <f>+GETPIVOTDATA("XBC4",'bauchinh (2016)'!$A$3,"MA_HT","DSH","MA_QH","DTL")</f>
        <v>0</v>
      </c>
      <c r="AD52" s="35">
        <f>+GETPIVOTDATA("XBC4",'bauchinh (2016)'!$A$3,"MA_HT","DSH","MA_QH","DNL")</f>
        <v>0</v>
      </c>
      <c r="AE52" s="35">
        <f>+GETPIVOTDATA("XBC4",'bauchinh (2016)'!$A$3,"MA_HT","DSH","MA_QH","DBV")</f>
        <v>0</v>
      </c>
      <c r="AF52" s="35">
        <f>+GETPIVOTDATA("XBC4",'bauchinh (2016)'!$A$3,"MA_HT","DSH","MA_QH","DVH")</f>
        <v>0</v>
      </c>
      <c r="AG52" s="35">
        <f>+GETPIVOTDATA("XBC4",'bauchinh (2016)'!$A$3,"MA_HT","DSH","MA_QH","DYT")</f>
        <v>0</v>
      </c>
      <c r="AH52" s="35">
        <f>+GETPIVOTDATA("XBC4",'bauchinh (2016)'!$A$3,"MA_HT","DSH","MA_QH","DGD")</f>
        <v>0</v>
      </c>
      <c r="AI52" s="35">
        <f>+GETPIVOTDATA("XBC4",'bauchinh (2016)'!$A$3,"MA_HT","DSH","MA_QH","DTT")</f>
        <v>0</v>
      </c>
      <c r="AJ52" s="35">
        <f>+GETPIVOTDATA("XBC4",'bauchinh (2016)'!$A$3,"MA_HT","DSH","MA_QH","NCK")</f>
        <v>0</v>
      </c>
      <c r="AK52" s="35">
        <f>+GETPIVOTDATA("XBC4",'bauchinh (2016)'!$A$3,"MA_HT","DSH","MA_QH","DXH")</f>
        <v>0</v>
      </c>
      <c r="AL52" s="35">
        <f>+GETPIVOTDATA("XBC4",'bauchinh (2016)'!$A$3,"MA_HT","DSH","MA_QH","DCH")</f>
        <v>0</v>
      </c>
      <c r="AM52" s="35">
        <f>+GETPIVOTDATA("XBC4",'bauchinh (2016)'!$A$3,"MA_HT","DSH","MA_QH","DKG")</f>
        <v>0</v>
      </c>
      <c r="AN52" s="35">
        <f>+GETPIVOTDATA("XBC4",'bauchinh (2016)'!$A$3,"MA_HT","DSH","MA_QH","DDT")</f>
        <v>0</v>
      </c>
      <c r="AO52" s="35">
        <f>+GETPIVOTDATA("XBC4",'bauchinh (2016)'!$A$3,"MA_HT","DSH","MA_QH","DDL")</f>
        <v>0</v>
      </c>
      <c r="AP52" s="35">
        <f>+GETPIVOTDATA("XBC4",'bauchinh (2016)'!$A$3,"MA_HT","DSH","MA_QH","DRA")</f>
        <v>0</v>
      </c>
      <c r="AQ52" s="35">
        <f>+GETPIVOTDATA("XBC4",'bauchinh (2016)'!$A$3,"MA_HT","DSH","MA_QH","ONT")</f>
        <v>0</v>
      </c>
      <c r="AR52" s="35">
        <f>+GETPIVOTDATA("XBC4",'bauchinh (2016)'!$A$3,"MA_HT","DSH","MA_QH","ODT")</f>
        <v>0</v>
      </c>
      <c r="AS52" s="35">
        <f>+GETPIVOTDATA("XBC4",'bauchinh (2016)'!$A$3,"MA_HT","DSH","MA_QH","TSC")</f>
        <v>0</v>
      </c>
      <c r="AT52" s="35">
        <f>+GETPIVOTDATA("XBC4",'bauchinh (2016)'!$A$3,"MA_HT","DSH","MA_QH","DTS")</f>
        <v>0</v>
      </c>
      <c r="AU52" s="35">
        <f>+GETPIVOTDATA("XBC4",'bauchinh (2016)'!$A$3,"MA_HT","DSH","MA_QH","DNG")</f>
        <v>0</v>
      </c>
      <c r="AV52" s="35">
        <f>+GETPIVOTDATA("XBC4",'bauchinh (2016)'!$A$3,"MA_HT","DSH","MA_QH","TON")</f>
        <v>0</v>
      </c>
      <c r="AW52" s="35">
        <f>+GETPIVOTDATA("XBC4",'bauchinh (2016)'!$A$3,"MA_HT","DSH","MA_QH","NTD")</f>
        <v>0</v>
      </c>
      <c r="AX52" s="35">
        <f>+GETPIVOTDATA("XBC4",'bauchinh (2016)'!$A$3,"MA_HT","DSH","MA_QH","SKX")</f>
        <v>0</v>
      </c>
      <c r="AY52" s="99" t="e">
        <f>$D52-$BF52</f>
        <v>#REF!</v>
      </c>
      <c r="AZ52" s="35">
        <f>+GETPIVOTDATA("XBC4",'bauchinh (2016)'!$A$3,"MA_HT","DSH","MA_QH","DKV")</f>
        <v>0</v>
      </c>
      <c r="BA52" s="140">
        <f>+GETPIVOTDATA("XBC4",'bauchinh (2016)'!$A$3,"MA_HT","DSH","MA_QH","TIN")</f>
        <v>0</v>
      </c>
      <c r="BB52" s="74">
        <f>+GETPIVOTDATA("XBC4",'bauchinh (2016)'!$A$3,"MA_HT","DSH","MA_QH","SON")</f>
        <v>0</v>
      </c>
      <c r="BC52" s="74">
        <f>+GETPIVOTDATA("XBC4",'bauchinh (2016)'!$A$3,"MA_HT","DSH","MA_QH","MNC")</f>
        <v>0</v>
      </c>
      <c r="BD52" s="35">
        <f>+GETPIVOTDATA("XBC4",'bauchinh (2016)'!$A$3,"MA_HT","DSH","MA_QH","PNK")</f>
        <v>0</v>
      </c>
      <c r="BE52" s="58">
        <f>+GETPIVOTDATA("XBC4",'bauchinh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+GETPIVOTDATA("XBC4",'bauchinh (2016)'!$A$3,"MA_HT","DKV","MA_QH","LUC")</f>
        <v>0</v>
      </c>
      <c r="H53" s="35">
        <f>+GETPIVOTDATA("XBC4",'bauchinh (2016)'!$A$3,"MA_HT","DKV","MA_QH","LUK")</f>
        <v>0</v>
      </c>
      <c r="I53" s="35">
        <f>+GETPIVOTDATA("XBC4",'bauchinh (2016)'!$A$3,"MA_HT","DKV","MA_QH","LUN")</f>
        <v>0</v>
      </c>
      <c r="J53" s="35">
        <f>+GETPIVOTDATA("XBC4",'bauchinh (2016)'!$A$3,"MA_HT","DKV","MA_QH","HNK")</f>
        <v>0</v>
      </c>
      <c r="K53" s="35">
        <f>+GETPIVOTDATA("XBC4",'bauchinh (2016)'!$A$3,"MA_HT","DKV","MA_QH","CLN")</f>
        <v>0</v>
      </c>
      <c r="L53" s="35">
        <f>+GETPIVOTDATA("XBC4",'bauchinh (2016)'!$A$3,"MA_HT","DKV","MA_QH","RSX")</f>
        <v>0</v>
      </c>
      <c r="M53" s="35">
        <f>+GETPIVOTDATA("XBC4",'bauchinh (2016)'!$A$3,"MA_HT","DKV","MA_QH","RPH")</f>
        <v>0</v>
      </c>
      <c r="N53" s="35">
        <f>+GETPIVOTDATA("XBC4",'bauchinh (2016)'!$A$3,"MA_HT","DKV","MA_QH","RDD")</f>
        <v>0</v>
      </c>
      <c r="O53" s="35">
        <f>+GETPIVOTDATA("XBC4",'bauchinh (2016)'!$A$3,"MA_HT","DKV","MA_QH","NTS")</f>
        <v>0</v>
      </c>
      <c r="P53" s="35">
        <f>+GETPIVOTDATA("XBC4",'bauchinh (2016)'!$A$3,"MA_HT","DKV","MA_QH","LMU")</f>
        <v>0</v>
      </c>
      <c r="Q53" s="35">
        <f>+GETPIVOTDATA("XBC4",'bauchinh (2016)'!$A$3,"MA_HT","DKV","MA_QH","NKH")</f>
        <v>0</v>
      </c>
      <c r="R53" s="106">
        <f>SUM(S53:AA53,AN53:AY53,BB53:BD53)</f>
        <v>0</v>
      </c>
      <c r="S53" s="35">
        <f>+GETPIVOTDATA("XBC4",'bauchinh (2016)'!$A$3,"MA_HT","DKV","MA_QH","CQP")</f>
        <v>0</v>
      </c>
      <c r="T53" s="35">
        <f>+GETPIVOTDATA("XBC4",'bauchinh (2016)'!$A$3,"MA_HT","DKV","MA_QH","CAN")</f>
        <v>0</v>
      </c>
      <c r="U53" s="35">
        <f>+GETPIVOTDATA("XBC4",'bauchinh (2016)'!$A$3,"MA_HT","DKV","MA_QH","SKK")</f>
        <v>0</v>
      </c>
      <c r="V53" s="35">
        <f>+GETPIVOTDATA("XBC4",'bauchinh (2016)'!$A$3,"MA_HT","DKV","MA_QH","SKT")</f>
        <v>0</v>
      </c>
      <c r="W53" s="35">
        <f>+GETPIVOTDATA("XBC4",'bauchinh (2016)'!$A$3,"MA_HT","DKV","MA_QH","SKN")</f>
        <v>0</v>
      </c>
      <c r="X53" s="35">
        <f>+GETPIVOTDATA("XBC4",'bauchinh (2016)'!$A$3,"MA_HT","DKV","MA_QH","TMD")</f>
        <v>0</v>
      </c>
      <c r="Y53" s="35">
        <f>+GETPIVOTDATA("XBC4",'bauchinh (2016)'!$A$3,"MA_HT","DKV","MA_QH","SKC")</f>
        <v>0</v>
      </c>
      <c r="Z53" s="35">
        <f>+GETPIVOTDATA("XBC4",'bauchinh (2016)'!$A$3,"MA_HT","DKV","MA_QH","SKS")</f>
        <v>0</v>
      </c>
      <c r="AA53" s="64">
        <f t="shared" si="21"/>
        <v>0</v>
      </c>
      <c r="AB53" s="35">
        <f>+GETPIVOTDATA("XBC4",'bauchinh (2016)'!$A$3,"MA_HT","DKV","MA_QH","DGT")</f>
        <v>0</v>
      </c>
      <c r="AC53" s="35">
        <f>+GETPIVOTDATA("XBC4",'bauchinh (2016)'!$A$3,"MA_HT","DKV","MA_QH","DTL")</f>
        <v>0</v>
      </c>
      <c r="AD53" s="35">
        <f>+GETPIVOTDATA("XBC4",'bauchinh (2016)'!$A$3,"MA_HT","DKV","MA_QH","DNL")</f>
        <v>0</v>
      </c>
      <c r="AE53" s="35">
        <f>+GETPIVOTDATA("XBC4",'bauchinh (2016)'!$A$3,"MA_HT","DKV","MA_QH","DBV")</f>
        <v>0</v>
      </c>
      <c r="AF53" s="35">
        <f>+GETPIVOTDATA("XBC4",'bauchinh (2016)'!$A$3,"MA_HT","DKV","MA_QH","DVH")</f>
        <v>0</v>
      </c>
      <c r="AG53" s="35">
        <f>+GETPIVOTDATA("XBC4",'bauchinh (2016)'!$A$3,"MA_HT","DKV","MA_QH","DYT")</f>
        <v>0</v>
      </c>
      <c r="AH53" s="35">
        <f>+GETPIVOTDATA("XBC4",'bauchinh (2016)'!$A$3,"MA_HT","DKV","MA_QH","DGD")</f>
        <v>0</v>
      </c>
      <c r="AI53" s="35">
        <f>+GETPIVOTDATA("XBC4",'bauchinh (2016)'!$A$3,"MA_HT","DKV","MA_QH","DTT")</f>
        <v>0</v>
      </c>
      <c r="AJ53" s="35">
        <f>+GETPIVOTDATA("XBC4",'bauchinh (2016)'!$A$3,"MA_HT","DKV","MA_QH","NCK")</f>
        <v>0</v>
      </c>
      <c r="AK53" s="35">
        <f>+GETPIVOTDATA("XBC4",'bauchinh (2016)'!$A$3,"MA_HT","DKV","MA_QH","DXH")</f>
        <v>0</v>
      </c>
      <c r="AL53" s="35">
        <f>+GETPIVOTDATA("XBC4",'bauchinh (2016)'!$A$3,"MA_HT","DKV","MA_QH","DCH")</f>
        <v>0</v>
      </c>
      <c r="AM53" s="35">
        <f>+GETPIVOTDATA("XBC4",'bauchinh (2016)'!$A$3,"MA_HT","DKV","MA_QH","DKG")</f>
        <v>0</v>
      </c>
      <c r="AN53" s="35">
        <f>+GETPIVOTDATA("XBC4",'bauchinh (2016)'!$A$3,"MA_HT","DKV","MA_QH","DDT")</f>
        <v>0</v>
      </c>
      <c r="AO53" s="35">
        <f>+GETPIVOTDATA("XBC4",'bauchinh (2016)'!$A$3,"MA_HT","DKV","MA_QH","DDL")</f>
        <v>0</v>
      </c>
      <c r="AP53" s="35">
        <f>+GETPIVOTDATA("XBC4",'bauchinh (2016)'!$A$3,"MA_HT","DKV","MA_QH","DRA")</f>
        <v>0</v>
      </c>
      <c r="AQ53" s="35">
        <f>+GETPIVOTDATA("XBC4",'bauchinh (2016)'!$A$3,"MA_HT","DKV","MA_QH","ONT")</f>
        <v>0</v>
      </c>
      <c r="AR53" s="35">
        <f>+GETPIVOTDATA("XBC4",'bauchinh (2016)'!$A$3,"MA_HT","DKV","MA_QH","ODT")</f>
        <v>0</v>
      </c>
      <c r="AS53" s="35">
        <f>+GETPIVOTDATA("XBC4",'bauchinh (2016)'!$A$3,"MA_HT","DKV","MA_QH","TSC")</f>
        <v>0</v>
      </c>
      <c r="AT53" s="35">
        <f>+GETPIVOTDATA("XBC4",'bauchinh (2016)'!$A$3,"MA_HT","DKV","MA_QH","DTS")</f>
        <v>0</v>
      </c>
      <c r="AU53" s="35">
        <f>+GETPIVOTDATA("XBC4",'bauchinh (2016)'!$A$3,"MA_HT","DKV","MA_QH","DNG")</f>
        <v>0</v>
      </c>
      <c r="AV53" s="35">
        <f>+GETPIVOTDATA("XBC4",'bauchinh (2016)'!$A$3,"MA_HT","DKV","MA_QH","TON")</f>
        <v>0</v>
      </c>
      <c r="AW53" s="35">
        <f>+GETPIVOTDATA("XBC4",'bauchinh (2016)'!$A$3,"MA_HT","DKV","MA_QH","NTD")</f>
        <v>0</v>
      </c>
      <c r="AX53" s="35">
        <f>+GETPIVOTDATA("XBC4",'bauchinh (2016)'!$A$3,"MA_HT","DKV","MA_QH","SKX")</f>
        <v>0</v>
      </c>
      <c r="AY53" s="35">
        <f>+GETPIVOTDATA("XBC4",'bauchinh (2016)'!$A$3,"MA_HT","DKV","MA_QH","DSH")</f>
        <v>0</v>
      </c>
      <c r="AZ53" s="99" t="e">
        <f>$D53-$BF53</f>
        <v>#REF!</v>
      </c>
      <c r="BA53" s="140">
        <f>+GETPIVOTDATA("XBC4",'bauchinh (2016)'!$A$3,"MA_HT","DKV","MA_QH","TIN")</f>
        <v>0</v>
      </c>
      <c r="BB53" s="74">
        <f>+GETPIVOTDATA("XBC4",'bauchinh (2016)'!$A$3,"MA_HT","DKV","MA_QH","SON")</f>
        <v>0</v>
      </c>
      <c r="BC53" s="74">
        <f>+GETPIVOTDATA("XBC4",'bauchinh (2016)'!$A$3,"MA_HT","DKV","MA_QH","MNC")</f>
        <v>0</v>
      </c>
      <c r="BD53" s="35">
        <f>+GETPIVOTDATA("XBC4",'bauchinh (2016)'!$A$3,"MA_HT","DKV","MA_QH","PNK")</f>
        <v>0</v>
      </c>
      <c r="BE53" s="58">
        <f>+GETPIVOTDATA("XBC4",'bauchinh (2016)'!$A$3,"MA_HT","DKV","MA_QH","CSD")</f>
        <v>0</v>
      </c>
      <c r="BF53" s="66">
        <f>BE53+R53+E53</f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+GETPIVOTDATA("XBC4",'bauchinh (2016)'!$A$3,"MA_HT","TIN","MA_QH","LUC")</f>
        <v>0</v>
      </c>
      <c r="H54" s="35">
        <f>+GETPIVOTDATA("XBC4",'bauchinh (2016)'!$A$3,"MA_HT","TIN","MA_QH","LUK")</f>
        <v>0</v>
      </c>
      <c r="I54" s="35">
        <f>+GETPIVOTDATA("XBC4",'bauchinh (2016)'!$A$3,"MA_HT","TIN","MA_QH","LUN")</f>
        <v>0</v>
      </c>
      <c r="J54" s="35">
        <f>+GETPIVOTDATA("XBC4",'bauchinh (2016)'!$A$3,"MA_HT","TIN","MA_QH","HNK")</f>
        <v>0</v>
      </c>
      <c r="K54" s="35">
        <f>+GETPIVOTDATA("XBC4",'bauchinh (2016)'!$A$3,"MA_HT","TIN","MA_QH","CLN")</f>
        <v>0</v>
      </c>
      <c r="L54" s="35">
        <f>+GETPIVOTDATA("XBC4",'bauchinh (2016)'!$A$3,"MA_HT","TIN","MA_QH","RSX")</f>
        <v>0</v>
      </c>
      <c r="M54" s="35">
        <f>+GETPIVOTDATA("XBC4",'bauchinh (2016)'!$A$3,"MA_HT","TIN","MA_QH","RPH")</f>
        <v>0</v>
      </c>
      <c r="N54" s="35">
        <f>+GETPIVOTDATA("XBC4",'bauchinh (2016)'!$A$3,"MA_HT","TIN","MA_QH","RDD")</f>
        <v>0</v>
      </c>
      <c r="O54" s="35">
        <f>+GETPIVOTDATA("XBC4",'bauchinh (2016)'!$A$3,"MA_HT","TIN","MA_QH","NTS")</f>
        <v>0</v>
      </c>
      <c r="P54" s="35">
        <f>+GETPIVOTDATA("XBC4",'bauchinh (2016)'!$A$3,"MA_HT","TIN","MA_QH","LMU")</f>
        <v>0</v>
      </c>
      <c r="Q54" s="35">
        <f>+GETPIVOTDATA("XBC4",'bauchinh (2016)'!$A$3,"MA_HT","TIN","MA_QH","NKH")</f>
        <v>0</v>
      </c>
      <c r="R54" s="106">
        <f>SUM(S54:AA54,AN54:AZ54,BB54:BD54)</f>
        <v>0</v>
      </c>
      <c r="S54" s="35">
        <f>+GETPIVOTDATA("XBC4",'bauchinh (2016)'!$A$3,"MA_HT","TIN","MA_QH","CQP")</f>
        <v>0</v>
      </c>
      <c r="T54" s="35">
        <f>+GETPIVOTDATA("XBC4",'bauchinh (2016)'!$A$3,"MA_HT","TIN","MA_QH","CAN")</f>
        <v>0</v>
      </c>
      <c r="U54" s="35">
        <f>+GETPIVOTDATA("XBC4",'bauchinh (2016)'!$A$3,"MA_HT","TIN","MA_QH","SKK")</f>
        <v>0</v>
      </c>
      <c r="V54" s="35">
        <f>+GETPIVOTDATA("XBC4",'bauchinh (2016)'!$A$3,"MA_HT","TIN","MA_QH","SKT")</f>
        <v>0</v>
      </c>
      <c r="W54" s="35">
        <f>+GETPIVOTDATA("XBC4",'bauchinh (2016)'!$A$3,"MA_HT","TIN","MA_QH","SKN")</f>
        <v>0</v>
      </c>
      <c r="X54" s="35">
        <f>+GETPIVOTDATA("XBC4",'bauchinh (2016)'!$A$3,"MA_HT","TIN","MA_QH","TMD")</f>
        <v>0</v>
      </c>
      <c r="Y54" s="35">
        <f>+GETPIVOTDATA("XBC4",'bauchinh (2016)'!$A$3,"MA_HT","TIN","MA_QH","SKC")</f>
        <v>0</v>
      </c>
      <c r="Z54" s="35">
        <f>+GETPIVOTDATA("XBC4",'bauchinh (2016)'!$A$3,"MA_HT","TIN","MA_QH","SKS")</f>
        <v>0</v>
      </c>
      <c r="AA54" s="64">
        <f t="shared" si="21"/>
        <v>0</v>
      </c>
      <c r="AB54" s="35">
        <f>+GETPIVOTDATA("XBC4",'bauchinh (2016)'!$A$3,"MA_HT","TIN","MA_QH","DGT")</f>
        <v>0</v>
      </c>
      <c r="AC54" s="35">
        <f>+GETPIVOTDATA("XBC4",'bauchinh (2016)'!$A$3,"MA_HT","TIN","MA_QH","DTL")</f>
        <v>0</v>
      </c>
      <c r="AD54" s="35">
        <f>+GETPIVOTDATA("XBC4",'bauchinh (2016)'!$A$3,"MA_HT","TIN","MA_QH","DNL")</f>
        <v>0</v>
      </c>
      <c r="AE54" s="35">
        <f>+GETPIVOTDATA("XBC4",'bauchinh (2016)'!$A$3,"MA_HT","TIN","MA_QH","DBV")</f>
        <v>0</v>
      </c>
      <c r="AF54" s="35">
        <f>+GETPIVOTDATA("XBC4",'bauchinh (2016)'!$A$3,"MA_HT","TIN","MA_QH","DVH")</f>
        <v>0</v>
      </c>
      <c r="AG54" s="35">
        <f>+GETPIVOTDATA("XBC4",'bauchinh (2016)'!$A$3,"MA_HT","TIN","MA_QH","DYT")</f>
        <v>0</v>
      </c>
      <c r="AH54" s="35">
        <f>+GETPIVOTDATA("XBC4",'bauchinh (2016)'!$A$3,"MA_HT","TIN","MA_QH","DGD")</f>
        <v>0</v>
      </c>
      <c r="AI54" s="35">
        <f>+GETPIVOTDATA("XBC4",'bauchinh (2016)'!$A$3,"MA_HT","TIN","MA_QH","DTT")</f>
        <v>0</v>
      </c>
      <c r="AJ54" s="35">
        <f>+GETPIVOTDATA("XBC4",'bauchinh (2016)'!$A$3,"MA_HT","TIN","MA_QH","NCK")</f>
        <v>0</v>
      </c>
      <c r="AK54" s="35">
        <f>+GETPIVOTDATA("XBC4",'bauchinh (2016)'!$A$3,"MA_HT","TIN","MA_QH","DXH")</f>
        <v>0</v>
      </c>
      <c r="AL54" s="35">
        <f>+GETPIVOTDATA("XBC4",'bauchinh (2016)'!$A$3,"MA_HT","TIN","MA_QH","DCH")</f>
        <v>0</v>
      </c>
      <c r="AM54" s="35">
        <f>+GETPIVOTDATA("XBC4",'bauchinh (2016)'!$A$3,"MA_HT","TIN","MA_QH","DKG")</f>
        <v>0</v>
      </c>
      <c r="AN54" s="35">
        <f>+GETPIVOTDATA("XBC4",'bauchinh (2016)'!$A$3,"MA_HT","TIN","MA_QH","DDT")</f>
        <v>0</v>
      </c>
      <c r="AO54" s="35">
        <f>+GETPIVOTDATA("XBC4",'bauchinh (2016)'!$A$3,"MA_HT","TIN","MA_QH","DDL")</f>
        <v>0</v>
      </c>
      <c r="AP54" s="35">
        <f>+GETPIVOTDATA("XBC4",'bauchinh (2016)'!$A$3,"MA_HT","TIN","MA_QH","DRA")</f>
        <v>0</v>
      </c>
      <c r="AQ54" s="35">
        <f>+GETPIVOTDATA("XBC4",'bauchinh (2016)'!$A$3,"MA_HT","TIN","MA_QH","ONT")</f>
        <v>0</v>
      </c>
      <c r="AR54" s="35">
        <f>+GETPIVOTDATA("XBC4",'bauchinh (2016)'!$A$3,"MA_HT","TIN","MA_QH","ODT")</f>
        <v>0</v>
      </c>
      <c r="AS54" s="35">
        <f>+GETPIVOTDATA("XBC4",'bauchinh (2016)'!$A$3,"MA_HT","TIN","MA_QH","TSC")</f>
        <v>0</v>
      </c>
      <c r="AT54" s="35">
        <f>+GETPIVOTDATA("XBC4",'bauchinh (2016)'!$A$3,"MA_HT","TIN","MA_QH","DTS")</f>
        <v>0</v>
      </c>
      <c r="AU54" s="35">
        <f>+GETPIVOTDATA("XBC4",'bauchinh (2016)'!$A$3,"MA_HT","TIN","MA_QH","DNG")</f>
        <v>0</v>
      </c>
      <c r="AV54" s="35">
        <f>+GETPIVOTDATA("XBC4",'bauchinh (2016)'!$A$3,"MA_HT","TIN","MA_QH","TON")</f>
        <v>0</v>
      </c>
      <c r="AW54" s="35">
        <f>+GETPIVOTDATA("XBC4",'bauchinh (2016)'!$A$3,"MA_HT","TIN","MA_QH","NTD")</f>
        <v>0</v>
      </c>
      <c r="AX54" s="35">
        <f>+GETPIVOTDATA("XBC4",'bauchinh (2016)'!$A$3,"MA_HT","TIN","MA_QH","SKX")</f>
        <v>0</v>
      </c>
      <c r="AY54" s="35">
        <f>+GETPIVOTDATA("XBC4",'bauchinh (2016)'!$A$3,"MA_HT","TIN","MA_QH","DSH")</f>
        <v>0</v>
      </c>
      <c r="AZ54" s="35">
        <f>+GETPIVOTDATA("XBC4",'bauchinh (2016)'!$A$3,"MA_HT","TIN","MA_QH","DKV")</f>
        <v>0</v>
      </c>
      <c r="BA54" s="99" t="e">
        <f>$D54-$BF54</f>
        <v>#REF!</v>
      </c>
      <c r="BB54" s="35">
        <f>+GETPIVOTDATA("XBC4",'bauchinh (2016)'!$A$3,"MA_HT","TIN","MA_QH","SON")</f>
        <v>0</v>
      </c>
      <c r="BC54" s="35">
        <f>+GETPIVOTDATA("XBC4",'bauchinh (2016)'!$A$3,"MA_HT","TIN","MA_QH","MNC")</f>
        <v>0</v>
      </c>
      <c r="BD54" s="35">
        <f>+GETPIVOTDATA("XBC4",'bauchinh (2016)'!$A$3,"MA_HT","TIN","MA_QH","PNK")</f>
        <v>0</v>
      </c>
      <c r="BE54" s="58">
        <f>+GETPIVOTDATA("XBC4",'bauchinh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+GETPIVOTDATA("XBC4",'bauchinh (2016)'!$A$3,"MA_HT","SON","MA_QH","LUC")</f>
        <v>0</v>
      </c>
      <c r="H55" s="35">
        <f>+GETPIVOTDATA("XBC4",'bauchinh (2016)'!$A$3,"MA_HT","SON","MA_QH","LUK")</f>
        <v>0</v>
      </c>
      <c r="I55" s="35">
        <f>+GETPIVOTDATA("XBC4",'bauchinh (2016)'!$A$3,"MA_HT","SON","MA_QH","LUN")</f>
        <v>0</v>
      </c>
      <c r="J55" s="35">
        <f>+GETPIVOTDATA("XBC4",'bauchinh (2016)'!$A$3,"MA_HT","SON","MA_QH","HNK")</f>
        <v>0</v>
      </c>
      <c r="K55" s="35">
        <f>+GETPIVOTDATA("XBC4",'bauchinh (2016)'!$A$3,"MA_HT","SON","MA_QH","CLN")</f>
        <v>0</v>
      </c>
      <c r="L55" s="35">
        <f>+GETPIVOTDATA("XBC4",'bauchinh (2016)'!$A$3,"MA_HT","SON","MA_QH","RSX")</f>
        <v>0</v>
      </c>
      <c r="M55" s="35">
        <f>+GETPIVOTDATA("XBC4",'bauchinh (2016)'!$A$3,"MA_HT","SON","MA_QH","RPH")</f>
        <v>0</v>
      </c>
      <c r="N55" s="35">
        <f>+GETPIVOTDATA("XBC4",'bauchinh (2016)'!$A$3,"MA_HT","SON","MA_QH","RDD")</f>
        <v>0</v>
      </c>
      <c r="O55" s="35">
        <f>+GETPIVOTDATA("XBC4",'bauchinh (2016)'!$A$3,"MA_HT","SON","MA_QH","NTS")</f>
        <v>0</v>
      </c>
      <c r="P55" s="35">
        <f>+GETPIVOTDATA("XBC4",'bauchinh (2016)'!$A$3,"MA_HT","SON","MA_QH","LMU")</f>
        <v>0</v>
      </c>
      <c r="Q55" s="35">
        <f>+GETPIVOTDATA("XBC4",'bauchinh (2016)'!$A$3,"MA_HT","SON","MA_QH","NKH")</f>
        <v>0</v>
      </c>
      <c r="R55" s="106">
        <f>SUM(S55:AA55,AN55:AZ55,BC55:BD55)</f>
        <v>0</v>
      </c>
      <c r="S55" s="35">
        <f>+GETPIVOTDATA("XBC4",'bauchinh (2016)'!$A$3,"MA_HT","SON","MA_QH","CQP")</f>
        <v>0</v>
      </c>
      <c r="T55" s="35">
        <f>+GETPIVOTDATA("XBC4",'bauchinh (2016)'!$A$3,"MA_HT","SON","MA_QH","CAN")</f>
        <v>0</v>
      </c>
      <c r="U55" s="35">
        <f>+GETPIVOTDATA("XBC4",'bauchinh (2016)'!$A$3,"MA_HT","SON","MA_QH","SKK")</f>
        <v>0</v>
      </c>
      <c r="V55" s="35">
        <f>+GETPIVOTDATA("XBC4",'bauchinh (2016)'!$A$3,"MA_HT","SON","MA_QH","SKT")</f>
        <v>0</v>
      </c>
      <c r="W55" s="35">
        <f>+GETPIVOTDATA("XBC4",'bauchinh (2016)'!$A$3,"MA_HT","SON","MA_QH","SKN")</f>
        <v>0</v>
      </c>
      <c r="X55" s="35">
        <f>+GETPIVOTDATA("XBC4",'bauchinh (2016)'!$A$3,"MA_HT","SON","MA_QH","TMD")</f>
        <v>0</v>
      </c>
      <c r="Y55" s="35">
        <f>+GETPIVOTDATA("XBC4",'bauchinh (2016)'!$A$3,"MA_HT","SON","MA_QH","SKC")</f>
        <v>0</v>
      </c>
      <c r="Z55" s="35">
        <f>+GETPIVOTDATA("XBC4",'bauchinh (2016)'!$A$3,"MA_HT","SON","MA_QH","SKS")</f>
        <v>0</v>
      </c>
      <c r="AA55" s="64">
        <f t="shared" si="21"/>
        <v>0</v>
      </c>
      <c r="AB55" s="35">
        <f>+GETPIVOTDATA("XBC4",'bauchinh (2016)'!$A$3,"MA_HT","SON","MA_QH","DGT")</f>
        <v>0</v>
      </c>
      <c r="AC55" s="35">
        <f>+GETPIVOTDATA("XBC4",'bauchinh (2016)'!$A$3,"MA_HT","SON","MA_QH","DTL")</f>
        <v>0</v>
      </c>
      <c r="AD55" s="35">
        <f>+GETPIVOTDATA("XBC4",'bauchinh (2016)'!$A$3,"MA_HT","SON","MA_QH","DNL")</f>
        <v>0</v>
      </c>
      <c r="AE55" s="35">
        <f>+GETPIVOTDATA("XBC4",'bauchinh (2016)'!$A$3,"MA_HT","SON","MA_QH","DBV")</f>
        <v>0</v>
      </c>
      <c r="AF55" s="35">
        <f>+GETPIVOTDATA("XBC4",'bauchinh (2016)'!$A$3,"MA_HT","SON","MA_QH","DVH")</f>
        <v>0</v>
      </c>
      <c r="AG55" s="35">
        <f>+GETPIVOTDATA("XBC4",'bauchinh (2016)'!$A$3,"MA_HT","SON","MA_QH","DYT")</f>
        <v>0</v>
      </c>
      <c r="AH55" s="35">
        <f>+GETPIVOTDATA("XBC4",'bauchinh (2016)'!$A$3,"MA_HT","SON","MA_QH","DGD")</f>
        <v>0</v>
      </c>
      <c r="AI55" s="35">
        <f>+GETPIVOTDATA("XBC4",'bauchinh (2016)'!$A$3,"MA_HT","SON","MA_QH","DTT")</f>
        <v>0</v>
      </c>
      <c r="AJ55" s="35">
        <f>+GETPIVOTDATA("XBC4",'bauchinh (2016)'!$A$3,"MA_HT","SON","MA_QH","NCK")</f>
        <v>0</v>
      </c>
      <c r="AK55" s="35">
        <f>+GETPIVOTDATA("XBC4",'bauchinh (2016)'!$A$3,"MA_HT","SON","MA_QH","DXH")</f>
        <v>0</v>
      </c>
      <c r="AL55" s="35">
        <f>+GETPIVOTDATA("XBC4",'bauchinh (2016)'!$A$3,"MA_HT","SON","MA_QH","DCH")</f>
        <v>0</v>
      </c>
      <c r="AM55" s="35">
        <f>+GETPIVOTDATA("XBC4",'bauchinh (2016)'!$A$3,"MA_HT","SON","MA_QH","DKG")</f>
        <v>0</v>
      </c>
      <c r="AN55" s="35">
        <f>+GETPIVOTDATA("XBC4",'bauchinh (2016)'!$A$3,"MA_HT","SON","MA_QH","DDT")</f>
        <v>0</v>
      </c>
      <c r="AO55" s="35">
        <f>+GETPIVOTDATA("XBC4",'bauchinh (2016)'!$A$3,"MA_HT","SON","MA_QH","DDL")</f>
        <v>0</v>
      </c>
      <c r="AP55" s="35">
        <f>+GETPIVOTDATA("XBC4",'bauchinh (2016)'!$A$3,"MA_HT","SON","MA_QH","DRA")</f>
        <v>0</v>
      </c>
      <c r="AQ55" s="35">
        <f>+GETPIVOTDATA("XBC4",'bauchinh (2016)'!$A$3,"MA_HT","SON","MA_QH","ONT")</f>
        <v>0</v>
      </c>
      <c r="AR55" s="35">
        <f>+GETPIVOTDATA("XBC4",'bauchinh (2016)'!$A$3,"MA_HT","SON","MA_QH","ODT")</f>
        <v>0</v>
      </c>
      <c r="AS55" s="35">
        <f>+GETPIVOTDATA("XBC4",'bauchinh (2016)'!$A$3,"MA_HT","SON","MA_QH","TSC")</f>
        <v>0</v>
      </c>
      <c r="AT55" s="35">
        <f>+GETPIVOTDATA("XBC4",'bauchinh (2016)'!$A$3,"MA_HT","SON","MA_QH","DTS")</f>
        <v>0</v>
      </c>
      <c r="AU55" s="35">
        <f>+GETPIVOTDATA("XBC4",'bauchinh (2016)'!$A$3,"MA_HT","SON","MA_QH","DNG")</f>
        <v>0</v>
      </c>
      <c r="AV55" s="35">
        <f>+GETPIVOTDATA("XBC4",'bauchinh (2016)'!$A$3,"MA_HT","SON","MA_QH","TON")</f>
        <v>0</v>
      </c>
      <c r="AW55" s="35">
        <f>+GETPIVOTDATA("XBC4",'bauchinh (2016)'!$A$3,"MA_HT","SON","MA_QH","NTD")</f>
        <v>0</v>
      </c>
      <c r="AX55" s="35">
        <f>+GETPIVOTDATA("XBC4",'bauchinh (2016)'!$A$3,"MA_HT","SON","MA_QH","SKX")</f>
        <v>0</v>
      </c>
      <c r="AY55" s="35">
        <f>+GETPIVOTDATA("XBC4",'bauchinh (2016)'!$A$3,"MA_HT","SON","MA_QH","DSH")</f>
        <v>0</v>
      </c>
      <c r="AZ55" s="35">
        <f>+GETPIVOTDATA("XBC4",'bauchinh (2016)'!$A$3,"MA_HT","SON","MA_QH","DKV")</f>
        <v>0</v>
      </c>
      <c r="BA55" s="140">
        <f>+GETPIVOTDATA("XBC4",'bauchinh (2016)'!$A$3,"MA_HT","SON","MA_QH","TIN")</f>
        <v>0</v>
      </c>
      <c r="BB55" s="99" t="e">
        <f>$D55-$BF55</f>
        <v>#REF!</v>
      </c>
      <c r="BC55" s="74">
        <f>+GETPIVOTDATA("XBC4",'bauchinh (2016)'!$A$3,"MA_HT","SON","MA_QH","MNC")</f>
        <v>0</v>
      </c>
      <c r="BD55" s="35">
        <f>+GETPIVOTDATA("XBC4",'bauchinh (2016)'!$A$3,"MA_HT","SON","MA_QH","PNK")</f>
        <v>0</v>
      </c>
      <c r="BE55" s="58">
        <f>+GETPIVOTDATA("XBC4",'bauchinh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+GETPIVOTDATA("XBC4",'bauchinh (2016)'!$A$3,"MA_HT","MNC","MA_QH","LUC")</f>
        <v>0</v>
      </c>
      <c r="H56" s="35">
        <f>+GETPIVOTDATA("XBC4",'bauchinh (2016)'!$A$3,"MA_HT","MNC","MA_QH","LUK")</f>
        <v>0</v>
      </c>
      <c r="I56" s="35">
        <f>+GETPIVOTDATA("XBC4",'bauchinh (2016)'!$A$3,"MA_HT","MNC","MA_QH","LUN")</f>
        <v>0</v>
      </c>
      <c r="J56" s="35">
        <f>+GETPIVOTDATA("XBC4",'bauchinh (2016)'!$A$3,"MA_HT","MNC","MA_QH","HNK")</f>
        <v>0</v>
      </c>
      <c r="K56" s="35">
        <f>+GETPIVOTDATA("XBC4",'bauchinh (2016)'!$A$3,"MA_HT","MNC","MA_QH","CLN")</f>
        <v>0</v>
      </c>
      <c r="L56" s="35">
        <f>+GETPIVOTDATA("XBC4",'bauchinh (2016)'!$A$3,"MA_HT","MNC","MA_QH","RSX")</f>
        <v>0</v>
      </c>
      <c r="M56" s="35">
        <f>+GETPIVOTDATA("XBC4",'bauchinh (2016)'!$A$3,"MA_HT","MNC","MA_QH","RPH")</f>
        <v>0</v>
      </c>
      <c r="N56" s="35">
        <f>+GETPIVOTDATA("XBC4",'bauchinh (2016)'!$A$3,"MA_HT","MNC","MA_QH","RDD")</f>
        <v>0</v>
      </c>
      <c r="O56" s="35">
        <f>+GETPIVOTDATA("XBC4",'bauchinh (2016)'!$A$3,"MA_HT","MNC","MA_QH","NTS")</f>
        <v>0</v>
      </c>
      <c r="P56" s="35">
        <f>+GETPIVOTDATA("XBC4",'bauchinh (2016)'!$A$3,"MA_HT","MNC","MA_QH","LMU")</f>
        <v>0</v>
      </c>
      <c r="Q56" s="35">
        <f>+GETPIVOTDATA("XBC4",'bauchinh (2016)'!$A$3,"MA_HT","MNC","MA_QH","NKH")</f>
        <v>0</v>
      </c>
      <c r="R56" s="106">
        <f>SUM(S56:AA56,AN56:BB56,BD56)</f>
        <v>0</v>
      </c>
      <c r="S56" s="35">
        <f>+GETPIVOTDATA("XBC4",'bauchinh (2016)'!$A$3,"MA_HT","MNC","MA_QH","CQP")</f>
        <v>0</v>
      </c>
      <c r="T56" s="35">
        <f>+GETPIVOTDATA("XBC4",'bauchinh (2016)'!$A$3,"MA_HT","MNC","MA_QH","CAN")</f>
        <v>0</v>
      </c>
      <c r="U56" s="35">
        <f>+GETPIVOTDATA("XBC4",'bauchinh (2016)'!$A$3,"MA_HT","MNC","MA_QH","SKK")</f>
        <v>0</v>
      </c>
      <c r="V56" s="35">
        <f>+GETPIVOTDATA("XBC4",'bauchinh (2016)'!$A$3,"MA_HT","MNC","MA_QH","SKT")</f>
        <v>0</v>
      </c>
      <c r="W56" s="35">
        <f>+GETPIVOTDATA("XBC4",'bauchinh (2016)'!$A$3,"MA_HT","MNC","MA_QH","SKN")</f>
        <v>0</v>
      </c>
      <c r="X56" s="35">
        <f>+GETPIVOTDATA("XBC4",'bauchinh (2016)'!$A$3,"MA_HT","MNC","MA_QH","TMD")</f>
        <v>0</v>
      </c>
      <c r="Y56" s="35">
        <f>+GETPIVOTDATA("XBC4",'bauchinh (2016)'!$A$3,"MA_HT","MNC","MA_QH","SKC")</f>
        <v>0</v>
      </c>
      <c r="Z56" s="35">
        <f>+GETPIVOTDATA("XBC4",'bauchinh (2016)'!$A$3,"MA_HT","MNC","MA_QH","SKS")</f>
        <v>0</v>
      </c>
      <c r="AA56" s="64">
        <f t="shared" si="21"/>
        <v>0</v>
      </c>
      <c r="AB56" s="35">
        <f>+GETPIVOTDATA("XBC4",'bauchinh (2016)'!$A$3,"MA_HT","MNC","MA_QH","DGT")</f>
        <v>0</v>
      </c>
      <c r="AC56" s="35">
        <f>+GETPIVOTDATA("XBC4",'bauchinh (2016)'!$A$3,"MA_HT","MNC","MA_QH","DTL")</f>
        <v>0</v>
      </c>
      <c r="AD56" s="35">
        <f>+GETPIVOTDATA("XBC4",'bauchinh (2016)'!$A$3,"MA_HT","MNC","MA_QH","DNL")</f>
        <v>0</v>
      </c>
      <c r="AE56" s="35">
        <f>+GETPIVOTDATA("XBC4",'bauchinh (2016)'!$A$3,"MA_HT","MNC","MA_QH","DBV")</f>
        <v>0</v>
      </c>
      <c r="AF56" s="35">
        <f>+GETPIVOTDATA("XBC4",'bauchinh (2016)'!$A$3,"MA_HT","MNC","MA_QH","DVH")</f>
        <v>0</v>
      </c>
      <c r="AG56" s="35">
        <f>+GETPIVOTDATA("XBC4",'bauchinh (2016)'!$A$3,"MA_HT","MNC","MA_QH","DYT")</f>
        <v>0</v>
      </c>
      <c r="AH56" s="35">
        <f>+GETPIVOTDATA("XBC4",'bauchinh (2016)'!$A$3,"MA_HT","MNC","MA_QH","DGD")</f>
        <v>0</v>
      </c>
      <c r="AI56" s="35">
        <f>+GETPIVOTDATA("XBC4",'bauchinh (2016)'!$A$3,"MA_HT","MNC","MA_QH","DTT")</f>
        <v>0</v>
      </c>
      <c r="AJ56" s="35">
        <f>+GETPIVOTDATA("XBC4",'bauchinh (2016)'!$A$3,"MA_HT","MNC","MA_QH","NCK")</f>
        <v>0</v>
      </c>
      <c r="AK56" s="35">
        <f>+GETPIVOTDATA("XBC4",'bauchinh (2016)'!$A$3,"MA_HT","MNC","MA_QH","DXH")</f>
        <v>0</v>
      </c>
      <c r="AL56" s="35">
        <f>+GETPIVOTDATA("XBC4",'bauchinh (2016)'!$A$3,"MA_HT","MNC","MA_QH","DCH")</f>
        <v>0</v>
      </c>
      <c r="AM56" s="35">
        <f>+GETPIVOTDATA("XBC4",'bauchinh (2016)'!$A$3,"MA_HT","MNC","MA_QH","DKG")</f>
        <v>0</v>
      </c>
      <c r="AN56" s="35">
        <f>+GETPIVOTDATA("XBC4",'bauchinh (2016)'!$A$3,"MA_HT","MNC","MA_QH","DDT")</f>
        <v>0</v>
      </c>
      <c r="AO56" s="35">
        <f>+GETPIVOTDATA("XBC4",'bauchinh (2016)'!$A$3,"MA_HT","MNC","MA_QH","DDL")</f>
        <v>0</v>
      </c>
      <c r="AP56" s="35">
        <f>+GETPIVOTDATA("XBC4",'bauchinh (2016)'!$A$3,"MA_HT","MNC","MA_QH","DRA")</f>
        <v>0</v>
      </c>
      <c r="AQ56" s="35">
        <f>+GETPIVOTDATA("XBC4",'bauchinh (2016)'!$A$3,"MA_HT","MNC","MA_QH","ONT")</f>
        <v>0</v>
      </c>
      <c r="AR56" s="35">
        <f>+GETPIVOTDATA("XBC4",'bauchinh (2016)'!$A$3,"MA_HT","MNC","MA_QH","ODT")</f>
        <v>0</v>
      </c>
      <c r="AS56" s="35">
        <f>+GETPIVOTDATA("XBC4",'bauchinh (2016)'!$A$3,"MA_HT","MNC","MA_QH","TSC")</f>
        <v>0</v>
      </c>
      <c r="AT56" s="35">
        <f>+GETPIVOTDATA("XBC4",'bauchinh (2016)'!$A$3,"MA_HT","MNC","MA_QH","DTS")</f>
        <v>0</v>
      </c>
      <c r="AU56" s="35">
        <f>+GETPIVOTDATA("XBC4",'bauchinh (2016)'!$A$3,"MA_HT","MNC","MA_QH","DNG")</f>
        <v>0</v>
      </c>
      <c r="AV56" s="35">
        <f>+GETPIVOTDATA("XBC4",'bauchinh (2016)'!$A$3,"MA_HT","MNC","MA_QH","TON")</f>
        <v>0</v>
      </c>
      <c r="AW56" s="35">
        <f>+GETPIVOTDATA("XBC4",'bauchinh (2016)'!$A$3,"MA_HT","MNC","MA_QH","NTD")</f>
        <v>0</v>
      </c>
      <c r="AX56" s="35">
        <f>+GETPIVOTDATA("XBC4",'bauchinh (2016)'!$A$3,"MA_HT","MNC","MA_QH","SKX")</f>
        <v>0</v>
      </c>
      <c r="AY56" s="35">
        <f>+GETPIVOTDATA("XBC4",'bauchinh (2016)'!$A$3,"MA_HT","MNC","MA_QH","DSH")</f>
        <v>0</v>
      </c>
      <c r="AZ56" s="35">
        <f>+GETPIVOTDATA("XBC4",'bauchinh (2016)'!$A$3,"MA_HT","MNC","MA_QH","DKV")</f>
        <v>0</v>
      </c>
      <c r="BA56" s="140">
        <f>+GETPIVOTDATA("XBC4",'bauchinh (2016)'!$A$3,"MA_HT","MNC","MA_QH","TIN")</f>
        <v>0</v>
      </c>
      <c r="BB56" s="74">
        <f>+GETPIVOTDATA("XBC4",'bauchinh (2016)'!$A$3,"MA_HT","MNC","MA_QH","SON")</f>
        <v>0</v>
      </c>
      <c r="BC56" s="99" t="e">
        <f>$D56-$BF56</f>
        <v>#REF!</v>
      </c>
      <c r="BD56" s="35">
        <f>+GETPIVOTDATA("XBC4",'bauchinh (2016)'!$A$3,"MA_HT","MNC","MA_QH","PNK")</f>
        <v>0</v>
      </c>
      <c r="BE56" s="58">
        <f>+GETPIVOTDATA("XBC4",'bauchinh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+GETPIVOTDATA("XBC4",'bauchinh (2016)'!$A$3,"MA_HT","PNK","MA_QH","LUC")</f>
        <v>0</v>
      </c>
      <c r="H57" s="35">
        <f>+GETPIVOTDATA("XBC4",'bauchinh (2016)'!$A$3,"MA_HT","PNK","MA_QH","LUK")</f>
        <v>0</v>
      </c>
      <c r="I57" s="35">
        <f>+GETPIVOTDATA("XBC4",'bauchinh (2016)'!$A$3,"MA_HT","PNK","MA_QH","LUN")</f>
        <v>0</v>
      </c>
      <c r="J57" s="35">
        <f>+GETPIVOTDATA("XBC4",'bauchinh (2016)'!$A$3,"MA_HT","PNK","MA_QH","HNK")</f>
        <v>0</v>
      </c>
      <c r="K57" s="35">
        <f>+GETPIVOTDATA("XBC4",'bauchinh (2016)'!$A$3,"MA_HT","PNK","MA_QH","CLN")</f>
        <v>0</v>
      </c>
      <c r="L57" s="35">
        <f>+GETPIVOTDATA("XBC4",'bauchinh (2016)'!$A$3,"MA_HT","PNK","MA_QH","RSX")</f>
        <v>0</v>
      </c>
      <c r="M57" s="35">
        <f>+GETPIVOTDATA("XBC4",'bauchinh (2016)'!$A$3,"MA_HT","PNK","MA_QH","RPH")</f>
        <v>0</v>
      </c>
      <c r="N57" s="35">
        <f>+GETPIVOTDATA("XBC4",'bauchinh (2016)'!$A$3,"MA_HT","PNK","MA_QH","RDD")</f>
        <v>0</v>
      </c>
      <c r="O57" s="35">
        <f>+GETPIVOTDATA("XBC4",'bauchinh (2016)'!$A$3,"MA_HT","PNK","MA_QH","NTS")</f>
        <v>0</v>
      </c>
      <c r="P57" s="35">
        <f>+GETPIVOTDATA("XBC4",'bauchinh (2016)'!$A$3,"MA_HT","PNK","MA_QH","LMU")</f>
        <v>0</v>
      </c>
      <c r="Q57" s="35">
        <f>+GETPIVOTDATA("XBC4",'bauchinh (2016)'!$A$3,"MA_HT","PNK","MA_QH","NKH")</f>
        <v>0</v>
      </c>
      <c r="R57" s="106">
        <f>SUM(S57:AA57,AN57:BC57)</f>
        <v>0</v>
      </c>
      <c r="S57" s="35">
        <f>+GETPIVOTDATA("XBC4",'bauchinh (2016)'!$A$3,"MA_HT","PNK","MA_QH","CQP")</f>
        <v>0</v>
      </c>
      <c r="T57" s="35">
        <f>+GETPIVOTDATA("XBC4",'bauchinh (2016)'!$A$3,"MA_HT","PNK","MA_QH","CAN")</f>
        <v>0</v>
      </c>
      <c r="U57" s="35">
        <f>+GETPIVOTDATA("XBC4",'bauchinh (2016)'!$A$3,"MA_HT","PNK","MA_QH","SKK")</f>
        <v>0</v>
      </c>
      <c r="V57" s="35">
        <f>+GETPIVOTDATA("XBC4",'bauchinh (2016)'!$A$3,"MA_HT","PNK","MA_QH","SKT")</f>
        <v>0</v>
      </c>
      <c r="W57" s="35">
        <f>+GETPIVOTDATA("XBC4",'bauchinh (2016)'!$A$3,"MA_HT","PNK","MA_QH","SKN")</f>
        <v>0</v>
      </c>
      <c r="X57" s="35">
        <f>+GETPIVOTDATA("XBC4",'bauchinh (2016)'!$A$3,"MA_HT","PNK","MA_QH","TMD")</f>
        <v>0</v>
      </c>
      <c r="Y57" s="35">
        <f>+GETPIVOTDATA("XBC4",'bauchinh (2016)'!$A$3,"MA_HT","PNK","MA_QH","SKC")</f>
        <v>0</v>
      </c>
      <c r="Z57" s="35">
        <f>+GETPIVOTDATA("XBC4",'bauchinh (2016)'!$A$3,"MA_HT","PNK","MA_QH","SKS")</f>
        <v>0</v>
      </c>
      <c r="AA57" s="64">
        <f t="shared" si="21"/>
        <v>0</v>
      </c>
      <c r="AB57" s="35">
        <f>+GETPIVOTDATA("XBC4",'bauchinh (2016)'!$A$3,"MA_HT","PNK","MA_QH","DGT")</f>
        <v>0</v>
      </c>
      <c r="AC57" s="35">
        <f>+GETPIVOTDATA("XBC4",'bauchinh (2016)'!$A$3,"MA_HT","PNK","MA_QH","DTL")</f>
        <v>0</v>
      </c>
      <c r="AD57" s="35">
        <f>+GETPIVOTDATA("XBC4",'bauchinh (2016)'!$A$3,"MA_HT","PNK","MA_QH","DNL")</f>
        <v>0</v>
      </c>
      <c r="AE57" s="35">
        <f>+GETPIVOTDATA("XBC4",'bauchinh (2016)'!$A$3,"MA_HT","PNK","MA_QH","DBV")</f>
        <v>0</v>
      </c>
      <c r="AF57" s="35">
        <f>+GETPIVOTDATA("XBC4",'bauchinh (2016)'!$A$3,"MA_HT","PNK","MA_QH","DVH")</f>
        <v>0</v>
      </c>
      <c r="AG57" s="35">
        <f>+GETPIVOTDATA("XBC4",'bauchinh (2016)'!$A$3,"MA_HT","PNK","MA_QH","DYT")</f>
        <v>0</v>
      </c>
      <c r="AH57" s="35">
        <f>+GETPIVOTDATA("XBC4",'bauchinh (2016)'!$A$3,"MA_HT","PNK","MA_QH","DGD")</f>
        <v>0</v>
      </c>
      <c r="AI57" s="35">
        <f>+GETPIVOTDATA("XBC4",'bauchinh (2016)'!$A$3,"MA_HT","PNK","MA_QH","DTT")</f>
        <v>0</v>
      </c>
      <c r="AJ57" s="35">
        <f>+GETPIVOTDATA("XBC4",'bauchinh (2016)'!$A$3,"MA_HT","PNK","MA_QH","NCK")</f>
        <v>0</v>
      </c>
      <c r="AK57" s="35">
        <f>+GETPIVOTDATA("XBC4",'bauchinh (2016)'!$A$3,"MA_HT","PNK","MA_QH","DXH")</f>
        <v>0</v>
      </c>
      <c r="AL57" s="35">
        <f>+GETPIVOTDATA("XBC4",'bauchinh (2016)'!$A$3,"MA_HT","PNK","MA_QH","DCH")</f>
        <v>0</v>
      </c>
      <c r="AM57" s="35">
        <f>+GETPIVOTDATA("XBC4",'bauchinh (2016)'!$A$3,"MA_HT","PNK","MA_QH","DKG")</f>
        <v>0</v>
      </c>
      <c r="AN57" s="35">
        <f>+GETPIVOTDATA("XBC4",'bauchinh (2016)'!$A$3,"MA_HT","PNK","MA_QH","DDT")</f>
        <v>0</v>
      </c>
      <c r="AO57" s="35">
        <f>+GETPIVOTDATA("XBC4",'bauchinh (2016)'!$A$3,"MA_HT","PNK","MA_QH","DDL")</f>
        <v>0</v>
      </c>
      <c r="AP57" s="35">
        <f>+GETPIVOTDATA("XBC4",'bauchinh (2016)'!$A$3,"MA_HT","PNK","MA_QH","DRA")</f>
        <v>0</v>
      </c>
      <c r="AQ57" s="35">
        <f>+GETPIVOTDATA("XBC4",'bauchinh (2016)'!$A$3,"MA_HT","PNK","MA_QH","ONT")</f>
        <v>0</v>
      </c>
      <c r="AR57" s="35">
        <f>+GETPIVOTDATA("XBC4",'bauchinh (2016)'!$A$3,"MA_HT","PNK","MA_QH","ODT")</f>
        <v>0</v>
      </c>
      <c r="AS57" s="35">
        <f>+GETPIVOTDATA("XBC4",'bauchinh (2016)'!$A$3,"MA_HT","PNK","MA_QH","TSC")</f>
        <v>0</v>
      </c>
      <c r="AT57" s="35">
        <f>+GETPIVOTDATA("XBC4",'bauchinh (2016)'!$A$3,"MA_HT","PNK","MA_QH","DTS")</f>
        <v>0</v>
      </c>
      <c r="AU57" s="35">
        <f>+GETPIVOTDATA("XBC4",'bauchinh (2016)'!$A$3,"MA_HT","PNK","MA_QH","DNG")</f>
        <v>0</v>
      </c>
      <c r="AV57" s="35">
        <f>+GETPIVOTDATA("XBC4",'bauchinh (2016)'!$A$3,"MA_HT","PNK","MA_QH","TON")</f>
        <v>0</v>
      </c>
      <c r="AW57" s="35">
        <f>+GETPIVOTDATA("XBC4",'bauchinh (2016)'!$A$3,"MA_HT","PNK","MA_QH","NTD")</f>
        <v>0</v>
      </c>
      <c r="AX57" s="35">
        <f>+GETPIVOTDATA("XBC4",'bauchinh (2016)'!$A$3,"MA_HT","PNK","MA_QH","SKX")</f>
        <v>0</v>
      </c>
      <c r="AY57" s="35">
        <f>+GETPIVOTDATA("XBC4",'bauchinh (2016)'!$A$3,"MA_HT","PNK","MA_QH","DSH")</f>
        <v>0</v>
      </c>
      <c r="AZ57" s="35">
        <f>+GETPIVOTDATA("XBC4",'bauchinh (2016)'!$A$3,"MA_HT","PNK","MA_QH","DKV")</f>
        <v>0</v>
      </c>
      <c r="BA57" s="140">
        <f>+GETPIVOTDATA("XBC4",'bauchinh (2016)'!$A$3,"MA_HT","PNK","MA_QH","TIN")</f>
        <v>0</v>
      </c>
      <c r="BB57" s="74">
        <f>+GETPIVOTDATA("XBC4",'bauchinh (2016)'!$A$3,"MA_HT","PNK","MA_QH","SON")</f>
        <v>0</v>
      </c>
      <c r="BC57" s="74">
        <f>+GETPIVOTDATA("XBC4",'bauchinh (2016)'!$A$3,"MA_HT","PNK","MA_QH","MNC")</f>
        <v>0</v>
      </c>
      <c r="BD57" s="99" t="e">
        <f>$D57-$BF57</f>
        <v>#REF!</v>
      </c>
      <c r="BE57" s="58">
        <f>+GETPIVOTDATA("XBC4",'bauchinh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+GETPIVOTDATA("XBC4",'bauchinh (2016)'!$A$3,"MA_HT","CSD","MA_QH","LUC")</f>
        <v>0</v>
      </c>
      <c r="H58" s="58">
        <f>+GETPIVOTDATA("XBC4",'bauchinh (2016)'!$A$3,"MA_HT","CSD","MA_QH","LUK")</f>
        <v>0</v>
      </c>
      <c r="I58" s="58">
        <f>+GETPIVOTDATA("XBC4",'bauchinh (2016)'!$A$3,"MA_HT","CSD","MA_QH","LUN")</f>
        <v>0</v>
      </c>
      <c r="J58" s="58">
        <f>+GETPIVOTDATA("XBC4",'bauchinh (2016)'!$A$3,"MA_HT","CSD","MA_QH","HNK")</f>
        <v>0</v>
      </c>
      <c r="K58" s="58">
        <f>+GETPIVOTDATA("XBC4",'bauchinh (2016)'!$A$3,"MA_HT","CSD","MA_QH","CLN")</f>
        <v>0</v>
      </c>
      <c r="L58" s="58">
        <f>+GETPIVOTDATA("XBC4",'bauchinh (2016)'!$A$3,"MA_HT","CSD","MA_QH","RSX")</f>
        <v>0</v>
      </c>
      <c r="M58" s="58">
        <f>+GETPIVOTDATA("XBC4",'bauchinh (2016)'!$A$3,"MA_HT","CSD","MA_QH","RPH")</f>
        <v>0</v>
      </c>
      <c r="N58" s="58">
        <f>+GETPIVOTDATA("XBC4",'bauchinh (2016)'!$A$3,"MA_HT","CSD","MA_QH","RDD")</f>
        <v>0</v>
      </c>
      <c r="O58" s="58">
        <f>+GETPIVOTDATA("XBC4",'bauchinh (2016)'!$A$3,"MA_HT","CSD","MA_QH","NTS")</f>
        <v>0</v>
      </c>
      <c r="P58" s="58">
        <f>+GETPIVOTDATA("XBC4",'bauchinh (2016)'!$A$3,"MA_HT","CSD","MA_QH","LMU")</f>
        <v>0</v>
      </c>
      <c r="Q58" s="58">
        <f>+GETPIVOTDATA("XBC4",'bauchinh (2016)'!$A$3,"MA_HT","CSD","MA_QH","NKH")</f>
        <v>0</v>
      </c>
      <c r="R58" s="106">
        <f>SUM(S58:AA58,AN58:BD58)</f>
        <v>0</v>
      </c>
      <c r="S58" s="102">
        <f>+GETPIVOTDATA("XBC4",'bauchinh (2016)'!$A$3,"MA_HT","CSD","MA_QH","CQP")</f>
        <v>0</v>
      </c>
      <c r="T58" s="102">
        <f>+GETPIVOTDATA("XBC4",'bauchinh (2016)'!$A$3,"MA_HT","CSD","MA_QH","CAN")</f>
        <v>0</v>
      </c>
      <c r="U58" s="58">
        <f>+GETPIVOTDATA("XBC4",'bauchinh (2016)'!$A$3,"MA_HT","CSD","MA_QH","SKK")</f>
        <v>0</v>
      </c>
      <c r="V58" s="58">
        <f>+GETPIVOTDATA("XBC4",'bauchinh (2016)'!$A$3,"MA_HT","CSD","MA_QH","SKT")</f>
        <v>0</v>
      </c>
      <c r="W58" s="58">
        <f>+GETPIVOTDATA("XBC4",'bauchinh (2016)'!$A$3,"MA_HT","CSD","MA_QH","SKN")</f>
        <v>0</v>
      </c>
      <c r="X58" s="58">
        <f>+GETPIVOTDATA("XBC4",'bauchinh (2016)'!$A$3,"MA_HT","CSD","MA_QH","TMD")</f>
        <v>0</v>
      </c>
      <c r="Y58" s="58">
        <f>+GETPIVOTDATA("XBC4",'bauchinh (2016)'!$A$3,"MA_HT","CSD","MA_QH","SKC")</f>
        <v>0</v>
      </c>
      <c r="Z58" s="58">
        <f>+GETPIVOTDATA("XBC4",'bauchinh (2016)'!$A$3,"MA_HT","CSD","MA_QH","SKS")</f>
        <v>0</v>
      </c>
      <c r="AA58" s="64">
        <f t="shared" si="21"/>
        <v>0</v>
      </c>
      <c r="AB58" s="102">
        <f>+GETPIVOTDATA("XBC4",'bauchinh (2016)'!$A$3,"MA_HT","CSD","MA_QH","DGT")</f>
        <v>0</v>
      </c>
      <c r="AC58" s="102">
        <f>+GETPIVOTDATA("XBC4",'bauchinh (2016)'!$A$3,"MA_HT","CSD","MA_QH","DTL")</f>
        <v>0</v>
      </c>
      <c r="AD58" s="102">
        <f>+GETPIVOTDATA("XBC4",'bauchinh (2016)'!$A$3,"MA_HT","CSD","MA_QH","DNL")</f>
        <v>0</v>
      </c>
      <c r="AE58" s="102">
        <f>+GETPIVOTDATA("XBC4",'bauchinh (2016)'!$A$3,"MA_HT","CSD","MA_QH","DBV")</f>
        <v>0</v>
      </c>
      <c r="AF58" s="102">
        <f>+GETPIVOTDATA("XBC4",'bauchinh (2016)'!$A$3,"MA_HT","CSD","MA_QH","DVH")</f>
        <v>0</v>
      </c>
      <c r="AG58" s="102">
        <f>+GETPIVOTDATA("XBC4",'bauchinh (2016)'!$A$3,"MA_HT","CSD","MA_QH","DYT")</f>
        <v>0</v>
      </c>
      <c r="AH58" s="102">
        <f>+GETPIVOTDATA("XBC4",'bauchinh (2016)'!$A$3,"MA_HT","CSD","MA_QH","DGD")</f>
        <v>0</v>
      </c>
      <c r="AI58" s="102">
        <f>+GETPIVOTDATA("XBC4",'bauchinh (2016)'!$A$3,"MA_HT","CSD","MA_QH","DTT")</f>
        <v>0</v>
      </c>
      <c r="AJ58" s="102">
        <f>+GETPIVOTDATA("XBC4",'bauchinh (2016)'!$A$3,"MA_HT","CSD","MA_QH","NCK")</f>
        <v>0</v>
      </c>
      <c r="AK58" s="102">
        <f>+GETPIVOTDATA("XBC4",'bauchinh (2016)'!$A$3,"MA_HT","CSD","MA_QH","DXH")</f>
        <v>0</v>
      </c>
      <c r="AL58" s="102">
        <f>+GETPIVOTDATA("XBC4",'bauchinh (2016)'!$A$3,"MA_HT","CSD","MA_QH","DCH")</f>
        <v>0</v>
      </c>
      <c r="AM58" s="102">
        <f>+GETPIVOTDATA("XBC4",'bauchinh (2016)'!$A$3,"MA_HT","CSD","MA_QH","DKG")</f>
        <v>0</v>
      </c>
      <c r="AN58" s="58">
        <f>+GETPIVOTDATA("XBC4",'bauchinh (2016)'!$A$3,"MA_HT","CSD","MA_QH","DDT")</f>
        <v>0</v>
      </c>
      <c r="AO58" s="58">
        <f>+GETPIVOTDATA("XBC4",'bauchinh (2016)'!$A$3,"MA_HT","CSD","MA_QH","DDL")</f>
        <v>0</v>
      </c>
      <c r="AP58" s="58">
        <f>+GETPIVOTDATA("XBC4",'bauchinh (2016)'!$A$3,"MA_HT","CSD","MA_QH","DRA")</f>
        <v>0</v>
      </c>
      <c r="AQ58" s="58">
        <f>+GETPIVOTDATA("XBC4",'bauchinh (2016)'!$A$3,"MA_HT","CSD","MA_QH","ONT")</f>
        <v>0</v>
      </c>
      <c r="AR58" s="58">
        <f>+GETPIVOTDATA("XBC4",'bauchinh (2016)'!$A$3,"MA_HT","CSD","MA_QH","ODT")</f>
        <v>0</v>
      </c>
      <c r="AS58" s="58">
        <f>+GETPIVOTDATA("XBC4",'bauchinh (2016)'!$A$3,"MA_HT","CSD","MA_QH","TSC")</f>
        <v>0</v>
      </c>
      <c r="AT58" s="58">
        <f>+GETPIVOTDATA("XBC4",'bauchinh (2016)'!$A$3,"MA_HT","CSD","MA_QH","DTS")</f>
        <v>0</v>
      </c>
      <c r="AU58" s="58">
        <f>+GETPIVOTDATA("XBC4",'bauchinh (2016)'!$A$3,"MA_HT","CSD","MA_QH","DNG")</f>
        <v>0</v>
      </c>
      <c r="AV58" s="58">
        <f>+GETPIVOTDATA("XBC4",'bauchinh (2016)'!$A$3,"MA_HT","CSD","MA_QH","TON")</f>
        <v>0</v>
      </c>
      <c r="AW58" s="58">
        <f>+GETPIVOTDATA("XBC4",'bauchinh (2016)'!$A$3,"MA_HT","CSD","MA_QH","NTD")</f>
        <v>0</v>
      </c>
      <c r="AX58" s="58">
        <f>+GETPIVOTDATA("XBC4",'bauchinh (2016)'!$A$3,"MA_HT","CSD","MA_QH","SKX")</f>
        <v>0</v>
      </c>
      <c r="AY58" s="58">
        <f>+GETPIVOTDATA("XBC4",'bauchinh (2016)'!$A$3,"MA_HT","CSD","MA_QH","DSH")</f>
        <v>0</v>
      </c>
      <c r="AZ58" s="58">
        <f>+GETPIVOTDATA("XBC4",'bauchinh (2016)'!$A$3,"MA_HT","CSD","MA_QH","DKV")</f>
        <v>0</v>
      </c>
      <c r="BA58" s="140">
        <f>+GETPIVOTDATA("XBC4",'bauchinh (2016)'!$A$3,"MA_HT","CSD","MA_QH","TIN")</f>
        <v>0</v>
      </c>
      <c r="BB58" s="102">
        <f>+GETPIVOTDATA("XBC4",'bauchinh (2016)'!$A$3,"MA_HT","CSD","MA_QH","SON")</f>
        <v>0</v>
      </c>
      <c r="BC58" s="102">
        <f>+GETPIVOTDATA("XBC4",'bauchinh (2016)'!$A$3,"MA_HT","CSD","MA_QH","MNC")</f>
        <v>0</v>
      </c>
      <c r="BD58" s="58">
        <f>+GETPIVOTDATA("XBC4",'bauchinh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81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+GETPIVOTDATA("XBB4",'binhba (2016)'!$A$3,"MA_HT","LUC","MA_QH","LUK")</f>
        <v>0</v>
      </c>
      <c r="I8" s="74">
        <f>+GETPIVOTDATA("XBB4",'binhba (2016)'!$A$3,"MA_HT","LUC","MA_QH","LUN")</f>
        <v>0</v>
      </c>
      <c r="J8" s="74">
        <f>+GETPIVOTDATA("XBB4",'binhba (2016)'!$A$3,"MA_HT","LUC","MA_QH","HNK")</f>
        <v>0</v>
      </c>
      <c r="K8" s="74">
        <f>+GETPIVOTDATA("XBB4",'binhba (2016)'!$A$3,"MA_HT","LUC","MA_QH","CLN")</f>
        <v>0</v>
      </c>
      <c r="L8" s="74">
        <f>+GETPIVOTDATA("XBB4",'binhba (2016)'!$A$3,"MA_HT","LUC","MA_QH","RSX")</f>
        <v>0</v>
      </c>
      <c r="M8" s="74">
        <f>+GETPIVOTDATA("XBB4",'binhba (2016)'!$A$3,"MA_HT","LUC","MA_QH","RPH")</f>
        <v>0</v>
      </c>
      <c r="N8" s="74">
        <f>+GETPIVOTDATA("XBB4",'binhba (2016)'!$A$3,"MA_HT","LUC","MA_QH","RDD")</f>
        <v>0</v>
      </c>
      <c r="O8" s="74">
        <f>+GETPIVOTDATA("XBB4",'binhba (2016)'!$A$3,"MA_HT","LUC","MA_QH","NTS")</f>
        <v>0</v>
      </c>
      <c r="P8" s="74">
        <f>+GETPIVOTDATA("XBB4",'binhba (2016)'!$A$3,"MA_HT","LUC","MA_QH","LMU")</f>
        <v>0</v>
      </c>
      <c r="Q8" s="74">
        <f>+GETPIVOTDATA("XBB4",'binhba (2016)'!$A$3,"MA_HT","LUC","MA_QH","NKH")</f>
        <v>0</v>
      </c>
      <c r="R8" s="72">
        <f>SUM(S8:AA8,AN8:BD8)</f>
        <v>0</v>
      </c>
      <c r="S8" s="74">
        <f>+GETPIVOTDATA("XBB4",'binhba (2016)'!$A$3,"MA_HT","LUC","MA_QH","CQP")</f>
        <v>0</v>
      </c>
      <c r="T8" s="74">
        <f>+GETPIVOTDATA("XBB4",'binhba (2016)'!$A$3,"MA_HT","LUC","MA_QH","CAN")</f>
        <v>0</v>
      </c>
      <c r="U8" s="74">
        <f>+GETPIVOTDATA("XBB4",'binhba (2016)'!$A$3,"MA_HT","LUC","MA_QH","SKK")</f>
        <v>0</v>
      </c>
      <c r="V8" s="74">
        <f>+GETPIVOTDATA("XBB4",'binhba (2016)'!$A$3,"MA_HT","LUC","MA_QH","SKT")</f>
        <v>0</v>
      </c>
      <c r="W8" s="74">
        <f>+GETPIVOTDATA("XBB4",'binhba (2016)'!$A$3,"MA_HT","LUC","MA_QH","SKN")</f>
        <v>0</v>
      </c>
      <c r="X8" s="74">
        <f>+GETPIVOTDATA("XBB4",'binhba (2016)'!$A$3,"MA_HT","LUC","MA_QH","TMD")</f>
        <v>0</v>
      </c>
      <c r="Y8" s="74">
        <f>+GETPIVOTDATA("XBB4",'binhba (2016)'!$A$3,"MA_HT","LUC","MA_QH","SKC")</f>
        <v>0</v>
      </c>
      <c r="Z8" s="74">
        <f>+GETPIVOTDATA("XBB4",'binhba (2016)'!$A$3,"MA_HT","LUC","MA_QH","SKS")</f>
        <v>0</v>
      </c>
      <c r="AA8" s="64">
        <f t="shared" si="4"/>
        <v>0</v>
      </c>
      <c r="AB8" s="74">
        <f>+GETPIVOTDATA("XBB4",'binhba (2016)'!$A$3,"MA_HT","LUC","MA_QH","DGT")</f>
        <v>0</v>
      </c>
      <c r="AC8" s="74">
        <f>+GETPIVOTDATA("XBB4",'binhba (2016)'!$A$3,"MA_HT","LUC","MA_QH","DTL")</f>
        <v>0</v>
      </c>
      <c r="AD8" s="74">
        <f>+GETPIVOTDATA("XBB4",'binhba (2016)'!$A$3,"MA_HT","LUC","MA_QH","DNL")</f>
        <v>0</v>
      </c>
      <c r="AE8" s="74">
        <f>+GETPIVOTDATA("XBB4",'binhba (2016)'!$A$3,"MA_HT","LUC","MA_QH","DBV")</f>
        <v>0</v>
      </c>
      <c r="AF8" s="74">
        <f>+GETPIVOTDATA("XBB4",'binhba (2016)'!$A$3,"MA_HT","LUC","MA_QH","DVH")</f>
        <v>0</v>
      </c>
      <c r="AG8" s="74">
        <f>+GETPIVOTDATA("XBB4",'binhba (2016)'!$A$3,"MA_HT","LUC","MA_QH","DYT")</f>
        <v>0</v>
      </c>
      <c r="AH8" s="74">
        <f>+GETPIVOTDATA("XBB4",'binhba (2016)'!$A$3,"MA_HT","LUC","MA_QH","DGD")</f>
        <v>0</v>
      </c>
      <c r="AI8" s="74">
        <f>+GETPIVOTDATA("XBB4",'binhba (2016)'!$A$3,"MA_HT","LUC","MA_QH","DTT")</f>
        <v>0</v>
      </c>
      <c r="AJ8" s="74">
        <f>+GETPIVOTDATA("XBB4",'binhba (2016)'!$A$3,"MA_HT","LUC","MA_QH","NCK")</f>
        <v>0</v>
      </c>
      <c r="AK8" s="74">
        <f>+GETPIVOTDATA("XBB4",'binhba (2016)'!$A$3,"MA_HT","LUC","MA_QH","DXH")</f>
        <v>0</v>
      </c>
      <c r="AL8" s="74">
        <f>+GETPIVOTDATA("XBB4",'binhba (2016)'!$A$3,"MA_HT","LUC","MA_QH","DCH")</f>
        <v>0</v>
      </c>
      <c r="AM8" s="74">
        <f>+GETPIVOTDATA("XBB4",'binhba (2016)'!$A$3,"MA_HT","LUC","MA_QH","DKG")</f>
        <v>0</v>
      </c>
      <c r="AN8" s="74">
        <f>+GETPIVOTDATA("XBB4",'binhba (2016)'!$A$3,"MA_HT","LUC","MA_QH","DDT")</f>
        <v>0</v>
      </c>
      <c r="AO8" s="74">
        <f>+GETPIVOTDATA("XBB4",'binhba (2016)'!$A$3,"MA_HT","LUC","MA_QH","DDL")</f>
        <v>0</v>
      </c>
      <c r="AP8" s="74">
        <f>+GETPIVOTDATA("XBB4",'binhba (2016)'!$A$3,"MA_HT","LUC","MA_QH","DRA")</f>
        <v>0</v>
      </c>
      <c r="AQ8" s="74">
        <f>+GETPIVOTDATA("XBB4",'binhba (2016)'!$A$3,"MA_HT","LUC","MA_QH","ONT")</f>
        <v>0</v>
      </c>
      <c r="AR8" s="74">
        <f>+GETPIVOTDATA("XBB4",'binhba (2016)'!$A$3,"MA_HT","LUC","MA_QH","ODT")</f>
        <v>0</v>
      </c>
      <c r="AS8" s="74">
        <f>+GETPIVOTDATA("XBB4",'binhba (2016)'!$A$3,"MA_HT","LUC","MA_QH","TSC")</f>
        <v>0</v>
      </c>
      <c r="AT8" s="74">
        <f>+GETPIVOTDATA("XBB4",'binhba (2016)'!$A$3,"MA_HT","LUC","MA_QH","DTS")</f>
        <v>0</v>
      </c>
      <c r="AU8" s="74">
        <f>+GETPIVOTDATA("XBB4",'binhba (2016)'!$A$3,"MA_HT","LUC","MA_QH","DNG")</f>
        <v>0</v>
      </c>
      <c r="AV8" s="74">
        <f>+GETPIVOTDATA("XBB4",'binhba (2016)'!$A$3,"MA_HT","LUC","MA_QH","TON")</f>
        <v>0</v>
      </c>
      <c r="AW8" s="74">
        <f>+GETPIVOTDATA("XBB4",'binhba (2016)'!$A$3,"MA_HT","LUC","MA_QH","NTD")</f>
        <v>0</v>
      </c>
      <c r="AX8" s="74">
        <f>+GETPIVOTDATA("XBB4",'binhba (2016)'!$A$3,"MA_HT","LUC","MA_QH","SKX")</f>
        <v>0</v>
      </c>
      <c r="AY8" s="74">
        <f>+GETPIVOTDATA("XBB4",'binhba (2016)'!$A$3,"MA_HT","LUC","MA_QH","DSH")</f>
        <v>0</v>
      </c>
      <c r="AZ8" s="74">
        <f>+GETPIVOTDATA("XBB4",'binhba (2016)'!$A$3,"MA_HT","LUC","MA_QH","DKV")</f>
        <v>0</v>
      </c>
      <c r="BA8" s="139">
        <f>+GETPIVOTDATA("XBB4",'binhba (2016)'!$A$3,"MA_HT","LUC","MA_QH","TIN")</f>
        <v>0</v>
      </c>
      <c r="BB8" s="74">
        <f>+GETPIVOTDATA("XBB4",'binhba (2016)'!$A$3,"MA_HT","LUC","MA_QH","SON")</f>
        <v>0</v>
      </c>
      <c r="BC8" s="74">
        <f>+GETPIVOTDATA("XBB4",'binhba (2016)'!$A$3,"MA_HT","LUC","MA_QH","MNC")</f>
        <v>0</v>
      </c>
      <c r="BD8" s="74">
        <f>+GETPIVOTDATA("XBB4",'binhba (2016)'!$A$3,"MA_HT","LUC","MA_QH","PNK")</f>
        <v>0</v>
      </c>
      <c r="BE8" s="102">
        <f>+GETPIVOTDATA("XBB4",'binhba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+GETPIVOTDATA("XBB4",'binhba (2016)'!$A$3,"MA_HT","LUK","MA_QH","LUC")</f>
        <v>0</v>
      </c>
      <c r="H9" s="100" t="e">
        <f>$D9-$BF9</f>
        <v>#REF!</v>
      </c>
      <c r="I9" s="74">
        <f>+GETPIVOTDATA("XBB4",'binhba (2016)'!$A$3,"MA_HT","LUK","MA_QH","LUN")</f>
        <v>0</v>
      </c>
      <c r="J9" s="74">
        <f>+GETPIVOTDATA("XBB4",'binhba (2016)'!$A$3,"MA_HT","LUK","MA_QH","HNK")</f>
        <v>0</v>
      </c>
      <c r="K9" s="74">
        <f>+GETPIVOTDATA("XBB4",'binhba (2016)'!$A$3,"MA_HT","LUK","MA_QH","CLN")</f>
        <v>0</v>
      </c>
      <c r="L9" s="74">
        <f>+GETPIVOTDATA("XBB4",'binhba (2016)'!$A$3,"MA_HT","LUK","MA_QH","RSX")</f>
        <v>0</v>
      </c>
      <c r="M9" s="74">
        <f>+GETPIVOTDATA("XBB4",'binhba (2016)'!$A$3,"MA_HT","LUK","MA_QH","RPH")</f>
        <v>0</v>
      </c>
      <c r="N9" s="74">
        <f>+GETPIVOTDATA("XBB4",'binhba (2016)'!$A$3,"MA_HT","LUK","MA_QH","RDD")</f>
        <v>0</v>
      </c>
      <c r="O9" s="74">
        <f>+GETPIVOTDATA("XBB4",'binhba (2016)'!$A$3,"MA_HT","LUK","MA_QH","NTS")</f>
        <v>0</v>
      </c>
      <c r="P9" s="74">
        <f>+GETPIVOTDATA("XBB4",'binhba (2016)'!$A$3,"MA_HT","LUK","MA_QH","LMU")</f>
        <v>0</v>
      </c>
      <c r="Q9" s="74">
        <f>+GETPIVOTDATA("XBB4",'binhba (2016)'!$A$3,"MA_HT","LUK","MA_QH","NKH")</f>
        <v>0</v>
      </c>
      <c r="R9" s="72">
        <f t="shared" si="2"/>
        <v>0</v>
      </c>
      <c r="S9" s="74">
        <f>+GETPIVOTDATA("XBB4",'binhba (2016)'!$A$3,"MA_HT","LUK","MA_QH","CQP")</f>
        <v>0</v>
      </c>
      <c r="T9" s="74">
        <f>+GETPIVOTDATA("XBB4",'binhba (2016)'!$A$3,"MA_HT","LUK","MA_QH","CAN")</f>
        <v>0</v>
      </c>
      <c r="U9" s="74">
        <f>+GETPIVOTDATA("XBB4",'binhba (2016)'!$A$3,"MA_HT","LUK","MA_QH","SKK")</f>
        <v>0</v>
      </c>
      <c r="V9" s="74">
        <f>+GETPIVOTDATA("XBB4",'binhba (2016)'!$A$3,"MA_HT","LUK","MA_QH","SKT")</f>
        <v>0</v>
      </c>
      <c r="W9" s="74">
        <f>+GETPIVOTDATA("XBB4",'binhba (2016)'!$A$3,"MA_HT","LUK","MA_QH","SKN")</f>
        <v>0</v>
      </c>
      <c r="X9" s="74">
        <f>+GETPIVOTDATA("XBB4",'binhba (2016)'!$A$3,"MA_HT","LUK","MA_QH","TMD")</f>
        <v>0</v>
      </c>
      <c r="Y9" s="74">
        <f>+GETPIVOTDATA("XBB4",'binhba (2016)'!$A$3,"MA_HT","LUK","MA_QH","SKC")</f>
        <v>0</v>
      </c>
      <c r="Z9" s="74">
        <f>+GETPIVOTDATA("XBB4",'binhba (2016)'!$A$3,"MA_HT","LUK","MA_QH","SKS")</f>
        <v>0</v>
      </c>
      <c r="AA9" s="64">
        <f t="shared" si="4"/>
        <v>0</v>
      </c>
      <c r="AB9" s="74">
        <f>+GETPIVOTDATA("XBB4",'binhba (2016)'!$A$3,"MA_HT","LUK","MA_QH","DGT")</f>
        <v>0</v>
      </c>
      <c r="AC9" s="74">
        <f>+GETPIVOTDATA("XBB4",'binhba (2016)'!$A$3,"MA_HT","LUK","MA_QH","DTL")</f>
        <v>0</v>
      </c>
      <c r="AD9" s="74">
        <f>+GETPIVOTDATA("XBB4",'binhba (2016)'!$A$3,"MA_HT","LUK","MA_QH","DNL")</f>
        <v>0</v>
      </c>
      <c r="AE9" s="74">
        <f>+GETPIVOTDATA("XBB4",'binhba (2016)'!$A$3,"MA_HT","LUK","MA_QH","DBV")</f>
        <v>0</v>
      </c>
      <c r="AF9" s="74">
        <f>+GETPIVOTDATA("XBB4",'binhba (2016)'!$A$3,"MA_HT","LUK","MA_QH","DVH")</f>
        <v>0</v>
      </c>
      <c r="AG9" s="74">
        <f>+GETPIVOTDATA("XBB4",'binhba (2016)'!$A$3,"MA_HT","LUK","MA_QH","DYT")</f>
        <v>0</v>
      </c>
      <c r="AH9" s="74">
        <f>+GETPIVOTDATA("XBB4",'binhba (2016)'!$A$3,"MA_HT","LUK","MA_QH","DGD")</f>
        <v>0</v>
      </c>
      <c r="AI9" s="74">
        <f>+GETPIVOTDATA("XBB4",'binhba (2016)'!$A$3,"MA_HT","LUK","MA_QH","DTT")</f>
        <v>0</v>
      </c>
      <c r="AJ9" s="74">
        <f>+GETPIVOTDATA("XBB4",'binhba (2016)'!$A$3,"MA_HT","LUK","MA_QH","NCK")</f>
        <v>0</v>
      </c>
      <c r="AK9" s="74">
        <f>+GETPIVOTDATA("XBB4",'binhba (2016)'!$A$3,"MA_HT","LUK","MA_QH","DXH")</f>
        <v>0</v>
      </c>
      <c r="AL9" s="74">
        <f>+GETPIVOTDATA("XBB4",'binhba (2016)'!$A$3,"MA_HT","LUK","MA_QH","DCH")</f>
        <v>0</v>
      </c>
      <c r="AM9" s="74">
        <f>+GETPIVOTDATA("XBB4",'binhba (2016)'!$A$3,"MA_HT","LUK","MA_QH","DKG")</f>
        <v>0</v>
      </c>
      <c r="AN9" s="74">
        <f>+GETPIVOTDATA("XBB4",'binhba (2016)'!$A$3,"MA_HT","LUK","MA_QH","DDT")</f>
        <v>0</v>
      </c>
      <c r="AO9" s="74">
        <f>+GETPIVOTDATA("XBB4",'binhba (2016)'!$A$3,"MA_HT","LUK","MA_QH","DDL")</f>
        <v>0</v>
      </c>
      <c r="AP9" s="74">
        <f>+GETPIVOTDATA("XBB4",'binhba (2016)'!$A$3,"MA_HT","LUK","MA_QH","DRA")</f>
        <v>0</v>
      </c>
      <c r="AQ9" s="74">
        <f>+GETPIVOTDATA("XBB4",'binhba (2016)'!$A$3,"MA_HT","LUK","MA_QH","ONT")</f>
        <v>0</v>
      </c>
      <c r="AR9" s="74">
        <f>+GETPIVOTDATA("XBB4",'binhba (2016)'!$A$3,"MA_HT","LUK","MA_QH","ODT")</f>
        <v>0</v>
      </c>
      <c r="AS9" s="74">
        <f>+GETPIVOTDATA("XBB4",'binhba (2016)'!$A$3,"MA_HT","LUK","MA_QH","TSC")</f>
        <v>0</v>
      </c>
      <c r="AT9" s="74">
        <f>+GETPIVOTDATA("XBB4",'binhba (2016)'!$A$3,"MA_HT","LUK","MA_QH","DTS")</f>
        <v>0</v>
      </c>
      <c r="AU9" s="74">
        <f>+GETPIVOTDATA("XBB4",'binhba (2016)'!$A$3,"MA_HT","LUK","MA_QH","DNG")</f>
        <v>0</v>
      </c>
      <c r="AV9" s="74">
        <f>+GETPIVOTDATA("XBB4",'binhba (2016)'!$A$3,"MA_HT","LUK","MA_QH","TON")</f>
        <v>0</v>
      </c>
      <c r="AW9" s="74">
        <f>+GETPIVOTDATA("XBB4",'binhba (2016)'!$A$3,"MA_HT","LUK","MA_QH","NTD")</f>
        <v>0</v>
      </c>
      <c r="AX9" s="74">
        <f>+GETPIVOTDATA("XBB4",'binhba (2016)'!$A$3,"MA_HT","LUK","MA_QH","SKX")</f>
        <v>0</v>
      </c>
      <c r="AY9" s="74">
        <f>+GETPIVOTDATA("XBB4",'binhba (2016)'!$A$3,"MA_HT","LUK","MA_QH","DSH")</f>
        <v>0</v>
      </c>
      <c r="AZ9" s="74">
        <f>+GETPIVOTDATA("XBB4",'binhba (2016)'!$A$3,"MA_HT","LUK","MA_QH","DKV")</f>
        <v>0</v>
      </c>
      <c r="BA9" s="139">
        <f>+GETPIVOTDATA("XBB4",'binhba (2016)'!$A$3,"MA_HT","LUK","MA_QH","TIN")</f>
        <v>0</v>
      </c>
      <c r="BB9" s="74">
        <f>+GETPIVOTDATA("XBB4",'binhba (2016)'!$A$3,"MA_HT","LUK","MA_QH","SON")</f>
        <v>0</v>
      </c>
      <c r="BC9" s="74">
        <f>+GETPIVOTDATA("XBB4",'binhba (2016)'!$A$3,"MA_HT","LUK","MA_QH","MNC")</f>
        <v>0</v>
      </c>
      <c r="BD9" s="74">
        <f>+GETPIVOTDATA("XBB4",'binhba (2016)'!$A$3,"MA_HT","LUK","MA_QH","PNK")</f>
        <v>0</v>
      </c>
      <c r="BE9" s="102">
        <f>+GETPIVOTDATA("XBB4",'binhba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+GETPIVOTDATA("XBB4",'binhba (2016)'!$A$3,"MA_HT","LUN","MA_QH","LUC")</f>
        <v>0</v>
      </c>
      <c r="H10" s="74">
        <f>+GETPIVOTDATA("XBB4",'binhba (2016)'!$A$3,"MA_HT","LUN","MA_QH","LUK")</f>
        <v>0</v>
      </c>
      <c r="I10" s="100" t="e">
        <f>$D10-$BF10</f>
        <v>#REF!</v>
      </c>
      <c r="J10" s="74">
        <f>+GETPIVOTDATA("XBB4",'binhba (2016)'!$A$3,"MA_HT","LUN","MA_QH","HNK")</f>
        <v>0</v>
      </c>
      <c r="K10" s="74">
        <f>+GETPIVOTDATA("XBB4",'binhba (2016)'!$A$3,"MA_HT","LUN","MA_QH","CLN")</f>
        <v>0</v>
      </c>
      <c r="L10" s="74">
        <f>+GETPIVOTDATA("XBB4",'binhba (2016)'!$A$3,"MA_HT","LUN","MA_QH","RSX")</f>
        <v>0</v>
      </c>
      <c r="M10" s="74">
        <f>+GETPIVOTDATA("XBB4",'binhba (2016)'!$A$3,"MA_HT","LUN","MA_QH","RPH")</f>
        <v>0</v>
      </c>
      <c r="N10" s="74">
        <f>+GETPIVOTDATA("XBB4",'binhba (2016)'!$A$3,"MA_HT","LUN","MA_QH","RDD")</f>
        <v>0</v>
      </c>
      <c r="O10" s="74">
        <f>+GETPIVOTDATA("XBB4",'binhba (2016)'!$A$3,"MA_HT","LUN","MA_QH","NTS")</f>
        <v>0</v>
      </c>
      <c r="P10" s="74">
        <f>+GETPIVOTDATA("XBB4",'binhba (2016)'!$A$3,"MA_HT","LUN","MA_QH","LMU")</f>
        <v>0</v>
      </c>
      <c r="Q10" s="74">
        <f>+GETPIVOTDATA("XBB4",'binhba (2016)'!$A$3,"MA_HT","LUN","MA_QH","NKH")</f>
        <v>0</v>
      </c>
      <c r="R10" s="72">
        <f t="shared" si="2"/>
        <v>0</v>
      </c>
      <c r="S10" s="74">
        <f>+GETPIVOTDATA("XBB4",'binhba (2016)'!$A$3,"MA_HT","LUN","MA_QH","CQP")</f>
        <v>0</v>
      </c>
      <c r="T10" s="74">
        <f>+GETPIVOTDATA("XBB4",'binhba (2016)'!$A$3,"MA_HT","LUN","MA_QH","CAN")</f>
        <v>0</v>
      </c>
      <c r="U10" s="74">
        <f>+GETPIVOTDATA("XBB4",'binhba (2016)'!$A$3,"MA_HT","LUN","MA_QH","SKK")</f>
        <v>0</v>
      </c>
      <c r="V10" s="74">
        <f>+GETPIVOTDATA("XBB4",'binhba (2016)'!$A$3,"MA_HT","LUN","MA_QH","SKT")</f>
        <v>0</v>
      </c>
      <c r="W10" s="74">
        <f>+GETPIVOTDATA("XBB4",'binhba (2016)'!$A$3,"MA_HT","LUN","MA_QH","SKN")</f>
        <v>0</v>
      </c>
      <c r="X10" s="74">
        <f>+GETPIVOTDATA("XBB4",'binhba (2016)'!$A$3,"MA_HT","LUN","MA_QH","TMD")</f>
        <v>0</v>
      </c>
      <c r="Y10" s="74">
        <f>+GETPIVOTDATA("XBB4",'binhba (2016)'!$A$3,"MA_HT","LUN","MA_QH","SKC")</f>
        <v>0</v>
      </c>
      <c r="Z10" s="74">
        <f>+GETPIVOTDATA("XBB4",'binhba (2016)'!$A$3,"MA_HT","LUN","MA_QH","SKS")</f>
        <v>0</v>
      </c>
      <c r="AA10" s="64">
        <f t="shared" si="4"/>
        <v>0</v>
      </c>
      <c r="AB10" s="74">
        <f>+GETPIVOTDATA("XBB4",'binhba (2016)'!$A$3,"MA_HT","LUN","MA_QH","DGT")</f>
        <v>0</v>
      </c>
      <c r="AC10" s="74">
        <f>+GETPIVOTDATA("XBB4",'binhba (2016)'!$A$3,"MA_HT","LUN","MA_QH","DTL")</f>
        <v>0</v>
      </c>
      <c r="AD10" s="74">
        <f>+GETPIVOTDATA("XBB4",'binhba (2016)'!$A$3,"MA_HT","LUN","MA_QH","DNL")</f>
        <v>0</v>
      </c>
      <c r="AE10" s="74">
        <f>+GETPIVOTDATA("XBB4",'binhba (2016)'!$A$3,"MA_HT","LUN","MA_QH","DBV")</f>
        <v>0</v>
      </c>
      <c r="AF10" s="74">
        <f>+GETPIVOTDATA("XBB4",'binhba (2016)'!$A$3,"MA_HT","LUN","MA_QH","DVH")</f>
        <v>0</v>
      </c>
      <c r="AG10" s="74">
        <f>+GETPIVOTDATA("XBB4",'binhba (2016)'!$A$3,"MA_HT","LUN","MA_QH","DYT")</f>
        <v>0</v>
      </c>
      <c r="AH10" s="74">
        <f>+GETPIVOTDATA("XBB4",'binhba (2016)'!$A$3,"MA_HT","LUN","MA_QH","DGD")</f>
        <v>0</v>
      </c>
      <c r="AI10" s="74">
        <f>+GETPIVOTDATA("XBB4",'binhba (2016)'!$A$3,"MA_HT","LUN","MA_QH","DTT")</f>
        <v>0</v>
      </c>
      <c r="AJ10" s="74">
        <f>+GETPIVOTDATA("XBB4",'binhba (2016)'!$A$3,"MA_HT","LUN","MA_QH","NCK")</f>
        <v>0</v>
      </c>
      <c r="AK10" s="74">
        <f>+GETPIVOTDATA("XBB4",'binhba (2016)'!$A$3,"MA_HT","LUN","MA_QH","DXH")</f>
        <v>0</v>
      </c>
      <c r="AL10" s="74">
        <f>+GETPIVOTDATA("XBB4",'binhba (2016)'!$A$3,"MA_HT","LUN","MA_QH","DCH")</f>
        <v>0</v>
      </c>
      <c r="AM10" s="74">
        <f>+GETPIVOTDATA("XBB4",'binhba (2016)'!$A$3,"MA_HT","LUN","MA_QH","DKG")</f>
        <v>0</v>
      </c>
      <c r="AN10" s="74">
        <f>+GETPIVOTDATA("XBB4",'binhba (2016)'!$A$3,"MA_HT","LUN","MA_QH","DDT")</f>
        <v>0</v>
      </c>
      <c r="AO10" s="74">
        <f>+GETPIVOTDATA("XBB4",'binhba (2016)'!$A$3,"MA_HT","LUN","MA_QH","DDL")</f>
        <v>0</v>
      </c>
      <c r="AP10" s="74">
        <f>+GETPIVOTDATA("XBB4",'binhba (2016)'!$A$3,"MA_HT","LUN","MA_QH","DRA")</f>
        <v>0</v>
      </c>
      <c r="AQ10" s="74">
        <f>+GETPIVOTDATA("XBB4",'binhba (2016)'!$A$3,"MA_HT","LUN","MA_QH","ONT")</f>
        <v>0</v>
      </c>
      <c r="AR10" s="74">
        <f>+GETPIVOTDATA("XBB4",'binhba (2016)'!$A$3,"MA_HT","LUN","MA_QH","ODT")</f>
        <v>0</v>
      </c>
      <c r="AS10" s="74">
        <f>+GETPIVOTDATA("XBB4",'binhba (2016)'!$A$3,"MA_HT","LUN","MA_QH","TSC")</f>
        <v>0</v>
      </c>
      <c r="AT10" s="74">
        <f>+GETPIVOTDATA("XBB4",'binhba (2016)'!$A$3,"MA_HT","LUN","MA_QH","DTS")</f>
        <v>0</v>
      </c>
      <c r="AU10" s="74">
        <f>+GETPIVOTDATA("XBB4",'binhba (2016)'!$A$3,"MA_HT","LUN","MA_QH","DNG")</f>
        <v>0</v>
      </c>
      <c r="AV10" s="74">
        <f>+GETPIVOTDATA("XBB4",'binhba (2016)'!$A$3,"MA_HT","LUN","MA_QH","TON")</f>
        <v>0</v>
      </c>
      <c r="AW10" s="74">
        <f>+GETPIVOTDATA("XBB4",'binhba (2016)'!$A$3,"MA_HT","LUN","MA_QH","NTD")</f>
        <v>0</v>
      </c>
      <c r="AX10" s="74">
        <f>+GETPIVOTDATA("XBB4",'binhba (2016)'!$A$3,"MA_HT","LUN","MA_QH","SKX")</f>
        <v>0</v>
      </c>
      <c r="AY10" s="74">
        <f>+GETPIVOTDATA("XBB4",'binhba (2016)'!$A$3,"MA_HT","LUN","MA_QH","DSH")</f>
        <v>0</v>
      </c>
      <c r="AZ10" s="74">
        <f>+GETPIVOTDATA("XBB4",'binhba (2016)'!$A$3,"MA_HT","LUN","MA_QH","DKV")</f>
        <v>0</v>
      </c>
      <c r="BA10" s="139">
        <f>+GETPIVOTDATA("XBB4",'binhba (2016)'!$A$3,"MA_HT","LUN","MA_QH","TIN")</f>
        <v>0</v>
      </c>
      <c r="BB10" s="74">
        <f>+GETPIVOTDATA("XBB4",'binhba (2016)'!$A$3,"MA_HT","LUN","MA_QH","SON")</f>
        <v>0</v>
      </c>
      <c r="BC10" s="74">
        <f>+GETPIVOTDATA("XBB4",'binhba (2016)'!$A$3,"MA_HT","LUN","MA_QH","MNC")</f>
        <v>0</v>
      </c>
      <c r="BD10" s="74">
        <f>+GETPIVOTDATA("XBB4",'binhba (2016)'!$A$3,"MA_HT","LUN","MA_QH","PNK")</f>
        <v>0</v>
      </c>
      <c r="BE10" s="102">
        <f>+GETPIVOTDATA("XBB4",'binhba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+GETPIVOTDATA("XBB4",'binhba (2016)'!$A$3,"MA_HT","HNK","MA_QH","LUC")</f>
        <v>0</v>
      </c>
      <c r="H11" s="35">
        <f>+GETPIVOTDATA("XBB4",'binhba (2016)'!$A$3,"MA_HT","HNK","MA_QH","LUK")</f>
        <v>0</v>
      </c>
      <c r="I11" s="35">
        <f>+GETPIVOTDATA("XBB4",'binhba (2016)'!$A$3,"MA_HT","HNK","MA_QH","LUN")</f>
        <v>0</v>
      </c>
      <c r="J11" s="99" t="e">
        <f>$D11-$BF11</f>
        <v>#REF!</v>
      </c>
      <c r="K11" s="35">
        <f>+GETPIVOTDATA("XBB4",'binhba (2016)'!$A$3,"MA_HT","HNK","MA_QH","CLN")</f>
        <v>0</v>
      </c>
      <c r="L11" s="35">
        <f>+GETPIVOTDATA("XBB4",'binhba (2016)'!$A$3,"MA_HT","HNK","MA_QH","RSX")</f>
        <v>0</v>
      </c>
      <c r="M11" s="35">
        <f>+GETPIVOTDATA("XBB4",'binhba (2016)'!$A$3,"MA_HT","HNK","MA_QH","RPH")</f>
        <v>0</v>
      </c>
      <c r="N11" s="35">
        <f>+GETPIVOTDATA("XBB4",'binhba (2016)'!$A$3,"MA_HT","HNK","MA_QH","RDD")</f>
        <v>0</v>
      </c>
      <c r="O11" s="35">
        <f>+GETPIVOTDATA("XBB4",'binhba (2016)'!$A$3,"MA_HT","HNK","MA_QH","NTS")</f>
        <v>0</v>
      </c>
      <c r="P11" s="35">
        <f>+GETPIVOTDATA("XBB4",'binhba (2016)'!$A$3,"MA_HT","HNK","MA_QH","LMU")</f>
        <v>0</v>
      </c>
      <c r="Q11" s="35">
        <f>+GETPIVOTDATA("XBB4",'binhba (2016)'!$A$3,"MA_HT","HNK","MA_QH","NKH")</f>
        <v>0</v>
      </c>
      <c r="R11" s="63">
        <f t="shared" si="2"/>
        <v>0</v>
      </c>
      <c r="S11" s="35">
        <f>+GETPIVOTDATA("XBB4",'binhba (2016)'!$A$3,"MA_HT","HNK","MA_QH","CQP")</f>
        <v>0</v>
      </c>
      <c r="T11" s="35">
        <f>+GETPIVOTDATA("XBB4",'binhba (2016)'!$A$3,"MA_HT","HNK","MA_QH","CAN")</f>
        <v>0</v>
      </c>
      <c r="U11" s="35">
        <f>+GETPIVOTDATA("XBB4",'binhba (2016)'!$A$3,"MA_HT","HNK","MA_QH","SKK")</f>
        <v>0</v>
      </c>
      <c r="V11" s="35">
        <f>+GETPIVOTDATA("XBB4",'binhba (2016)'!$A$3,"MA_HT","HNK","MA_QH","SKT")</f>
        <v>0</v>
      </c>
      <c r="W11" s="35">
        <f>+GETPIVOTDATA("XBB4",'binhba (2016)'!$A$3,"MA_HT","HNK","MA_QH","SKN")</f>
        <v>0</v>
      </c>
      <c r="X11" s="35">
        <f>+GETPIVOTDATA("XBB4",'binhba (2016)'!$A$3,"MA_HT","HNK","MA_QH","TMD")</f>
        <v>0</v>
      </c>
      <c r="Y11" s="35">
        <f>+GETPIVOTDATA("XBB4",'binhba (2016)'!$A$3,"MA_HT","HNK","MA_QH","SKC")</f>
        <v>0</v>
      </c>
      <c r="Z11" s="35">
        <f>+GETPIVOTDATA("XBB4",'binhba (2016)'!$A$3,"MA_HT","HNK","MA_QH","SKS")</f>
        <v>0</v>
      </c>
      <c r="AA11" s="64">
        <f t="shared" si="4"/>
        <v>0</v>
      </c>
      <c r="AB11" s="35">
        <f>+GETPIVOTDATA("XBB4",'binhba (2016)'!$A$3,"MA_HT","HNK","MA_QH","DGT")</f>
        <v>0</v>
      </c>
      <c r="AC11" s="35">
        <f>+GETPIVOTDATA("XBB4",'binhba (2016)'!$A$3,"MA_HT","HNK","MA_QH","DTL")</f>
        <v>0</v>
      </c>
      <c r="AD11" s="35">
        <f>+GETPIVOTDATA("XBB4",'binhba (2016)'!$A$3,"MA_HT","HNK","MA_QH","DNL")</f>
        <v>0</v>
      </c>
      <c r="AE11" s="35">
        <f>+GETPIVOTDATA("XBB4",'binhba (2016)'!$A$3,"MA_HT","HNK","MA_QH","DBV")</f>
        <v>0</v>
      </c>
      <c r="AF11" s="35">
        <f>+GETPIVOTDATA("XBB4",'binhba (2016)'!$A$3,"MA_HT","HNK","MA_QH","DVH")</f>
        <v>0</v>
      </c>
      <c r="AG11" s="35">
        <f>+GETPIVOTDATA("XBB4",'binhba (2016)'!$A$3,"MA_HT","HNK","MA_QH","DYT")</f>
        <v>0</v>
      </c>
      <c r="AH11" s="35">
        <f>+GETPIVOTDATA("XBB4",'binhba (2016)'!$A$3,"MA_HT","HNK","MA_QH","DGD")</f>
        <v>0</v>
      </c>
      <c r="AI11" s="35">
        <f>+GETPIVOTDATA("XBB4",'binhba (2016)'!$A$3,"MA_HT","HNK","MA_QH","DTT")</f>
        <v>0</v>
      </c>
      <c r="AJ11" s="35">
        <f>+GETPIVOTDATA("XBB4",'binhba (2016)'!$A$3,"MA_HT","HNK","MA_QH","NCK")</f>
        <v>0</v>
      </c>
      <c r="AK11" s="35">
        <f>+GETPIVOTDATA("XBB4",'binhba (2016)'!$A$3,"MA_HT","HNK","MA_QH","DXH")</f>
        <v>0</v>
      </c>
      <c r="AL11" s="35">
        <f>+GETPIVOTDATA("XBB4",'binhba (2016)'!$A$3,"MA_HT","HNK","MA_QH","DCH")</f>
        <v>0</v>
      </c>
      <c r="AM11" s="35">
        <f>+GETPIVOTDATA("XBB4",'binhba (2016)'!$A$3,"MA_HT","HNK","MA_QH","DKG")</f>
        <v>0</v>
      </c>
      <c r="AN11" s="35">
        <f>+GETPIVOTDATA("XBB4",'binhba (2016)'!$A$3,"MA_HT","HNK","MA_QH","DDT")</f>
        <v>0</v>
      </c>
      <c r="AO11" s="35">
        <f>+GETPIVOTDATA("XBB4",'binhba (2016)'!$A$3,"MA_HT","HNK","MA_QH","DDL")</f>
        <v>0</v>
      </c>
      <c r="AP11" s="35">
        <f>+GETPIVOTDATA("XBB4",'binhba (2016)'!$A$3,"MA_HT","HNK","MA_QH","DRA")</f>
        <v>0</v>
      </c>
      <c r="AQ11" s="35">
        <f>+GETPIVOTDATA("XBB4",'binhba (2016)'!$A$3,"MA_HT","HNK","MA_QH","ONT")</f>
        <v>0</v>
      </c>
      <c r="AR11" s="35">
        <f>+GETPIVOTDATA("XBB4",'binhba (2016)'!$A$3,"MA_HT","HNK","MA_QH","ODT")</f>
        <v>0</v>
      </c>
      <c r="AS11" s="35">
        <f>+GETPIVOTDATA("XBB4",'binhba (2016)'!$A$3,"MA_HT","HNK","MA_QH","TSC")</f>
        <v>0</v>
      </c>
      <c r="AT11" s="35">
        <f>+GETPIVOTDATA("XBB4",'binhba (2016)'!$A$3,"MA_HT","HNK","MA_QH","DTS")</f>
        <v>0</v>
      </c>
      <c r="AU11" s="35">
        <f>+GETPIVOTDATA("XBB4",'binhba (2016)'!$A$3,"MA_HT","HNK","MA_QH","DNG")</f>
        <v>0</v>
      </c>
      <c r="AV11" s="35">
        <f>+GETPIVOTDATA("XBB4",'binhba (2016)'!$A$3,"MA_HT","HNK","MA_QH","TON")</f>
        <v>0</v>
      </c>
      <c r="AW11" s="35">
        <f>+GETPIVOTDATA("XBB4",'binhba (2016)'!$A$3,"MA_HT","HNK","MA_QH","NTD")</f>
        <v>0</v>
      </c>
      <c r="AX11" s="35">
        <f>+GETPIVOTDATA("XBB4",'binhba (2016)'!$A$3,"MA_HT","HNK","MA_QH","SKX")</f>
        <v>0</v>
      </c>
      <c r="AY11" s="35">
        <f>+GETPIVOTDATA("XBB4",'binhba (2016)'!$A$3,"MA_HT","HNK","MA_QH","DSH")</f>
        <v>0</v>
      </c>
      <c r="AZ11" s="35">
        <f>+GETPIVOTDATA("XBB4",'binhba (2016)'!$A$3,"MA_HT","HNK","MA_QH","DKV")</f>
        <v>0</v>
      </c>
      <c r="BA11" s="140">
        <f>+GETPIVOTDATA("XBB4",'binhba (2016)'!$A$3,"MA_HT","HNK","MA_QH","TIN")</f>
        <v>0</v>
      </c>
      <c r="BB11" s="74">
        <f>+GETPIVOTDATA("XBB4",'binhba (2016)'!$A$3,"MA_HT","HNK","MA_QH","SON")</f>
        <v>0</v>
      </c>
      <c r="BC11" s="74">
        <f>+GETPIVOTDATA("XBB4",'binhba (2016)'!$A$3,"MA_HT","HNK","MA_QH","MNC")</f>
        <v>0</v>
      </c>
      <c r="BD11" s="35">
        <f>+GETPIVOTDATA("XBB4",'binhba (2016)'!$A$3,"MA_HT","HNK","MA_QH","PNK")</f>
        <v>0</v>
      </c>
      <c r="BE11" s="58">
        <f>+GETPIVOTDATA("XBB4",'binhba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+GETPIVOTDATA("XBB4",'binhba (2016)'!$A$3,"MA_HT","CLN","MA_QH","LUC")</f>
        <v>0</v>
      </c>
      <c r="H12" s="35">
        <f>+GETPIVOTDATA("XBB4",'binhba (2016)'!$A$3,"MA_HT","CLN","MA_QH","LUK")</f>
        <v>0</v>
      </c>
      <c r="I12" s="35">
        <f>+GETPIVOTDATA("XBB4",'binhba (2016)'!$A$3,"MA_HT","CLN","MA_QH","LUN")</f>
        <v>0</v>
      </c>
      <c r="J12" s="35">
        <f>+GETPIVOTDATA("XBB4",'binhba (2016)'!$A$3,"MA_HT","CLN","MA_QH","HNK")</f>
        <v>0</v>
      </c>
      <c r="K12" s="99" t="e">
        <f>$D12-$BF12</f>
        <v>#REF!</v>
      </c>
      <c r="L12" s="35">
        <f>+GETPIVOTDATA("XBB4",'binhba (2016)'!$A$3,"MA_HT","CLN","MA_QH","RSX")</f>
        <v>0</v>
      </c>
      <c r="M12" s="35">
        <f>+GETPIVOTDATA("XBB4",'binhba (2016)'!$A$3,"MA_HT","CLN","MA_QH","RPH")</f>
        <v>0</v>
      </c>
      <c r="N12" s="35">
        <f>+GETPIVOTDATA("XBB4",'binhba (2016)'!$A$3,"MA_HT","CLN","MA_QH","RDD")</f>
        <v>0</v>
      </c>
      <c r="O12" s="35">
        <f>+GETPIVOTDATA("XBB4",'binhba (2016)'!$A$3,"MA_HT","CLN","MA_QH","NTS")</f>
        <v>0</v>
      </c>
      <c r="P12" s="35">
        <f>+GETPIVOTDATA("XBB4",'binhba (2016)'!$A$3,"MA_HT","CLN","MA_QH","LMU")</f>
        <v>0</v>
      </c>
      <c r="Q12" s="35">
        <f>+GETPIVOTDATA("XBB4",'binhba (2016)'!$A$3,"MA_HT","CLN","MA_QH","NKH")</f>
        <v>0</v>
      </c>
      <c r="R12" s="63">
        <f t="shared" si="2"/>
        <v>0</v>
      </c>
      <c r="S12" s="35">
        <f>+GETPIVOTDATA("XBB4",'binhba (2016)'!$A$3,"MA_HT","CLN","MA_QH","CQP")</f>
        <v>0</v>
      </c>
      <c r="T12" s="35">
        <f>+GETPIVOTDATA("XBB4",'binhba (2016)'!$A$3,"MA_HT","CLN","MA_QH","CAN")</f>
        <v>0</v>
      </c>
      <c r="U12" s="35">
        <f>+GETPIVOTDATA("XBB4",'binhba (2016)'!$A$3,"MA_HT","CLN","MA_QH","SKK")</f>
        <v>0</v>
      </c>
      <c r="V12" s="35">
        <f>+GETPIVOTDATA("XBB4",'binhba (2016)'!$A$3,"MA_HT","CLN","MA_QH","SKT")</f>
        <v>0</v>
      </c>
      <c r="W12" s="35">
        <f>+GETPIVOTDATA("XBB4",'binhba (2016)'!$A$3,"MA_HT","CLN","MA_QH","SKN")</f>
        <v>0</v>
      </c>
      <c r="X12" s="35">
        <f>+GETPIVOTDATA("XBB4",'binhba (2016)'!$A$3,"MA_HT","CLN","MA_QH","TMD")</f>
        <v>0</v>
      </c>
      <c r="Y12" s="35">
        <f>+GETPIVOTDATA("XBB4",'binhba (2016)'!$A$3,"MA_HT","CLN","MA_QH","SKC")</f>
        <v>0</v>
      </c>
      <c r="Z12" s="35">
        <f>+GETPIVOTDATA("XBB4",'binhba (2016)'!$A$3,"MA_HT","CLN","MA_QH","SKS")</f>
        <v>0</v>
      </c>
      <c r="AA12" s="64">
        <f t="shared" si="4"/>
        <v>0</v>
      </c>
      <c r="AB12" s="35">
        <f>+GETPIVOTDATA("XBB4",'binhba (2016)'!$A$3,"MA_HT","CLN","MA_QH","DGT")</f>
        <v>0</v>
      </c>
      <c r="AC12" s="35">
        <f>+GETPIVOTDATA("XBB4",'binhba (2016)'!$A$3,"MA_HT","CLN","MA_QH","DTL")</f>
        <v>0</v>
      </c>
      <c r="AD12" s="35">
        <f>+GETPIVOTDATA("XBB4",'binhba (2016)'!$A$3,"MA_HT","CLN","MA_QH","DNL")</f>
        <v>0</v>
      </c>
      <c r="AE12" s="35">
        <f>+GETPIVOTDATA("XBB4",'binhba (2016)'!$A$3,"MA_HT","CLN","MA_QH","DBV")</f>
        <v>0</v>
      </c>
      <c r="AF12" s="35">
        <f>+GETPIVOTDATA("XBB4",'binhba (2016)'!$A$3,"MA_HT","CLN","MA_QH","DVH")</f>
        <v>0</v>
      </c>
      <c r="AG12" s="35">
        <f>+GETPIVOTDATA("XBB4",'binhba (2016)'!$A$3,"MA_HT","CLN","MA_QH","DYT")</f>
        <v>0</v>
      </c>
      <c r="AH12" s="35">
        <f>+GETPIVOTDATA("XBB4",'binhba (2016)'!$A$3,"MA_HT","CLN","MA_QH","DGD")</f>
        <v>0</v>
      </c>
      <c r="AI12" s="35">
        <f>+GETPIVOTDATA("XBB4",'binhba (2016)'!$A$3,"MA_HT","CLN","MA_QH","DTT")</f>
        <v>0</v>
      </c>
      <c r="AJ12" s="35">
        <f>+GETPIVOTDATA("XBB4",'binhba (2016)'!$A$3,"MA_HT","CLN","MA_QH","NCK")</f>
        <v>0</v>
      </c>
      <c r="AK12" s="35">
        <f>+GETPIVOTDATA("XBB4",'binhba (2016)'!$A$3,"MA_HT","CLN","MA_QH","DXH")</f>
        <v>0</v>
      </c>
      <c r="AL12" s="35">
        <f>+GETPIVOTDATA("XBB4",'binhba (2016)'!$A$3,"MA_HT","CLN","MA_QH","DCH")</f>
        <v>0</v>
      </c>
      <c r="AM12" s="35">
        <f>+GETPIVOTDATA("XBB4",'binhba (2016)'!$A$3,"MA_HT","CLN","MA_QH","DKG")</f>
        <v>0</v>
      </c>
      <c r="AN12" s="35">
        <f>+GETPIVOTDATA("XBB4",'binhba (2016)'!$A$3,"MA_HT","CLN","MA_QH","DDT")</f>
        <v>0</v>
      </c>
      <c r="AO12" s="35">
        <f>+GETPIVOTDATA("XBB4",'binhba (2016)'!$A$3,"MA_HT","CLN","MA_QH","DDL")</f>
        <v>0</v>
      </c>
      <c r="AP12" s="35">
        <f>+GETPIVOTDATA("XBB4",'binhba (2016)'!$A$3,"MA_HT","CLN","MA_QH","DRA")</f>
        <v>0</v>
      </c>
      <c r="AQ12" s="35">
        <f>+GETPIVOTDATA("XBB4",'binhba (2016)'!$A$3,"MA_HT","CLN","MA_QH","ONT")</f>
        <v>0</v>
      </c>
      <c r="AR12" s="35">
        <f>+GETPIVOTDATA("XBB4",'binhba (2016)'!$A$3,"MA_HT","CLN","MA_QH","ODT")</f>
        <v>0</v>
      </c>
      <c r="AS12" s="35">
        <f>+GETPIVOTDATA("XBB4",'binhba (2016)'!$A$3,"MA_HT","CLN","MA_QH","TSC")</f>
        <v>0</v>
      </c>
      <c r="AT12" s="35">
        <f>+GETPIVOTDATA("XBB4",'binhba (2016)'!$A$3,"MA_HT","CLN","MA_QH","DTS")</f>
        <v>0</v>
      </c>
      <c r="AU12" s="35">
        <f>+GETPIVOTDATA("XBB4",'binhba (2016)'!$A$3,"MA_HT","CLN","MA_QH","DNG")</f>
        <v>0</v>
      </c>
      <c r="AV12" s="35">
        <f>+GETPIVOTDATA("XBB4",'binhba (2016)'!$A$3,"MA_HT","CLN","MA_QH","TON")</f>
        <v>0</v>
      </c>
      <c r="AW12" s="35">
        <f>+GETPIVOTDATA("XBB4",'binhba (2016)'!$A$3,"MA_HT","CLN","MA_QH","NTD")</f>
        <v>0</v>
      </c>
      <c r="AX12" s="35">
        <f>+GETPIVOTDATA("XBB4",'binhba (2016)'!$A$3,"MA_HT","CLN","MA_QH","SKX")</f>
        <v>0</v>
      </c>
      <c r="AY12" s="35">
        <f>+GETPIVOTDATA("XBB4",'binhba (2016)'!$A$3,"MA_HT","CLN","MA_QH","DSH")</f>
        <v>0</v>
      </c>
      <c r="AZ12" s="35">
        <f>+GETPIVOTDATA("XBB4",'binhba (2016)'!$A$3,"MA_HT","CLN","MA_QH","DKV")</f>
        <v>0</v>
      </c>
      <c r="BA12" s="140">
        <f>+GETPIVOTDATA("XBB4",'binhba (2016)'!$A$3,"MA_HT","CLN","MA_QH","TIN")</f>
        <v>0</v>
      </c>
      <c r="BB12" s="74">
        <f>+GETPIVOTDATA("XBB4",'binhba (2016)'!$A$3,"MA_HT","CLN","MA_QH","SON")</f>
        <v>0</v>
      </c>
      <c r="BC12" s="74">
        <f>+GETPIVOTDATA("XBB4",'binhba (2016)'!$A$3,"MA_HT","CLN","MA_QH","MNC")</f>
        <v>0</v>
      </c>
      <c r="BD12" s="35">
        <f>+GETPIVOTDATA("XBB4",'binhba (2016)'!$A$3,"MA_HT","CLN","MA_QH","PNK")</f>
        <v>0</v>
      </c>
      <c r="BE12" s="58">
        <f>+GETPIVOTDATA("XBB4",'binhba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+GETPIVOTDATA("XBB4",'binhba (2016)'!$A$3,"MA_HT","RSX","MA_QH","LUC")</f>
        <v>0</v>
      </c>
      <c r="H13" s="35">
        <f>+GETPIVOTDATA("XBB4",'binhba (2016)'!$A$3,"MA_HT","RSX","MA_QH","LUK")</f>
        <v>0</v>
      </c>
      <c r="I13" s="35">
        <f>+GETPIVOTDATA("XBB4",'binhba (2016)'!$A$3,"MA_HT","RSX","MA_QH","LUN")</f>
        <v>0</v>
      </c>
      <c r="J13" s="35">
        <f>+GETPIVOTDATA("XBB4",'binhba (2016)'!$A$3,"MA_HT","RSX","MA_QH","HNK")</f>
        <v>0</v>
      </c>
      <c r="K13" s="35">
        <f>+GETPIVOTDATA("XBB4",'binhba (2016)'!$A$3,"MA_HT","RSX","MA_QH","CLN")</f>
        <v>0</v>
      </c>
      <c r="L13" s="99" t="e">
        <f>$D13-$BF13</f>
        <v>#REF!</v>
      </c>
      <c r="M13" s="35">
        <f>+GETPIVOTDATA("XBB4",'binhba (2016)'!$A$3,"MA_HT","RSX","MA_QH","RPH")</f>
        <v>0</v>
      </c>
      <c r="N13" s="35">
        <f>+GETPIVOTDATA("XBB4",'binhba (2016)'!$A$3,"MA_HT","RSX","MA_QH","RDD")</f>
        <v>0</v>
      </c>
      <c r="O13" s="35">
        <f>+GETPIVOTDATA("XBB4",'binhba (2016)'!$A$3,"MA_HT","RSX","MA_QH","NTS")</f>
        <v>0</v>
      </c>
      <c r="P13" s="35">
        <f>+GETPIVOTDATA("XBB4",'binhba (2016)'!$A$3,"MA_HT","RSX","MA_QH","LMU")</f>
        <v>0</v>
      </c>
      <c r="Q13" s="35">
        <f>+GETPIVOTDATA("XBB4",'binhba (2016)'!$A$3,"MA_HT","RSX","MA_QH","NKH")</f>
        <v>0</v>
      </c>
      <c r="R13" s="63">
        <f t="shared" si="2"/>
        <v>0</v>
      </c>
      <c r="S13" s="35">
        <f>+GETPIVOTDATA("XBB4",'binhba (2016)'!$A$3,"MA_HT","RSX","MA_QH","CQP")</f>
        <v>0</v>
      </c>
      <c r="T13" s="35">
        <f>+GETPIVOTDATA("XBB4",'binhba (2016)'!$A$3,"MA_HT","RSX","MA_QH","CAN")</f>
        <v>0</v>
      </c>
      <c r="U13" s="35">
        <f>+GETPIVOTDATA("XBB4",'binhba (2016)'!$A$3,"MA_HT","RSX","MA_QH","SKK")</f>
        <v>0</v>
      </c>
      <c r="V13" s="35">
        <f>+GETPIVOTDATA("XBB4",'binhba (2016)'!$A$3,"MA_HT","RSX","MA_QH","SKT")</f>
        <v>0</v>
      </c>
      <c r="W13" s="35">
        <f>+GETPIVOTDATA("XBB4",'binhba (2016)'!$A$3,"MA_HT","RSX","MA_QH","SKN")</f>
        <v>0</v>
      </c>
      <c r="X13" s="35">
        <f>+GETPIVOTDATA("XBB4",'binhba (2016)'!$A$3,"MA_HT","RSX","MA_QH","TMD")</f>
        <v>0</v>
      </c>
      <c r="Y13" s="35">
        <f>+GETPIVOTDATA("XBB4",'binhba (2016)'!$A$3,"MA_HT","RSX","MA_QH","SKC")</f>
        <v>0</v>
      </c>
      <c r="Z13" s="35">
        <f>+GETPIVOTDATA("XBB4",'binhba (2016)'!$A$3,"MA_HT","RSX","MA_QH","SKS")</f>
        <v>0</v>
      </c>
      <c r="AA13" s="64">
        <f t="shared" si="4"/>
        <v>0</v>
      </c>
      <c r="AB13" s="35">
        <f>+GETPIVOTDATA("XBB4",'binhba (2016)'!$A$3,"MA_HT","RSX","MA_QH","DGT")</f>
        <v>0</v>
      </c>
      <c r="AC13" s="35">
        <f>+GETPIVOTDATA("XBB4",'binhba (2016)'!$A$3,"MA_HT","RSX","MA_QH","DTL")</f>
        <v>0</v>
      </c>
      <c r="AD13" s="35">
        <f>+GETPIVOTDATA("XBB4",'binhba (2016)'!$A$3,"MA_HT","RSX","MA_QH","DNL")</f>
        <v>0</v>
      </c>
      <c r="AE13" s="35">
        <f>+GETPIVOTDATA("XBB4",'binhba (2016)'!$A$3,"MA_HT","RSX","MA_QH","DBV")</f>
        <v>0</v>
      </c>
      <c r="AF13" s="35">
        <f>+GETPIVOTDATA("XBB4",'binhba (2016)'!$A$3,"MA_HT","RSX","MA_QH","DVH")</f>
        <v>0</v>
      </c>
      <c r="AG13" s="35">
        <f>+GETPIVOTDATA("XBB4",'binhba (2016)'!$A$3,"MA_HT","RSX","MA_QH","DYT")</f>
        <v>0</v>
      </c>
      <c r="AH13" s="35">
        <f>+GETPIVOTDATA("XBB4",'binhba (2016)'!$A$3,"MA_HT","RSX","MA_QH","DGD")</f>
        <v>0</v>
      </c>
      <c r="AI13" s="35">
        <f>+GETPIVOTDATA("XBB4",'binhba (2016)'!$A$3,"MA_HT","RSX","MA_QH","DTT")</f>
        <v>0</v>
      </c>
      <c r="AJ13" s="35">
        <f>+GETPIVOTDATA("XBB4",'binhba (2016)'!$A$3,"MA_HT","RSX","MA_QH","NCK")</f>
        <v>0</v>
      </c>
      <c r="AK13" s="35">
        <f>+GETPIVOTDATA("XBB4",'binhba (2016)'!$A$3,"MA_HT","RSX","MA_QH","DXH")</f>
        <v>0</v>
      </c>
      <c r="AL13" s="35">
        <f>+GETPIVOTDATA("XBB4",'binhba (2016)'!$A$3,"MA_HT","RSX","MA_QH","DCH")</f>
        <v>0</v>
      </c>
      <c r="AM13" s="35">
        <f>+GETPIVOTDATA("XBB4",'binhba (2016)'!$A$3,"MA_HT","RSX","MA_QH","DKG")</f>
        <v>0</v>
      </c>
      <c r="AN13" s="35">
        <f>+GETPIVOTDATA("XBB4",'binhba (2016)'!$A$3,"MA_HT","RSX","MA_QH","DDT")</f>
        <v>0</v>
      </c>
      <c r="AO13" s="35">
        <f>+GETPIVOTDATA("XBB4",'binhba (2016)'!$A$3,"MA_HT","RSX","MA_QH","DDL")</f>
        <v>0</v>
      </c>
      <c r="AP13" s="35">
        <f>+GETPIVOTDATA("XBB4",'binhba (2016)'!$A$3,"MA_HT","RSX","MA_QH","DRA")</f>
        <v>0</v>
      </c>
      <c r="AQ13" s="35">
        <f>+GETPIVOTDATA("XBB4",'binhba (2016)'!$A$3,"MA_HT","RSX","MA_QH","ONT")</f>
        <v>0</v>
      </c>
      <c r="AR13" s="35">
        <f>+GETPIVOTDATA("XBB4",'binhba (2016)'!$A$3,"MA_HT","RSX","MA_QH","ODT")</f>
        <v>0</v>
      </c>
      <c r="AS13" s="35">
        <f>+GETPIVOTDATA("XBB4",'binhba (2016)'!$A$3,"MA_HT","RSX","MA_QH","TSC")</f>
        <v>0</v>
      </c>
      <c r="AT13" s="35">
        <f>+GETPIVOTDATA("XBB4",'binhba (2016)'!$A$3,"MA_HT","RSX","MA_QH","DTS")</f>
        <v>0</v>
      </c>
      <c r="AU13" s="35">
        <f>+GETPIVOTDATA("XBB4",'binhba (2016)'!$A$3,"MA_HT","RSX","MA_QH","DNG")</f>
        <v>0</v>
      </c>
      <c r="AV13" s="35">
        <f>+GETPIVOTDATA("XBB4",'binhba (2016)'!$A$3,"MA_HT","RSX","MA_QH","TON")</f>
        <v>0</v>
      </c>
      <c r="AW13" s="35">
        <f>+GETPIVOTDATA("XBB4",'binhba (2016)'!$A$3,"MA_HT","RSX","MA_QH","NTD")</f>
        <v>0</v>
      </c>
      <c r="AX13" s="35">
        <f>+GETPIVOTDATA("XBB4",'binhba (2016)'!$A$3,"MA_HT","RSX","MA_QH","SKX")</f>
        <v>0</v>
      </c>
      <c r="AY13" s="35">
        <f>+GETPIVOTDATA("XBB4",'binhba (2016)'!$A$3,"MA_HT","RSX","MA_QH","DSH")</f>
        <v>0</v>
      </c>
      <c r="AZ13" s="35">
        <f>+GETPIVOTDATA("XBB4",'binhba (2016)'!$A$3,"MA_HT","RSX","MA_QH","DKV")</f>
        <v>0</v>
      </c>
      <c r="BA13" s="140">
        <f>+GETPIVOTDATA("XBB4",'binhba (2016)'!$A$3,"MA_HT","RSX","MA_QH","TIN")</f>
        <v>0</v>
      </c>
      <c r="BB13" s="74">
        <f>+GETPIVOTDATA("XBB4",'binhba (2016)'!$A$3,"MA_HT","RSX","MA_QH","SON")</f>
        <v>0</v>
      </c>
      <c r="BC13" s="74">
        <f>+GETPIVOTDATA("XBB4",'binhba (2016)'!$A$3,"MA_HT","RSX","MA_QH","MNC")</f>
        <v>0</v>
      </c>
      <c r="BD13" s="35">
        <f>+GETPIVOTDATA("XBB4",'binhba (2016)'!$A$3,"MA_HT","RSX","MA_QH","PNK")</f>
        <v>0</v>
      </c>
      <c r="BE13" s="58">
        <f>+GETPIVOTDATA("XBB4",'binhba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+GETPIVOTDATA("XBB4",'binhba (2016)'!$A$3,"MA_HT","RPH","MA_QH","LUC")</f>
        <v>0</v>
      </c>
      <c r="H14" s="35">
        <f>+GETPIVOTDATA("XBB4",'binhba (2016)'!$A$3,"MA_HT","RPH","MA_QH","LUK")</f>
        <v>0</v>
      </c>
      <c r="I14" s="35">
        <f>+GETPIVOTDATA("XBB4",'binhba (2016)'!$A$3,"MA_HT","RPH","MA_QH","LUN")</f>
        <v>0</v>
      </c>
      <c r="J14" s="35">
        <f>+GETPIVOTDATA("XBB4",'binhba (2016)'!$A$3,"MA_HT","RPH","MA_QH","HNK")</f>
        <v>0</v>
      </c>
      <c r="K14" s="35">
        <f>+GETPIVOTDATA("XBB4",'binhba (2016)'!$A$3,"MA_HT","RPH","MA_QH","CLN")</f>
        <v>0</v>
      </c>
      <c r="L14" s="35">
        <f>+GETPIVOTDATA("XBB4",'binhba (2016)'!$A$3,"MA_HT","RPH","MA_QH","RSX")</f>
        <v>0</v>
      </c>
      <c r="M14" s="99" t="e">
        <f>$D14-$BF14</f>
        <v>#REF!</v>
      </c>
      <c r="N14" s="35">
        <f>+GETPIVOTDATA("XBB4",'binhba (2016)'!$A$3,"MA_HT","RPH","MA_QH","RDD")</f>
        <v>0</v>
      </c>
      <c r="O14" s="35">
        <f>+GETPIVOTDATA("XBB4",'binhba (2016)'!$A$3,"MA_HT","RPH","MA_QH","NTS")</f>
        <v>0</v>
      </c>
      <c r="P14" s="35">
        <f>+GETPIVOTDATA("XBB4",'binhba (2016)'!$A$3,"MA_HT","RPH","MA_QH","LMU")</f>
        <v>0</v>
      </c>
      <c r="Q14" s="35">
        <f>+GETPIVOTDATA("XBB4",'binhba (2016)'!$A$3,"MA_HT","RPH","MA_QH","NKH")</f>
        <v>0</v>
      </c>
      <c r="R14" s="63">
        <f t="shared" si="2"/>
        <v>0</v>
      </c>
      <c r="S14" s="35">
        <f>+GETPIVOTDATA("XBB4",'binhba (2016)'!$A$3,"MA_HT","RPH","MA_QH","CQP")</f>
        <v>0</v>
      </c>
      <c r="T14" s="35">
        <f>+GETPIVOTDATA("XBB4",'binhba (2016)'!$A$3,"MA_HT","RPH","MA_QH","CAN")</f>
        <v>0</v>
      </c>
      <c r="U14" s="35">
        <f>+GETPIVOTDATA("XBB4",'binhba (2016)'!$A$3,"MA_HT","RPH","MA_QH","SKK")</f>
        <v>0</v>
      </c>
      <c r="V14" s="35">
        <f>+GETPIVOTDATA("XBB4",'binhba (2016)'!$A$3,"MA_HT","RPH","MA_QH","SKT")</f>
        <v>0</v>
      </c>
      <c r="W14" s="35">
        <f>+GETPIVOTDATA("XBB4",'binhba (2016)'!$A$3,"MA_HT","RPH","MA_QH","SKN")</f>
        <v>0</v>
      </c>
      <c r="X14" s="35">
        <f>+GETPIVOTDATA("XBB4",'binhba (2016)'!$A$3,"MA_HT","RPH","MA_QH","TMD")</f>
        <v>0</v>
      </c>
      <c r="Y14" s="35">
        <f>+GETPIVOTDATA("XBB4",'binhba (2016)'!$A$3,"MA_HT","RPH","MA_QH","SKC")</f>
        <v>0</v>
      </c>
      <c r="Z14" s="35">
        <f>+GETPIVOTDATA("XBB4",'binhba (2016)'!$A$3,"MA_HT","RPH","MA_QH","SKS")</f>
        <v>0</v>
      </c>
      <c r="AA14" s="64">
        <f t="shared" si="4"/>
        <v>0</v>
      </c>
      <c r="AB14" s="35">
        <f>+GETPIVOTDATA("XBB4",'binhba (2016)'!$A$3,"MA_HT","RPH","MA_QH","DGT")</f>
        <v>0</v>
      </c>
      <c r="AC14" s="35">
        <f>+GETPIVOTDATA("XBB4",'binhba (2016)'!$A$3,"MA_HT","RPH","MA_QH","DTL")</f>
        <v>0</v>
      </c>
      <c r="AD14" s="35">
        <f>+GETPIVOTDATA("XBB4",'binhba (2016)'!$A$3,"MA_HT","RPH","MA_QH","DNL")</f>
        <v>0</v>
      </c>
      <c r="AE14" s="35">
        <f>+GETPIVOTDATA("XBB4",'binhba (2016)'!$A$3,"MA_HT","RPH","MA_QH","DBV")</f>
        <v>0</v>
      </c>
      <c r="AF14" s="35">
        <f>+GETPIVOTDATA("XBB4",'binhba (2016)'!$A$3,"MA_HT","RPH","MA_QH","DVH")</f>
        <v>0</v>
      </c>
      <c r="AG14" s="35">
        <f>+GETPIVOTDATA("XBB4",'binhba (2016)'!$A$3,"MA_HT","RPH","MA_QH","DYT")</f>
        <v>0</v>
      </c>
      <c r="AH14" s="35">
        <f>+GETPIVOTDATA("XBB4",'binhba (2016)'!$A$3,"MA_HT","RPH","MA_QH","DGD")</f>
        <v>0</v>
      </c>
      <c r="AI14" s="35">
        <f>+GETPIVOTDATA("XBB4",'binhba (2016)'!$A$3,"MA_HT","RPH","MA_QH","DTT")</f>
        <v>0</v>
      </c>
      <c r="AJ14" s="35">
        <f>+GETPIVOTDATA("XBB4",'binhba (2016)'!$A$3,"MA_HT","RPH","MA_QH","NCK")</f>
        <v>0</v>
      </c>
      <c r="AK14" s="35">
        <f>+GETPIVOTDATA("XBB4",'binhba (2016)'!$A$3,"MA_HT","RPH","MA_QH","DXH")</f>
        <v>0</v>
      </c>
      <c r="AL14" s="35">
        <f>+GETPIVOTDATA("XBB4",'binhba (2016)'!$A$3,"MA_HT","RPH","MA_QH","DCH")</f>
        <v>0</v>
      </c>
      <c r="AM14" s="35">
        <f>+GETPIVOTDATA("XBB4",'binhba (2016)'!$A$3,"MA_HT","RPH","MA_QH","DKG")</f>
        <v>0</v>
      </c>
      <c r="AN14" s="35">
        <f>+GETPIVOTDATA("XBB4",'binhba (2016)'!$A$3,"MA_HT","RPH","MA_QH","DDT")</f>
        <v>0</v>
      </c>
      <c r="AO14" s="35">
        <f>+GETPIVOTDATA("XBB4",'binhba (2016)'!$A$3,"MA_HT","RPH","MA_QH","DDL")</f>
        <v>0</v>
      </c>
      <c r="AP14" s="35">
        <f>+GETPIVOTDATA("XBB4",'binhba (2016)'!$A$3,"MA_HT","RPH","MA_QH","DRA")</f>
        <v>0</v>
      </c>
      <c r="AQ14" s="35">
        <f>+GETPIVOTDATA("XBB4",'binhba (2016)'!$A$3,"MA_HT","RPH","MA_QH","ONT")</f>
        <v>0</v>
      </c>
      <c r="AR14" s="35">
        <f>+GETPIVOTDATA("XBB4",'binhba (2016)'!$A$3,"MA_HT","RPH","MA_QH","ODT")</f>
        <v>0</v>
      </c>
      <c r="AS14" s="35">
        <f>+GETPIVOTDATA("XBB4",'binhba (2016)'!$A$3,"MA_HT","RPH","MA_QH","TSC")</f>
        <v>0</v>
      </c>
      <c r="AT14" s="35">
        <f>+GETPIVOTDATA("XBB4",'binhba (2016)'!$A$3,"MA_HT","RPH","MA_QH","DTS")</f>
        <v>0</v>
      </c>
      <c r="AU14" s="35">
        <f>+GETPIVOTDATA("XBB4",'binhba (2016)'!$A$3,"MA_HT","RPH","MA_QH","DNG")</f>
        <v>0</v>
      </c>
      <c r="AV14" s="35">
        <f>+GETPIVOTDATA("XBB4",'binhba (2016)'!$A$3,"MA_HT","RPH","MA_QH","TON")</f>
        <v>0</v>
      </c>
      <c r="AW14" s="35">
        <f>+GETPIVOTDATA("XBB4",'binhba (2016)'!$A$3,"MA_HT","RPH","MA_QH","NTD")</f>
        <v>0</v>
      </c>
      <c r="AX14" s="35">
        <f>+GETPIVOTDATA("XBB4",'binhba (2016)'!$A$3,"MA_HT","RPH","MA_QH","SKX")</f>
        <v>0</v>
      </c>
      <c r="AY14" s="35">
        <f>+GETPIVOTDATA("XBB4",'binhba (2016)'!$A$3,"MA_HT","RPH","MA_QH","DSH")</f>
        <v>0</v>
      </c>
      <c r="AZ14" s="35">
        <f>+GETPIVOTDATA("XBB4",'binhba (2016)'!$A$3,"MA_HT","RPH","MA_QH","DKV")</f>
        <v>0</v>
      </c>
      <c r="BA14" s="140">
        <f>+GETPIVOTDATA("XBB4",'binhba (2016)'!$A$3,"MA_HT","RPH","MA_QH","TIN")</f>
        <v>0</v>
      </c>
      <c r="BB14" s="74">
        <f>+GETPIVOTDATA("XBB4",'binhba (2016)'!$A$3,"MA_HT","RPH","MA_QH","SON")</f>
        <v>0</v>
      </c>
      <c r="BC14" s="74">
        <f>+GETPIVOTDATA("XBB4",'binhba (2016)'!$A$3,"MA_HT","RPH","MA_QH","MNC")</f>
        <v>0</v>
      </c>
      <c r="BD14" s="35">
        <f>+GETPIVOTDATA("XBB4",'binhba (2016)'!$A$3,"MA_HT","RPH","MA_QH","PNK")</f>
        <v>0</v>
      </c>
      <c r="BE14" s="58">
        <f>+GETPIVOTDATA("XBB4",'binhba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+GETPIVOTDATA("XBB4",'binhba (2016)'!$A$3,"MA_HT","RDD","MA_QH","LUC")</f>
        <v>0</v>
      </c>
      <c r="H15" s="35">
        <f>+GETPIVOTDATA("XBB4",'binhba (2016)'!$A$3,"MA_HT","RDD","MA_QH","LUK")</f>
        <v>0</v>
      </c>
      <c r="I15" s="35">
        <f>+GETPIVOTDATA("XBB4",'binhba (2016)'!$A$3,"MA_HT","RDD","MA_QH","LUN")</f>
        <v>0</v>
      </c>
      <c r="J15" s="35">
        <f>+GETPIVOTDATA("XBB4",'binhba (2016)'!$A$3,"MA_HT","RDD","MA_QH","HNK")</f>
        <v>0</v>
      </c>
      <c r="K15" s="35">
        <f>+GETPIVOTDATA("XBB4",'binhba (2016)'!$A$3,"MA_HT","RDD","MA_QH","CLN")</f>
        <v>0</v>
      </c>
      <c r="L15" s="35">
        <f>+GETPIVOTDATA("XBB4",'binhba (2016)'!$A$3,"MA_HT","RDD","MA_QH","RSX")</f>
        <v>0</v>
      </c>
      <c r="M15" s="35">
        <f>+GETPIVOTDATA("XBB4",'binhba (2016)'!$A$3,"MA_HT","RDD","MA_QH","RPH")</f>
        <v>0</v>
      </c>
      <c r="N15" s="99" t="e">
        <f>$D15-$BF15</f>
        <v>#REF!</v>
      </c>
      <c r="O15" s="35">
        <f>+GETPIVOTDATA("XBB4",'binhba (2016)'!$A$3,"MA_HT","RDD","MA_QH","NTS")</f>
        <v>0</v>
      </c>
      <c r="P15" s="35">
        <f>+GETPIVOTDATA("XBB4",'binhba (2016)'!$A$3,"MA_HT","RDD","MA_QH","LMU")</f>
        <v>0</v>
      </c>
      <c r="Q15" s="35">
        <f>+GETPIVOTDATA("XBB4",'binhba (2016)'!$A$3,"MA_HT","RDD","MA_QH","NKH")</f>
        <v>0</v>
      </c>
      <c r="R15" s="63">
        <f t="shared" si="2"/>
        <v>0</v>
      </c>
      <c r="S15" s="35">
        <f>+GETPIVOTDATA("XBB4",'binhba (2016)'!$A$3,"MA_HT","RDD","MA_QH","CQP")</f>
        <v>0</v>
      </c>
      <c r="T15" s="35">
        <f>+GETPIVOTDATA("XBB4",'binhba (2016)'!$A$3,"MA_HT","RDD","MA_QH","CAN")</f>
        <v>0</v>
      </c>
      <c r="U15" s="35">
        <f>+GETPIVOTDATA("XBB4",'binhba (2016)'!$A$3,"MA_HT","RDD","MA_QH","SKK")</f>
        <v>0</v>
      </c>
      <c r="V15" s="35">
        <f>+GETPIVOTDATA("XBB4",'binhba (2016)'!$A$3,"MA_HT","RDD","MA_QH","SKT")</f>
        <v>0</v>
      </c>
      <c r="W15" s="35">
        <f>+GETPIVOTDATA("XBB4",'binhba (2016)'!$A$3,"MA_HT","RDD","MA_QH","SKN")</f>
        <v>0</v>
      </c>
      <c r="X15" s="35">
        <f>+GETPIVOTDATA("XBB4",'binhba (2016)'!$A$3,"MA_HT","RDD","MA_QH","TMD")</f>
        <v>0</v>
      </c>
      <c r="Y15" s="35">
        <f>+GETPIVOTDATA("XBB4",'binhba (2016)'!$A$3,"MA_HT","RDD","MA_QH","SKC")</f>
        <v>0</v>
      </c>
      <c r="Z15" s="35">
        <f>+GETPIVOTDATA("XBB4",'binhba (2016)'!$A$3,"MA_HT","RDD","MA_QH","SKS")</f>
        <v>0</v>
      </c>
      <c r="AA15" s="64">
        <f t="shared" si="4"/>
        <v>0</v>
      </c>
      <c r="AB15" s="35">
        <f>+GETPIVOTDATA("XBB4",'binhba (2016)'!$A$3,"MA_HT","RDD","MA_QH","DGT")</f>
        <v>0</v>
      </c>
      <c r="AC15" s="35">
        <f>+GETPIVOTDATA("XBB4",'binhba (2016)'!$A$3,"MA_HT","RDD","MA_QH","DTL")</f>
        <v>0</v>
      </c>
      <c r="AD15" s="35">
        <f>+GETPIVOTDATA("XBB4",'binhba (2016)'!$A$3,"MA_HT","RDD","MA_QH","DNL")</f>
        <v>0</v>
      </c>
      <c r="AE15" s="35">
        <f>+GETPIVOTDATA("XBB4",'binhba (2016)'!$A$3,"MA_HT","RDD","MA_QH","DBV")</f>
        <v>0</v>
      </c>
      <c r="AF15" s="35">
        <f>+GETPIVOTDATA("XBB4",'binhba (2016)'!$A$3,"MA_HT","RDD","MA_QH","DVH")</f>
        <v>0</v>
      </c>
      <c r="AG15" s="35">
        <f>+GETPIVOTDATA("XBB4",'binhba (2016)'!$A$3,"MA_HT","RDD","MA_QH","DYT")</f>
        <v>0</v>
      </c>
      <c r="AH15" s="35">
        <f>+GETPIVOTDATA("XBB4",'binhba (2016)'!$A$3,"MA_HT","RDD","MA_QH","DGD")</f>
        <v>0</v>
      </c>
      <c r="AI15" s="35">
        <f>+GETPIVOTDATA("XBB4",'binhba (2016)'!$A$3,"MA_HT","RDD","MA_QH","DTT")</f>
        <v>0</v>
      </c>
      <c r="AJ15" s="35">
        <f>+GETPIVOTDATA("XBB4",'binhba (2016)'!$A$3,"MA_HT","RDD","MA_QH","NCK")</f>
        <v>0</v>
      </c>
      <c r="AK15" s="35">
        <f>+GETPIVOTDATA("XBB4",'binhba (2016)'!$A$3,"MA_HT","RDD","MA_QH","DXH")</f>
        <v>0</v>
      </c>
      <c r="AL15" s="35">
        <f>+GETPIVOTDATA("XBB4",'binhba (2016)'!$A$3,"MA_HT","RDD","MA_QH","DCH")</f>
        <v>0</v>
      </c>
      <c r="AM15" s="35">
        <f>+GETPIVOTDATA("XBB4",'binhba (2016)'!$A$3,"MA_HT","RDD","MA_QH","DKG")</f>
        <v>0</v>
      </c>
      <c r="AN15" s="35">
        <f>+GETPIVOTDATA("XBB4",'binhba (2016)'!$A$3,"MA_HT","RDD","MA_QH","DDT")</f>
        <v>0</v>
      </c>
      <c r="AO15" s="35">
        <f>+GETPIVOTDATA("XBB4",'binhba (2016)'!$A$3,"MA_HT","RDD","MA_QH","DDL")</f>
        <v>0</v>
      </c>
      <c r="AP15" s="35">
        <f>+GETPIVOTDATA("XBB4",'binhba (2016)'!$A$3,"MA_HT","RDD","MA_QH","DRA")</f>
        <v>0</v>
      </c>
      <c r="AQ15" s="35">
        <f>+GETPIVOTDATA("XBB4",'binhba (2016)'!$A$3,"MA_HT","RDD","MA_QH","ONT")</f>
        <v>0</v>
      </c>
      <c r="AR15" s="35">
        <f>+GETPIVOTDATA("XBB4",'binhba (2016)'!$A$3,"MA_HT","RDD","MA_QH","ODT")</f>
        <v>0</v>
      </c>
      <c r="AS15" s="35">
        <f>+GETPIVOTDATA("XBB4",'binhba (2016)'!$A$3,"MA_HT","RDD","MA_QH","TSC")</f>
        <v>0</v>
      </c>
      <c r="AT15" s="35">
        <f>+GETPIVOTDATA("XBB4",'binhba (2016)'!$A$3,"MA_HT","RDD","MA_QH","DTS")</f>
        <v>0</v>
      </c>
      <c r="AU15" s="35">
        <f>+GETPIVOTDATA("XBB4",'binhba (2016)'!$A$3,"MA_HT","RDD","MA_QH","DNG")</f>
        <v>0</v>
      </c>
      <c r="AV15" s="35">
        <f>+GETPIVOTDATA("XBB4",'binhba (2016)'!$A$3,"MA_HT","RDD","MA_QH","TON")</f>
        <v>0</v>
      </c>
      <c r="AW15" s="35">
        <f>+GETPIVOTDATA("XBB4",'binhba (2016)'!$A$3,"MA_HT","RDD","MA_QH","NTD")</f>
        <v>0</v>
      </c>
      <c r="AX15" s="35">
        <f>+GETPIVOTDATA("XBB4",'binhba (2016)'!$A$3,"MA_HT","RDD","MA_QH","SKX")</f>
        <v>0</v>
      </c>
      <c r="AY15" s="35">
        <f>+GETPIVOTDATA("XBB4",'binhba (2016)'!$A$3,"MA_HT","RDD","MA_QH","DSH")</f>
        <v>0</v>
      </c>
      <c r="AZ15" s="35">
        <f>+GETPIVOTDATA("XBB4",'binhba (2016)'!$A$3,"MA_HT","RDD","MA_QH","DKV")</f>
        <v>0</v>
      </c>
      <c r="BA15" s="140">
        <f>+GETPIVOTDATA("XBB4",'binhba (2016)'!$A$3,"MA_HT","RDD","MA_QH","TIN")</f>
        <v>0</v>
      </c>
      <c r="BB15" s="74">
        <f>+GETPIVOTDATA("XBB4",'binhba (2016)'!$A$3,"MA_HT","RDD","MA_QH","SON")</f>
        <v>0</v>
      </c>
      <c r="BC15" s="74">
        <f>+GETPIVOTDATA("XBB4",'binhba (2016)'!$A$3,"MA_HT","RDD","MA_QH","MNC")</f>
        <v>0</v>
      </c>
      <c r="BD15" s="35">
        <f>+GETPIVOTDATA("XBB4",'binhba (2016)'!$A$3,"MA_HT","RDD","MA_QH","PNK")</f>
        <v>0</v>
      </c>
      <c r="BE15" s="58">
        <f>+GETPIVOTDATA("XBB4",'binhba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+GETPIVOTDATA("XBB4",'binhba (2016)'!$A$3,"MA_HT","NTS","MA_QH","LUC")</f>
        <v>0</v>
      </c>
      <c r="H16" s="35">
        <f>+GETPIVOTDATA("XBB4",'binhba (2016)'!$A$3,"MA_HT","NTS","MA_QH","LUK")</f>
        <v>0</v>
      </c>
      <c r="I16" s="35">
        <f>+GETPIVOTDATA("XBB4",'binhba (2016)'!$A$3,"MA_HT","NTS","MA_QH","LUN")</f>
        <v>0</v>
      </c>
      <c r="J16" s="35">
        <f>+GETPIVOTDATA("XBB4",'binhba (2016)'!$A$3,"MA_HT","NTS","MA_QH","HNK")</f>
        <v>0</v>
      </c>
      <c r="K16" s="35">
        <f>+GETPIVOTDATA("XBB4",'binhba (2016)'!$A$3,"MA_HT","NTS","MA_QH","CLN")</f>
        <v>0</v>
      </c>
      <c r="L16" s="35">
        <f>+GETPIVOTDATA("XBB4",'binhba (2016)'!$A$3,"MA_HT","NTS","MA_QH","RSX")</f>
        <v>0</v>
      </c>
      <c r="M16" s="35">
        <f>+GETPIVOTDATA("XBB4",'binhba (2016)'!$A$3,"MA_HT","NTS","MA_QH","RPH")</f>
        <v>0</v>
      </c>
      <c r="N16" s="35">
        <f>+GETPIVOTDATA("XBB4",'binhba (2016)'!$A$3,"MA_HT","NTS","MA_QH","RDD")</f>
        <v>0</v>
      </c>
      <c r="O16" s="99" t="e">
        <f>$D16-$BF16</f>
        <v>#REF!</v>
      </c>
      <c r="P16" s="35">
        <f>+GETPIVOTDATA("XBB4",'binhba (2016)'!$A$3,"MA_HT","NTS","MA_QH","LMU")</f>
        <v>0</v>
      </c>
      <c r="Q16" s="35">
        <f>+GETPIVOTDATA("XBB4",'binhba (2016)'!$A$3,"MA_HT","NTS","MA_QH","NKH")</f>
        <v>0</v>
      </c>
      <c r="R16" s="63">
        <f t="shared" si="2"/>
        <v>0</v>
      </c>
      <c r="S16" s="35">
        <f>+GETPIVOTDATA("XBB4",'binhba (2016)'!$A$3,"MA_HT","NTS","MA_QH","CQP")</f>
        <v>0</v>
      </c>
      <c r="T16" s="35">
        <f>+GETPIVOTDATA("XBB4",'binhba (2016)'!$A$3,"MA_HT","NTS","MA_QH","CAN")</f>
        <v>0</v>
      </c>
      <c r="U16" s="35">
        <f>+GETPIVOTDATA("XBB4",'binhba (2016)'!$A$3,"MA_HT","NTS","MA_QH","SKK")</f>
        <v>0</v>
      </c>
      <c r="V16" s="35">
        <f>+GETPIVOTDATA("XBB4",'binhba (2016)'!$A$3,"MA_HT","NTS","MA_QH","SKT")</f>
        <v>0</v>
      </c>
      <c r="W16" s="35">
        <f>+GETPIVOTDATA("XBB4",'binhba (2016)'!$A$3,"MA_HT","NTS","MA_QH","SKN")</f>
        <v>0</v>
      </c>
      <c r="X16" s="35">
        <f>+GETPIVOTDATA("XBB4",'binhba (2016)'!$A$3,"MA_HT","NTS","MA_QH","TMD")</f>
        <v>0</v>
      </c>
      <c r="Y16" s="35">
        <f>+GETPIVOTDATA("XBB4",'binhba (2016)'!$A$3,"MA_HT","NTS","MA_QH","SKC")</f>
        <v>0</v>
      </c>
      <c r="Z16" s="35">
        <f>+GETPIVOTDATA("XBB4",'binhba (2016)'!$A$3,"MA_HT","NTS","MA_QH","SKS")</f>
        <v>0</v>
      </c>
      <c r="AA16" s="64">
        <f t="shared" si="4"/>
        <v>0</v>
      </c>
      <c r="AB16" s="35">
        <f>+GETPIVOTDATA("XBB4",'binhba (2016)'!$A$3,"MA_HT","NTS","MA_QH","DGT")</f>
        <v>0</v>
      </c>
      <c r="AC16" s="35">
        <f>+GETPIVOTDATA("XBB4",'binhba (2016)'!$A$3,"MA_HT","NTS","MA_QH","DTL")</f>
        <v>0</v>
      </c>
      <c r="AD16" s="35">
        <f>+GETPIVOTDATA("XBB4",'binhba (2016)'!$A$3,"MA_HT","NTS","MA_QH","DNL")</f>
        <v>0</v>
      </c>
      <c r="AE16" s="35">
        <f>+GETPIVOTDATA("XBB4",'binhba (2016)'!$A$3,"MA_HT","NTS","MA_QH","DBV")</f>
        <v>0</v>
      </c>
      <c r="AF16" s="35">
        <f>+GETPIVOTDATA("XBB4",'binhba (2016)'!$A$3,"MA_HT","NTS","MA_QH","DVH")</f>
        <v>0</v>
      </c>
      <c r="AG16" s="35">
        <f>+GETPIVOTDATA("XBB4",'binhba (2016)'!$A$3,"MA_HT","NTS","MA_QH","DYT")</f>
        <v>0</v>
      </c>
      <c r="AH16" s="35">
        <f>+GETPIVOTDATA("XBB4",'binhba (2016)'!$A$3,"MA_HT","NTS","MA_QH","DGD")</f>
        <v>0</v>
      </c>
      <c r="AI16" s="35">
        <f>+GETPIVOTDATA("XBB4",'binhba (2016)'!$A$3,"MA_HT","NTS","MA_QH","DTT")</f>
        <v>0</v>
      </c>
      <c r="AJ16" s="35">
        <f>+GETPIVOTDATA("XBB4",'binhba (2016)'!$A$3,"MA_HT","NTS","MA_QH","NCK")</f>
        <v>0</v>
      </c>
      <c r="AK16" s="35">
        <f>+GETPIVOTDATA("XBB4",'binhba (2016)'!$A$3,"MA_HT","NTS","MA_QH","DXH")</f>
        <v>0</v>
      </c>
      <c r="AL16" s="35">
        <f>+GETPIVOTDATA("XBB4",'binhba (2016)'!$A$3,"MA_HT","NTS","MA_QH","DCH")</f>
        <v>0</v>
      </c>
      <c r="AM16" s="35">
        <f>+GETPIVOTDATA("XBB4",'binhba (2016)'!$A$3,"MA_HT","NTS","MA_QH","DKG")</f>
        <v>0</v>
      </c>
      <c r="AN16" s="35">
        <f>+GETPIVOTDATA("XBB4",'binhba (2016)'!$A$3,"MA_HT","NTS","MA_QH","DDT")</f>
        <v>0</v>
      </c>
      <c r="AO16" s="35">
        <f>+GETPIVOTDATA("XBB4",'binhba (2016)'!$A$3,"MA_HT","NTS","MA_QH","DDL")</f>
        <v>0</v>
      </c>
      <c r="AP16" s="35">
        <f>+GETPIVOTDATA("XBB4",'binhba (2016)'!$A$3,"MA_HT","NTS","MA_QH","DRA")</f>
        <v>0</v>
      </c>
      <c r="AQ16" s="35">
        <f>+GETPIVOTDATA("XBB4",'binhba (2016)'!$A$3,"MA_HT","NTS","MA_QH","ONT")</f>
        <v>0</v>
      </c>
      <c r="AR16" s="35">
        <f>+GETPIVOTDATA("XBB4",'binhba (2016)'!$A$3,"MA_HT","NTS","MA_QH","ODT")</f>
        <v>0</v>
      </c>
      <c r="AS16" s="35">
        <f>+GETPIVOTDATA("XBB4",'binhba (2016)'!$A$3,"MA_HT","NTS","MA_QH","TSC")</f>
        <v>0</v>
      </c>
      <c r="AT16" s="35">
        <f>+GETPIVOTDATA("XBB4",'binhba (2016)'!$A$3,"MA_HT","NTS","MA_QH","DTS")</f>
        <v>0</v>
      </c>
      <c r="AU16" s="35">
        <f>+GETPIVOTDATA("XBB4",'binhba (2016)'!$A$3,"MA_HT","NTS","MA_QH","DNG")</f>
        <v>0</v>
      </c>
      <c r="AV16" s="35">
        <f>+GETPIVOTDATA("XBB4",'binhba (2016)'!$A$3,"MA_HT","NTS","MA_QH","TON")</f>
        <v>0</v>
      </c>
      <c r="AW16" s="35">
        <f>+GETPIVOTDATA("XBB4",'binhba (2016)'!$A$3,"MA_HT","NTS","MA_QH","NTD")</f>
        <v>0</v>
      </c>
      <c r="AX16" s="35">
        <f>+GETPIVOTDATA("XBB4",'binhba (2016)'!$A$3,"MA_HT","NTS","MA_QH","SKX")</f>
        <v>0</v>
      </c>
      <c r="AY16" s="35">
        <f>+GETPIVOTDATA("XBB4",'binhba (2016)'!$A$3,"MA_HT","NTS","MA_QH","DSH")</f>
        <v>0</v>
      </c>
      <c r="AZ16" s="35">
        <f>+GETPIVOTDATA("XBB4",'binhba (2016)'!$A$3,"MA_HT","NTS","MA_QH","DKV")</f>
        <v>0</v>
      </c>
      <c r="BA16" s="140">
        <f>+GETPIVOTDATA("XBB4",'binhba (2016)'!$A$3,"MA_HT","NTS","MA_QH","TIN")</f>
        <v>0</v>
      </c>
      <c r="BB16" s="74">
        <f>+GETPIVOTDATA("XBB4",'binhba (2016)'!$A$3,"MA_HT","NTS","MA_QH","SON")</f>
        <v>0</v>
      </c>
      <c r="BC16" s="74">
        <f>+GETPIVOTDATA("XBB4",'binhba (2016)'!$A$3,"MA_HT","NTS","MA_QH","MNC")</f>
        <v>0</v>
      </c>
      <c r="BD16" s="35">
        <f>+GETPIVOTDATA("XBB4",'binhba (2016)'!$A$3,"MA_HT","NTS","MA_QH","PNK")</f>
        <v>0</v>
      </c>
      <c r="BE16" s="58">
        <f>+GETPIVOTDATA("XBB4",'binhba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+GETPIVOTDATA("XBB4",'binhba (2016)'!$A$3,"MA_HT","LMU","MA_QH","LUC")</f>
        <v>0</v>
      </c>
      <c r="H17" s="35">
        <f>+GETPIVOTDATA("XBB4",'binhba (2016)'!$A$3,"MA_HT","LMU","MA_QH","LUK")</f>
        <v>0</v>
      </c>
      <c r="I17" s="35">
        <f>+GETPIVOTDATA("XBB4",'binhba (2016)'!$A$3,"MA_HT","LMU","MA_QH","LUN")</f>
        <v>0</v>
      </c>
      <c r="J17" s="35">
        <f>+GETPIVOTDATA("XBB4",'binhba (2016)'!$A$3,"MA_HT","LMU","MA_QH","HNK")</f>
        <v>0</v>
      </c>
      <c r="K17" s="35">
        <f>+GETPIVOTDATA("XBB4",'binhba (2016)'!$A$3,"MA_HT","LMU","MA_QH","CLN")</f>
        <v>0</v>
      </c>
      <c r="L17" s="35">
        <f>+GETPIVOTDATA("XBB4",'binhba (2016)'!$A$3,"MA_HT","LMU","MA_QH","RSX")</f>
        <v>0</v>
      </c>
      <c r="M17" s="35">
        <f>+GETPIVOTDATA("XBB4",'binhba (2016)'!$A$3,"MA_HT","LMU","MA_QH","RPH")</f>
        <v>0</v>
      </c>
      <c r="N17" s="35">
        <f>+GETPIVOTDATA("XBB4",'binhba (2016)'!$A$3,"MA_HT","LMU","MA_QH","RDD")</f>
        <v>0</v>
      </c>
      <c r="O17" s="35">
        <f>+GETPIVOTDATA("XBB4",'binhba (2016)'!$A$3,"MA_HT","LMU","MA_QH","NTS")</f>
        <v>0</v>
      </c>
      <c r="P17" s="99" t="e">
        <f>$D17-$BF17</f>
        <v>#REF!</v>
      </c>
      <c r="Q17" s="35">
        <f>+GETPIVOTDATA("XBB4",'binhba (2016)'!$A$3,"MA_HT","LMU","MA_QH","NKH")</f>
        <v>0</v>
      </c>
      <c r="R17" s="63">
        <f t="shared" si="2"/>
        <v>0</v>
      </c>
      <c r="S17" s="35">
        <f>+GETPIVOTDATA("XBB4",'binhba (2016)'!$A$3,"MA_HT","LMU","MA_QH","CQP")</f>
        <v>0</v>
      </c>
      <c r="T17" s="35">
        <f>+GETPIVOTDATA("XBB4",'binhba (2016)'!$A$3,"MA_HT","LMU","MA_QH","CAN")</f>
        <v>0</v>
      </c>
      <c r="U17" s="35">
        <f>+GETPIVOTDATA("XBB4",'binhba (2016)'!$A$3,"MA_HT","LMU","MA_QH","SKK")</f>
        <v>0</v>
      </c>
      <c r="V17" s="35">
        <f>+GETPIVOTDATA("XBB4",'binhba (2016)'!$A$3,"MA_HT","LMU","MA_QH","SKT")</f>
        <v>0</v>
      </c>
      <c r="W17" s="35">
        <f>+GETPIVOTDATA("XBB4",'binhba (2016)'!$A$3,"MA_HT","LMU","MA_QH","SKN")</f>
        <v>0</v>
      </c>
      <c r="X17" s="35">
        <f>+GETPIVOTDATA("XBB4",'binhba (2016)'!$A$3,"MA_HT","LMU","MA_QH","TMD")</f>
        <v>0</v>
      </c>
      <c r="Y17" s="35">
        <f>+GETPIVOTDATA("XBB4",'binhba (2016)'!$A$3,"MA_HT","LMU","MA_QH","SKC")</f>
        <v>0</v>
      </c>
      <c r="Z17" s="35">
        <f>+GETPIVOTDATA("XBB4",'binhba (2016)'!$A$3,"MA_HT","LMU","MA_QH","SKS")</f>
        <v>0</v>
      </c>
      <c r="AA17" s="64">
        <f t="shared" si="4"/>
        <v>0</v>
      </c>
      <c r="AB17" s="35">
        <f>+GETPIVOTDATA("XBB4",'binhba (2016)'!$A$3,"MA_HT","LMU","MA_QH","DGT")</f>
        <v>0</v>
      </c>
      <c r="AC17" s="35">
        <f>+GETPIVOTDATA("XBB4",'binhba (2016)'!$A$3,"MA_HT","LMU","MA_QH","DTL")</f>
        <v>0</v>
      </c>
      <c r="AD17" s="35">
        <f>+GETPIVOTDATA("XBB4",'binhba (2016)'!$A$3,"MA_HT","LMU","MA_QH","DNL")</f>
        <v>0</v>
      </c>
      <c r="AE17" s="35">
        <f>+GETPIVOTDATA("XBB4",'binhba (2016)'!$A$3,"MA_HT","LMU","MA_QH","DBV")</f>
        <v>0</v>
      </c>
      <c r="AF17" s="35">
        <f>+GETPIVOTDATA("XBB4",'binhba (2016)'!$A$3,"MA_HT","LMU","MA_QH","DVH")</f>
        <v>0</v>
      </c>
      <c r="AG17" s="35">
        <f>+GETPIVOTDATA("XBB4",'binhba (2016)'!$A$3,"MA_HT","LMU","MA_QH","DYT")</f>
        <v>0</v>
      </c>
      <c r="AH17" s="35">
        <f>+GETPIVOTDATA("XBB4",'binhba (2016)'!$A$3,"MA_HT","LMU","MA_QH","DGD")</f>
        <v>0</v>
      </c>
      <c r="AI17" s="35">
        <f>+GETPIVOTDATA("XBB4",'binhba (2016)'!$A$3,"MA_HT","LMU","MA_QH","DTT")</f>
        <v>0</v>
      </c>
      <c r="AJ17" s="35">
        <f>+GETPIVOTDATA("XBB4",'binhba (2016)'!$A$3,"MA_HT","LMU","MA_QH","NCK")</f>
        <v>0</v>
      </c>
      <c r="AK17" s="35">
        <f>+GETPIVOTDATA("XBB4",'binhba (2016)'!$A$3,"MA_HT","LMU","MA_QH","DXH")</f>
        <v>0</v>
      </c>
      <c r="AL17" s="35">
        <f>+GETPIVOTDATA("XBB4",'binhba (2016)'!$A$3,"MA_HT","LMU","MA_QH","DCH")</f>
        <v>0</v>
      </c>
      <c r="AM17" s="35">
        <f>+GETPIVOTDATA("XBB4",'binhba (2016)'!$A$3,"MA_HT","LMU","MA_QH","DKG")</f>
        <v>0</v>
      </c>
      <c r="AN17" s="35">
        <f>+GETPIVOTDATA("XBB4",'binhba (2016)'!$A$3,"MA_HT","LMU","MA_QH","DDT")</f>
        <v>0</v>
      </c>
      <c r="AO17" s="35">
        <f>+GETPIVOTDATA("XBB4",'binhba (2016)'!$A$3,"MA_HT","LMU","MA_QH","DDL")</f>
        <v>0</v>
      </c>
      <c r="AP17" s="35">
        <f>+GETPIVOTDATA("XBB4",'binhba (2016)'!$A$3,"MA_HT","LMU","MA_QH","DRA")</f>
        <v>0</v>
      </c>
      <c r="AQ17" s="35">
        <f>+GETPIVOTDATA("XBB4",'binhba (2016)'!$A$3,"MA_HT","LMU","MA_QH","ONT")</f>
        <v>0</v>
      </c>
      <c r="AR17" s="35">
        <f>+GETPIVOTDATA("XBB4",'binhba (2016)'!$A$3,"MA_HT","LMU","MA_QH","ODT")</f>
        <v>0</v>
      </c>
      <c r="AS17" s="35">
        <f>+GETPIVOTDATA("XBB4",'binhba (2016)'!$A$3,"MA_HT","LMU","MA_QH","TSC")</f>
        <v>0</v>
      </c>
      <c r="AT17" s="35">
        <f>+GETPIVOTDATA("XBB4",'binhba (2016)'!$A$3,"MA_HT","LMU","MA_QH","DTS")</f>
        <v>0</v>
      </c>
      <c r="AU17" s="35">
        <f>+GETPIVOTDATA("XBB4",'binhba (2016)'!$A$3,"MA_HT","LMU","MA_QH","DNG")</f>
        <v>0</v>
      </c>
      <c r="AV17" s="35">
        <f>+GETPIVOTDATA("XBB4",'binhba (2016)'!$A$3,"MA_HT","LMU","MA_QH","TON")</f>
        <v>0</v>
      </c>
      <c r="AW17" s="35">
        <f>+GETPIVOTDATA("XBB4",'binhba (2016)'!$A$3,"MA_HT","LMU","MA_QH","NTD")</f>
        <v>0</v>
      </c>
      <c r="AX17" s="35">
        <f>+GETPIVOTDATA("XBB4",'binhba (2016)'!$A$3,"MA_HT","LMU","MA_QH","SKX")</f>
        <v>0</v>
      </c>
      <c r="AY17" s="35">
        <f>+GETPIVOTDATA("XBB4",'binhba (2016)'!$A$3,"MA_HT","LMU","MA_QH","DSH")</f>
        <v>0</v>
      </c>
      <c r="AZ17" s="35">
        <f>+GETPIVOTDATA("XBB4",'binhba (2016)'!$A$3,"MA_HT","LMU","MA_QH","DKV")</f>
        <v>0</v>
      </c>
      <c r="BA17" s="140">
        <f>+GETPIVOTDATA("XBB4",'binhba (2016)'!$A$3,"MA_HT","LMU","MA_QH","TIN")</f>
        <v>0</v>
      </c>
      <c r="BB17" s="74">
        <f>+GETPIVOTDATA("XBB4",'binhba (2016)'!$A$3,"MA_HT","LMU","MA_QH","SON")</f>
        <v>0</v>
      </c>
      <c r="BC17" s="74">
        <f>+GETPIVOTDATA("XBB4",'binhba (2016)'!$A$3,"MA_HT","LMU","MA_QH","MNC")</f>
        <v>0</v>
      </c>
      <c r="BD17" s="35">
        <f>+GETPIVOTDATA("XBB4",'binhba (2016)'!$A$3,"MA_HT","LMU","MA_QH","PNK")</f>
        <v>0</v>
      </c>
      <c r="BE17" s="58">
        <f>+GETPIVOTDATA("XBB4",'binhba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+GETPIVOTDATA("XBB4",'binhba (2016)'!$A$3,"MA_HT","NKH","MA_QH","LUC")</f>
        <v>0</v>
      </c>
      <c r="H18" s="35">
        <f>+GETPIVOTDATA("XBB4",'binhba (2016)'!$A$3,"MA_HT","NKH","MA_QH","LUK")</f>
        <v>0</v>
      </c>
      <c r="I18" s="35">
        <f>+GETPIVOTDATA("XBB4",'binhba (2016)'!$A$3,"MA_HT","NKH","MA_QH","LUN")</f>
        <v>0</v>
      </c>
      <c r="J18" s="35">
        <f>+GETPIVOTDATA("XBB4",'binhba (2016)'!$A$3,"MA_HT","NKH","MA_QH","HNK")</f>
        <v>0</v>
      </c>
      <c r="K18" s="35">
        <f>+GETPIVOTDATA("XBB4",'binhba (2016)'!$A$3,"MA_HT","NKH","MA_QH","CLN")</f>
        <v>0</v>
      </c>
      <c r="L18" s="35">
        <f>+GETPIVOTDATA("XBB4",'binhba (2016)'!$A$3,"MA_HT","NKH","MA_QH","RSX")</f>
        <v>0</v>
      </c>
      <c r="M18" s="35">
        <f>+GETPIVOTDATA("XBB4",'binhba (2016)'!$A$3,"MA_HT","NKH","MA_QH","RPH")</f>
        <v>0</v>
      </c>
      <c r="N18" s="35">
        <f>+GETPIVOTDATA("XBB4",'binhba (2016)'!$A$3,"MA_HT","NKH","MA_QH","RDD")</f>
        <v>0</v>
      </c>
      <c r="O18" s="35">
        <f>+GETPIVOTDATA("XBB4",'binhba (2016)'!$A$3,"MA_HT","NKH","MA_QH","NTS")</f>
        <v>0</v>
      </c>
      <c r="P18" s="35">
        <f>+GETPIVOTDATA("XBB4",'binhba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+GETPIVOTDATA("XBB4",'binhba (2016)'!$A$3,"MA_HT","NKH","MA_QH","CQP")</f>
        <v>0</v>
      </c>
      <c r="T18" s="35">
        <f>+GETPIVOTDATA("XBB4",'binhba (2016)'!$A$3,"MA_HT","NKH","MA_QH","CAN")</f>
        <v>0</v>
      </c>
      <c r="U18" s="35">
        <f>+GETPIVOTDATA("XBB4",'binhba (2016)'!$A$3,"MA_HT","NKH","MA_QH","SKK")</f>
        <v>0</v>
      </c>
      <c r="V18" s="35">
        <f>+GETPIVOTDATA("XBB4",'binhba (2016)'!$A$3,"MA_HT","NKH","MA_QH","SKT")</f>
        <v>0</v>
      </c>
      <c r="W18" s="35">
        <f>+GETPIVOTDATA("XBB4",'binhba (2016)'!$A$3,"MA_HT","NKH","MA_QH","SKN")</f>
        <v>0</v>
      </c>
      <c r="X18" s="35">
        <f>+GETPIVOTDATA("XBB4",'binhba (2016)'!$A$3,"MA_HT","NKH","MA_QH","TMD")</f>
        <v>0</v>
      </c>
      <c r="Y18" s="35">
        <f>+GETPIVOTDATA("XBB4",'binhba (2016)'!$A$3,"MA_HT","NKH","MA_QH","SKC")</f>
        <v>0</v>
      </c>
      <c r="Z18" s="35">
        <f>+GETPIVOTDATA("XBB4",'binhba (2016)'!$A$3,"MA_HT","NKH","MA_QH","SKS")</f>
        <v>0</v>
      </c>
      <c r="AA18" s="64">
        <f t="shared" si="4"/>
        <v>0</v>
      </c>
      <c r="AB18" s="35">
        <f>+GETPIVOTDATA("XBB4",'binhba (2016)'!$A$3,"MA_HT","NKH","MA_QH","DGT")</f>
        <v>0</v>
      </c>
      <c r="AC18" s="35">
        <f>+GETPIVOTDATA("XBB4",'binhba (2016)'!$A$3,"MA_HT","NKH","MA_QH","DTL")</f>
        <v>0</v>
      </c>
      <c r="AD18" s="35">
        <f>+GETPIVOTDATA("XBB4",'binhba (2016)'!$A$3,"MA_HT","NKH","MA_QH","DNL")</f>
        <v>0</v>
      </c>
      <c r="AE18" s="35">
        <f>+GETPIVOTDATA("XBB4",'binhba (2016)'!$A$3,"MA_HT","NKH","MA_QH","DBV")</f>
        <v>0</v>
      </c>
      <c r="AF18" s="35">
        <f>+GETPIVOTDATA("XBB4",'binhba (2016)'!$A$3,"MA_HT","NKH","MA_QH","DVH")</f>
        <v>0</v>
      </c>
      <c r="AG18" s="35">
        <f>+GETPIVOTDATA("XBB4",'binhba (2016)'!$A$3,"MA_HT","NKH","MA_QH","DYT")</f>
        <v>0</v>
      </c>
      <c r="AH18" s="35">
        <f>+GETPIVOTDATA("XBB4",'binhba (2016)'!$A$3,"MA_HT","NKH","MA_QH","DGD")</f>
        <v>0</v>
      </c>
      <c r="AI18" s="35">
        <f>+GETPIVOTDATA("XBB4",'binhba (2016)'!$A$3,"MA_HT","NKH","MA_QH","DTT")</f>
        <v>0</v>
      </c>
      <c r="AJ18" s="35">
        <f>+GETPIVOTDATA("XBB4",'binhba (2016)'!$A$3,"MA_HT","NKH","MA_QH","NCK")</f>
        <v>0</v>
      </c>
      <c r="AK18" s="35">
        <f>+GETPIVOTDATA("XBB4",'binhba (2016)'!$A$3,"MA_HT","NKH","MA_QH","DXH")</f>
        <v>0</v>
      </c>
      <c r="AL18" s="35">
        <f>+GETPIVOTDATA("XBB4",'binhba (2016)'!$A$3,"MA_HT","NKH","MA_QH","DCH")</f>
        <v>0</v>
      </c>
      <c r="AM18" s="35">
        <f>+GETPIVOTDATA("XBB4",'binhba (2016)'!$A$3,"MA_HT","NKH","MA_QH","DKG")</f>
        <v>0</v>
      </c>
      <c r="AN18" s="35">
        <f>+GETPIVOTDATA("XBB4",'binhba (2016)'!$A$3,"MA_HT","NKH","MA_QH","DDT")</f>
        <v>0</v>
      </c>
      <c r="AO18" s="35">
        <f>+GETPIVOTDATA("XBB4",'binhba (2016)'!$A$3,"MA_HT","NKH","MA_QH","DDL")</f>
        <v>0</v>
      </c>
      <c r="AP18" s="35">
        <f>+GETPIVOTDATA("XBB4",'binhba (2016)'!$A$3,"MA_HT","NKH","MA_QH","DRA")</f>
        <v>0</v>
      </c>
      <c r="AQ18" s="35">
        <f>+GETPIVOTDATA("XBB4",'binhba (2016)'!$A$3,"MA_HT","NKH","MA_QH","ONT")</f>
        <v>0</v>
      </c>
      <c r="AR18" s="35">
        <f>+GETPIVOTDATA("XBB4",'binhba (2016)'!$A$3,"MA_HT","NKH","MA_QH","ODT")</f>
        <v>0</v>
      </c>
      <c r="AS18" s="35">
        <f>+GETPIVOTDATA("XBB4",'binhba (2016)'!$A$3,"MA_HT","NKH","MA_QH","TSC")</f>
        <v>0</v>
      </c>
      <c r="AT18" s="35">
        <f>+GETPIVOTDATA("XBB4",'binhba (2016)'!$A$3,"MA_HT","NKH","MA_QH","DTS")</f>
        <v>0</v>
      </c>
      <c r="AU18" s="35">
        <f>+GETPIVOTDATA("XBB4",'binhba (2016)'!$A$3,"MA_HT","NKH","MA_QH","DNG")</f>
        <v>0</v>
      </c>
      <c r="AV18" s="35">
        <f>+GETPIVOTDATA("XBB4",'binhba (2016)'!$A$3,"MA_HT","NKH","MA_QH","TON")</f>
        <v>0</v>
      </c>
      <c r="AW18" s="35">
        <f>+GETPIVOTDATA("XBB4",'binhba (2016)'!$A$3,"MA_HT","NKH","MA_QH","NTD")</f>
        <v>0</v>
      </c>
      <c r="AX18" s="35">
        <f>+GETPIVOTDATA("XBB4",'binhba (2016)'!$A$3,"MA_HT","NKH","MA_QH","SKX")</f>
        <v>0</v>
      </c>
      <c r="AY18" s="35">
        <f>+GETPIVOTDATA("XBB4",'binhba (2016)'!$A$3,"MA_HT","NKH","MA_QH","DSH")</f>
        <v>0</v>
      </c>
      <c r="AZ18" s="35">
        <f>+GETPIVOTDATA("XBB4",'binhba (2016)'!$A$3,"MA_HT","NKH","MA_QH","DKV")</f>
        <v>0</v>
      </c>
      <c r="BA18" s="140">
        <f>+GETPIVOTDATA("XBB4",'binhba (2016)'!$A$3,"MA_HT","NKH","MA_QH","TIN")</f>
        <v>0</v>
      </c>
      <c r="BB18" s="74">
        <f>+GETPIVOTDATA("XBB4",'binhba (2016)'!$A$3,"MA_HT","NKH","MA_QH","SON")</f>
        <v>0</v>
      </c>
      <c r="BC18" s="74">
        <f>+GETPIVOTDATA("XBB4",'binhba (2016)'!$A$3,"MA_HT","NKH","MA_QH","MNC")</f>
        <v>0</v>
      </c>
      <c r="BD18" s="35">
        <f>+GETPIVOTDATA("XBB4",'binhba (2016)'!$A$3,"MA_HT","NKH","MA_QH","PNK")</f>
        <v>0</v>
      </c>
      <c r="BE18" s="58">
        <f>+GETPIVOTDATA("XBB4",'binhba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+GETPIVOTDATA("XBB4",'binhba (2016)'!$A$3,"MA_HT","CQP","MA_QH","LUC")</f>
        <v>0</v>
      </c>
      <c r="H20" s="35">
        <f>+GETPIVOTDATA("XBB4",'binhba (2016)'!$A$3,"MA_HT","CQP","MA_QH","LUK")</f>
        <v>0</v>
      </c>
      <c r="I20" s="35">
        <f>+GETPIVOTDATA("XBB4",'binhba (2016)'!$A$3,"MA_HT","CQP","MA_QH","LUN")</f>
        <v>0</v>
      </c>
      <c r="J20" s="35">
        <f>+GETPIVOTDATA("XBB4",'binhba (2016)'!$A$3,"MA_HT","CQP","MA_QH","HNK")</f>
        <v>0</v>
      </c>
      <c r="K20" s="35">
        <f>+GETPIVOTDATA("XBB4",'binhba (2016)'!$A$3,"MA_HT","CQP","MA_QH","CLN")</f>
        <v>0</v>
      </c>
      <c r="L20" s="35">
        <f>+GETPIVOTDATA("XBB4",'binhba (2016)'!$A$3,"MA_HT","CQP","MA_QH","RSX")</f>
        <v>0</v>
      </c>
      <c r="M20" s="35">
        <f>+GETPIVOTDATA("XBB4",'binhba (2016)'!$A$3,"MA_HT","CQP","MA_QH","RPH")</f>
        <v>0</v>
      </c>
      <c r="N20" s="35">
        <f>+GETPIVOTDATA("XBB4",'binhba (2016)'!$A$3,"MA_HT","CQP","MA_QH","RDD")</f>
        <v>0</v>
      </c>
      <c r="O20" s="35">
        <f>+GETPIVOTDATA("XBB4",'binhba (2016)'!$A$3,"MA_HT","CQP","MA_QH","NTS")</f>
        <v>0</v>
      </c>
      <c r="P20" s="35">
        <f>+GETPIVOTDATA("XBB4",'binhba (2016)'!$A$3,"MA_HT","CQP","MA_QH","LMU")</f>
        <v>0</v>
      </c>
      <c r="Q20" s="35">
        <f>+GETPIVOTDATA("XBB4",'binhba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+GETPIVOTDATA("XBB4",'binhba (2016)'!$A$3,"MA_HT","CQP","MA_QH","CAN")</f>
        <v>0</v>
      </c>
      <c r="U20" s="35">
        <f>+GETPIVOTDATA("XBB4",'binhba (2016)'!$A$3,"MA_HT","CQP","MA_QH","SKK")</f>
        <v>0</v>
      </c>
      <c r="V20" s="35">
        <f>+GETPIVOTDATA("XBB4",'binhba (2016)'!$A$3,"MA_HT","CQP","MA_QH","SKT")</f>
        <v>0</v>
      </c>
      <c r="W20" s="35">
        <f>+GETPIVOTDATA("XBB4",'binhba (2016)'!$A$3,"MA_HT","CQP","MA_QH","SKN")</f>
        <v>0</v>
      </c>
      <c r="X20" s="35">
        <f>+GETPIVOTDATA("XBB4",'binhba (2016)'!$A$3,"MA_HT","CQP","MA_QH","TMD")</f>
        <v>0</v>
      </c>
      <c r="Y20" s="35">
        <f>+GETPIVOTDATA("XBB4",'binhba (2016)'!$A$3,"MA_HT","CQP","MA_QH","SKC")</f>
        <v>0</v>
      </c>
      <c r="Z20" s="35">
        <f>+GETPIVOTDATA("XBB4",'binhba (2016)'!$A$3,"MA_HT","CQP","MA_QH","SKS")</f>
        <v>0</v>
      </c>
      <c r="AA20" s="64">
        <f t="shared" ref="AA20:AA27" si="12">+SUM(AB20:AM20)</f>
        <v>0</v>
      </c>
      <c r="AB20" s="35">
        <f>+GETPIVOTDATA("XBB4",'binhba (2016)'!$A$3,"MA_HT","CQP","MA_QH","DGT")</f>
        <v>0</v>
      </c>
      <c r="AC20" s="35">
        <f>+GETPIVOTDATA("XBB4",'binhba (2016)'!$A$3,"MA_HT","CQP","MA_QH","DTL")</f>
        <v>0</v>
      </c>
      <c r="AD20" s="35">
        <f>+GETPIVOTDATA("XBB4",'binhba (2016)'!$A$3,"MA_HT","CQP","MA_QH","DNL")</f>
        <v>0</v>
      </c>
      <c r="AE20" s="35">
        <f>+GETPIVOTDATA("XBB4",'binhba (2016)'!$A$3,"MA_HT","CQP","MA_QH","DBV")</f>
        <v>0</v>
      </c>
      <c r="AF20" s="35">
        <f>+GETPIVOTDATA("XBB4",'binhba (2016)'!$A$3,"MA_HT","CQP","MA_QH","DVH")</f>
        <v>0</v>
      </c>
      <c r="AG20" s="35">
        <f>+GETPIVOTDATA("XBB4",'binhba (2016)'!$A$3,"MA_HT","CQP","MA_QH","DYT")</f>
        <v>0</v>
      </c>
      <c r="AH20" s="35">
        <f>+GETPIVOTDATA("XBB4",'binhba (2016)'!$A$3,"MA_HT","CQP","MA_QH","DGD")</f>
        <v>0</v>
      </c>
      <c r="AI20" s="35">
        <f>+GETPIVOTDATA("XBB4",'binhba (2016)'!$A$3,"MA_HT","CQP","MA_QH","DTT")</f>
        <v>0</v>
      </c>
      <c r="AJ20" s="35">
        <f>+GETPIVOTDATA("XBB4",'binhba (2016)'!$A$3,"MA_HT","CQP","MA_QH","NCK")</f>
        <v>0</v>
      </c>
      <c r="AK20" s="35">
        <f>+GETPIVOTDATA("XBB4",'binhba (2016)'!$A$3,"MA_HT","CQP","MA_QH","DXH")</f>
        <v>0</v>
      </c>
      <c r="AL20" s="35">
        <f>+GETPIVOTDATA("XBB4",'binhba (2016)'!$A$3,"MA_HT","CQP","MA_QH","DCH")</f>
        <v>0</v>
      </c>
      <c r="AM20" s="35">
        <f>+GETPIVOTDATA("XBB4",'binhba (2016)'!$A$3,"MA_HT","CQP","MA_QH","DKG")</f>
        <v>0</v>
      </c>
      <c r="AN20" s="35">
        <f>+GETPIVOTDATA("XBB4",'binhba (2016)'!$A$3,"MA_HT","CQP","MA_QH","DDT")</f>
        <v>0</v>
      </c>
      <c r="AO20" s="35">
        <f>+GETPIVOTDATA("XBB4",'binhba (2016)'!$A$3,"MA_HT","CQP","MA_QH","DDL")</f>
        <v>0</v>
      </c>
      <c r="AP20" s="35">
        <f>+GETPIVOTDATA("XBB4",'binhba (2016)'!$A$3,"MA_HT","CQP","MA_QH","DRA")</f>
        <v>0</v>
      </c>
      <c r="AQ20" s="35">
        <f>+GETPIVOTDATA("XBB4",'binhba (2016)'!$A$3,"MA_HT","CQP","MA_QH","ONT")</f>
        <v>0</v>
      </c>
      <c r="AR20" s="35">
        <f>+GETPIVOTDATA("XBB4",'binhba (2016)'!$A$3,"MA_HT","CQP","MA_QH","ODT")</f>
        <v>0</v>
      </c>
      <c r="AS20" s="35">
        <f>+GETPIVOTDATA("XBB4",'binhba (2016)'!$A$3,"MA_HT","CQP","MA_QH","TSC")</f>
        <v>0</v>
      </c>
      <c r="AT20" s="35">
        <f>+GETPIVOTDATA("XBB4",'binhba (2016)'!$A$3,"MA_HT","CQP","MA_QH","DTS")</f>
        <v>0</v>
      </c>
      <c r="AU20" s="35">
        <f>+GETPIVOTDATA("XBB4",'binhba (2016)'!$A$3,"MA_HT","CQP","MA_QH","DNG")</f>
        <v>0</v>
      </c>
      <c r="AV20" s="35">
        <f>+GETPIVOTDATA("XBB4",'binhba (2016)'!$A$3,"MA_HT","CQP","MA_QH","TON")</f>
        <v>0</v>
      </c>
      <c r="AW20" s="35">
        <f>+GETPIVOTDATA("XBB4",'binhba (2016)'!$A$3,"MA_HT","CQP","MA_QH","NTD")</f>
        <v>0</v>
      </c>
      <c r="AX20" s="35">
        <f>+GETPIVOTDATA("XBB4",'binhba (2016)'!$A$3,"MA_HT","CQP","MA_QH","SKX")</f>
        <v>0</v>
      </c>
      <c r="AY20" s="35">
        <f>+GETPIVOTDATA("XBB4",'binhba (2016)'!$A$3,"MA_HT","CQP","MA_QH","DSH")</f>
        <v>0</v>
      </c>
      <c r="AZ20" s="35">
        <f>+GETPIVOTDATA("XBB4",'binhba (2016)'!$A$3,"MA_HT","CQP","MA_QH","DKV")</f>
        <v>0</v>
      </c>
      <c r="BA20" s="140">
        <f>+GETPIVOTDATA("XBB4",'binhba (2016)'!$A$3,"MA_HT","CQP","MA_QH","TIN")</f>
        <v>0</v>
      </c>
      <c r="BB20" s="74">
        <f>+GETPIVOTDATA("XBB4",'binhba (2016)'!$A$3,"MA_HT","CQP","MA_QH","SON")</f>
        <v>0</v>
      </c>
      <c r="BC20" s="74">
        <f>+GETPIVOTDATA("XBB4",'binhba (2016)'!$A$3,"MA_HT","CQP","MA_QH","MNC")</f>
        <v>0</v>
      </c>
      <c r="BD20" s="35">
        <f>+GETPIVOTDATA("XBB4",'binhba (2016)'!$A$3,"MA_HT","CQP","MA_QH","PNK")</f>
        <v>0</v>
      </c>
      <c r="BE20" s="58">
        <f>+GETPIVOTDATA("XBB4",'binhba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+GETPIVOTDATA("XBB4",'binhba (2016)'!$A$3,"MA_HT","CAN","MA_QH","LUC")</f>
        <v>0</v>
      </c>
      <c r="H21" s="35">
        <f>+GETPIVOTDATA("XBB4",'binhba (2016)'!$A$3,"MA_HT","CAN","MA_QH","LUK")</f>
        <v>0</v>
      </c>
      <c r="I21" s="35">
        <f>+GETPIVOTDATA("XBB4",'binhba (2016)'!$A$3,"MA_HT","CAN","MA_QH","LUN")</f>
        <v>0</v>
      </c>
      <c r="J21" s="35">
        <f>+GETPIVOTDATA("XBB4",'binhba (2016)'!$A$3,"MA_HT","CAN","MA_QH","HNK")</f>
        <v>0</v>
      </c>
      <c r="K21" s="35">
        <f>+GETPIVOTDATA("XBB4",'binhba (2016)'!$A$3,"MA_HT","CAN","MA_QH","CLN")</f>
        <v>0</v>
      </c>
      <c r="L21" s="35">
        <f>+GETPIVOTDATA("XBB4",'binhba (2016)'!$A$3,"MA_HT","CAN","MA_QH","RSX")</f>
        <v>0</v>
      </c>
      <c r="M21" s="35">
        <f>+GETPIVOTDATA("XBB4",'binhba (2016)'!$A$3,"MA_HT","CAN","MA_QH","RPH")</f>
        <v>0</v>
      </c>
      <c r="N21" s="35">
        <f>+GETPIVOTDATA("XBB4",'binhba (2016)'!$A$3,"MA_HT","CAN","MA_QH","RDD")</f>
        <v>0</v>
      </c>
      <c r="O21" s="35">
        <f>+GETPIVOTDATA("XBB4",'binhba (2016)'!$A$3,"MA_HT","CAN","MA_QH","NTS")</f>
        <v>0</v>
      </c>
      <c r="P21" s="35">
        <f>+GETPIVOTDATA("XBB4",'binhba (2016)'!$A$3,"MA_HT","CAN","MA_QH","LMU")</f>
        <v>0</v>
      </c>
      <c r="Q21" s="35">
        <f>+GETPIVOTDATA("XBB4",'binhba (2016)'!$A$3,"MA_HT","CAN","MA_QH","NKH")</f>
        <v>0</v>
      </c>
      <c r="R21" s="63">
        <f>SUM(S21,U21:AA21,AN21:BD21)</f>
        <v>0</v>
      </c>
      <c r="S21" s="35">
        <f>+GETPIVOTDATA("XBB4",'binhba (2016)'!$A$3,"MA_HT","CAN","MA_QH","CQP")</f>
        <v>0</v>
      </c>
      <c r="T21" s="99" t="e">
        <f>$D21-$BF21</f>
        <v>#REF!</v>
      </c>
      <c r="U21" s="35">
        <f>+GETPIVOTDATA("XBB4",'binhba (2016)'!$A$3,"MA_HT","CAN","MA_QH","SKK")</f>
        <v>0</v>
      </c>
      <c r="V21" s="35">
        <f>+GETPIVOTDATA("XBB4",'binhba (2016)'!$A$3,"MA_HT","CAN","MA_QH","SKT")</f>
        <v>0</v>
      </c>
      <c r="W21" s="35">
        <f>+GETPIVOTDATA("XBB4",'binhba (2016)'!$A$3,"MA_HT","CAN","MA_QH","SKN")</f>
        <v>0</v>
      </c>
      <c r="X21" s="35">
        <f>+GETPIVOTDATA("XBB4",'binhba (2016)'!$A$3,"MA_HT","CAN","MA_QH","TMD")</f>
        <v>0</v>
      </c>
      <c r="Y21" s="35">
        <f>+GETPIVOTDATA("XBB4",'binhba (2016)'!$A$3,"MA_HT","CAN","MA_QH","SKC")</f>
        <v>0</v>
      </c>
      <c r="Z21" s="35">
        <f>+GETPIVOTDATA("XBB4",'binhba (2016)'!$A$3,"MA_HT","CAN","MA_QH","SKS")</f>
        <v>0</v>
      </c>
      <c r="AA21" s="64">
        <f t="shared" si="12"/>
        <v>0</v>
      </c>
      <c r="AB21" s="35">
        <f>+GETPIVOTDATA("XBB4",'binhba (2016)'!$A$3,"MA_HT","CAN","MA_QH","DGT")</f>
        <v>0</v>
      </c>
      <c r="AC21" s="35">
        <f>+GETPIVOTDATA("XBB4",'binhba (2016)'!$A$3,"MA_HT","CAN","MA_QH","DTL")</f>
        <v>0</v>
      </c>
      <c r="AD21" s="35">
        <f>+GETPIVOTDATA("XBB4",'binhba (2016)'!$A$3,"MA_HT","CAN","MA_QH","DNL")</f>
        <v>0</v>
      </c>
      <c r="AE21" s="35">
        <f>+GETPIVOTDATA("XBB4",'binhba (2016)'!$A$3,"MA_HT","CAN","MA_QH","DBV")</f>
        <v>0</v>
      </c>
      <c r="AF21" s="35">
        <f>+GETPIVOTDATA("XBB4",'binhba (2016)'!$A$3,"MA_HT","CAN","MA_QH","DVH")</f>
        <v>0</v>
      </c>
      <c r="AG21" s="35">
        <f>+GETPIVOTDATA("XBB4",'binhba (2016)'!$A$3,"MA_HT","CAN","MA_QH","DYT")</f>
        <v>0</v>
      </c>
      <c r="AH21" s="35">
        <f>+GETPIVOTDATA("XBB4",'binhba (2016)'!$A$3,"MA_HT","CAN","MA_QH","DGD")</f>
        <v>0</v>
      </c>
      <c r="AI21" s="35">
        <f>+GETPIVOTDATA("XBB4",'binhba (2016)'!$A$3,"MA_HT","CAN","MA_QH","DTT")</f>
        <v>0</v>
      </c>
      <c r="AJ21" s="35">
        <f>+GETPIVOTDATA("XBB4",'binhba (2016)'!$A$3,"MA_HT","CAN","MA_QH","NCK")</f>
        <v>0</v>
      </c>
      <c r="AK21" s="35">
        <f>+GETPIVOTDATA("XBB4",'binhba (2016)'!$A$3,"MA_HT","CAN","MA_QH","DXH")</f>
        <v>0</v>
      </c>
      <c r="AL21" s="35">
        <f>+GETPIVOTDATA("XBB4",'binhba (2016)'!$A$3,"MA_HT","CAN","MA_QH","DCH")</f>
        <v>0</v>
      </c>
      <c r="AM21" s="35">
        <f>+GETPIVOTDATA("XBB4",'binhba (2016)'!$A$3,"MA_HT","CAN","MA_QH","DKG")</f>
        <v>0</v>
      </c>
      <c r="AN21" s="35">
        <f>+GETPIVOTDATA("XBB4",'binhba (2016)'!$A$3,"MA_HT","CAN","MA_QH","DDT")</f>
        <v>0</v>
      </c>
      <c r="AO21" s="35">
        <f>+GETPIVOTDATA("XBB4",'binhba (2016)'!$A$3,"MA_HT","CAN","MA_QH","DDL")</f>
        <v>0</v>
      </c>
      <c r="AP21" s="35">
        <f>+GETPIVOTDATA("XBB4",'binhba (2016)'!$A$3,"MA_HT","CAN","MA_QH","DRA")</f>
        <v>0</v>
      </c>
      <c r="AQ21" s="35">
        <f>+GETPIVOTDATA("XBB4",'binhba (2016)'!$A$3,"MA_HT","CAN","MA_QH","ONT")</f>
        <v>0</v>
      </c>
      <c r="AR21" s="35">
        <f>+GETPIVOTDATA("XBB4",'binhba (2016)'!$A$3,"MA_HT","CAN","MA_QH","ODT")</f>
        <v>0</v>
      </c>
      <c r="AS21" s="35">
        <f>+GETPIVOTDATA("XBB4",'binhba (2016)'!$A$3,"MA_HT","CAN","MA_QH","TSC")</f>
        <v>0</v>
      </c>
      <c r="AT21" s="35">
        <f>+GETPIVOTDATA("XBB4",'binhba (2016)'!$A$3,"MA_HT","CAN","MA_QH","DTS")</f>
        <v>0</v>
      </c>
      <c r="AU21" s="35">
        <f>+GETPIVOTDATA("XBB4",'binhba (2016)'!$A$3,"MA_HT","CAN","MA_QH","DNG")</f>
        <v>0</v>
      </c>
      <c r="AV21" s="35">
        <f>+GETPIVOTDATA("XBB4",'binhba (2016)'!$A$3,"MA_HT","CAN","MA_QH","TON")</f>
        <v>0</v>
      </c>
      <c r="AW21" s="35">
        <f>+GETPIVOTDATA("XBB4",'binhba (2016)'!$A$3,"MA_HT","CAN","MA_QH","NTD")</f>
        <v>0</v>
      </c>
      <c r="AX21" s="35">
        <f>+GETPIVOTDATA("XBB4",'binhba (2016)'!$A$3,"MA_HT","CAN","MA_QH","SKX")</f>
        <v>0</v>
      </c>
      <c r="AY21" s="35">
        <f>+GETPIVOTDATA("XBB4",'binhba (2016)'!$A$3,"MA_HT","CAN","MA_QH","DSH")</f>
        <v>0</v>
      </c>
      <c r="AZ21" s="35">
        <f>+GETPIVOTDATA("XBB4",'binhba (2016)'!$A$3,"MA_HT","CAN","MA_QH","DKV")</f>
        <v>0</v>
      </c>
      <c r="BA21" s="140">
        <f>+GETPIVOTDATA("XBB4",'binhba (2016)'!$A$3,"MA_HT","CAN","MA_QH","TIN")</f>
        <v>0</v>
      </c>
      <c r="BB21" s="74">
        <f>+GETPIVOTDATA("XBB4",'binhba (2016)'!$A$3,"MA_HT","CAN","MA_QH","SON")</f>
        <v>0</v>
      </c>
      <c r="BC21" s="74">
        <f>+GETPIVOTDATA("XBB4",'binhba (2016)'!$A$3,"MA_HT","CAN","MA_QH","MNC")</f>
        <v>0</v>
      </c>
      <c r="BD21" s="35">
        <f>+GETPIVOTDATA("XBB4",'binhba (2016)'!$A$3,"MA_HT","CAN","MA_QH","PNK")</f>
        <v>0</v>
      </c>
      <c r="BE21" s="58">
        <f>+GETPIVOTDATA("XBB4",'binhba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+GETPIVOTDATA("XBB4",'binhba (2016)'!$A$3,"MA_HT","SKK","MA_QH","LUC")</f>
        <v>0</v>
      </c>
      <c r="H22" s="35">
        <f>+GETPIVOTDATA("XBB4",'binhba (2016)'!$A$3,"MA_HT","SKK","MA_QH","LUK")</f>
        <v>0</v>
      </c>
      <c r="I22" s="35">
        <f>+GETPIVOTDATA("XBB4",'binhba (2016)'!$A$3,"MA_HT","SKK","MA_QH","LUN")</f>
        <v>0</v>
      </c>
      <c r="J22" s="35">
        <f>+GETPIVOTDATA("XBB4",'binhba (2016)'!$A$3,"MA_HT","SKK","MA_QH","HNK")</f>
        <v>0</v>
      </c>
      <c r="K22" s="35">
        <f>+GETPIVOTDATA("XBB4",'binhba (2016)'!$A$3,"MA_HT","SKK","MA_QH","CLN")</f>
        <v>0</v>
      </c>
      <c r="L22" s="35">
        <f>+GETPIVOTDATA("XBB4",'binhba (2016)'!$A$3,"MA_HT","SKK","MA_QH","RSX")</f>
        <v>0</v>
      </c>
      <c r="M22" s="35">
        <f>+GETPIVOTDATA("XBB4",'binhba (2016)'!$A$3,"MA_HT","SKK","MA_QH","RPH")</f>
        <v>0</v>
      </c>
      <c r="N22" s="35">
        <f>+GETPIVOTDATA("XBB4",'binhba (2016)'!$A$3,"MA_HT","SKK","MA_QH","RDD")</f>
        <v>0</v>
      </c>
      <c r="O22" s="35">
        <f>+GETPIVOTDATA("XBB4",'binhba (2016)'!$A$3,"MA_HT","SKK","MA_QH","NTS")</f>
        <v>0</v>
      </c>
      <c r="P22" s="35">
        <f>+GETPIVOTDATA("XBB4",'binhba (2016)'!$A$3,"MA_HT","SKK","MA_QH","LMU")</f>
        <v>0</v>
      </c>
      <c r="Q22" s="35">
        <f>+GETPIVOTDATA("XBB4",'binhba (2016)'!$A$3,"MA_HT","SKK","MA_QH","NKH")</f>
        <v>0</v>
      </c>
      <c r="R22" s="63">
        <f>SUM(S22:T22,V22:AA22,AN22:BD22)</f>
        <v>0</v>
      </c>
      <c r="S22" s="35">
        <f>+GETPIVOTDATA("XBB4",'binhba (2016)'!$A$3,"MA_HT","SKK","MA_QH","CQP")</f>
        <v>0</v>
      </c>
      <c r="T22" s="35">
        <f>+GETPIVOTDATA("XBB4",'binhba (2016)'!$A$3,"MA_HT","SKK","MA_QH","CAN")</f>
        <v>0</v>
      </c>
      <c r="U22" s="99" t="e">
        <f>$D22-$BF22</f>
        <v>#REF!</v>
      </c>
      <c r="V22" s="35">
        <f>+GETPIVOTDATA("XBB4",'binhba (2016)'!$A$3,"MA_HT","SKK","MA_QH","SKT")</f>
        <v>0</v>
      </c>
      <c r="W22" s="35">
        <f>+GETPIVOTDATA("XBB4",'binhba (2016)'!$A$3,"MA_HT","SKK","MA_QH","SKN")</f>
        <v>0</v>
      </c>
      <c r="X22" s="35">
        <f>+GETPIVOTDATA("XBB4",'binhba (2016)'!$A$3,"MA_HT","SKK","MA_QH","TMD")</f>
        <v>0</v>
      </c>
      <c r="Y22" s="35">
        <f>+GETPIVOTDATA("XBB4",'binhba (2016)'!$A$3,"MA_HT","SKK","MA_QH","SKC")</f>
        <v>0</v>
      </c>
      <c r="Z22" s="35">
        <f>+GETPIVOTDATA("XBB4",'binhba (2016)'!$A$3,"MA_HT","SKK","MA_QH","SKS")</f>
        <v>0</v>
      </c>
      <c r="AA22" s="64">
        <f t="shared" si="12"/>
        <v>0</v>
      </c>
      <c r="AB22" s="35">
        <f>+GETPIVOTDATA("XBB4",'binhba (2016)'!$A$3,"MA_HT","SKK","MA_QH","DGT")</f>
        <v>0</v>
      </c>
      <c r="AC22" s="35">
        <f>+GETPIVOTDATA("XBB4",'binhba (2016)'!$A$3,"MA_HT","SKK","MA_QH","DTL")</f>
        <v>0</v>
      </c>
      <c r="AD22" s="35">
        <f>+GETPIVOTDATA("XBB4",'binhba (2016)'!$A$3,"MA_HT","SKK","MA_QH","DNL")</f>
        <v>0</v>
      </c>
      <c r="AE22" s="35">
        <f>+GETPIVOTDATA("XBB4",'binhba (2016)'!$A$3,"MA_HT","SKK","MA_QH","DBV")</f>
        <v>0</v>
      </c>
      <c r="AF22" s="35">
        <f>+GETPIVOTDATA("XBB4",'binhba (2016)'!$A$3,"MA_HT","SKK","MA_QH","DVH")</f>
        <v>0</v>
      </c>
      <c r="AG22" s="35">
        <f>+GETPIVOTDATA("XBB4",'binhba (2016)'!$A$3,"MA_HT","SKK","MA_QH","DYT")</f>
        <v>0</v>
      </c>
      <c r="AH22" s="35">
        <f>+GETPIVOTDATA("XBB4",'binhba (2016)'!$A$3,"MA_HT","SKK","MA_QH","DGD")</f>
        <v>0</v>
      </c>
      <c r="AI22" s="35">
        <f>+GETPIVOTDATA("XBB4",'binhba (2016)'!$A$3,"MA_HT","SKK","MA_QH","DTT")</f>
        <v>0</v>
      </c>
      <c r="AJ22" s="35">
        <f>+GETPIVOTDATA("XBB4",'binhba (2016)'!$A$3,"MA_HT","SKK","MA_QH","NCK")</f>
        <v>0</v>
      </c>
      <c r="AK22" s="35">
        <f>+GETPIVOTDATA("XBB4",'binhba (2016)'!$A$3,"MA_HT","SKK","MA_QH","DXH")</f>
        <v>0</v>
      </c>
      <c r="AL22" s="35">
        <f>+GETPIVOTDATA("XBB4",'binhba (2016)'!$A$3,"MA_HT","SKK","MA_QH","DCH")</f>
        <v>0</v>
      </c>
      <c r="AM22" s="35">
        <f>+GETPIVOTDATA("XBB4",'binhba (2016)'!$A$3,"MA_HT","SKK","MA_QH","DKG")</f>
        <v>0</v>
      </c>
      <c r="AN22" s="35">
        <f>+GETPIVOTDATA("XBB4",'binhba (2016)'!$A$3,"MA_HT","SKK","MA_QH","DDT")</f>
        <v>0</v>
      </c>
      <c r="AO22" s="35">
        <f>+GETPIVOTDATA("XBB4",'binhba (2016)'!$A$3,"MA_HT","SKK","MA_QH","DDL")</f>
        <v>0</v>
      </c>
      <c r="AP22" s="35">
        <f>+GETPIVOTDATA("XBB4",'binhba (2016)'!$A$3,"MA_HT","SKK","MA_QH","DRA")</f>
        <v>0</v>
      </c>
      <c r="AQ22" s="35">
        <f>+GETPIVOTDATA("XBB4",'binhba (2016)'!$A$3,"MA_HT","SKK","MA_QH","ONT")</f>
        <v>0</v>
      </c>
      <c r="AR22" s="35">
        <f>+GETPIVOTDATA("XBB4",'binhba (2016)'!$A$3,"MA_HT","SKK","MA_QH","ODT")</f>
        <v>0</v>
      </c>
      <c r="AS22" s="35">
        <f>+GETPIVOTDATA("XBB4",'binhba (2016)'!$A$3,"MA_HT","SKK","MA_QH","TSC")</f>
        <v>0</v>
      </c>
      <c r="AT22" s="35">
        <f>+GETPIVOTDATA("XBB4",'binhba (2016)'!$A$3,"MA_HT","SKK","MA_QH","DTS")</f>
        <v>0</v>
      </c>
      <c r="AU22" s="35">
        <f>+GETPIVOTDATA("XBB4",'binhba (2016)'!$A$3,"MA_HT","SKK","MA_QH","DNG")</f>
        <v>0</v>
      </c>
      <c r="AV22" s="35">
        <f>+GETPIVOTDATA("XBB4",'binhba (2016)'!$A$3,"MA_HT","SKK","MA_QH","TON")</f>
        <v>0</v>
      </c>
      <c r="AW22" s="35">
        <f>+GETPIVOTDATA("XBB4",'binhba (2016)'!$A$3,"MA_HT","SKK","MA_QH","NTD")</f>
        <v>0</v>
      </c>
      <c r="AX22" s="35">
        <f>+GETPIVOTDATA("XBB4",'binhba (2016)'!$A$3,"MA_HT","SKK","MA_QH","SKX")</f>
        <v>0</v>
      </c>
      <c r="AY22" s="35">
        <f>+GETPIVOTDATA("XBB4",'binhba (2016)'!$A$3,"MA_HT","SKK","MA_QH","DSH")</f>
        <v>0</v>
      </c>
      <c r="AZ22" s="35">
        <f>+GETPIVOTDATA("XBB4",'binhba (2016)'!$A$3,"MA_HT","SKK","MA_QH","DKV")</f>
        <v>0</v>
      </c>
      <c r="BA22" s="140">
        <f>+GETPIVOTDATA("XBB4",'binhba (2016)'!$A$3,"MA_HT","SKK","MA_QH","TIN")</f>
        <v>0</v>
      </c>
      <c r="BB22" s="74">
        <f>+GETPIVOTDATA("XBB4",'binhba (2016)'!$A$3,"MA_HT","SKK","MA_QH","SON")</f>
        <v>0</v>
      </c>
      <c r="BC22" s="74">
        <f>+GETPIVOTDATA("XBB4",'binhba (2016)'!$A$3,"MA_HT","SKK","MA_QH","MNC")</f>
        <v>0</v>
      </c>
      <c r="BD22" s="35">
        <f>+GETPIVOTDATA("XBB4",'binhba (2016)'!$A$3,"MA_HT","SKK","MA_QH","PNK")</f>
        <v>0</v>
      </c>
      <c r="BE22" s="58">
        <f>+GETPIVOTDATA("XBB4",'binhba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+GETPIVOTDATA("XBB4",'binhba (2016)'!$A$3,"MA_HT","SKT","MA_QH","LUC")</f>
        <v>0</v>
      </c>
      <c r="H23" s="35">
        <f>+GETPIVOTDATA("XBB4",'binhba (2016)'!$A$3,"MA_HT","SKT","MA_QH","LUK")</f>
        <v>0</v>
      </c>
      <c r="I23" s="35">
        <f>+GETPIVOTDATA("XBB4",'binhba (2016)'!$A$3,"MA_HT","SKT","MA_QH","LUN")</f>
        <v>0</v>
      </c>
      <c r="J23" s="35">
        <f>+GETPIVOTDATA("XBB4",'binhba (2016)'!$A$3,"MA_HT","SKT","MA_QH","HNK")</f>
        <v>0</v>
      </c>
      <c r="K23" s="35">
        <f>+GETPIVOTDATA("XBB4",'binhba (2016)'!$A$3,"MA_HT","SKT","MA_QH","CLN")</f>
        <v>0</v>
      </c>
      <c r="L23" s="35">
        <f>+GETPIVOTDATA("XBB4",'binhba (2016)'!$A$3,"MA_HT","SKT","MA_QH","RSX")</f>
        <v>0</v>
      </c>
      <c r="M23" s="35">
        <f>+GETPIVOTDATA("XBB4",'binhba (2016)'!$A$3,"MA_HT","SKT","MA_QH","RPH")</f>
        <v>0</v>
      </c>
      <c r="N23" s="35">
        <f>+GETPIVOTDATA("XBB4",'binhba (2016)'!$A$3,"MA_HT","SKT","MA_QH","RDD")</f>
        <v>0</v>
      </c>
      <c r="O23" s="35">
        <f>+GETPIVOTDATA("XBB4",'binhba (2016)'!$A$3,"MA_HT","SKT","MA_QH","NTS")</f>
        <v>0</v>
      </c>
      <c r="P23" s="35">
        <f>+GETPIVOTDATA("XBB4",'binhba (2016)'!$A$3,"MA_HT","SKT","MA_QH","LMU")</f>
        <v>0</v>
      </c>
      <c r="Q23" s="35">
        <f>+GETPIVOTDATA("XBB4",'binhba (2016)'!$A$3,"MA_HT","SKT","MA_QH","NKH")</f>
        <v>0</v>
      </c>
      <c r="R23" s="63">
        <f>SUM(S23:U23,W23:AA23,AN23:BD23)</f>
        <v>0</v>
      </c>
      <c r="S23" s="35">
        <f>+GETPIVOTDATA("XBB4",'binhba (2016)'!$A$3,"MA_HT","SKT","MA_QH","CQP")</f>
        <v>0</v>
      </c>
      <c r="T23" s="35">
        <f>+GETPIVOTDATA("XBB4",'binhba (2016)'!$A$3,"MA_HT","SKT","MA_QH","CAN")</f>
        <v>0</v>
      </c>
      <c r="U23" s="35">
        <f>+GETPIVOTDATA("XBB4",'binhba (2016)'!$A$3,"MA_HT","SKT","MA_QH","SKK")</f>
        <v>0</v>
      </c>
      <c r="V23" s="99" t="e">
        <f>$D23-$BF23</f>
        <v>#REF!</v>
      </c>
      <c r="W23" s="35">
        <f>+GETPIVOTDATA("XBB4",'binhba (2016)'!$A$3,"MA_HT","SKT","MA_QH","SKN")</f>
        <v>0</v>
      </c>
      <c r="X23" s="35">
        <f>+GETPIVOTDATA("XBB4",'binhba (2016)'!$A$3,"MA_HT","SKT","MA_QH","TMD")</f>
        <v>0</v>
      </c>
      <c r="Y23" s="35">
        <f>+GETPIVOTDATA("XBB4",'binhba (2016)'!$A$3,"MA_HT","SKT","MA_QH","SKC")</f>
        <v>0</v>
      </c>
      <c r="Z23" s="35">
        <f>+GETPIVOTDATA("XBB4",'binhba (2016)'!$A$3,"MA_HT","SKT","MA_QH","SKS")</f>
        <v>0</v>
      </c>
      <c r="AA23" s="64">
        <f t="shared" si="12"/>
        <v>0</v>
      </c>
      <c r="AB23" s="35">
        <f>+GETPIVOTDATA("XBB4",'binhba (2016)'!$A$3,"MA_HT","SKT","MA_QH","DGT")</f>
        <v>0</v>
      </c>
      <c r="AC23" s="35">
        <f>+GETPIVOTDATA("XBB4",'binhba (2016)'!$A$3,"MA_HT","SKT","MA_QH","DTL")</f>
        <v>0</v>
      </c>
      <c r="AD23" s="35">
        <f>+GETPIVOTDATA("XBB4",'binhba (2016)'!$A$3,"MA_HT","SKT","MA_QH","DNL")</f>
        <v>0</v>
      </c>
      <c r="AE23" s="35">
        <f>+GETPIVOTDATA("XBB4",'binhba (2016)'!$A$3,"MA_HT","SKT","MA_QH","DBV")</f>
        <v>0</v>
      </c>
      <c r="AF23" s="35">
        <f>+GETPIVOTDATA("XBB4",'binhba (2016)'!$A$3,"MA_HT","SKT","MA_QH","DVH")</f>
        <v>0</v>
      </c>
      <c r="AG23" s="35">
        <f>+GETPIVOTDATA("XBB4",'binhba (2016)'!$A$3,"MA_HT","SKT","MA_QH","DYT")</f>
        <v>0</v>
      </c>
      <c r="AH23" s="35">
        <f>+GETPIVOTDATA("XBB4",'binhba (2016)'!$A$3,"MA_HT","SKT","MA_QH","DGD")</f>
        <v>0</v>
      </c>
      <c r="AI23" s="35">
        <f>+GETPIVOTDATA("XBB4",'binhba (2016)'!$A$3,"MA_HT","SKT","MA_QH","DTT")</f>
        <v>0</v>
      </c>
      <c r="AJ23" s="35">
        <f>+GETPIVOTDATA("XBB4",'binhba (2016)'!$A$3,"MA_HT","SKT","MA_QH","NCK")</f>
        <v>0</v>
      </c>
      <c r="AK23" s="35">
        <f>+GETPIVOTDATA("XBB4",'binhba (2016)'!$A$3,"MA_HT","SKT","MA_QH","DXH")</f>
        <v>0</v>
      </c>
      <c r="AL23" s="35">
        <f>+GETPIVOTDATA("XBB4",'binhba (2016)'!$A$3,"MA_HT","SKT","MA_QH","DCH")</f>
        <v>0</v>
      </c>
      <c r="AM23" s="35">
        <f>+GETPIVOTDATA("XBB4",'binhba (2016)'!$A$3,"MA_HT","SKT","MA_QH","DKG")</f>
        <v>0</v>
      </c>
      <c r="AN23" s="35">
        <f>+GETPIVOTDATA("XBB4",'binhba (2016)'!$A$3,"MA_HT","SKT","MA_QH","DDT")</f>
        <v>0</v>
      </c>
      <c r="AO23" s="35">
        <f>+GETPIVOTDATA("XBB4",'binhba (2016)'!$A$3,"MA_HT","SKT","MA_QH","DDL")</f>
        <v>0</v>
      </c>
      <c r="AP23" s="35">
        <f>+GETPIVOTDATA("XBB4",'binhba (2016)'!$A$3,"MA_HT","SKT","MA_QH","DRA")</f>
        <v>0</v>
      </c>
      <c r="AQ23" s="35">
        <f>+GETPIVOTDATA("XBB4",'binhba (2016)'!$A$3,"MA_HT","SKT","MA_QH","ONT")</f>
        <v>0</v>
      </c>
      <c r="AR23" s="35">
        <f>+GETPIVOTDATA("XBB4",'binhba (2016)'!$A$3,"MA_HT","SKT","MA_QH","ODT")</f>
        <v>0</v>
      </c>
      <c r="AS23" s="35">
        <f>+GETPIVOTDATA("XBB4",'binhba (2016)'!$A$3,"MA_HT","SKT","MA_QH","TSC")</f>
        <v>0</v>
      </c>
      <c r="AT23" s="35">
        <f>+GETPIVOTDATA("XBB4",'binhba (2016)'!$A$3,"MA_HT","SKT","MA_QH","DTS")</f>
        <v>0</v>
      </c>
      <c r="AU23" s="35">
        <f>+GETPIVOTDATA("XBB4",'binhba (2016)'!$A$3,"MA_HT","SKT","MA_QH","DNG")</f>
        <v>0</v>
      </c>
      <c r="AV23" s="35">
        <f>+GETPIVOTDATA("XBB4",'binhba (2016)'!$A$3,"MA_HT","SKT","MA_QH","TON")</f>
        <v>0</v>
      </c>
      <c r="AW23" s="35">
        <f>+GETPIVOTDATA("XBB4",'binhba (2016)'!$A$3,"MA_HT","SKT","MA_QH","NTD")</f>
        <v>0</v>
      </c>
      <c r="AX23" s="35">
        <f>+GETPIVOTDATA("XBB4",'binhba (2016)'!$A$3,"MA_HT","SKT","MA_QH","SKX")</f>
        <v>0</v>
      </c>
      <c r="AY23" s="35">
        <f>+GETPIVOTDATA("XBB4",'binhba (2016)'!$A$3,"MA_HT","SKT","MA_QH","DSH")</f>
        <v>0</v>
      </c>
      <c r="AZ23" s="35">
        <f>+GETPIVOTDATA("XBB4",'binhba (2016)'!$A$3,"MA_HT","SKT","MA_QH","DKV")</f>
        <v>0</v>
      </c>
      <c r="BA23" s="140">
        <f>+GETPIVOTDATA("XBB4",'binhba (2016)'!$A$3,"MA_HT","SKT","MA_QH","TIN")</f>
        <v>0</v>
      </c>
      <c r="BB23" s="74">
        <f>+GETPIVOTDATA("XBB4",'binhba (2016)'!$A$3,"MA_HT","SKT","MA_QH","SON")</f>
        <v>0</v>
      </c>
      <c r="BC23" s="74">
        <f>+GETPIVOTDATA("XBB4",'binhba (2016)'!$A$3,"MA_HT","SKT","MA_QH","MNC")</f>
        <v>0</v>
      </c>
      <c r="BD23" s="35">
        <f>+GETPIVOTDATA("XBB4",'binhba (2016)'!$A$3,"MA_HT","SKT","MA_QH","PNK")</f>
        <v>0</v>
      </c>
      <c r="BE23" s="58">
        <f>+GETPIVOTDATA("XBB4",'binhba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+GETPIVOTDATA("XBB4",'binhba (2016)'!$A$3,"MA_HT","SKN","MA_QH","LUC")</f>
        <v>0</v>
      </c>
      <c r="H24" s="35">
        <f>+GETPIVOTDATA("XBB4",'binhba (2016)'!$A$3,"MA_HT","SKN","MA_QH","LUK")</f>
        <v>0</v>
      </c>
      <c r="I24" s="35">
        <f>+GETPIVOTDATA("XBB4",'binhba (2016)'!$A$3,"MA_HT","SKN","MA_QH","LUN")</f>
        <v>0</v>
      </c>
      <c r="J24" s="35">
        <f>+GETPIVOTDATA("XBB4",'binhba (2016)'!$A$3,"MA_HT","SKN","MA_QH","HNK")</f>
        <v>0</v>
      </c>
      <c r="K24" s="35">
        <f>+GETPIVOTDATA("XBB4",'binhba (2016)'!$A$3,"MA_HT","SKN","MA_QH","CLN")</f>
        <v>0</v>
      </c>
      <c r="L24" s="35">
        <f>+GETPIVOTDATA("XBB4",'binhba (2016)'!$A$3,"MA_HT","SKN","MA_QH","RSX")</f>
        <v>0</v>
      </c>
      <c r="M24" s="35">
        <f>+GETPIVOTDATA("XBB4",'binhba (2016)'!$A$3,"MA_HT","SKN","MA_QH","RPH")</f>
        <v>0</v>
      </c>
      <c r="N24" s="35">
        <f>+GETPIVOTDATA("XBB4",'binhba (2016)'!$A$3,"MA_HT","SKN","MA_QH","RDD")</f>
        <v>0</v>
      </c>
      <c r="O24" s="35">
        <f>+GETPIVOTDATA("XBB4",'binhba (2016)'!$A$3,"MA_HT","SKN","MA_QH","NTS")</f>
        <v>0</v>
      </c>
      <c r="P24" s="35">
        <f>+GETPIVOTDATA("XBB4",'binhba (2016)'!$A$3,"MA_HT","SKN","MA_QH","LMU")</f>
        <v>0</v>
      </c>
      <c r="Q24" s="35">
        <f>+GETPIVOTDATA("XBB4",'binhba (2016)'!$A$3,"MA_HT","SKN","MA_QH","NKH")</f>
        <v>0</v>
      </c>
      <c r="R24" s="63">
        <f>SUM(S24:V24,X24:AA24,AN24:BD24)</f>
        <v>0</v>
      </c>
      <c r="S24" s="35">
        <f>+GETPIVOTDATA("XBB4",'binhba (2016)'!$A$3,"MA_HT","SKN","MA_QH","CQP")</f>
        <v>0</v>
      </c>
      <c r="T24" s="35">
        <f>+GETPIVOTDATA("XBB4",'binhba (2016)'!$A$3,"MA_HT","SKN","MA_QH","CAN")</f>
        <v>0</v>
      </c>
      <c r="U24" s="35">
        <f>+GETPIVOTDATA("XBB4",'binhba (2016)'!$A$3,"MA_HT","SKN","MA_QH","SKK")</f>
        <v>0</v>
      </c>
      <c r="V24" s="35">
        <f>+GETPIVOTDATA("XBB4",'binhba (2016)'!$A$3,"MA_HT","SKN","MA_QH","SKT")</f>
        <v>0</v>
      </c>
      <c r="W24" s="99" t="e">
        <f>$D24-$BF24</f>
        <v>#REF!</v>
      </c>
      <c r="X24" s="35">
        <f>+GETPIVOTDATA("XBB4",'binhba (2016)'!$A$3,"MA_HT","SKN","MA_QH","TMD")</f>
        <v>0</v>
      </c>
      <c r="Y24" s="35">
        <f>+GETPIVOTDATA("XBB4",'binhba (2016)'!$A$3,"MA_HT","SKN","MA_QH","SKC")</f>
        <v>0</v>
      </c>
      <c r="Z24" s="35">
        <f>+GETPIVOTDATA("XBB4",'binhba (2016)'!$A$3,"MA_HT","SKN","MA_QH","SKS")</f>
        <v>0</v>
      </c>
      <c r="AA24" s="64">
        <f t="shared" si="12"/>
        <v>0</v>
      </c>
      <c r="AB24" s="35">
        <f>+GETPIVOTDATA("XBB4",'binhba (2016)'!$A$3,"MA_HT","SKN","MA_QH","DGT")</f>
        <v>0</v>
      </c>
      <c r="AC24" s="35">
        <f>+GETPIVOTDATA("XBB4",'binhba (2016)'!$A$3,"MA_HT","SKN","MA_QH","DTL")</f>
        <v>0</v>
      </c>
      <c r="AD24" s="35">
        <f>+GETPIVOTDATA("XBB4",'binhba (2016)'!$A$3,"MA_HT","SKN","MA_QH","DNL")</f>
        <v>0</v>
      </c>
      <c r="AE24" s="35">
        <f>+GETPIVOTDATA("XBB4",'binhba (2016)'!$A$3,"MA_HT","SKN","MA_QH","DBV")</f>
        <v>0</v>
      </c>
      <c r="AF24" s="35">
        <f>+GETPIVOTDATA("XBB4",'binhba (2016)'!$A$3,"MA_HT","SKN","MA_QH","DVH")</f>
        <v>0</v>
      </c>
      <c r="AG24" s="35">
        <f>+GETPIVOTDATA("XBB4",'binhba (2016)'!$A$3,"MA_HT","SKN","MA_QH","DYT")</f>
        <v>0</v>
      </c>
      <c r="AH24" s="35">
        <f>+GETPIVOTDATA("XBB4",'binhba (2016)'!$A$3,"MA_HT","SKN","MA_QH","DGD")</f>
        <v>0</v>
      </c>
      <c r="AI24" s="35">
        <f>+GETPIVOTDATA("XBB4",'binhba (2016)'!$A$3,"MA_HT","SKN","MA_QH","DTT")</f>
        <v>0</v>
      </c>
      <c r="AJ24" s="35">
        <f>+GETPIVOTDATA("XBB4",'binhba (2016)'!$A$3,"MA_HT","SKN","MA_QH","NCK")</f>
        <v>0</v>
      </c>
      <c r="AK24" s="35">
        <f>+GETPIVOTDATA("XBB4",'binhba (2016)'!$A$3,"MA_HT","SKN","MA_QH","DXH")</f>
        <v>0</v>
      </c>
      <c r="AL24" s="35">
        <f>+GETPIVOTDATA("XBB4",'binhba (2016)'!$A$3,"MA_HT","SKN","MA_QH","DCH")</f>
        <v>0</v>
      </c>
      <c r="AM24" s="35">
        <f>+GETPIVOTDATA("XBB4",'binhba (2016)'!$A$3,"MA_HT","SKN","MA_QH","DKG")</f>
        <v>0</v>
      </c>
      <c r="AN24" s="35">
        <f>+GETPIVOTDATA("XBB4",'binhba (2016)'!$A$3,"MA_HT","SKN","MA_QH","DDT")</f>
        <v>0</v>
      </c>
      <c r="AO24" s="35">
        <f>+GETPIVOTDATA("XBB4",'binhba (2016)'!$A$3,"MA_HT","SKN","MA_QH","DDL")</f>
        <v>0</v>
      </c>
      <c r="AP24" s="35">
        <f>+GETPIVOTDATA("XBB4",'binhba (2016)'!$A$3,"MA_HT","SKN","MA_QH","DRA")</f>
        <v>0</v>
      </c>
      <c r="AQ24" s="35">
        <f>+GETPIVOTDATA("XBB4",'binhba (2016)'!$A$3,"MA_HT","SKN","MA_QH","ONT")</f>
        <v>0</v>
      </c>
      <c r="AR24" s="35">
        <f>+GETPIVOTDATA("XBB4",'binhba (2016)'!$A$3,"MA_HT","SKN","MA_QH","ODT")</f>
        <v>0</v>
      </c>
      <c r="AS24" s="35">
        <f>+GETPIVOTDATA("XBB4",'binhba (2016)'!$A$3,"MA_HT","SKN","MA_QH","TSC")</f>
        <v>0</v>
      </c>
      <c r="AT24" s="35">
        <f>+GETPIVOTDATA("XBB4",'binhba (2016)'!$A$3,"MA_HT","SKN","MA_QH","DTS")</f>
        <v>0</v>
      </c>
      <c r="AU24" s="35">
        <f>+GETPIVOTDATA("XBB4",'binhba (2016)'!$A$3,"MA_HT","SKN","MA_QH","DNG")</f>
        <v>0</v>
      </c>
      <c r="AV24" s="35">
        <f>+GETPIVOTDATA("XBB4",'binhba (2016)'!$A$3,"MA_HT","SKN","MA_QH","TON")</f>
        <v>0</v>
      </c>
      <c r="AW24" s="35">
        <f>+GETPIVOTDATA("XBB4",'binhba (2016)'!$A$3,"MA_HT","SKN","MA_QH","NTD")</f>
        <v>0</v>
      </c>
      <c r="AX24" s="35">
        <f>+GETPIVOTDATA("XBB4",'binhba (2016)'!$A$3,"MA_HT","SKN","MA_QH","SKX")</f>
        <v>0</v>
      </c>
      <c r="AY24" s="35">
        <f>+GETPIVOTDATA("XBB4",'binhba (2016)'!$A$3,"MA_HT","SKN","MA_QH","DSH")</f>
        <v>0</v>
      </c>
      <c r="AZ24" s="35">
        <f>+GETPIVOTDATA("XBB4",'binhba (2016)'!$A$3,"MA_HT","SKN","MA_QH","DKV")</f>
        <v>0</v>
      </c>
      <c r="BA24" s="140">
        <f>+GETPIVOTDATA("XBB4",'binhba (2016)'!$A$3,"MA_HT","SKN","MA_QH","TIN")</f>
        <v>0</v>
      </c>
      <c r="BB24" s="74">
        <f>+GETPIVOTDATA("XBB4",'binhba (2016)'!$A$3,"MA_HT","SKN","MA_QH","SON")</f>
        <v>0</v>
      </c>
      <c r="BC24" s="74">
        <f>+GETPIVOTDATA("XBB4",'binhba (2016)'!$A$3,"MA_HT","SKN","MA_QH","MNC")</f>
        <v>0</v>
      </c>
      <c r="BD24" s="35">
        <f>+GETPIVOTDATA("XBB4",'binhba (2016)'!$A$3,"MA_HT","SKN","MA_QH","PNK")</f>
        <v>0</v>
      </c>
      <c r="BE24" s="58">
        <f>+GETPIVOTDATA("XBB4",'binhba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+GETPIVOTDATA("XBB4",'binhba (2016)'!$A$3,"MA_HT","TMD","MA_QH","LUC")</f>
        <v>0</v>
      </c>
      <c r="H25" s="35">
        <f>+GETPIVOTDATA("XBB4",'binhba (2016)'!$A$3,"MA_HT","TMD","MA_QH","LUK")</f>
        <v>0</v>
      </c>
      <c r="I25" s="35">
        <f>+GETPIVOTDATA("XBB4",'binhba (2016)'!$A$3,"MA_HT","TMD","MA_QH","LUN")</f>
        <v>0</v>
      </c>
      <c r="J25" s="35">
        <f>+GETPIVOTDATA("XBB4",'binhba (2016)'!$A$3,"MA_HT","TMD","MA_QH","HNK")</f>
        <v>0</v>
      </c>
      <c r="K25" s="35">
        <f>+GETPIVOTDATA("XBB4",'binhba (2016)'!$A$3,"MA_HT","TMD","MA_QH","CLN")</f>
        <v>0</v>
      </c>
      <c r="L25" s="35">
        <f>+GETPIVOTDATA("XBB4",'binhba (2016)'!$A$3,"MA_HT","TMD","MA_QH","RSX")</f>
        <v>0</v>
      </c>
      <c r="M25" s="35">
        <f>+GETPIVOTDATA("XBB4",'binhba (2016)'!$A$3,"MA_HT","TMD","MA_QH","RPH")</f>
        <v>0</v>
      </c>
      <c r="N25" s="35">
        <f>+GETPIVOTDATA("XBB4",'binhba (2016)'!$A$3,"MA_HT","TMD","MA_QH","RDD")</f>
        <v>0</v>
      </c>
      <c r="O25" s="35">
        <f>+GETPIVOTDATA("XBB4",'binhba (2016)'!$A$3,"MA_HT","TMD","MA_QH","NTS")</f>
        <v>0</v>
      </c>
      <c r="P25" s="35">
        <f>+GETPIVOTDATA("XBB4",'binhba (2016)'!$A$3,"MA_HT","TMD","MA_QH","LMU")</f>
        <v>0</v>
      </c>
      <c r="Q25" s="35">
        <f>+GETPIVOTDATA("XBB4",'binhba (2016)'!$A$3,"MA_HT","TMD","MA_QH","NKH")</f>
        <v>0</v>
      </c>
      <c r="R25" s="63">
        <f>SUM(S25:W25,Y25:AA25,AN25:BD25)</f>
        <v>0</v>
      </c>
      <c r="S25" s="35">
        <f>+GETPIVOTDATA("XBB4",'binhba (2016)'!$A$3,"MA_HT","TMD","MA_QH","CQP")</f>
        <v>0</v>
      </c>
      <c r="T25" s="35">
        <f>+GETPIVOTDATA("XBB4",'binhba (2016)'!$A$3,"MA_HT","TMD","MA_QH","CAN")</f>
        <v>0</v>
      </c>
      <c r="U25" s="35">
        <f>+GETPIVOTDATA("XBB4",'binhba (2016)'!$A$3,"MA_HT","TMD","MA_QH","SKK")</f>
        <v>0</v>
      </c>
      <c r="V25" s="35">
        <f>+GETPIVOTDATA("XBB4",'binhba (2016)'!$A$3,"MA_HT","TMD","MA_QH","SKT")</f>
        <v>0</v>
      </c>
      <c r="W25" s="35">
        <f>+GETPIVOTDATA("XBB4",'binhba (2016)'!$A$3,"MA_HT","TMD","MA_QH","SKN")</f>
        <v>0</v>
      </c>
      <c r="X25" s="99" t="e">
        <f>$D25-$BF25</f>
        <v>#REF!</v>
      </c>
      <c r="Y25" s="35">
        <f>+GETPIVOTDATA("XBB4",'binhba (2016)'!$A$3,"MA_HT","TMD","MA_QH","SKC")</f>
        <v>0</v>
      </c>
      <c r="Z25" s="35">
        <f>+GETPIVOTDATA("XBB4",'binhba (2016)'!$A$3,"MA_HT","TMD","MA_QH","SKS")</f>
        <v>0</v>
      </c>
      <c r="AA25" s="64">
        <f t="shared" si="12"/>
        <v>0</v>
      </c>
      <c r="AB25" s="35">
        <f>+GETPIVOTDATA("XBB4",'binhba (2016)'!$A$3,"MA_HT","TMD","MA_QH","DGT")</f>
        <v>0</v>
      </c>
      <c r="AC25" s="35">
        <f>+GETPIVOTDATA("XBB4",'binhba (2016)'!$A$3,"MA_HT","TMD","MA_QH","DTL")</f>
        <v>0</v>
      </c>
      <c r="AD25" s="35">
        <f>+GETPIVOTDATA("XBB4",'binhba (2016)'!$A$3,"MA_HT","TMD","MA_QH","DNL")</f>
        <v>0</v>
      </c>
      <c r="AE25" s="35">
        <f>+GETPIVOTDATA("XBB4",'binhba (2016)'!$A$3,"MA_HT","TMD","MA_QH","DBV")</f>
        <v>0</v>
      </c>
      <c r="AF25" s="35">
        <f>+GETPIVOTDATA("XBB4",'binhba (2016)'!$A$3,"MA_HT","TMD","MA_QH","DVH")</f>
        <v>0</v>
      </c>
      <c r="AG25" s="35">
        <f>+GETPIVOTDATA("XBB4",'binhba (2016)'!$A$3,"MA_HT","TMD","MA_QH","DYT")</f>
        <v>0</v>
      </c>
      <c r="AH25" s="35">
        <f>+GETPIVOTDATA("XBB4",'binhba (2016)'!$A$3,"MA_HT","TMD","MA_QH","DGD")</f>
        <v>0</v>
      </c>
      <c r="AI25" s="35">
        <f>+GETPIVOTDATA("XBB4",'binhba (2016)'!$A$3,"MA_HT","TMD","MA_QH","DTT")</f>
        <v>0</v>
      </c>
      <c r="AJ25" s="35">
        <f>+GETPIVOTDATA("XBB4",'binhba (2016)'!$A$3,"MA_HT","TMD","MA_QH","NCK")</f>
        <v>0</v>
      </c>
      <c r="AK25" s="35">
        <f>+GETPIVOTDATA("XBB4",'binhba (2016)'!$A$3,"MA_HT","TMD","MA_QH","DXH")</f>
        <v>0</v>
      </c>
      <c r="AL25" s="35">
        <f>+GETPIVOTDATA("XBB4",'binhba (2016)'!$A$3,"MA_HT","TMD","MA_QH","DCH")</f>
        <v>0</v>
      </c>
      <c r="AM25" s="35">
        <f>+GETPIVOTDATA("XBB4",'binhba (2016)'!$A$3,"MA_HT","TMD","MA_QH","DKG")</f>
        <v>0</v>
      </c>
      <c r="AN25" s="35">
        <f>+GETPIVOTDATA("XBB4",'binhba (2016)'!$A$3,"MA_HT","TMD","MA_QH","DDT")</f>
        <v>0</v>
      </c>
      <c r="AO25" s="35">
        <f>+GETPIVOTDATA("XBB4",'binhba (2016)'!$A$3,"MA_HT","TMD","MA_QH","DDL")</f>
        <v>0</v>
      </c>
      <c r="AP25" s="35">
        <f>+GETPIVOTDATA("XBB4",'binhba (2016)'!$A$3,"MA_HT","TMD","MA_QH","DRA")</f>
        <v>0</v>
      </c>
      <c r="AQ25" s="35">
        <f>+GETPIVOTDATA("XBB4",'binhba (2016)'!$A$3,"MA_HT","TMD","MA_QH","ONT")</f>
        <v>0</v>
      </c>
      <c r="AR25" s="35">
        <f>+GETPIVOTDATA("XBB4",'binhba (2016)'!$A$3,"MA_HT","TMD","MA_QH","ODT")</f>
        <v>0</v>
      </c>
      <c r="AS25" s="35">
        <f>+GETPIVOTDATA("XBB4",'binhba (2016)'!$A$3,"MA_HT","TMD","MA_QH","TSC")</f>
        <v>0</v>
      </c>
      <c r="AT25" s="35">
        <f>+GETPIVOTDATA("XBB4",'binhba (2016)'!$A$3,"MA_HT","TMD","MA_QH","DTS")</f>
        <v>0</v>
      </c>
      <c r="AU25" s="35">
        <f>+GETPIVOTDATA("XBB4",'binhba (2016)'!$A$3,"MA_HT","TMD","MA_QH","DNG")</f>
        <v>0</v>
      </c>
      <c r="AV25" s="35">
        <f>+GETPIVOTDATA("XBB4",'binhba (2016)'!$A$3,"MA_HT","TMD","MA_QH","TON")</f>
        <v>0</v>
      </c>
      <c r="AW25" s="35">
        <f>+GETPIVOTDATA("XBB4",'binhba (2016)'!$A$3,"MA_HT","TMD","MA_QH","NTD")</f>
        <v>0</v>
      </c>
      <c r="AX25" s="35">
        <f>+GETPIVOTDATA("XBB4",'binhba (2016)'!$A$3,"MA_HT","TMD","MA_QH","SKX")</f>
        <v>0</v>
      </c>
      <c r="AY25" s="35">
        <f>+GETPIVOTDATA("XBB4",'binhba (2016)'!$A$3,"MA_HT","TMD","MA_QH","DSH")</f>
        <v>0</v>
      </c>
      <c r="AZ25" s="35">
        <f>+GETPIVOTDATA("XBB4",'binhba (2016)'!$A$3,"MA_HT","TMD","MA_QH","DKV")</f>
        <v>0</v>
      </c>
      <c r="BA25" s="140">
        <f>+GETPIVOTDATA("XBB4",'binhba (2016)'!$A$3,"MA_HT","TMD","MA_QH","TIN")</f>
        <v>0</v>
      </c>
      <c r="BB25" s="74">
        <f>+GETPIVOTDATA("XBB4",'binhba (2016)'!$A$3,"MA_HT","TMD","MA_QH","SON")</f>
        <v>0</v>
      </c>
      <c r="BC25" s="74">
        <f>+GETPIVOTDATA("XBB4",'binhba (2016)'!$A$3,"MA_HT","TMD","MA_QH","MNC")</f>
        <v>0</v>
      </c>
      <c r="BD25" s="35">
        <f>+GETPIVOTDATA("XBB4",'binhba (2016)'!$A$3,"MA_HT","TMD","MA_QH","PNK")</f>
        <v>0</v>
      </c>
      <c r="BE25" s="58">
        <f>+GETPIVOTDATA("XBB4",'binhba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+GETPIVOTDATA("XBB4",'binhba (2016)'!$A$3,"MA_HT","SKC","MA_QH","LUC")</f>
        <v>0</v>
      </c>
      <c r="H26" s="35">
        <f>+GETPIVOTDATA("XBB4",'binhba (2016)'!$A$3,"MA_HT","SKC","MA_QH","LUK")</f>
        <v>0</v>
      </c>
      <c r="I26" s="35">
        <f>+GETPIVOTDATA("XBB4",'binhba (2016)'!$A$3,"MA_HT","SKC","MA_QH","LUN")</f>
        <v>0</v>
      </c>
      <c r="J26" s="35">
        <f>+GETPIVOTDATA("XBB4",'binhba (2016)'!$A$3,"MA_HT","SKC","MA_QH","HNK")</f>
        <v>0</v>
      </c>
      <c r="K26" s="35">
        <f>+GETPIVOTDATA("XBB4",'binhba (2016)'!$A$3,"MA_HT","SKC","MA_QH","CLN")</f>
        <v>0</v>
      </c>
      <c r="L26" s="35">
        <f>+GETPIVOTDATA("XBB4",'binhba (2016)'!$A$3,"MA_HT","SKC","MA_QH","RSX")</f>
        <v>0</v>
      </c>
      <c r="M26" s="35">
        <f>+GETPIVOTDATA("XBB4",'binhba (2016)'!$A$3,"MA_HT","SKC","MA_QH","RPH")</f>
        <v>0</v>
      </c>
      <c r="N26" s="35">
        <f>+GETPIVOTDATA("XBB4",'binhba (2016)'!$A$3,"MA_HT","SKC","MA_QH","RDD")</f>
        <v>0</v>
      </c>
      <c r="O26" s="35">
        <f>+GETPIVOTDATA("XBB4",'binhba (2016)'!$A$3,"MA_HT","SKC","MA_QH","NTS")</f>
        <v>0</v>
      </c>
      <c r="P26" s="35">
        <f>+GETPIVOTDATA("XBB4",'binhba (2016)'!$A$3,"MA_HT","SKC","MA_QH","LMU")</f>
        <v>0</v>
      </c>
      <c r="Q26" s="35">
        <f>+GETPIVOTDATA("XBB4",'binhba (2016)'!$A$3,"MA_HT","SKC","MA_QH","NKH")</f>
        <v>0</v>
      </c>
      <c r="R26" s="63">
        <f>SUM(S26:X26,Z26,AN26:BD26)</f>
        <v>0</v>
      </c>
      <c r="S26" s="35">
        <f>+GETPIVOTDATA("XBB4",'binhba (2016)'!$A$3,"MA_HT","SKC","MA_QH","CQP")</f>
        <v>0</v>
      </c>
      <c r="T26" s="35">
        <f>+GETPIVOTDATA("XBB4",'binhba (2016)'!$A$3,"MA_HT","SKC","MA_QH","CAN")</f>
        <v>0</v>
      </c>
      <c r="U26" s="35">
        <f>+GETPIVOTDATA("XBB4",'binhba (2016)'!$A$3,"MA_HT","SKC","MA_QH","SKK")</f>
        <v>0</v>
      </c>
      <c r="V26" s="35">
        <f>+GETPIVOTDATA("XBB4",'binhba (2016)'!$A$3,"MA_HT","SKC","MA_QH","SKT")</f>
        <v>0</v>
      </c>
      <c r="W26" s="35">
        <f>+GETPIVOTDATA("XBB4",'binhba (2016)'!$A$3,"MA_HT","SKC","MA_QH","SKN")</f>
        <v>0</v>
      </c>
      <c r="X26" s="35">
        <f>+GETPIVOTDATA("XBB4",'binhba (2016)'!$A$3,"MA_HT","SKC","MA_QH","TMD")</f>
        <v>0</v>
      </c>
      <c r="Y26" s="99" t="e">
        <f>$D26-$BF26</f>
        <v>#REF!</v>
      </c>
      <c r="Z26" s="35">
        <f>+GETPIVOTDATA("XBB4",'binhba (2016)'!$A$3,"MA_HT","SKC","MA_QH","SKS")</f>
        <v>0</v>
      </c>
      <c r="AA26" s="64">
        <f t="shared" si="12"/>
        <v>0</v>
      </c>
      <c r="AB26" s="35">
        <f>+GETPIVOTDATA("XBB4",'binhba (2016)'!$A$3,"MA_HT","SKC","MA_QH","DGT")</f>
        <v>0</v>
      </c>
      <c r="AC26" s="35">
        <f>+GETPIVOTDATA("XBB4",'binhba (2016)'!$A$3,"MA_HT","SKC","MA_QH","DTL")</f>
        <v>0</v>
      </c>
      <c r="AD26" s="35">
        <f>+GETPIVOTDATA("XBB4",'binhba (2016)'!$A$3,"MA_HT","SKC","MA_QH","DNL")</f>
        <v>0</v>
      </c>
      <c r="AE26" s="35">
        <f>+GETPIVOTDATA("XBB4",'binhba (2016)'!$A$3,"MA_HT","SKC","MA_QH","DBV")</f>
        <v>0</v>
      </c>
      <c r="AF26" s="35">
        <f>+GETPIVOTDATA("XBB4",'binhba (2016)'!$A$3,"MA_HT","SKC","MA_QH","DVH")</f>
        <v>0</v>
      </c>
      <c r="AG26" s="35">
        <f>+GETPIVOTDATA("XBB4",'binhba (2016)'!$A$3,"MA_HT","SKC","MA_QH","DYT")</f>
        <v>0</v>
      </c>
      <c r="AH26" s="35">
        <f>+GETPIVOTDATA("XBB4",'binhba (2016)'!$A$3,"MA_HT","SKC","MA_QH","DGD")</f>
        <v>0</v>
      </c>
      <c r="AI26" s="35">
        <f>+GETPIVOTDATA("XBB4",'binhba (2016)'!$A$3,"MA_HT","SKC","MA_QH","DTT")</f>
        <v>0</v>
      </c>
      <c r="AJ26" s="35">
        <f>+GETPIVOTDATA("XBB4",'binhba (2016)'!$A$3,"MA_HT","SKC","MA_QH","NCK")</f>
        <v>0</v>
      </c>
      <c r="AK26" s="35">
        <f>+GETPIVOTDATA("XBB4",'binhba (2016)'!$A$3,"MA_HT","SKC","MA_QH","DXH")</f>
        <v>0</v>
      </c>
      <c r="AL26" s="35">
        <f>+GETPIVOTDATA("XBB4",'binhba (2016)'!$A$3,"MA_HT","SKC","MA_QH","DCH")</f>
        <v>0</v>
      </c>
      <c r="AM26" s="35">
        <f>+GETPIVOTDATA("XBB4",'binhba (2016)'!$A$3,"MA_HT","SKC","MA_QH","DKG")</f>
        <v>0</v>
      </c>
      <c r="AN26" s="35">
        <f>+GETPIVOTDATA("XBB4",'binhba (2016)'!$A$3,"MA_HT","SKC","MA_QH","DDT")</f>
        <v>0</v>
      </c>
      <c r="AO26" s="35">
        <f>+GETPIVOTDATA("XBB4",'binhba (2016)'!$A$3,"MA_HT","SKC","MA_QH","DDL")</f>
        <v>0</v>
      </c>
      <c r="AP26" s="35">
        <f>+GETPIVOTDATA("XBB4",'binhba (2016)'!$A$3,"MA_HT","SKC","MA_QH","DRA")</f>
        <v>0</v>
      </c>
      <c r="AQ26" s="35">
        <f>+GETPIVOTDATA("XBB4",'binhba (2016)'!$A$3,"MA_HT","SKC","MA_QH","ONT")</f>
        <v>0</v>
      </c>
      <c r="AR26" s="35">
        <f>+GETPIVOTDATA("XBB4",'binhba (2016)'!$A$3,"MA_HT","SKC","MA_QH","ODT")</f>
        <v>0</v>
      </c>
      <c r="AS26" s="35">
        <f>+GETPIVOTDATA("XBB4",'binhba (2016)'!$A$3,"MA_HT","SKC","MA_QH","TSC")</f>
        <v>0</v>
      </c>
      <c r="AT26" s="35">
        <f>+GETPIVOTDATA("XBB4",'binhba (2016)'!$A$3,"MA_HT","SKC","MA_QH","DTS")</f>
        <v>0</v>
      </c>
      <c r="AU26" s="35">
        <f>+GETPIVOTDATA("XBB4",'binhba (2016)'!$A$3,"MA_HT","SKC","MA_QH","DNG")</f>
        <v>0</v>
      </c>
      <c r="AV26" s="35">
        <f>+GETPIVOTDATA("XBB4",'binhba (2016)'!$A$3,"MA_HT","SKC","MA_QH","TON")</f>
        <v>0</v>
      </c>
      <c r="AW26" s="35">
        <f>+GETPIVOTDATA("XBB4",'binhba (2016)'!$A$3,"MA_HT","SKC","MA_QH","NTD")</f>
        <v>0</v>
      </c>
      <c r="AX26" s="35">
        <f>+GETPIVOTDATA("XBB4",'binhba (2016)'!$A$3,"MA_HT","SKC","MA_QH","SKX")</f>
        <v>0</v>
      </c>
      <c r="AY26" s="35">
        <f>+GETPIVOTDATA("XBB4",'binhba (2016)'!$A$3,"MA_HT","SKC","MA_QH","DSH")</f>
        <v>0</v>
      </c>
      <c r="AZ26" s="35">
        <f>+GETPIVOTDATA("XBB4",'binhba (2016)'!$A$3,"MA_HT","SKC","MA_QH","DKV")</f>
        <v>0</v>
      </c>
      <c r="BA26" s="140">
        <f>+GETPIVOTDATA("XBB4",'binhba (2016)'!$A$3,"MA_HT","SKC","MA_QH","TIN")</f>
        <v>0</v>
      </c>
      <c r="BB26" s="74">
        <f>+GETPIVOTDATA("XBB4",'binhba (2016)'!$A$3,"MA_HT","SKC","MA_QH","SON")</f>
        <v>0</v>
      </c>
      <c r="BC26" s="74">
        <f>+GETPIVOTDATA("XBB4",'binhba (2016)'!$A$3,"MA_HT","SKC","MA_QH","MNC")</f>
        <v>0</v>
      </c>
      <c r="BD26" s="35">
        <f>+GETPIVOTDATA("XBB4",'binhba (2016)'!$A$3,"MA_HT","SKC","MA_QH","PNK")</f>
        <v>0</v>
      </c>
      <c r="BE26" s="58">
        <f>+GETPIVOTDATA("XBB4",'binhba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+GETPIVOTDATA("XBB4",'binhba (2016)'!$A$3,"MA_HT","SKS","MA_QH","LUC")</f>
        <v>0</v>
      </c>
      <c r="H27" s="35">
        <f>+GETPIVOTDATA("XBB4",'binhba (2016)'!$A$3,"MA_HT","SKS","MA_QH","LUK")</f>
        <v>0</v>
      </c>
      <c r="I27" s="35">
        <f>+GETPIVOTDATA("XBB4",'binhba (2016)'!$A$3,"MA_HT","SKS","MA_QH","LUN")</f>
        <v>0</v>
      </c>
      <c r="J27" s="35">
        <f>+GETPIVOTDATA("XBB4",'binhba (2016)'!$A$3,"MA_HT","SKS","MA_QH","HNK")</f>
        <v>0</v>
      </c>
      <c r="K27" s="35">
        <f>+GETPIVOTDATA("XBB4",'binhba (2016)'!$A$3,"MA_HT","SKS","MA_QH","CLN")</f>
        <v>0</v>
      </c>
      <c r="L27" s="35">
        <f>+GETPIVOTDATA("XBB4",'binhba (2016)'!$A$3,"MA_HT","SKS","MA_QH","RSX")</f>
        <v>0</v>
      </c>
      <c r="M27" s="35">
        <f>+GETPIVOTDATA("XBB4",'binhba (2016)'!$A$3,"MA_HT","SKS","MA_QH","RPH")</f>
        <v>0</v>
      </c>
      <c r="N27" s="35">
        <f>+GETPIVOTDATA("XBB4",'binhba (2016)'!$A$3,"MA_HT","SKS","MA_QH","RDD")</f>
        <v>0</v>
      </c>
      <c r="O27" s="35">
        <f>+GETPIVOTDATA("XBB4",'binhba (2016)'!$A$3,"MA_HT","SKS","MA_QH","NTS")</f>
        <v>0</v>
      </c>
      <c r="P27" s="35">
        <f>+GETPIVOTDATA("XBB4",'binhba (2016)'!$A$3,"MA_HT","SKS","MA_QH","LMU")</f>
        <v>0</v>
      </c>
      <c r="Q27" s="35">
        <f>+GETPIVOTDATA("XBB4",'binhba (2016)'!$A$3,"MA_HT","SKS","MA_QH","NKH")</f>
        <v>0</v>
      </c>
      <c r="R27" s="63">
        <f>SUM(S27:Y27,AA27,AN27:BD27)</f>
        <v>0</v>
      </c>
      <c r="S27" s="35">
        <f>+GETPIVOTDATA("XBB4",'binhba (2016)'!$A$3,"MA_HT","SKS","MA_QH","CQP")</f>
        <v>0</v>
      </c>
      <c r="T27" s="35">
        <f>+GETPIVOTDATA("XBB4",'binhba (2016)'!$A$3,"MA_HT","SKS","MA_QH","CAN")</f>
        <v>0</v>
      </c>
      <c r="U27" s="35">
        <f>+GETPIVOTDATA("XBB4",'binhba (2016)'!$A$3,"MA_HT","SKS","MA_QH","SKK")</f>
        <v>0</v>
      </c>
      <c r="V27" s="35">
        <f>+GETPIVOTDATA("XBB4",'binhba (2016)'!$A$3,"MA_HT","SKS","MA_QH","SKT")</f>
        <v>0</v>
      </c>
      <c r="W27" s="35">
        <f>+GETPIVOTDATA("XBB4",'binhba (2016)'!$A$3,"MA_HT","SKS","MA_QH","SKN")</f>
        <v>0</v>
      </c>
      <c r="X27" s="35">
        <f>+GETPIVOTDATA("XBB4",'binhba (2016)'!$A$3,"MA_HT","SKS","MA_QH","TMD")</f>
        <v>0</v>
      </c>
      <c r="Y27" s="35">
        <f>+GETPIVOTDATA("XBB4",'binhba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+GETPIVOTDATA("XBB4",'binhba (2016)'!$A$3,"MA_HT","SKS","MA_QH","DGT")</f>
        <v>0</v>
      </c>
      <c r="AC27" s="35">
        <f>+GETPIVOTDATA("XBB4",'binhba (2016)'!$A$3,"MA_HT","SKS","MA_QH","DTL")</f>
        <v>0</v>
      </c>
      <c r="AD27" s="35">
        <f>+GETPIVOTDATA("XBB4",'binhba (2016)'!$A$3,"MA_HT","SKS","MA_QH","DNL")</f>
        <v>0</v>
      </c>
      <c r="AE27" s="35">
        <f>+GETPIVOTDATA("XBB4",'binhba (2016)'!$A$3,"MA_HT","SKS","MA_QH","DBV")</f>
        <v>0</v>
      </c>
      <c r="AF27" s="35">
        <f>+GETPIVOTDATA("XBB4",'binhba (2016)'!$A$3,"MA_HT","SKS","MA_QH","DVH")</f>
        <v>0</v>
      </c>
      <c r="AG27" s="35">
        <f>+GETPIVOTDATA("XBB4",'binhba (2016)'!$A$3,"MA_HT","SKS","MA_QH","DYT")</f>
        <v>0</v>
      </c>
      <c r="AH27" s="35">
        <f>+GETPIVOTDATA("XBB4",'binhba (2016)'!$A$3,"MA_HT","SKS","MA_QH","DGD")</f>
        <v>0</v>
      </c>
      <c r="AI27" s="35">
        <f>+GETPIVOTDATA("XBB4",'binhba (2016)'!$A$3,"MA_HT","SKS","MA_QH","DTT")</f>
        <v>0</v>
      </c>
      <c r="AJ27" s="35">
        <f>+GETPIVOTDATA("XBB4",'binhba (2016)'!$A$3,"MA_HT","SKS","MA_QH","NCK")</f>
        <v>0</v>
      </c>
      <c r="AK27" s="35">
        <f>+GETPIVOTDATA("XBB4",'binhba (2016)'!$A$3,"MA_HT","SKS","MA_QH","DXH")</f>
        <v>0</v>
      </c>
      <c r="AL27" s="35">
        <f>+GETPIVOTDATA("XBB4",'binhba (2016)'!$A$3,"MA_HT","SKS","MA_QH","DCH")</f>
        <v>0</v>
      </c>
      <c r="AM27" s="35">
        <f>+GETPIVOTDATA("XBB4",'binhba (2016)'!$A$3,"MA_HT","SKS","MA_QH","DKG")</f>
        <v>0</v>
      </c>
      <c r="AN27" s="35">
        <f>+GETPIVOTDATA("XBB4",'binhba (2016)'!$A$3,"MA_HT","SKS","MA_QH","DDT")</f>
        <v>0</v>
      </c>
      <c r="AO27" s="35">
        <f>+GETPIVOTDATA("XBB4",'binhba (2016)'!$A$3,"MA_HT","SKS","MA_QH","DDL")</f>
        <v>0</v>
      </c>
      <c r="AP27" s="35">
        <f>+GETPIVOTDATA("XBB4",'binhba (2016)'!$A$3,"MA_HT","SKS","MA_QH","DRA")</f>
        <v>0</v>
      </c>
      <c r="AQ27" s="35">
        <f>+GETPIVOTDATA("XBB4",'binhba (2016)'!$A$3,"MA_HT","SKS","MA_QH","ONT")</f>
        <v>0</v>
      </c>
      <c r="AR27" s="35">
        <f>+GETPIVOTDATA("XBB4",'binhba (2016)'!$A$3,"MA_HT","SKS","MA_QH","ODT")</f>
        <v>0</v>
      </c>
      <c r="AS27" s="35">
        <f>+GETPIVOTDATA("XBB4",'binhba (2016)'!$A$3,"MA_HT","SKS","MA_QH","TSC")</f>
        <v>0</v>
      </c>
      <c r="AT27" s="35">
        <f>+GETPIVOTDATA("XBB4",'binhba (2016)'!$A$3,"MA_HT","SKS","MA_QH","DTS")</f>
        <v>0</v>
      </c>
      <c r="AU27" s="35">
        <f>+GETPIVOTDATA("XBB4",'binhba (2016)'!$A$3,"MA_HT","SKS","MA_QH","DNG")</f>
        <v>0</v>
      </c>
      <c r="AV27" s="35">
        <f>+GETPIVOTDATA("XBB4",'binhba (2016)'!$A$3,"MA_HT","SKS","MA_QH","TON")</f>
        <v>0</v>
      </c>
      <c r="AW27" s="35">
        <f>+GETPIVOTDATA("XBB4",'binhba (2016)'!$A$3,"MA_HT","SKS","MA_QH","NTD")</f>
        <v>0</v>
      </c>
      <c r="AX27" s="35">
        <f>+GETPIVOTDATA("XBB4",'binhba (2016)'!$A$3,"MA_HT","SKS","MA_QH","SKX")</f>
        <v>0</v>
      </c>
      <c r="AY27" s="35">
        <f>+GETPIVOTDATA("XBB4",'binhba (2016)'!$A$3,"MA_HT","SKS","MA_QH","DSH")</f>
        <v>0</v>
      </c>
      <c r="AZ27" s="35">
        <f>+GETPIVOTDATA("XBB4",'binhba (2016)'!$A$3,"MA_HT","SKS","MA_QH","DKV")</f>
        <v>0</v>
      </c>
      <c r="BA27" s="140">
        <f>+GETPIVOTDATA("XBB4",'binhba (2016)'!$A$3,"MA_HT","SKS","MA_QH","TIN")</f>
        <v>0</v>
      </c>
      <c r="BB27" s="74">
        <f>+GETPIVOTDATA("XBB4",'binhba (2016)'!$A$3,"MA_HT","SKS","MA_QH","SON")</f>
        <v>0</v>
      </c>
      <c r="BC27" s="74">
        <f>+GETPIVOTDATA("XBB4",'binhba (2016)'!$A$3,"MA_HT","SKS","MA_QH","MNC")</f>
        <v>0</v>
      </c>
      <c r="BD27" s="35">
        <f>+GETPIVOTDATA("XBB4",'binhba (2016)'!$A$3,"MA_HT","SKS","MA_QH","PNK")</f>
        <v>0</v>
      </c>
      <c r="BE27" s="58">
        <f>+GETPIVOTDATA("XBB4",'binhba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+GETPIVOTDATA("XBB4",'binhba (2016)'!$A$3,"MA_HT","DGT","MA_QH","LUC")</f>
        <v>0</v>
      </c>
      <c r="H29" s="74">
        <f>+GETPIVOTDATA("XBB4",'binhba (2016)'!$A$3,"MA_HT","DGT","MA_QH","LUK")</f>
        <v>0</v>
      </c>
      <c r="I29" s="74">
        <f>+GETPIVOTDATA("XBB4",'binhba (2016)'!$A$3,"MA_HT","DGT","MA_QH","LUN")</f>
        <v>0</v>
      </c>
      <c r="J29" s="74">
        <f>+GETPIVOTDATA("XBB4",'binhba (2016)'!$A$3,"MA_HT","DGT","MA_QH","HNK")</f>
        <v>0</v>
      </c>
      <c r="K29" s="74">
        <f>+GETPIVOTDATA("XBB4",'binhba (2016)'!$A$3,"MA_HT","DGT","MA_QH","CLN")</f>
        <v>0</v>
      </c>
      <c r="L29" s="74">
        <f>+GETPIVOTDATA("XBB4",'binhba (2016)'!$A$3,"MA_HT","DGT","MA_QH","RSX")</f>
        <v>0</v>
      </c>
      <c r="M29" s="74">
        <f>+GETPIVOTDATA("XBB4",'binhba (2016)'!$A$3,"MA_HT","DGT","MA_QH","RPH")</f>
        <v>0</v>
      </c>
      <c r="N29" s="74">
        <f>+GETPIVOTDATA("XBB4",'binhba (2016)'!$A$3,"MA_HT","DGT","MA_QH","RDD")</f>
        <v>0</v>
      </c>
      <c r="O29" s="74">
        <f>+GETPIVOTDATA("XBB4",'binhba (2016)'!$A$3,"MA_HT","DGT","MA_QH","NTS")</f>
        <v>0</v>
      </c>
      <c r="P29" s="74">
        <f>+GETPIVOTDATA("XBB4",'binhba (2016)'!$A$3,"MA_HT","DGT","MA_QH","LMU")</f>
        <v>0</v>
      </c>
      <c r="Q29" s="74">
        <f>+GETPIVOTDATA("XBB4",'binhba (2016)'!$A$3,"MA_HT","DGT","MA_QH","NKH")</f>
        <v>0</v>
      </c>
      <c r="R29" s="72">
        <f>SUM(S29:AA29,AN29:BD29)</f>
        <v>0</v>
      </c>
      <c r="S29" s="74">
        <f>+GETPIVOTDATA("XBB4",'binhba (2016)'!$A$3,"MA_HT","DGT","MA_QH","CQP")</f>
        <v>0</v>
      </c>
      <c r="T29" s="74">
        <f>+GETPIVOTDATA("XBB4",'binhba (2016)'!$A$3,"MA_HT","DGT","MA_QH","CAN")</f>
        <v>0</v>
      </c>
      <c r="U29" s="74">
        <f>+GETPIVOTDATA("XBB4",'binhba (2016)'!$A$3,"MA_HT","DGT","MA_QH","SKK")</f>
        <v>0</v>
      </c>
      <c r="V29" s="74">
        <f>+GETPIVOTDATA("XBB4",'binhba (2016)'!$A$3,"MA_HT","DGT","MA_QH","SKT")</f>
        <v>0</v>
      </c>
      <c r="W29" s="74">
        <f>+GETPIVOTDATA("XBB4",'binhba (2016)'!$A$3,"MA_HT","DGT","MA_QH","SKN")</f>
        <v>0</v>
      </c>
      <c r="X29" s="74">
        <f>+GETPIVOTDATA("XBB4",'binhba (2016)'!$A$3,"MA_HT","DGT","MA_QH","TMD")</f>
        <v>0</v>
      </c>
      <c r="Y29" s="74">
        <f>+GETPIVOTDATA("XBB4",'binhba (2016)'!$A$3,"MA_HT","DGT","MA_QH","SKC")</f>
        <v>0</v>
      </c>
      <c r="Z29" s="74">
        <f>+GETPIVOTDATA("XBB4",'binhba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+GETPIVOTDATA("XBB4",'binhba (2016)'!$A$3,"MA_HT","DGT","MA_QH","DTL")</f>
        <v>0</v>
      </c>
      <c r="AD29" s="74">
        <f>+GETPIVOTDATA("XBB4",'binhba (2016)'!$A$3,"MA_HT","DGT","MA_QH","DNL")</f>
        <v>0</v>
      </c>
      <c r="AE29" s="74">
        <f>+GETPIVOTDATA("XBB4",'binhba (2016)'!$A$3,"MA_HT","DGT","MA_QH","DBV")</f>
        <v>0</v>
      </c>
      <c r="AF29" s="74">
        <f>+GETPIVOTDATA("XBB4",'binhba (2016)'!$A$3,"MA_HT","DGT","MA_QH","DVH")</f>
        <v>0</v>
      </c>
      <c r="AG29" s="74">
        <f>+GETPIVOTDATA("XBB4",'binhba (2016)'!$A$3,"MA_HT","DGT","MA_QH","DYT")</f>
        <v>0</v>
      </c>
      <c r="AH29" s="74">
        <f>+GETPIVOTDATA("XBB4",'binhba (2016)'!$A$3,"MA_HT","DGT","MA_QH","DGD")</f>
        <v>0</v>
      </c>
      <c r="AI29" s="74">
        <f>+GETPIVOTDATA("XBB4",'binhba (2016)'!$A$3,"MA_HT","DGT","MA_QH","DTT")</f>
        <v>0</v>
      </c>
      <c r="AJ29" s="74">
        <f>+GETPIVOTDATA("XBB4",'binhba (2016)'!$A$3,"MA_HT","DGT","MA_QH","NCK")</f>
        <v>0</v>
      </c>
      <c r="AK29" s="74">
        <f>+GETPIVOTDATA("XBB4",'binhba (2016)'!$A$3,"MA_HT","DGT","MA_QH","DXH")</f>
        <v>0</v>
      </c>
      <c r="AL29" s="74">
        <f>+GETPIVOTDATA("XBB4",'binhba (2016)'!$A$3,"MA_HT","DGT","MA_QH","DCH")</f>
        <v>0</v>
      </c>
      <c r="AM29" s="74">
        <f>+GETPIVOTDATA("XBB4",'binhba (2016)'!$A$3,"MA_HT","DGT","MA_QH","DKG")</f>
        <v>0</v>
      </c>
      <c r="AN29" s="74">
        <f>+GETPIVOTDATA("XBB4",'binhba (2016)'!$A$3,"MA_HT","DGT","MA_QH","DDT")</f>
        <v>0</v>
      </c>
      <c r="AO29" s="74">
        <f>+GETPIVOTDATA("XBB4",'binhba (2016)'!$A$3,"MA_HT","DGT","MA_QH","DDL")</f>
        <v>0</v>
      </c>
      <c r="AP29" s="74">
        <f>+GETPIVOTDATA("XBB4",'binhba (2016)'!$A$3,"MA_HT","DGT","MA_QH","DRA")</f>
        <v>0</v>
      </c>
      <c r="AQ29" s="74">
        <f>+GETPIVOTDATA("XBB4",'binhba (2016)'!$A$3,"MA_HT","DGT","MA_QH","ONT")</f>
        <v>0</v>
      </c>
      <c r="AR29" s="74">
        <f>+GETPIVOTDATA("XBB4",'binhba (2016)'!$A$3,"MA_HT","DGT","MA_QH","ODT")</f>
        <v>0</v>
      </c>
      <c r="AS29" s="74">
        <f>+GETPIVOTDATA("XBB4",'binhba (2016)'!$A$3,"MA_HT","DGT","MA_QH","TSC")</f>
        <v>0</v>
      </c>
      <c r="AT29" s="74">
        <f>+GETPIVOTDATA("XBB4",'binhba (2016)'!$A$3,"MA_HT","DGT","MA_QH","DTS")</f>
        <v>0</v>
      </c>
      <c r="AU29" s="74">
        <f>+GETPIVOTDATA("XBB4",'binhba (2016)'!$A$3,"MA_HT","DGT","MA_QH","DNG")</f>
        <v>0</v>
      </c>
      <c r="AV29" s="74">
        <f>+GETPIVOTDATA("XBB4",'binhba (2016)'!$A$3,"MA_HT","DGT","MA_QH","TON")</f>
        <v>0</v>
      </c>
      <c r="AW29" s="74">
        <f>+GETPIVOTDATA("XBB4",'binhba (2016)'!$A$3,"MA_HT","DGT","MA_QH","NTD")</f>
        <v>0</v>
      </c>
      <c r="AX29" s="74">
        <f>+GETPIVOTDATA("XBB4",'binhba (2016)'!$A$3,"MA_HT","DGT","MA_QH","SKX")</f>
        <v>0</v>
      </c>
      <c r="AY29" s="74">
        <f>+GETPIVOTDATA("XBB4",'binhba (2016)'!$A$3,"MA_HT","DGT","MA_QH","DSH")</f>
        <v>0</v>
      </c>
      <c r="AZ29" s="74">
        <f>+GETPIVOTDATA("XBB4",'binhba (2016)'!$A$3,"MA_HT","DGT","MA_QH","DKV")</f>
        <v>0</v>
      </c>
      <c r="BA29" s="139">
        <f>+GETPIVOTDATA("XBB4",'binhba (2016)'!$A$3,"MA_HT","DGT","MA_QH","TIN")</f>
        <v>0</v>
      </c>
      <c r="BB29" s="74">
        <f>+GETPIVOTDATA("XBB4",'binhba (2016)'!$A$3,"MA_HT","DGT","MA_QH","SON")</f>
        <v>0</v>
      </c>
      <c r="BC29" s="74">
        <f>+GETPIVOTDATA("XBB4",'binhba (2016)'!$A$3,"MA_HT","DGT","MA_QH","MNC")</f>
        <v>0</v>
      </c>
      <c r="BD29" s="74">
        <f>+GETPIVOTDATA("XBB4",'binhba (2016)'!$A$3,"MA_HT","DGT","MA_QH","PNK")</f>
        <v>0</v>
      </c>
      <c r="BE29" s="102">
        <f>+GETPIVOTDATA("XBB4",'binhba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+GETPIVOTDATA("XBB4",'binhba (2016)'!$A$3,"MA_HT","DTL","MA_QH","LUC")</f>
        <v>0</v>
      </c>
      <c r="H30" s="74">
        <f>+GETPIVOTDATA("XBB4",'binhba (2016)'!$A$3,"MA_HT","DTL","MA_QH","LUK")</f>
        <v>0</v>
      </c>
      <c r="I30" s="74">
        <f>+GETPIVOTDATA("XBB4",'binhba (2016)'!$A$3,"MA_HT","DTL","MA_QH","LUN")</f>
        <v>0</v>
      </c>
      <c r="J30" s="74">
        <f>+GETPIVOTDATA("XBB4",'binhba (2016)'!$A$3,"MA_HT","DTL","MA_QH","HNK")</f>
        <v>0</v>
      </c>
      <c r="K30" s="74">
        <f>+GETPIVOTDATA("XBB4",'binhba (2016)'!$A$3,"MA_HT","DTL","MA_QH","CLN")</f>
        <v>0</v>
      </c>
      <c r="L30" s="74">
        <f>+GETPIVOTDATA("XBB4",'binhba (2016)'!$A$3,"MA_HT","DTL","MA_QH","RSX")</f>
        <v>0</v>
      </c>
      <c r="M30" s="74">
        <f>+GETPIVOTDATA("XBB4",'binhba (2016)'!$A$3,"MA_HT","DTL","MA_QH","RPH")</f>
        <v>0</v>
      </c>
      <c r="N30" s="74">
        <f>+GETPIVOTDATA("XBB4",'binhba (2016)'!$A$3,"MA_HT","DTL","MA_QH","RDD")</f>
        <v>0</v>
      </c>
      <c r="O30" s="74">
        <f>+GETPIVOTDATA("XBB4",'binhba (2016)'!$A$3,"MA_HT","DTL","MA_QH","NTS")</f>
        <v>0</v>
      </c>
      <c r="P30" s="74">
        <f>+GETPIVOTDATA("XBB4",'binhba (2016)'!$A$3,"MA_HT","DTL","MA_QH","LMU")</f>
        <v>0</v>
      </c>
      <c r="Q30" s="74">
        <f>+GETPIVOTDATA("XBB4",'binhba (2016)'!$A$3,"MA_HT","DTL","MA_QH","NKH")</f>
        <v>0</v>
      </c>
      <c r="R30" s="72">
        <f t="shared" ref="R30:R39" si="20">SUM(S30:AA30,AN30:BD30)</f>
        <v>0</v>
      </c>
      <c r="S30" s="74">
        <f>+GETPIVOTDATA("XBB4",'binhba (2016)'!$A$3,"MA_HT","DTL","MA_QH","CQP")</f>
        <v>0</v>
      </c>
      <c r="T30" s="74">
        <f>+GETPIVOTDATA("XBB4",'binhba (2016)'!$A$3,"MA_HT","DTL","MA_QH","CAN")</f>
        <v>0</v>
      </c>
      <c r="U30" s="74">
        <f>+GETPIVOTDATA("XBB4",'binhba (2016)'!$A$3,"MA_HT","DTL","MA_QH","SKK")</f>
        <v>0</v>
      </c>
      <c r="V30" s="74">
        <f>+GETPIVOTDATA("XBB4",'binhba (2016)'!$A$3,"MA_HT","DTL","MA_QH","SKT")</f>
        <v>0</v>
      </c>
      <c r="W30" s="74">
        <f>+GETPIVOTDATA("XBB4",'binhba (2016)'!$A$3,"MA_HT","DTL","MA_QH","SKN")</f>
        <v>0</v>
      </c>
      <c r="X30" s="74">
        <f>+GETPIVOTDATA("XBB4",'binhba (2016)'!$A$3,"MA_HT","DTL","MA_QH","TMD")</f>
        <v>0</v>
      </c>
      <c r="Y30" s="74">
        <f>+GETPIVOTDATA("XBB4",'binhba (2016)'!$A$3,"MA_HT","DTL","MA_QH","SKC")</f>
        <v>0</v>
      </c>
      <c r="Z30" s="74">
        <f>+GETPIVOTDATA("XBB4",'binhba (2016)'!$A$3,"MA_HT","DTL","MA_QH","SKS")</f>
        <v>0</v>
      </c>
      <c r="AA30" s="64">
        <f>+SUM(AB30,AD30:AM30)</f>
        <v>0</v>
      </c>
      <c r="AB30" s="74">
        <f>+GETPIVOTDATA("XBB4",'binhba (2016)'!$A$3,"MA_HT","DTL","MA_QH","DGT")</f>
        <v>0</v>
      </c>
      <c r="AC30" s="100" t="e">
        <f>$D30-$BF30</f>
        <v>#REF!</v>
      </c>
      <c r="AD30" s="74">
        <f>+GETPIVOTDATA("XBB4",'binhba (2016)'!$A$3,"MA_HT","DTL","MA_QH","DNL")</f>
        <v>0</v>
      </c>
      <c r="AE30" s="74">
        <f>+GETPIVOTDATA("XBB4",'binhba (2016)'!$A$3,"MA_HT","DTL","MA_QH","DBV")</f>
        <v>0</v>
      </c>
      <c r="AF30" s="74">
        <f>+GETPIVOTDATA("XBB4",'binhba (2016)'!$A$3,"MA_HT","DTL","MA_QH","DVH")</f>
        <v>0</v>
      </c>
      <c r="AG30" s="74">
        <f>+GETPIVOTDATA("XBB4",'binhba (2016)'!$A$3,"MA_HT","DTL","MA_QH","DYT")</f>
        <v>0</v>
      </c>
      <c r="AH30" s="74">
        <f>+GETPIVOTDATA("XBB4",'binhba (2016)'!$A$3,"MA_HT","DTL","MA_QH","DGD")</f>
        <v>0</v>
      </c>
      <c r="AI30" s="74">
        <f>+GETPIVOTDATA("XBB4",'binhba (2016)'!$A$3,"MA_HT","DTL","MA_QH","DTT")</f>
        <v>0</v>
      </c>
      <c r="AJ30" s="74">
        <f>+GETPIVOTDATA("XBB4",'binhba (2016)'!$A$3,"MA_HT","DTL","MA_QH","NCK")</f>
        <v>0</v>
      </c>
      <c r="AK30" s="74">
        <f>+GETPIVOTDATA("XBB4",'binhba (2016)'!$A$3,"MA_HT","DTL","MA_QH","DXH")</f>
        <v>0</v>
      </c>
      <c r="AL30" s="74">
        <f>+GETPIVOTDATA("XBB4",'binhba (2016)'!$A$3,"MA_HT","DTL","MA_QH","DCH")</f>
        <v>0</v>
      </c>
      <c r="AM30" s="74">
        <f>+GETPIVOTDATA("XBB4",'binhba (2016)'!$A$3,"MA_HT","DTL","MA_QH","DKG")</f>
        <v>0</v>
      </c>
      <c r="AN30" s="74">
        <f>+GETPIVOTDATA("XBB4",'binhba (2016)'!$A$3,"MA_HT","DTL","MA_QH","DDT")</f>
        <v>0</v>
      </c>
      <c r="AO30" s="74">
        <f>+GETPIVOTDATA("XBB4",'binhba (2016)'!$A$3,"MA_HT","DTL","MA_QH","DDL")</f>
        <v>0</v>
      </c>
      <c r="AP30" s="74">
        <f>+GETPIVOTDATA("XBB4",'binhba (2016)'!$A$3,"MA_HT","DTL","MA_QH","DRA")</f>
        <v>0</v>
      </c>
      <c r="AQ30" s="74">
        <f>+GETPIVOTDATA("XBB4",'binhba (2016)'!$A$3,"MA_HT","DTL","MA_QH","ONT")</f>
        <v>0</v>
      </c>
      <c r="AR30" s="74">
        <f>+GETPIVOTDATA("XBB4",'binhba (2016)'!$A$3,"MA_HT","DTL","MA_QH","ODT")</f>
        <v>0</v>
      </c>
      <c r="AS30" s="74">
        <f>+GETPIVOTDATA("XBB4",'binhba (2016)'!$A$3,"MA_HT","DTL","MA_QH","TSC")</f>
        <v>0</v>
      </c>
      <c r="AT30" s="74">
        <f>+GETPIVOTDATA("XBB4",'binhba (2016)'!$A$3,"MA_HT","DTL","MA_QH","DTS")</f>
        <v>0</v>
      </c>
      <c r="AU30" s="74">
        <f>+GETPIVOTDATA("XBB4",'binhba (2016)'!$A$3,"MA_HT","DTL","MA_QH","DNG")</f>
        <v>0</v>
      </c>
      <c r="AV30" s="74">
        <f>+GETPIVOTDATA("XBB4",'binhba (2016)'!$A$3,"MA_HT","DTL","MA_QH","TON")</f>
        <v>0</v>
      </c>
      <c r="AW30" s="74">
        <f>+GETPIVOTDATA("XBB4",'binhba (2016)'!$A$3,"MA_HT","DTL","MA_QH","NTD")</f>
        <v>0</v>
      </c>
      <c r="AX30" s="74">
        <f>+GETPIVOTDATA("XBB4",'binhba (2016)'!$A$3,"MA_HT","DTL","MA_QH","SKX")</f>
        <v>0</v>
      </c>
      <c r="AY30" s="74">
        <f>+GETPIVOTDATA("XBB4",'binhba (2016)'!$A$3,"MA_HT","DTL","MA_QH","DSH")</f>
        <v>0</v>
      </c>
      <c r="AZ30" s="74">
        <f>+GETPIVOTDATA("XBB4",'binhba (2016)'!$A$3,"MA_HT","DTL","MA_QH","DKV")</f>
        <v>0</v>
      </c>
      <c r="BA30" s="139">
        <f>+GETPIVOTDATA("XBB4",'binhba (2016)'!$A$3,"MA_HT","DTL","MA_QH","TIN")</f>
        <v>0</v>
      </c>
      <c r="BB30" s="74">
        <f>+GETPIVOTDATA("XBB4",'binhba (2016)'!$A$3,"MA_HT","DTL","MA_QH","SON")</f>
        <v>0</v>
      </c>
      <c r="BC30" s="74">
        <f>+GETPIVOTDATA("XBB4",'binhba (2016)'!$A$3,"MA_HT","DTL","MA_QH","MNC")</f>
        <v>0</v>
      </c>
      <c r="BD30" s="74">
        <f>+GETPIVOTDATA("XBB4",'binhba (2016)'!$A$3,"MA_HT","DTL","MA_QH","PNK")</f>
        <v>0</v>
      </c>
      <c r="BE30" s="102">
        <f>+GETPIVOTDATA("XBB4",'binhba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+GETPIVOTDATA("XBB4",'binhba (2016)'!$A$3,"MA_HT","DNL","MA_QH","LUC")</f>
        <v>0</v>
      </c>
      <c r="H31" s="74">
        <f>+GETPIVOTDATA("XBB4",'binhba (2016)'!$A$3,"MA_HT","DNL","MA_QH","LUK")</f>
        <v>0</v>
      </c>
      <c r="I31" s="74">
        <f>+GETPIVOTDATA("XBB4",'binhba (2016)'!$A$3,"MA_HT","DNL","MA_QH","LUN")</f>
        <v>0</v>
      </c>
      <c r="J31" s="74">
        <f>+GETPIVOTDATA("XBB4",'binhba (2016)'!$A$3,"MA_HT","DNL","MA_QH","HNK")</f>
        <v>0</v>
      </c>
      <c r="K31" s="74">
        <f>+GETPIVOTDATA("XBB4",'binhba (2016)'!$A$3,"MA_HT","DNL","MA_QH","CLN")</f>
        <v>0</v>
      </c>
      <c r="L31" s="74">
        <f>+GETPIVOTDATA("XBB4",'binhba (2016)'!$A$3,"MA_HT","DNL","MA_QH","RSX")</f>
        <v>0</v>
      </c>
      <c r="M31" s="74">
        <f>+GETPIVOTDATA("XBB4",'binhba (2016)'!$A$3,"MA_HT","DNL","MA_QH","RPH")</f>
        <v>0</v>
      </c>
      <c r="N31" s="74">
        <f>+GETPIVOTDATA("XBB4",'binhba (2016)'!$A$3,"MA_HT","DNL","MA_QH","RDD")</f>
        <v>0</v>
      </c>
      <c r="O31" s="74">
        <f>+GETPIVOTDATA("XBB4",'binhba (2016)'!$A$3,"MA_HT","DNL","MA_QH","NTS")</f>
        <v>0</v>
      </c>
      <c r="P31" s="74">
        <f>+GETPIVOTDATA("XBB4",'binhba (2016)'!$A$3,"MA_HT","DNL","MA_QH","LMU")</f>
        <v>0</v>
      </c>
      <c r="Q31" s="74">
        <f>+GETPIVOTDATA("XBB4",'binhba (2016)'!$A$3,"MA_HT","DNL","MA_QH","NKH")</f>
        <v>0</v>
      </c>
      <c r="R31" s="72">
        <f t="shared" si="20"/>
        <v>0</v>
      </c>
      <c r="S31" s="74">
        <f>+GETPIVOTDATA("XBB4",'binhba (2016)'!$A$3,"MA_HT","DNL","MA_QH","CQP")</f>
        <v>0</v>
      </c>
      <c r="T31" s="74">
        <f>+GETPIVOTDATA("XBB4",'binhba (2016)'!$A$3,"MA_HT","DNL","MA_QH","CAN")</f>
        <v>0</v>
      </c>
      <c r="U31" s="74">
        <f>+GETPIVOTDATA("XBB4",'binhba (2016)'!$A$3,"MA_HT","DNL","MA_QH","SKK")</f>
        <v>0</v>
      </c>
      <c r="V31" s="74">
        <f>+GETPIVOTDATA("XBB4",'binhba (2016)'!$A$3,"MA_HT","DNL","MA_QH","SKT")</f>
        <v>0</v>
      </c>
      <c r="W31" s="74">
        <f>+GETPIVOTDATA("XBB4",'binhba (2016)'!$A$3,"MA_HT","DNL","MA_QH","SKN")</f>
        <v>0</v>
      </c>
      <c r="X31" s="74">
        <f>+GETPIVOTDATA("XBB4",'binhba (2016)'!$A$3,"MA_HT","DNL","MA_QH","TMD")</f>
        <v>0</v>
      </c>
      <c r="Y31" s="74">
        <f>+GETPIVOTDATA("XBB4",'binhba (2016)'!$A$3,"MA_HT","DNL","MA_QH","SKC")</f>
        <v>0</v>
      </c>
      <c r="Z31" s="74">
        <f>+GETPIVOTDATA("XBB4",'binhba (2016)'!$A$3,"MA_HT","DNL","MA_QH","SKS")</f>
        <v>0</v>
      </c>
      <c r="AA31" s="64">
        <f>+SUM(AB31:AC31,AE31:AM31)</f>
        <v>0</v>
      </c>
      <c r="AB31" s="74">
        <f>+GETPIVOTDATA("XBB4",'binhba (2016)'!$A$3,"MA_HT","DNL","MA_QH","DGT")</f>
        <v>0</v>
      </c>
      <c r="AC31" s="74">
        <f>+GETPIVOTDATA("XBB4",'binhba (2016)'!$A$3,"MA_HT","DNL","MA_QH","DTL")</f>
        <v>0</v>
      </c>
      <c r="AD31" s="100" t="e">
        <f>$D31-$BF31</f>
        <v>#REF!</v>
      </c>
      <c r="AE31" s="74">
        <f>+GETPIVOTDATA("XBB4",'binhba (2016)'!$A$3,"MA_HT","DNL","MA_QH","DBV")</f>
        <v>0</v>
      </c>
      <c r="AF31" s="74">
        <f>+GETPIVOTDATA("XBB4",'binhba (2016)'!$A$3,"MA_HT","DNL","MA_QH","DVH")</f>
        <v>0</v>
      </c>
      <c r="AG31" s="74">
        <f>+GETPIVOTDATA("XBB4",'binhba (2016)'!$A$3,"MA_HT","DNL","MA_QH","DYT")</f>
        <v>0</v>
      </c>
      <c r="AH31" s="74">
        <f>+GETPIVOTDATA("XBB4",'binhba (2016)'!$A$3,"MA_HT","DNL","MA_QH","DGD")</f>
        <v>0</v>
      </c>
      <c r="AI31" s="74">
        <f>+GETPIVOTDATA("XBB4",'binhba (2016)'!$A$3,"MA_HT","DNL","MA_QH","DTT")</f>
        <v>0</v>
      </c>
      <c r="AJ31" s="74">
        <f>+GETPIVOTDATA("XBB4",'binhba (2016)'!$A$3,"MA_HT","DNL","MA_QH","NCK")</f>
        <v>0</v>
      </c>
      <c r="AK31" s="74">
        <f>+GETPIVOTDATA("XBB4",'binhba (2016)'!$A$3,"MA_HT","DNL","MA_QH","DXH")</f>
        <v>0</v>
      </c>
      <c r="AL31" s="74">
        <f>+GETPIVOTDATA("XBB4",'binhba (2016)'!$A$3,"MA_HT","DNL","MA_QH","DCH")</f>
        <v>0</v>
      </c>
      <c r="AM31" s="74">
        <f>+GETPIVOTDATA("XBB4",'binhba (2016)'!$A$3,"MA_HT","DNL","MA_QH","DKG")</f>
        <v>0</v>
      </c>
      <c r="AN31" s="74">
        <f>+GETPIVOTDATA("XBB4",'binhba (2016)'!$A$3,"MA_HT","DNL","MA_QH","DDT")</f>
        <v>0</v>
      </c>
      <c r="AO31" s="74">
        <f>+GETPIVOTDATA("XBB4",'binhba (2016)'!$A$3,"MA_HT","DNL","MA_QH","DDL")</f>
        <v>0</v>
      </c>
      <c r="AP31" s="74">
        <f>+GETPIVOTDATA("XBB4",'binhba (2016)'!$A$3,"MA_HT","DNL","MA_QH","DRA")</f>
        <v>0</v>
      </c>
      <c r="AQ31" s="74">
        <f>+GETPIVOTDATA("XBB4",'binhba (2016)'!$A$3,"MA_HT","DNL","MA_QH","ONT")</f>
        <v>0</v>
      </c>
      <c r="AR31" s="74">
        <f>+GETPIVOTDATA("XBB4",'binhba (2016)'!$A$3,"MA_HT","DNL","MA_QH","ODT")</f>
        <v>0</v>
      </c>
      <c r="AS31" s="74">
        <f>+GETPIVOTDATA("XBB4",'binhba (2016)'!$A$3,"MA_HT","DNL","MA_QH","TSC")</f>
        <v>0</v>
      </c>
      <c r="AT31" s="74">
        <f>+GETPIVOTDATA("XBB4",'binhba (2016)'!$A$3,"MA_HT","DNL","MA_QH","DTS")</f>
        <v>0</v>
      </c>
      <c r="AU31" s="74">
        <f>+GETPIVOTDATA("XBB4",'binhba (2016)'!$A$3,"MA_HT","DNL","MA_QH","DNG")</f>
        <v>0</v>
      </c>
      <c r="AV31" s="74">
        <f>+GETPIVOTDATA("XBB4",'binhba (2016)'!$A$3,"MA_HT","DNL","MA_QH","TON")</f>
        <v>0</v>
      </c>
      <c r="AW31" s="74">
        <f>+GETPIVOTDATA("XBB4",'binhba (2016)'!$A$3,"MA_HT","DNL","MA_QH","NTD")</f>
        <v>0</v>
      </c>
      <c r="AX31" s="74">
        <f>+GETPIVOTDATA("XBB4",'binhba (2016)'!$A$3,"MA_HT","DNL","MA_QH","SKX")</f>
        <v>0</v>
      </c>
      <c r="AY31" s="74">
        <f>+GETPIVOTDATA("XBB4",'binhba (2016)'!$A$3,"MA_HT","DNL","MA_QH","DSH")</f>
        <v>0</v>
      </c>
      <c r="AZ31" s="74">
        <f>+GETPIVOTDATA("XBB4",'binhba (2016)'!$A$3,"MA_HT","DNL","MA_QH","DKV")</f>
        <v>0</v>
      </c>
      <c r="BA31" s="139">
        <f>+GETPIVOTDATA("XBB4",'binhba (2016)'!$A$3,"MA_HT","DNL","MA_QH","TIN")</f>
        <v>0</v>
      </c>
      <c r="BB31" s="74">
        <f>+GETPIVOTDATA("XBB4",'binhba (2016)'!$A$3,"MA_HT","DNL","MA_QH","SON")</f>
        <v>0</v>
      </c>
      <c r="BC31" s="74">
        <f>+GETPIVOTDATA("XBB4",'binhba (2016)'!$A$3,"MA_HT","DNL","MA_QH","MNC")</f>
        <v>0</v>
      </c>
      <c r="BD31" s="74">
        <f>+GETPIVOTDATA("XBB4",'binhba (2016)'!$A$3,"MA_HT","DNL","MA_QH","PNK")</f>
        <v>0</v>
      </c>
      <c r="BE31" s="102">
        <f>+GETPIVOTDATA("XBB4",'binhba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+GETPIVOTDATA("XBB4",'binhba (2016)'!$A$3,"MA_HT","DBV","MA_QH","LUC")</f>
        <v>0</v>
      </c>
      <c r="H32" s="74">
        <f>+GETPIVOTDATA("XBB4",'binhba (2016)'!$A$3,"MA_HT","DBV","MA_QH","LUK")</f>
        <v>0</v>
      </c>
      <c r="I32" s="74">
        <f>+GETPIVOTDATA("XBB4",'binhba (2016)'!$A$3,"MA_HT","DBV","MA_QH","LUN")</f>
        <v>0</v>
      </c>
      <c r="J32" s="74">
        <f>+GETPIVOTDATA("XBB4",'binhba (2016)'!$A$3,"MA_HT","DBV","MA_QH","HNK")</f>
        <v>0</v>
      </c>
      <c r="K32" s="74">
        <f>+GETPIVOTDATA("XBB4",'binhba (2016)'!$A$3,"MA_HT","DBV","MA_QH","CLN")</f>
        <v>0</v>
      </c>
      <c r="L32" s="74">
        <f>+GETPIVOTDATA("XBB4",'binhba (2016)'!$A$3,"MA_HT","DBV","MA_QH","RSX")</f>
        <v>0</v>
      </c>
      <c r="M32" s="74">
        <f>+GETPIVOTDATA("XBB4",'binhba (2016)'!$A$3,"MA_HT","DBV","MA_QH","RPH")</f>
        <v>0</v>
      </c>
      <c r="N32" s="74">
        <f>+GETPIVOTDATA("XBB4",'binhba (2016)'!$A$3,"MA_HT","DBV","MA_QH","RDD")</f>
        <v>0</v>
      </c>
      <c r="O32" s="74">
        <f>+GETPIVOTDATA("XBB4",'binhba (2016)'!$A$3,"MA_HT","DBV","MA_QH","NTS")</f>
        <v>0</v>
      </c>
      <c r="P32" s="74">
        <f>+GETPIVOTDATA("XBB4",'binhba (2016)'!$A$3,"MA_HT","DBV","MA_QH","LMU")</f>
        <v>0</v>
      </c>
      <c r="Q32" s="74">
        <f>+GETPIVOTDATA("XBB4",'binhba (2016)'!$A$3,"MA_HT","DBV","MA_QH","NKH")</f>
        <v>0</v>
      </c>
      <c r="R32" s="72">
        <f t="shared" si="20"/>
        <v>0</v>
      </c>
      <c r="S32" s="74">
        <f>+GETPIVOTDATA("XBB4",'binhba (2016)'!$A$3,"MA_HT","DBV","MA_QH","CQP")</f>
        <v>0</v>
      </c>
      <c r="T32" s="74">
        <f>+GETPIVOTDATA("XBB4",'binhba (2016)'!$A$3,"MA_HT","DBV","MA_QH","CAN")</f>
        <v>0</v>
      </c>
      <c r="U32" s="74">
        <f>+GETPIVOTDATA("XBB4",'binhba (2016)'!$A$3,"MA_HT","DBV","MA_QH","SKK")</f>
        <v>0</v>
      </c>
      <c r="V32" s="74">
        <f>+GETPIVOTDATA("XBB4",'binhba (2016)'!$A$3,"MA_HT","DBV","MA_QH","SKT")</f>
        <v>0</v>
      </c>
      <c r="W32" s="74">
        <f>+GETPIVOTDATA("XBB4",'binhba (2016)'!$A$3,"MA_HT","DBV","MA_QH","SKN")</f>
        <v>0</v>
      </c>
      <c r="X32" s="74">
        <f>+GETPIVOTDATA("XBB4",'binhba (2016)'!$A$3,"MA_HT","DBV","MA_QH","TMD")</f>
        <v>0</v>
      </c>
      <c r="Y32" s="74">
        <f>+GETPIVOTDATA("XBB4",'binhba (2016)'!$A$3,"MA_HT","DBV","MA_QH","SKC")</f>
        <v>0</v>
      </c>
      <c r="Z32" s="74">
        <f>+GETPIVOTDATA("XBB4",'binhba (2016)'!$A$3,"MA_HT","DBV","MA_QH","SKS")</f>
        <v>0</v>
      </c>
      <c r="AA32" s="64">
        <f>+SUM(AB32:AD32,AF32:AM32)</f>
        <v>0</v>
      </c>
      <c r="AB32" s="74">
        <f>+GETPIVOTDATA("XBB4",'binhba (2016)'!$A$3,"MA_HT","DBV","MA_QH","DGT")</f>
        <v>0</v>
      </c>
      <c r="AC32" s="74">
        <f>+GETPIVOTDATA("XBB4",'binhba (2016)'!$A$3,"MA_HT","DBV","MA_QH","DTL")</f>
        <v>0</v>
      </c>
      <c r="AD32" s="74">
        <f>+GETPIVOTDATA("XBB4",'binhba (2016)'!$A$3,"MA_HT","DBV","MA_QH","DNL")</f>
        <v>0</v>
      </c>
      <c r="AE32" s="100" t="e">
        <f>$D32-$BF32</f>
        <v>#REF!</v>
      </c>
      <c r="AF32" s="74">
        <f>+GETPIVOTDATA("XBB4",'binhba (2016)'!$A$3,"MA_HT","DBV","MA_QH","DVH")</f>
        <v>0</v>
      </c>
      <c r="AG32" s="74">
        <f>+GETPIVOTDATA("XBB4",'binhba (2016)'!$A$3,"MA_HT","DBV","MA_QH","DYT")</f>
        <v>0</v>
      </c>
      <c r="AH32" s="74">
        <f>+GETPIVOTDATA("XBB4",'binhba (2016)'!$A$3,"MA_HT","DBV","MA_QH","DGD")</f>
        <v>0</v>
      </c>
      <c r="AI32" s="74">
        <f>+GETPIVOTDATA("XBB4",'binhba (2016)'!$A$3,"MA_HT","DBV","MA_QH","DTT")</f>
        <v>0</v>
      </c>
      <c r="AJ32" s="74">
        <f>+GETPIVOTDATA("XBB4",'binhba (2016)'!$A$3,"MA_HT","DBV","MA_QH","NCK")</f>
        <v>0</v>
      </c>
      <c r="AK32" s="74">
        <f>+GETPIVOTDATA("XBB4",'binhba (2016)'!$A$3,"MA_HT","DBV","MA_QH","DXH")</f>
        <v>0</v>
      </c>
      <c r="AL32" s="74">
        <f>+GETPIVOTDATA("XBB4",'binhba (2016)'!$A$3,"MA_HT","DBV","MA_QH","DCH")</f>
        <v>0</v>
      </c>
      <c r="AM32" s="74">
        <f>+GETPIVOTDATA("XBB4",'binhba (2016)'!$A$3,"MA_HT","DBV","MA_QH","DKG")</f>
        <v>0</v>
      </c>
      <c r="AN32" s="74">
        <f>+GETPIVOTDATA("XBB4",'binhba (2016)'!$A$3,"MA_HT","DBV","MA_QH","DDT")</f>
        <v>0</v>
      </c>
      <c r="AO32" s="74">
        <f>+GETPIVOTDATA("XBB4",'binhba (2016)'!$A$3,"MA_HT","DBV","MA_QH","DDL")</f>
        <v>0</v>
      </c>
      <c r="AP32" s="74">
        <f>+GETPIVOTDATA("XBB4",'binhba (2016)'!$A$3,"MA_HT","DBV","MA_QH","DRA")</f>
        <v>0</v>
      </c>
      <c r="AQ32" s="74">
        <f>+GETPIVOTDATA("XBB4",'binhba (2016)'!$A$3,"MA_HT","DBV","MA_QH","ONT")</f>
        <v>0</v>
      </c>
      <c r="AR32" s="74">
        <f>+GETPIVOTDATA("XBB4",'binhba (2016)'!$A$3,"MA_HT","DBV","MA_QH","ODT")</f>
        <v>0</v>
      </c>
      <c r="AS32" s="74">
        <f>+GETPIVOTDATA("XBB4",'binhba (2016)'!$A$3,"MA_HT","DBV","MA_QH","TSC")</f>
        <v>0</v>
      </c>
      <c r="AT32" s="74">
        <f>+GETPIVOTDATA("XBB4",'binhba (2016)'!$A$3,"MA_HT","DBV","MA_QH","DTS")</f>
        <v>0</v>
      </c>
      <c r="AU32" s="74">
        <f>+GETPIVOTDATA("XBB4",'binhba (2016)'!$A$3,"MA_HT","DBV","MA_QH","DNG")</f>
        <v>0</v>
      </c>
      <c r="AV32" s="74">
        <f>+GETPIVOTDATA("XBB4",'binhba (2016)'!$A$3,"MA_HT","DBV","MA_QH","TON")</f>
        <v>0</v>
      </c>
      <c r="AW32" s="74">
        <f>+GETPIVOTDATA("XBB4",'binhba (2016)'!$A$3,"MA_HT","DBV","MA_QH","NTD")</f>
        <v>0</v>
      </c>
      <c r="AX32" s="74">
        <f>+GETPIVOTDATA("XBB4",'binhba (2016)'!$A$3,"MA_HT","DBV","MA_QH","SKX")</f>
        <v>0</v>
      </c>
      <c r="AY32" s="74">
        <f>+GETPIVOTDATA("XBB4",'binhba (2016)'!$A$3,"MA_HT","DBV","MA_QH","DSH")</f>
        <v>0</v>
      </c>
      <c r="AZ32" s="74">
        <f>+GETPIVOTDATA("XBB4",'binhba (2016)'!$A$3,"MA_HT","DBV","MA_QH","DKV")</f>
        <v>0</v>
      </c>
      <c r="BA32" s="139">
        <f>+GETPIVOTDATA("XBB4",'binhba (2016)'!$A$3,"MA_HT","DBV","MA_QH","TIN")</f>
        <v>0</v>
      </c>
      <c r="BB32" s="74">
        <f>+GETPIVOTDATA("XBB4",'binhba (2016)'!$A$3,"MA_HT","DBV","MA_QH","SON")</f>
        <v>0</v>
      </c>
      <c r="BC32" s="74">
        <f>+GETPIVOTDATA("XBB4",'binhba (2016)'!$A$3,"MA_HT","DBV","MA_QH","MNC")</f>
        <v>0</v>
      </c>
      <c r="BD32" s="74">
        <f>+GETPIVOTDATA("XBB4",'binhba (2016)'!$A$3,"MA_HT","DBV","MA_QH","PNK")</f>
        <v>0</v>
      </c>
      <c r="BE32" s="102">
        <f>+GETPIVOTDATA("XBB4",'binhba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+GETPIVOTDATA("XBB4",'binhba (2016)'!$A$3,"MA_HT","DVH","MA_QH","LUC")</f>
        <v>0</v>
      </c>
      <c r="H33" s="74">
        <f>+GETPIVOTDATA("XBB4",'binhba (2016)'!$A$3,"MA_HT","DVH","MA_QH","LUK")</f>
        <v>0</v>
      </c>
      <c r="I33" s="74">
        <f>+GETPIVOTDATA("XBB4",'binhba (2016)'!$A$3,"MA_HT","DVH","MA_QH","LUN")</f>
        <v>0</v>
      </c>
      <c r="J33" s="74">
        <f>+GETPIVOTDATA("XBB4",'binhba (2016)'!$A$3,"MA_HT","DVH","MA_QH","HNK")</f>
        <v>0</v>
      </c>
      <c r="K33" s="74">
        <f>+GETPIVOTDATA("XBB4",'binhba (2016)'!$A$3,"MA_HT","DVH","MA_QH","CLN")</f>
        <v>0</v>
      </c>
      <c r="L33" s="74">
        <f>+GETPIVOTDATA("XBB4",'binhba (2016)'!$A$3,"MA_HT","DVH","MA_QH","RSX")</f>
        <v>0</v>
      </c>
      <c r="M33" s="74">
        <f>+GETPIVOTDATA("XBB4",'binhba (2016)'!$A$3,"MA_HT","DVH","MA_QH","RPH")</f>
        <v>0</v>
      </c>
      <c r="N33" s="74">
        <f>+GETPIVOTDATA("XBB4",'binhba (2016)'!$A$3,"MA_HT","DVH","MA_QH","RDD")</f>
        <v>0</v>
      </c>
      <c r="O33" s="74">
        <f>+GETPIVOTDATA("XBB4",'binhba (2016)'!$A$3,"MA_HT","DVH","MA_QH","NTS")</f>
        <v>0</v>
      </c>
      <c r="P33" s="74">
        <f>+GETPIVOTDATA("XBB4",'binhba (2016)'!$A$3,"MA_HT","DVH","MA_QH","LMU")</f>
        <v>0</v>
      </c>
      <c r="Q33" s="74">
        <f>+GETPIVOTDATA("XBB4",'binhba (2016)'!$A$3,"MA_HT","DVH","MA_QH","NKH")</f>
        <v>0</v>
      </c>
      <c r="R33" s="72">
        <f t="shared" si="20"/>
        <v>0</v>
      </c>
      <c r="S33" s="74">
        <f>+GETPIVOTDATA("XBB4",'binhba (2016)'!$A$3,"MA_HT","DVH","MA_QH","CQP")</f>
        <v>0</v>
      </c>
      <c r="T33" s="74">
        <f>+GETPIVOTDATA("XBB4",'binhba (2016)'!$A$3,"MA_HT","DVH","MA_QH","CAN")</f>
        <v>0</v>
      </c>
      <c r="U33" s="74">
        <f>+GETPIVOTDATA("XBB4",'binhba (2016)'!$A$3,"MA_HT","DVH","MA_QH","SKK")</f>
        <v>0</v>
      </c>
      <c r="V33" s="74">
        <f>+GETPIVOTDATA("XBB4",'binhba (2016)'!$A$3,"MA_HT","DVH","MA_QH","SKT")</f>
        <v>0</v>
      </c>
      <c r="W33" s="74">
        <f>+GETPIVOTDATA("XBB4",'binhba (2016)'!$A$3,"MA_HT","DVH","MA_QH","SKN")</f>
        <v>0</v>
      </c>
      <c r="X33" s="74">
        <f>+GETPIVOTDATA("XBB4",'binhba (2016)'!$A$3,"MA_HT","DVH","MA_QH","TMD")</f>
        <v>0</v>
      </c>
      <c r="Y33" s="74">
        <f>+GETPIVOTDATA("XBB4",'binhba (2016)'!$A$3,"MA_HT","DVH","MA_QH","SKC")</f>
        <v>0</v>
      </c>
      <c r="Z33" s="74">
        <f>+GETPIVOTDATA("XBB4",'binhba (2016)'!$A$3,"MA_HT","DVH","MA_QH","SKS")</f>
        <v>0</v>
      </c>
      <c r="AA33" s="64">
        <f>+SUM(AB33:AE33,AG33:AM33)</f>
        <v>0</v>
      </c>
      <c r="AB33" s="74">
        <f>+GETPIVOTDATA("XBB4",'binhba (2016)'!$A$3,"MA_HT","DVH","MA_QH","DGT")</f>
        <v>0</v>
      </c>
      <c r="AC33" s="74">
        <f>+GETPIVOTDATA("XBB4",'binhba (2016)'!$A$3,"MA_HT","DVH","MA_QH","DTL")</f>
        <v>0</v>
      </c>
      <c r="AD33" s="74">
        <f>+GETPIVOTDATA("XBB4",'binhba (2016)'!$A$3,"MA_HT","DVH","MA_QH","DNL")</f>
        <v>0</v>
      </c>
      <c r="AE33" s="74">
        <f>+GETPIVOTDATA("XBB4",'binhba (2016)'!$A$3,"MA_HT","DVH","MA_QH","DBV")</f>
        <v>0</v>
      </c>
      <c r="AF33" s="100" t="e">
        <f>$D33-$BF33</f>
        <v>#REF!</v>
      </c>
      <c r="AG33" s="74">
        <f>+GETPIVOTDATA("XBB4",'binhba (2016)'!$A$3,"MA_HT","DVH","MA_QH","DYT")</f>
        <v>0</v>
      </c>
      <c r="AH33" s="74">
        <f>+GETPIVOTDATA("XBB4",'binhba (2016)'!$A$3,"MA_HT","DVH","MA_QH","DGD")</f>
        <v>0</v>
      </c>
      <c r="AI33" s="74">
        <f>+GETPIVOTDATA("XBB4",'binhba (2016)'!$A$3,"MA_HT","DVH","MA_QH","DTT")</f>
        <v>0</v>
      </c>
      <c r="AJ33" s="74">
        <f>+GETPIVOTDATA("XBB4",'binhba (2016)'!$A$3,"MA_HT","DVH","MA_QH","NCK")</f>
        <v>0</v>
      </c>
      <c r="AK33" s="74">
        <f>+GETPIVOTDATA("XBB4",'binhba (2016)'!$A$3,"MA_HT","DVH","MA_QH","DXH")</f>
        <v>0</v>
      </c>
      <c r="AL33" s="74">
        <f>+GETPIVOTDATA("XBB4",'binhba (2016)'!$A$3,"MA_HT","DVH","MA_QH","DCH")</f>
        <v>0</v>
      </c>
      <c r="AM33" s="74">
        <f>+GETPIVOTDATA("XBB4",'binhba (2016)'!$A$3,"MA_HT","DVH","MA_QH","DKG")</f>
        <v>0</v>
      </c>
      <c r="AN33" s="74">
        <f>+GETPIVOTDATA("XBB4",'binhba (2016)'!$A$3,"MA_HT","DVH","MA_QH","DDT")</f>
        <v>0</v>
      </c>
      <c r="AO33" s="74">
        <f>+GETPIVOTDATA("XBB4",'binhba (2016)'!$A$3,"MA_HT","DVH","MA_QH","DDL")</f>
        <v>0</v>
      </c>
      <c r="AP33" s="74">
        <f>+GETPIVOTDATA("XBB4",'binhba (2016)'!$A$3,"MA_HT","DVH","MA_QH","DRA")</f>
        <v>0</v>
      </c>
      <c r="AQ33" s="74">
        <f>+GETPIVOTDATA("XBB4",'binhba (2016)'!$A$3,"MA_HT","DVH","MA_QH","ONT")</f>
        <v>0</v>
      </c>
      <c r="AR33" s="74">
        <f>+GETPIVOTDATA("XBB4",'binhba (2016)'!$A$3,"MA_HT","DVH","MA_QH","ODT")</f>
        <v>0</v>
      </c>
      <c r="AS33" s="74">
        <f>+GETPIVOTDATA("XBB4",'binhba (2016)'!$A$3,"MA_HT","DVH","MA_QH","TSC")</f>
        <v>0</v>
      </c>
      <c r="AT33" s="74">
        <f>+GETPIVOTDATA("XBB4",'binhba (2016)'!$A$3,"MA_HT","DVH","MA_QH","DTS")</f>
        <v>0</v>
      </c>
      <c r="AU33" s="74">
        <f>+GETPIVOTDATA("XBB4",'binhba (2016)'!$A$3,"MA_HT","DVH","MA_QH","DNG")</f>
        <v>0</v>
      </c>
      <c r="AV33" s="74">
        <f>+GETPIVOTDATA("XBB4",'binhba (2016)'!$A$3,"MA_HT","DVH","MA_QH","TON")</f>
        <v>0</v>
      </c>
      <c r="AW33" s="74">
        <f>+GETPIVOTDATA("XBB4",'binhba (2016)'!$A$3,"MA_HT","DVH","MA_QH","NTD")</f>
        <v>0</v>
      </c>
      <c r="AX33" s="74">
        <f>+GETPIVOTDATA("XBB4",'binhba (2016)'!$A$3,"MA_HT","DVH","MA_QH","SKX")</f>
        <v>0</v>
      </c>
      <c r="AY33" s="74">
        <f>+GETPIVOTDATA("XBB4",'binhba (2016)'!$A$3,"MA_HT","DVH","MA_QH","DSH")</f>
        <v>0</v>
      </c>
      <c r="AZ33" s="74">
        <f>+GETPIVOTDATA("XBB4",'binhba (2016)'!$A$3,"MA_HT","DVH","MA_QH","DKV")</f>
        <v>0</v>
      </c>
      <c r="BA33" s="139">
        <f>+GETPIVOTDATA("XBB4",'binhba (2016)'!$A$3,"MA_HT","DVH","MA_QH","TIN")</f>
        <v>0</v>
      </c>
      <c r="BB33" s="74">
        <f>+GETPIVOTDATA("XBB4",'binhba (2016)'!$A$3,"MA_HT","DVH","MA_QH","SON")</f>
        <v>0</v>
      </c>
      <c r="BC33" s="74">
        <f>+GETPIVOTDATA("XBB4",'binhba (2016)'!$A$3,"MA_HT","DVH","MA_QH","MNC")</f>
        <v>0</v>
      </c>
      <c r="BD33" s="74">
        <f>+GETPIVOTDATA("XBB4",'binhba (2016)'!$A$3,"MA_HT","DVH","MA_QH","PNK")</f>
        <v>0</v>
      </c>
      <c r="BE33" s="102">
        <f>+GETPIVOTDATA("XBB4",'binhba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+GETPIVOTDATA("XBB4",'binhba (2016)'!$A$3,"MA_HT","DYT","MA_QH","LUC")</f>
        <v>0</v>
      </c>
      <c r="H34" s="74">
        <f>+GETPIVOTDATA("XBB4",'binhba (2016)'!$A$3,"MA_HT","DYT","MA_QH","LUK")</f>
        <v>0</v>
      </c>
      <c r="I34" s="74">
        <f>+GETPIVOTDATA("XBB4",'binhba (2016)'!$A$3,"MA_HT","DYT","MA_QH","LUN")</f>
        <v>0</v>
      </c>
      <c r="J34" s="74">
        <f>+GETPIVOTDATA("XBB4",'binhba (2016)'!$A$3,"MA_HT","DYT","MA_QH","HNK")</f>
        <v>0</v>
      </c>
      <c r="K34" s="74">
        <f>+GETPIVOTDATA("XBB4",'binhba (2016)'!$A$3,"MA_HT","DYT","MA_QH","CLN")</f>
        <v>0</v>
      </c>
      <c r="L34" s="74">
        <f>+GETPIVOTDATA("XBB4",'binhba (2016)'!$A$3,"MA_HT","DYT","MA_QH","RSX")</f>
        <v>0</v>
      </c>
      <c r="M34" s="74">
        <f>+GETPIVOTDATA("XBB4",'binhba (2016)'!$A$3,"MA_HT","DYT","MA_QH","RPH")</f>
        <v>0</v>
      </c>
      <c r="N34" s="74">
        <f>+GETPIVOTDATA("XBB4",'binhba (2016)'!$A$3,"MA_HT","DYT","MA_QH","RDD")</f>
        <v>0</v>
      </c>
      <c r="O34" s="74">
        <f>+GETPIVOTDATA("XBB4",'binhba (2016)'!$A$3,"MA_HT","DYT","MA_QH","NTS")</f>
        <v>0</v>
      </c>
      <c r="P34" s="74">
        <f>+GETPIVOTDATA("XBB4",'binhba (2016)'!$A$3,"MA_HT","DYT","MA_QH","LMU")</f>
        <v>0</v>
      </c>
      <c r="Q34" s="74">
        <f>+GETPIVOTDATA("XBB4",'binhba (2016)'!$A$3,"MA_HT","DYT","MA_QH","NKH")</f>
        <v>0</v>
      </c>
      <c r="R34" s="72">
        <f t="shared" si="20"/>
        <v>0</v>
      </c>
      <c r="S34" s="74">
        <f>+GETPIVOTDATA("XBB4",'binhba (2016)'!$A$3,"MA_HT","DYT","MA_QH","CQP")</f>
        <v>0</v>
      </c>
      <c r="T34" s="74">
        <f>+GETPIVOTDATA("XBB4",'binhba (2016)'!$A$3,"MA_HT","DYT","MA_QH","CAN")</f>
        <v>0</v>
      </c>
      <c r="U34" s="74">
        <f>+GETPIVOTDATA("XBB4",'binhba (2016)'!$A$3,"MA_HT","DYT","MA_QH","SKK")</f>
        <v>0</v>
      </c>
      <c r="V34" s="74">
        <f>+GETPIVOTDATA("XBB4",'binhba (2016)'!$A$3,"MA_HT","DYT","MA_QH","SKT")</f>
        <v>0</v>
      </c>
      <c r="W34" s="74">
        <f>+GETPIVOTDATA("XBB4",'binhba (2016)'!$A$3,"MA_HT","DYT","MA_QH","SKN")</f>
        <v>0</v>
      </c>
      <c r="X34" s="74">
        <f>+GETPIVOTDATA("XBB4",'binhba (2016)'!$A$3,"MA_HT","DYT","MA_QH","TMD")</f>
        <v>0</v>
      </c>
      <c r="Y34" s="74">
        <f>+GETPIVOTDATA("XBB4",'binhba (2016)'!$A$3,"MA_HT","DYT","MA_QH","SKC")</f>
        <v>0</v>
      </c>
      <c r="Z34" s="74">
        <f>+GETPIVOTDATA("XBB4",'binhba (2016)'!$A$3,"MA_HT","DYT","MA_QH","SKS")</f>
        <v>0</v>
      </c>
      <c r="AA34" s="64">
        <f>+SUM(AB34:AF34,AH34:AM34)</f>
        <v>0</v>
      </c>
      <c r="AB34" s="74">
        <f>+GETPIVOTDATA("XBB4",'binhba (2016)'!$A$3,"MA_HT","DYT","MA_QH","DGT")</f>
        <v>0</v>
      </c>
      <c r="AC34" s="74">
        <f>+GETPIVOTDATA("XBB4",'binhba (2016)'!$A$3,"MA_HT","DYT","MA_QH","DTL")</f>
        <v>0</v>
      </c>
      <c r="AD34" s="74">
        <f>+GETPIVOTDATA("XBB4",'binhba (2016)'!$A$3,"MA_HT","DYT","MA_QH","DNL")</f>
        <v>0</v>
      </c>
      <c r="AE34" s="74">
        <f>+GETPIVOTDATA("XBB4",'binhba (2016)'!$A$3,"MA_HT","DYT","MA_QH","DBV")</f>
        <v>0</v>
      </c>
      <c r="AF34" s="74">
        <f>+GETPIVOTDATA("XBB4",'binhba (2016)'!$A$3,"MA_HT","DYT","MA_QH","DVH")</f>
        <v>0</v>
      </c>
      <c r="AG34" s="100" t="e">
        <f>$D34-$BF34</f>
        <v>#REF!</v>
      </c>
      <c r="AH34" s="74">
        <f>+GETPIVOTDATA("XBB4",'binhba (2016)'!$A$3,"MA_HT","DYT","MA_QH","DGD")</f>
        <v>0</v>
      </c>
      <c r="AI34" s="74">
        <f>+GETPIVOTDATA("XBB4",'binhba (2016)'!$A$3,"MA_HT","DYT","MA_QH","DTT")</f>
        <v>0</v>
      </c>
      <c r="AJ34" s="74">
        <f>+GETPIVOTDATA("XBB4",'binhba (2016)'!$A$3,"MA_HT","DYT","MA_QH","NCK")</f>
        <v>0</v>
      </c>
      <c r="AK34" s="74">
        <f>+GETPIVOTDATA("XBB4",'binhba (2016)'!$A$3,"MA_HT","DYT","MA_QH","DXH")</f>
        <v>0</v>
      </c>
      <c r="AL34" s="74">
        <f>+GETPIVOTDATA("XBB4",'binhba (2016)'!$A$3,"MA_HT","DYT","MA_QH","DCH")</f>
        <v>0</v>
      </c>
      <c r="AM34" s="74">
        <f>+GETPIVOTDATA("XBB4",'binhba (2016)'!$A$3,"MA_HT","DYT","MA_QH","DKG")</f>
        <v>0</v>
      </c>
      <c r="AN34" s="74">
        <f>+GETPIVOTDATA("XBB4",'binhba (2016)'!$A$3,"MA_HT","DYT","MA_QH","DDT")</f>
        <v>0</v>
      </c>
      <c r="AO34" s="74">
        <f>+GETPIVOTDATA("XBB4",'binhba (2016)'!$A$3,"MA_HT","DYT","MA_QH","DDL")</f>
        <v>0</v>
      </c>
      <c r="AP34" s="74">
        <f>+GETPIVOTDATA("XBB4",'binhba (2016)'!$A$3,"MA_HT","DYT","MA_QH","DRA")</f>
        <v>0</v>
      </c>
      <c r="AQ34" s="74">
        <f>+GETPIVOTDATA("XBB4",'binhba (2016)'!$A$3,"MA_HT","DYT","MA_QH","ONT")</f>
        <v>0</v>
      </c>
      <c r="AR34" s="74">
        <f>+GETPIVOTDATA("XBB4",'binhba (2016)'!$A$3,"MA_HT","DYT","MA_QH","ODT")</f>
        <v>0</v>
      </c>
      <c r="AS34" s="74">
        <f>+GETPIVOTDATA("XBB4",'binhba (2016)'!$A$3,"MA_HT","DYT","MA_QH","TSC")</f>
        <v>0</v>
      </c>
      <c r="AT34" s="74">
        <f>+GETPIVOTDATA("XBB4",'binhba (2016)'!$A$3,"MA_HT","DYT","MA_QH","DTS")</f>
        <v>0</v>
      </c>
      <c r="AU34" s="74">
        <f>+GETPIVOTDATA("XBB4",'binhba (2016)'!$A$3,"MA_HT","DYT","MA_QH","DNG")</f>
        <v>0</v>
      </c>
      <c r="AV34" s="74">
        <f>+GETPIVOTDATA("XBB4",'binhba (2016)'!$A$3,"MA_HT","DYT","MA_QH","TON")</f>
        <v>0</v>
      </c>
      <c r="AW34" s="74">
        <f>+GETPIVOTDATA("XBB4",'binhba (2016)'!$A$3,"MA_HT","DYT","MA_QH","NTD")</f>
        <v>0</v>
      </c>
      <c r="AX34" s="74">
        <f>+GETPIVOTDATA("XBB4",'binhba (2016)'!$A$3,"MA_HT","DYT","MA_QH","SKX")</f>
        <v>0</v>
      </c>
      <c r="AY34" s="74">
        <f>+GETPIVOTDATA("XBB4",'binhba (2016)'!$A$3,"MA_HT","DYT","MA_QH","DSH")</f>
        <v>0</v>
      </c>
      <c r="AZ34" s="74">
        <f>+GETPIVOTDATA("XBB4",'binhba (2016)'!$A$3,"MA_HT","DYT","MA_QH","DKV")</f>
        <v>0</v>
      </c>
      <c r="BA34" s="139">
        <f>+GETPIVOTDATA("XBB4",'binhba (2016)'!$A$3,"MA_HT","DYT","MA_QH","TIN")</f>
        <v>0</v>
      </c>
      <c r="BB34" s="74">
        <f>+GETPIVOTDATA("XBB4",'binhba (2016)'!$A$3,"MA_HT","DYT","MA_QH","SON")</f>
        <v>0</v>
      </c>
      <c r="BC34" s="74">
        <f>+GETPIVOTDATA("XBB4",'binhba (2016)'!$A$3,"MA_HT","DYT","MA_QH","MNC")</f>
        <v>0</v>
      </c>
      <c r="BD34" s="74">
        <f>+GETPIVOTDATA("XBB4",'binhba (2016)'!$A$3,"MA_HT","DYT","MA_QH","PNK")</f>
        <v>0</v>
      </c>
      <c r="BE34" s="102">
        <f>+GETPIVOTDATA("XBB4",'binhba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+GETPIVOTDATA("XBB4",'binhba (2016)'!$A$3,"MA_HT","DGD","MA_QH","LUC")</f>
        <v>0</v>
      </c>
      <c r="H35" s="74">
        <f>+GETPIVOTDATA("XBB4",'binhba (2016)'!$A$3,"MA_HT","DGD","MA_QH","LUK")</f>
        <v>0</v>
      </c>
      <c r="I35" s="74">
        <f>+GETPIVOTDATA("XBB4",'binhba (2016)'!$A$3,"MA_HT","DGD","MA_QH","LUN")</f>
        <v>0</v>
      </c>
      <c r="J35" s="74">
        <f>+GETPIVOTDATA("XBB4",'binhba (2016)'!$A$3,"MA_HT","DGD","MA_QH","HNK")</f>
        <v>0</v>
      </c>
      <c r="K35" s="74">
        <f>+GETPIVOTDATA("XBB4",'binhba (2016)'!$A$3,"MA_HT","DGD","MA_QH","CLN")</f>
        <v>0</v>
      </c>
      <c r="L35" s="74">
        <f>+GETPIVOTDATA("XBB4",'binhba (2016)'!$A$3,"MA_HT","DGD","MA_QH","RSX")</f>
        <v>0</v>
      </c>
      <c r="M35" s="74">
        <f>+GETPIVOTDATA("XBB4",'binhba (2016)'!$A$3,"MA_HT","DGD","MA_QH","RPH")</f>
        <v>0</v>
      </c>
      <c r="N35" s="74">
        <f>+GETPIVOTDATA("XBB4",'binhba (2016)'!$A$3,"MA_HT","DGD","MA_QH","RDD")</f>
        <v>0</v>
      </c>
      <c r="O35" s="74">
        <f>+GETPIVOTDATA("XBB4",'binhba (2016)'!$A$3,"MA_HT","DGD","MA_QH","NTS")</f>
        <v>0</v>
      </c>
      <c r="P35" s="74">
        <f>+GETPIVOTDATA("XBB4",'binhba (2016)'!$A$3,"MA_HT","DGD","MA_QH","LMU")</f>
        <v>0</v>
      </c>
      <c r="Q35" s="74">
        <f>+GETPIVOTDATA("XBB4",'binhba (2016)'!$A$3,"MA_HT","DGD","MA_QH","NKH")</f>
        <v>0</v>
      </c>
      <c r="R35" s="72">
        <f t="shared" si="20"/>
        <v>0</v>
      </c>
      <c r="S35" s="74">
        <f>+GETPIVOTDATA("XBB4",'binhba (2016)'!$A$3,"MA_HT","DGD","MA_QH","CQP")</f>
        <v>0</v>
      </c>
      <c r="T35" s="74">
        <f>+GETPIVOTDATA("XBB4",'binhba (2016)'!$A$3,"MA_HT","DGD","MA_QH","CAN")</f>
        <v>0</v>
      </c>
      <c r="U35" s="74">
        <f>+GETPIVOTDATA("XBB4",'binhba (2016)'!$A$3,"MA_HT","DGD","MA_QH","SKK")</f>
        <v>0</v>
      </c>
      <c r="V35" s="74">
        <f>+GETPIVOTDATA("XBB4",'binhba (2016)'!$A$3,"MA_HT","DGD","MA_QH","SKT")</f>
        <v>0</v>
      </c>
      <c r="W35" s="74">
        <f>+GETPIVOTDATA("XBB4",'binhba (2016)'!$A$3,"MA_HT","DGD","MA_QH","SKN")</f>
        <v>0</v>
      </c>
      <c r="X35" s="74">
        <f>+GETPIVOTDATA("XBB4",'binhba (2016)'!$A$3,"MA_HT","DGD","MA_QH","TMD")</f>
        <v>0</v>
      </c>
      <c r="Y35" s="74">
        <f>+GETPIVOTDATA("XBB4",'binhba (2016)'!$A$3,"MA_HT","DGD","MA_QH","SKC")</f>
        <v>0</v>
      </c>
      <c r="Z35" s="74">
        <f>+GETPIVOTDATA("XBB4",'binhba (2016)'!$A$3,"MA_HT","DGD","MA_QH","SKS")</f>
        <v>0</v>
      </c>
      <c r="AA35" s="64">
        <f>+SUM(AB35:AG35,AI35:AM35)</f>
        <v>0</v>
      </c>
      <c r="AB35" s="74">
        <f>+GETPIVOTDATA("XBB4",'binhba (2016)'!$A$3,"MA_HT","DGD","MA_QH","DGT")</f>
        <v>0</v>
      </c>
      <c r="AC35" s="74">
        <f>+GETPIVOTDATA("XBB4",'binhba (2016)'!$A$3,"MA_HT","DGD","MA_QH","DTL")</f>
        <v>0</v>
      </c>
      <c r="AD35" s="74">
        <f>+GETPIVOTDATA("XBB4",'binhba (2016)'!$A$3,"MA_HT","DGD","MA_QH","DNL")</f>
        <v>0</v>
      </c>
      <c r="AE35" s="74">
        <f>+GETPIVOTDATA("XBB4",'binhba (2016)'!$A$3,"MA_HT","DGD","MA_QH","DBV")</f>
        <v>0</v>
      </c>
      <c r="AF35" s="74">
        <f>+GETPIVOTDATA("XBB4",'binhba (2016)'!$A$3,"MA_HT","DGD","MA_QH","DVH")</f>
        <v>0</v>
      </c>
      <c r="AG35" s="74">
        <f>+GETPIVOTDATA("XBB4",'binhba (2016)'!$A$3,"MA_HT","DGD","MA_QH","DYT")</f>
        <v>0</v>
      </c>
      <c r="AH35" s="100" t="e">
        <f>$D35-$BF35</f>
        <v>#REF!</v>
      </c>
      <c r="AI35" s="74">
        <f>+GETPIVOTDATA("XBB4",'binhba (2016)'!$A$3,"MA_HT","DGD","MA_QH","DTT")</f>
        <v>0</v>
      </c>
      <c r="AJ35" s="74">
        <f>+GETPIVOTDATA("XBB4",'binhba (2016)'!$A$3,"MA_HT","DGD","MA_QH","NCK")</f>
        <v>0</v>
      </c>
      <c r="AK35" s="74">
        <f>+GETPIVOTDATA("XBB4",'binhba (2016)'!$A$3,"MA_HT","DGD","MA_QH","DXH")</f>
        <v>0</v>
      </c>
      <c r="AL35" s="74">
        <f>+GETPIVOTDATA("XBB4",'binhba (2016)'!$A$3,"MA_HT","DGD","MA_QH","DCH")</f>
        <v>0</v>
      </c>
      <c r="AM35" s="74">
        <f>+GETPIVOTDATA("XBB4",'binhba (2016)'!$A$3,"MA_HT","DGD","MA_QH","DKG")</f>
        <v>0</v>
      </c>
      <c r="AN35" s="74">
        <f>+GETPIVOTDATA("XBB4",'binhba (2016)'!$A$3,"MA_HT","DGD","MA_QH","DDT")</f>
        <v>0</v>
      </c>
      <c r="AO35" s="74">
        <f>+GETPIVOTDATA("XBB4",'binhba (2016)'!$A$3,"MA_HT","DGD","MA_QH","DDL")</f>
        <v>0</v>
      </c>
      <c r="AP35" s="74">
        <f>+GETPIVOTDATA("XBB4",'binhba (2016)'!$A$3,"MA_HT","DGD","MA_QH","DRA")</f>
        <v>0</v>
      </c>
      <c r="AQ35" s="74">
        <f>+GETPIVOTDATA("XBB4",'binhba (2016)'!$A$3,"MA_HT","DGD","MA_QH","ONT")</f>
        <v>0</v>
      </c>
      <c r="AR35" s="74">
        <f>+GETPIVOTDATA("XBB4",'binhba (2016)'!$A$3,"MA_HT","DGD","MA_QH","ODT")</f>
        <v>0</v>
      </c>
      <c r="AS35" s="74">
        <f>+GETPIVOTDATA("XBB4",'binhba (2016)'!$A$3,"MA_HT","DGD","MA_QH","TSC")</f>
        <v>0</v>
      </c>
      <c r="AT35" s="74">
        <f>+GETPIVOTDATA("XBB4",'binhba (2016)'!$A$3,"MA_HT","DGD","MA_QH","DTS")</f>
        <v>0</v>
      </c>
      <c r="AU35" s="74">
        <f>+GETPIVOTDATA("XBB4",'binhba (2016)'!$A$3,"MA_HT","DGD","MA_QH","DNG")</f>
        <v>0</v>
      </c>
      <c r="AV35" s="74">
        <f>+GETPIVOTDATA("XBB4",'binhba (2016)'!$A$3,"MA_HT","DGD","MA_QH","TON")</f>
        <v>0</v>
      </c>
      <c r="AW35" s="74">
        <f>+GETPIVOTDATA("XBB4",'binhba (2016)'!$A$3,"MA_HT","DGD","MA_QH","NTD")</f>
        <v>0</v>
      </c>
      <c r="AX35" s="74">
        <f>+GETPIVOTDATA("XBB4",'binhba (2016)'!$A$3,"MA_HT","DGD","MA_QH","SKX")</f>
        <v>0</v>
      </c>
      <c r="AY35" s="74">
        <f>+GETPIVOTDATA("XBB4",'binhba (2016)'!$A$3,"MA_HT","DGD","MA_QH","DSH")</f>
        <v>0</v>
      </c>
      <c r="AZ35" s="74">
        <f>+GETPIVOTDATA("XBB4",'binhba (2016)'!$A$3,"MA_HT","DGD","MA_QH","DKV")</f>
        <v>0</v>
      </c>
      <c r="BA35" s="139">
        <f>+GETPIVOTDATA("XBB4",'binhba (2016)'!$A$3,"MA_HT","DGD","MA_QH","TIN")</f>
        <v>0</v>
      </c>
      <c r="BB35" s="74">
        <f>+GETPIVOTDATA("XBB4",'binhba (2016)'!$A$3,"MA_HT","DGD","MA_QH","SON")</f>
        <v>0</v>
      </c>
      <c r="BC35" s="74">
        <f>+GETPIVOTDATA("XBB4",'binhba (2016)'!$A$3,"MA_HT","DGD","MA_QH","MNC")</f>
        <v>0</v>
      </c>
      <c r="BD35" s="74">
        <f>+GETPIVOTDATA("XBB4",'binhba (2016)'!$A$3,"MA_HT","DGD","MA_QH","PNK")</f>
        <v>0</v>
      </c>
      <c r="BE35" s="102">
        <f>+GETPIVOTDATA("XBB4",'binhba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+GETPIVOTDATA("XBB4",'binhba (2016)'!$A$3,"MA_HT","DTT","MA_QH","LUC")</f>
        <v>0</v>
      </c>
      <c r="H36" s="74">
        <f>+GETPIVOTDATA("XBB4",'binhba (2016)'!$A$3,"MA_HT","DTT","MA_QH","LUK")</f>
        <v>0</v>
      </c>
      <c r="I36" s="74">
        <f>+GETPIVOTDATA("XBB4",'binhba (2016)'!$A$3,"MA_HT","DTT","MA_QH","LUN")</f>
        <v>0</v>
      </c>
      <c r="J36" s="74">
        <f>+GETPIVOTDATA("XBB4",'binhba (2016)'!$A$3,"MA_HT","DTT","MA_QH","HNK")</f>
        <v>0</v>
      </c>
      <c r="K36" s="74">
        <f>+GETPIVOTDATA("XBB4",'binhba (2016)'!$A$3,"MA_HT","DTT","MA_QH","CLN")</f>
        <v>0</v>
      </c>
      <c r="L36" s="74">
        <f>+GETPIVOTDATA("XBB4",'binhba (2016)'!$A$3,"MA_HT","DTT","MA_QH","RSX")</f>
        <v>0</v>
      </c>
      <c r="M36" s="74">
        <f>+GETPIVOTDATA("XBB4",'binhba (2016)'!$A$3,"MA_HT","DTT","MA_QH","RPH")</f>
        <v>0</v>
      </c>
      <c r="N36" s="74">
        <f>+GETPIVOTDATA("XBB4",'binhba (2016)'!$A$3,"MA_HT","DTT","MA_QH","RDD")</f>
        <v>0</v>
      </c>
      <c r="O36" s="74">
        <f>+GETPIVOTDATA("XBB4",'binhba (2016)'!$A$3,"MA_HT","DTT","MA_QH","NTS")</f>
        <v>0</v>
      </c>
      <c r="P36" s="74">
        <f>+GETPIVOTDATA("XBB4",'binhba (2016)'!$A$3,"MA_HT","DTT","MA_QH","LMU")</f>
        <v>0</v>
      </c>
      <c r="Q36" s="74">
        <f>+GETPIVOTDATA("XBB4",'binhba (2016)'!$A$3,"MA_HT","DTT","MA_QH","NKH")</f>
        <v>0</v>
      </c>
      <c r="R36" s="72">
        <f>SUM(S36:AA36,AN36:BD36)</f>
        <v>0</v>
      </c>
      <c r="S36" s="74">
        <f>+GETPIVOTDATA("XBB4",'binhba (2016)'!$A$3,"MA_HT","DTT","MA_QH","CQP")</f>
        <v>0</v>
      </c>
      <c r="T36" s="74">
        <f>+GETPIVOTDATA("XBB4",'binhba (2016)'!$A$3,"MA_HT","DTT","MA_QH","CAN")</f>
        <v>0</v>
      </c>
      <c r="U36" s="74">
        <f>+GETPIVOTDATA("XBB4",'binhba (2016)'!$A$3,"MA_HT","DTT","MA_QH","SKK")</f>
        <v>0</v>
      </c>
      <c r="V36" s="74">
        <f>+GETPIVOTDATA("XBB4",'binhba (2016)'!$A$3,"MA_HT","DTT","MA_QH","SKT")</f>
        <v>0</v>
      </c>
      <c r="W36" s="74">
        <f>+GETPIVOTDATA("XBB4",'binhba (2016)'!$A$3,"MA_HT","DTT","MA_QH","SKN")</f>
        <v>0</v>
      </c>
      <c r="X36" s="74">
        <f>+GETPIVOTDATA("XBB4",'binhba (2016)'!$A$3,"MA_HT","DTT","MA_QH","TMD")</f>
        <v>0</v>
      </c>
      <c r="Y36" s="74">
        <f>+GETPIVOTDATA("XBB4",'binhba (2016)'!$A$3,"MA_HT","DTT","MA_QH","SKC")</f>
        <v>0</v>
      </c>
      <c r="Z36" s="74">
        <f>+GETPIVOTDATA("XBB4",'binhba (2016)'!$A$3,"MA_HT","DTT","MA_QH","SKS")</f>
        <v>0</v>
      </c>
      <c r="AA36" s="64">
        <f>+SUM(AB36:AH36,AJ36:AM36)</f>
        <v>0</v>
      </c>
      <c r="AB36" s="74">
        <f>+GETPIVOTDATA("XBB4",'binhba (2016)'!$A$3,"MA_HT","DTT","MA_QH","DGT")</f>
        <v>0</v>
      </c>
      <c r="AC36" s="74">
        <f>+GETPIVOTDATA("XBB4",'binhba (2016)'!$A$3,"MA_HT","DTT","MA_QH","DTL")</f>
        <v>0</v>
      </c>
      <c r="AD36" s="74">
        <f>+GETPIVOTDATA("XBB4",'binhba (2016)'!$A$3,"MA_HT","DTT","MA_QH","DNL")</f>
        <v>0</v>
      </c>
      <c r="AE36" s="74">
        <f>+GETPIVOTDATA("XBB4",'binhba (2016)'!$A$3,"MA_HT","DTT","MA_QH","DBV")</f>
        <v>0</v>
      </c>
      <c r="AF36" s="74">
        <f>+GETPIVOTDATA("XBB4",'binhba (2016)'!$A$3,"MA_HT","DTT","MA_QH","DVH")</f>
        <v>0</v>
      </c>
      <c r="AG36" s="74">
        <f>+GETPIVOTDATA("XBB4",'binhba (2016)'!$A$3,"MA_HT","DTT","MA_QH","DYT")</f>
        <v>0</v>
      </c>
      <c r="AH36" s="74">
        <f>+GETPIVOTDATA("XBB4",'binhba (2016)'!$A$3,"MA_HT","DTT","MA_QH","DGD")</f>
        <v>0</v>
      </c>
      <c r="AI36" s="100" t="e">
        <f>$D36-$BF36</f>
        <v>#REF!</v>
      </c>
      <c r="AJ36" s="74">
        <f>+GETPIVOTDATA("XBB4",'binhba (2016)'!$A$3,"MA_HT","DTT","MA_QH","NCK")</f>
        <v>0</v>
      </c>
      <c r="AK36" s="74">
        <f>+GETPIVOTDATA("XBB4",'binhba (2016)'!$A$3,"MA_HT","DTT","MA_QH","DXH")</f>
        <v>0</v>
      </c>
      <c r="AL36" s="74">
        <f>+GETPIVOTDATA("XBB4",'binhba (2016)'!$A$3,"MA_HT","DTT","MA_QH","DCH")</f>
        <v>0</v>
      </c>
      <c r="AM36" s="74">
        <f>+GETPIVOTDATA("XBB4",'binhba (2016)'!$A$3,"MA_HT","DTT","MA_QH","DKG")</f>
        <v>0</v>
      </c>
      <c r="AN36" s="74">
        <f>+GETPIVOTDATA("XBB4",'binhba (2016)'!$A$3,"MA_HT","DTT","MA_QH","DDT")</f>
        <v>0</v>
      </c>
      <c r="AO36" s="74">
        <f>+GETPIVOTDATA("XBB4",'binhba (2016)'!$A$3,"MA_HT","DTT","MA_QH","DDL")</f>
        <v>0</v>
      </c>
      <c r="AP36" s="74">
        <f>+GETPIVOTDATA("XBB4",'binhba (2016)'!$A$3,"MA_HT","DTT","MA_QH","DRA")</f>
        <v>0</v>
      </c>
      <c r="AQ36" s="74">
        <f>+GETPIVOTDATA("XBB4",'binhba (2016)'!$A$3,"MA_HT","DTT","MA_QH","ONT")</f>
        <v>0</v>
      </c>
      <c r="AR36" s="74">
        <f>+GETPIVOTDATA("XBB4",'binhba (2016)'!$A$3,"MA_HT","DTT","MA_QH","ODT")</f>
        <v>0</v>
      </c>
      <c r="AS36" s="74">
        <f>+GETPIVOTDATA("XBB4",'binhba (2016)'!$A$3,"MA_HT","DTT","MA_QH","TSC")</f>
        <v>0</v>
      </c>
      <c r="AT36" s="74">
        <f>+GETPIVOTDATA("XBB4",'binhba (2016)'!$A$3,"MA_HT","DTT","MA_QH","DTS")</f>
        <v>0</v>
      </c>
      <c r="AU36" s="74">
        <f>+GETPIVOTDATA("XBB4",'binhba (2016)'!$A$3,"MA_HT","DTT","MA_QH","DNG")</f>
        <v>0</v>
      </c>
      <c r="AV36" s="74">
        <f>+GETPIVOTDATA("XBB4",'binhba (2016)'!$A$3,"MA_HT","DTT","MA_QH","TON")</f>
        <v>0</v>
      </c>
      <c r="AW36" s="74">
        <f>+GETPIVOTDATA("XBB4",'binhba (2016)'!$A$3,"MA_HT","DTT","MA_QH","NTD")</f>
        <v>0</v>
      </c>
      <c r="AX36" s="74">
        <f>+GETPIVOTDATA("XBB4",'binhba (2016)'!$A$3,"MA_HT","DTT","MA_QH","SKX")</f>
        <v>0</v>
      </c>
      <c r="AY36" s="74">
        <f>+GETPIVOTDATA("XBB4",'binhba (2016)'!$A$3,"MA_HT","DTT","MA_QH","DSH")</f>
        <v>0</v>
      </c>
      <c r="AZ36" s="74">
        <f>+GETPIVOTDATA("XBB4",'binhba (2016)'!$A$3,"MA_HT","DTT","MA_QH","DKV")</f>
        <v>0</v>
      </c>
      <c r="BA36" s="139">
        <f>+GETPIVOTDATA("XBB4",'binhba (2016)'!$A$3,"MA_HT","DTT","MA_QH","TIN")</f>
        <v>0</v>
      </c>
      <c r="BB36" s="74">
        <f>+GETPIVOTDATA("XBB4",'binhba (2016)'!$A$3,"MA_HT","DTT","MA_QH","SON")</f>
        <v>0</v>
      </c>
      <c r="BC36" s="74">
        <f>+GETPIVOTDATA("XBB4",'binhba (2016)'!$A$3,"MA_HT","DTT","MA_QH","MNC")</f>
        <v>0</v>
      </c>
      <c r="BD36" s="74">
        <f>+GETPIVOTDATA("XBB4",'binhba (2016)'!$A$3,"MA_HT","DTT","MA_QH","PNK")</f>
        <v>0</v>
      </c>
      <c r="BE36" s="102">
        <f>+GETPIVOTDATA("XBB4",'binhba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+GETPIVOTDATA("XBB4",'binhba (2016)'!$A$3,"MA_HT","NCK","MA_QH","LUC")</f>
        <v>0</v>
      </c>
      <c r="H37" s="74">
        <f>+GETPIVOTDATA("XBB4",'binhba (2016)'!$A$3,"MA_HT","NCK","MA_QH","LUK")</f>
        <v>0</v>
      </c>
      <c r="I37" s="74">
        <f>+GETPIVOTDATA("XBB4",'binhba (2016)'!$A$3,"MA_HT","NCK","MA_QH","LUN")</f>
        <v>0</v>
      </c>
      <c r="J37" s="74">
        <f>+GETPIVOTDATA("XBB4",'binhba (2016)'!$A$3,"MA_HT","NCK","MA_QH","HNK")</f>
        <v>0</v>
      </c>
      <c r="K37" s="74">
        <f>+GETPIVOTDATA("XBB4",'binhba (2016)'!$A$3,"MA_HT","NCK","MA_QH","CLN")</f>
        <v>0</v>
      </c>
      <c r="L37" s="74">
        <f>+GETPIVOTDATA("XBB4",'binhba (2016)'!$A$3,"MA_HT","NCK","MA_QH","RSX")</f>
        <v>0</v>
      </c>
      <c r="M37" s="74">
        <f>+GETPIVOTDATA("XBB4",'binhba (2016)'!$A$3,"MA_HT","NCK","MA_QH","RPH")</f>
        <v>0</v>
      </c>
      <c r="N37" s="74">
        <f>+GETPIVOTDATA("XBB4",'binhba (2016)'!$A$3,"MA_HT","NCK","MA_QH","RDD")</f>
        <v>0</v>
      </c>
      <c r="O37" s="74">
        <f>+GETPIVOTDATA("XBB4",'binhba (2016)'!$A$3,"MA_HT","NCK","MA_QH","NTS")</f>
        <v>0</v>
      </c>
      <c r="P37" s="74">
        <f>+GETPIVOTDATA("XBB4",'binhba (2016)'!$A$3,"MA_HT","NCK","MA_QH","LMU")</f>
        <v>0</v>
      </c>
      <c r="Q37" s="74">
        <f>+GETPIVOTDATA("XBB4",'binhba (2016)'!$A$3,"MA_HT","NCK","MA_QH","NKH")</f>
        <v>0</v>
      </c>
      <c r="R37" s="72">
        <f t="shared" si="20"/>
        <v>0</v>
      </c>
      <c r="S37" s="74">
        <f>+GETPIVOTDATA("XBB4",'binhba (2016)'!$A$3,"MA_HT","NCK","MA_QH","CQP")</f>
        <v>0</v>
      </c>
      <c r="T37" s="74">
        <f>+GETPIVOTDATA("XBB4",'binhba (2016)'!$A$3,"MA_HT","NCK","MA_QH","CAN")</f>
        <v>0</v>
      </c>
      <c r="U37" s="74">
        <f>+GETPIVOTDATA("XBB4",'binhba (2016)'!$A$3,"MA_HT","NCK","MA_QH","SKK")</f>
        <v>0</v>
      </c>
      <c r="V37" s="74">
        <f>+GETPIVOTDATA("XBB4",'binhba (2016)'!$A$3,"MA_HT","NCK","MA_QH","SKT")</f>
        <v>0</v>
      </c>
      <c r="W37" s="74">
        <f>+GETPIVOTDATA("XBB4",'binhba (2016)'!$A$3,"MA_HT","NCK","MA_QH","SKN")</f>
        <v>0</v>
      </c>
      <c r="X37" s="74">
        <f>+GETPIVOTDATA("XBB4",'binhba (2016)'!$A$3,"MA_HT","NCK","MA_QH","TMD")</f>
        <v>0</v>
      </c>
      <c r="Y37" s="74">
        <f>+GETPIVOTDATA("XBB4",'binhba (2016)'!$A$3,"MA_HT","NCK","MA_QH","SKC")</f>
        <v>0</v>
      </c>
      <c r="Z37" s="74">
        <f>+GETPIVOTDATA("XBB4",'binhba (2016)'!$A$3,"MA_HT","NCK","MA_QH","SKS")</f>
        <v>0</v>
      </c>
      <c r="AA37" s="64">
        <f>+SUM(AB37:AI37,AK37:AM37)</f>
        <v>0</v>
      </c>
      <c r="AB37" s="74">
        <f>+GETPIVOTDATA("XBB4",'binhba (2016)'!$A$3,"MA_HT","NCK","MA_QH","DGT")</f>
        <v>0</v>
      </c>
      <c r="AC37" s="74">
        <f>+GETPIVOTDATA("XBB4",'binhba (2016)'!$A$3,"MA_HT","NCK","MA_QH","DTL")</f>
        <v>0</v>
      </c>
      <c r="AD37" s="74">
        <f>+GETPIVOTDATA("XBB4",'binhba (2016)'!$A$3,"MA_HT","NCK","MA_QH","DNL")</f>
        <v>0</v>
      </c>
      <c r="AE37" s="74">
        <f>+GETPIVOTDATA("XBB4",'binhba (2016)'!$A$3,"MA_HT","NCK","MA_QH","DBV")</f>
        <v>0</v>
      </c>
      <c r="AF37" s="74">
        <f>+GETPIVOTDATA("XBB4",'binhba (2016)'!$A$3,"MA_HT","NCK","MA_QH","DVH")</f>
        <v>0</v>
      </c>
      <c r="AG37" s="74">
        <f>+GETPIVOTDATA("XBB4",'binhba (2016)'!$A$3,"MA_HT","NCK","MA_QH","DYT")</f>
        <v>0</v>
      </c>
      <c r="AH37" s="74">
        <f>+GETPIVOTDATA("XBB4",'binhba (2016)'!$A$3,"MA_HT","NCK","MA_QH","DGD")</f>
        <v>0</v>
      </c>
      <c r="AI37" s="74">
        <f>+GETPIVOTDATA("XBB4",'binhba (2016)'!$A$3,"MA_HT","NCK","MA_QH","DTT")</f>
        <v>0</v>
      </c>
      <c r="AJ37" s="100" t="e">
        <f>$D37-$BF37</f>
        <v>#REF!</v>
      </c>
      <c r="AK37" s="74">
        <f>+GETPIVOTDATA("XBB4",'binhba (2016)'!$A$3,"MA_HT","NCK","MA_QH","DXH")</f>
        <v>0</v>
      </c>
      <c r="AL37" s="74">
        <f>+GETPIVOTDATA("XBB4",'binhba (2016)'!$A$3,"MA_HT","NCK","MA_QH","DCH")</f>
        <v>0</v>
      </c>
      <c r="AM37" s="74">
        <f>+GETPIVOTDATA("XBB4",'binhba (2016)'!$A$3,"MA_HT","NCK","MA_QH","DKG")</f>
        <v>0</v>
      </c>
      <c r="AN37" s="74">
        <f>+GETPIVOTDATA("XBB4",'binhba (2016)'!$A$3,"MA_HT","NCK","MA_QH","DDT")</f>
        <v>0</v>
      </c>
      <c r="AO37" s="74">
        <f>+GETPIVOTDATA("XBB4",'binhba (2016)'!$A$3,"MA_HT","NCK","MA_QH","DDL")</f>
        <v>0</v>
      </c>
      <c r="AP37" s="74">
        <f>+GETPIVOTDATA("XBB4",'binhba (2016)'!$A$3,"MA_HT","NCK","MA_QH","DRA")</f>
        <v>0</v>
      </c>
      <c r="AQ37" s="74">
        <f>+GETPIVOTDATA("XBB4",'binhba (2016)'!$A$3,"MA_HT","NCK","MA_QH","ONT")</f>
        <v>0</v>
      </c>
      <c r="AR37" s="74">
        <f>+GETPIVOTDATA("XBB4",'binhba (2016)'!$A$3,"MA_HT","NCK","MA_QH","ODT")</f>
        <v>0</v>
      </c>
      <c r="AS37" s="74">
        <f>+GETPIVOTDATA("XBB4",'binhba (2016)'!$A$3,"MA_HT","NCK","MA_QH","TSC")</f>
        <v>0</v>
      </c>
      <c r="AT37" s="74">
        <f>+GETPIVOTDATA("XBB4",'binhba (2016)'!$A$3,"MA_HT","NCK","MA_QH","DTS")</f>
        <v>0</v>
      </c>
      <c r="AU37" s="74">
        <f>+GETPIVOTDATA("XBB4",'binhba (2016)'!$A$3,"MA_HT","NCK","MA_QH","DNG")</f>
        <v>0</v>
      </c>
      <c r="AV37" s="74">
        <f>+GETPIVOTDATA("XBB4",'binhba (2016)'!$A$3,"MA_HT","NCK","MA_QH","TON")</f>
        <v>0</v>
      </c>
      <c r="AW37" s="74">
        <f>+GETPIVOTDATA("XBB4",'binhba (2016)'!$A$3,"MA_HT","NCK","MA_QH","NTD")</f>
        <v>0</v>
      </c>
      <c r="AX37" s="74">
        <f>+GETPIVOTDATA("XBB4",'binhba (2016)'!$A$3,"MA_HT","NCK","MA_QH","SKX")</f>
        <v>0</v>
      </c>
      <c r="AY37" s="74">
        <f>+GETPIVOTDATA("XBB4",'binhba (2016)'!$A$3,"MA_HT","NCK","MA_QH","DSH")</f>
        <v>0</v>
      </c>
      <c r="AZ37" s="74">
        <f>+GETPIVOTDATA("XBB4",'binhba (2016)'!$A$3,"MA_HT","NCK","MA_QH","DKV")</f>
        <v>0</v>
      </c>
      <c r="BA37" s="139">
        <f>+GETPIVOTDATA("XBB4",'binhba (2016)'!$A$3,"MA_HT","NCK","MA_QH","TIN")</f>
        <v>0</v>
      </c>
      <c r="BB37" s="74">
        <f>+GETPIVOTDATA("XBB4",'binhba (2016)'!$A$3,"MA_HT","NCK","MA_QH","SON")</f>
        <v>0</v>
      </c>
      <c r="BC37" s="74">
        <f>+GETPIVOTDATA("XBB4",'binhba (2016)'!$A$3,"MA_HT","NCK","MA_QH","MNC")</f>
        <v>0</v>
      </c>
      <c r="BD37" s="74">
        <f>+GETPIVOTDATA("XBB4",'binhba (2016)'!$A$3,"MA_HT","NCK","MA_QH","PNK")</f>
        <v>0</v>
      </c>
      <c r="BE37" s="102">
        <f>+GETPIVOTDATA("XBB4",'binhba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+GETPIVOTDATA("XBB4",'binhba (2016)'!$A$3,"MA_HT","DXH","MA_QH","LUC")</f>
        <v>0</v>
      </c>
      <c r="H38" s="74">
        <f>+GETPIVOTDATA("XBB4",'binhba (2016)'!$A$3,"MA_HT","DXH","MA_QH","LUK")</f>
        <v>0</v>
      </c>
      <c r="I38" s="74">
        <f>+GETPIVOTDATA("XBB4",'binhba (2016)'!$A$3,"MA_HT","DXH","MA_QH","LUN")</f>
        <v>0</v>
      </c>
      <c r="J38" s="74">
        <f>+GETPIVOTDATA("XBB4",'binhba (2016)'!$A$3,"MA_HT","DXH","MA_QH","HNK")</f>
        <v>0</v>
      </c>
      <c r="K38" s="74">
        <f>+GETPIVOTDATA("XBB4",'binhba (2016)'!$A$3,"MA_HT","DXH","MA_QH","CLN")</f>
        <v>0</v>
      </c>
      <c r="L38" s="74">
        <f>+GETPIVOTDATA("XBB4",'binhba (2016)'!$A$3,"MA_HT","DXH","MA_QH","RSX")</f>
        <v>0</v>
      </c>
      <c r="M38" s="74">
        <f>+GETPIVOTDATA("XBB4",'binhba (2016)'!$A$3,"MA_HT","DXH","MA_QH","RPH")</f>
        <v>0</v>
      </c>
      <c r="N38" s="74">
        <f>+GETPIVOTDATA("XBB4",'binhba (2016)'!$A$3,"MA_HT","DXH","MA_QH","RDD")</f>
        <v>0</v>
      </c>
      <c r="O38" s="74">
        <f>+GETPIVOTDATA("XBB4",'binhba (2016)'!$A$3,"MA_HT","DXH","MA_QH","NTS")</f>
        <v>0</v>
      </c>
      <c r="P38" s="74">
        <f>+GETPIVOTDATA("XBB4",'binhba (2016)'!$A$3,"MA_HT","DXH","MA_QH","LMU")</f>
        <v>0</v>
      </c>
      <c r="Q38" s="74">
        <f>+GETPIVOTDATA("XBB4",'binhba (2016)'!$A$3,"MA_HT","DXH","MA_QH","NKH")</f>
        <v>0</v>
      </c>
      <c r="R38" s="72">
        <f t="shared" si="20"/>
        <v>0</v>
      </c>
      <c r="S38" s="74">
        <f>+GETPIVOTDATA("XBB4",'binhba (2016)'!$A$3,"MA_HT","DXH","MA_QH","CQP")</f>
        <v>0</v>
      </c>
      <c r="T38" s="74">
        <f>+GETPIVOTDATA("XBB4",'binhba (2016)'!$A$3,"MA_HT","DXH","MA_QH","CAN")</f>
        <v>0</v>
      </c>
      <c r="U38" s="74">
        <f>+GETPIVOTDATA("XBB4",'binhba (2016)'!$A$3,"MA_HT","DXH","MA_QH","SKK")</f>
        <v>0</v>
      </c>
      <c r="V38" s="74">
        <f>+GETPIVOTDATA("XBB4",'binhba (2016)'!$A$3,"MA_HT","DXH","MA_QH","SKT")</f>
        <v>0</v>
      </c>
      <c r="W38" s="74">
        <f>+GETPIVOTDATA("XBB4",'binhba (2016)'!$A$3,"MA_HT","DXH","MA_QH","SKN")</f>
        <v>0</v>
      </c>
      <c r="X38" s="74">
        <f>+GETPIVOTDATA("XBB4",'binhba (2016)'!$A$3,"MA_HT","DXH","MA_QH","TMD")</f>
        <v>0</v>
      </c>
      <c r="Y38" s="74">
        <f>+GETPIVOTDATA("XBB4",'binhba (2016)'!$A$3,"MA_HT","DXH","MA_QH","SKC")</f>
        <v>0</v>
      </c>
      <c r="Z38" s="74">
        <f>+GETPIVOTDATA("XBB4",'binhba (2016)'!$A$3,"MA_HT","DXH","MA_QH","SKS")</f>
        <v>0</v>
      </c>
      <c r="AA38" s="64">
        <f>+SUM(AB38:AJ38,AL38:AM38)</f>
        <v>0</v>
      </c>
      <c r="AB38" s="74">
        <f>+GETPIVOTDATA("XBB4",'binhba (2016)'!$A$3,"MA_HT","DXH","MA_QH","DGT")</f>
        <v>0</v>
      </c>
      <c r="AC38" s="74">
        <f>+GETPIVOTDATA("XBB4",'binhba (2016)'!$A$3,"MA_HT","DXH","MA_QH","DTL")</f>
        <v>0</v>
      </c>
      <c r="AD38" s="74">
        <f>+GETPIVOTDATA("XBB4",'binhba (2016)'!$A$3,"MA_HT","DXH","MA_QH","DNL")</f>
        <v>0</v>
      </c>
      <c r="AE38" s="74">
        <f>+GETPIVOTDATA("XBB4",'binhba (2016)'!$A$3,"MA_HT","DXH","MA_QH","DBV")</f>
        <v>0</v>
      </c>
      <c r="AF38" s="74">
        <f>+GETPIVOTDATA("XBB4",'binhba (2016)'!$A$3,"MA_HT","DXH","MA_QH","DVH")</f>
        <v>0</v>
      </c>
      <c r="AG38" s="74">
        <f>+GETPIVOTDATA("XBB4",'binhba (2016)'!$A$3,"MA_HT","DXH","MA_QH","DYT")</f>
        <v>0</v>
      </c>
      <c r="AH38" s="74">
        <f>+GETPIVOTDATA("XBB4",'binhba (2016)'!$A$3,"MA_HT","DXH","MA_QH","DGD")</f>
        <v>0</v>
      </c>
      <c r="AI38" s="74">
        <f>+GETPIVOTDATA("XBB4",'binhba (2016)'!$A$3,"MA_HT","DXH","MA_QH","DTT")</f>
        <v>0</v>
      </c>
      <c r="AJ38" s="74">
        <f>+GETPIVOTDATA("XBB4",'binhba (2016)'!$A$3,"MA_HT","DXH","MA_QH","NCK")</f>
        <v>0</v>
      </c>
      <c r="AK38" s="100" t="e">
        <f>$D38-$BF38</f>
        <v>#REF!</v>
      </c>
      <c r="AL38" s="74">
        <f>+GETPIVOTDATA("XBB4",'binhba (2016)'!$A$3,"MA_HT","DXH","MA_QH","DCH")</f>
        <v>0</v>
      </c>
      <c r="AM38" s="74">
        <f>+GETPIVOTDATA("XBB4",'binhba (2016)'!$A$3,"MA_HT","DXH","MA_QH","DKG")</f>
        <v>0</v>
      </c>
      <c r="AN38" s="74">
        <f>+GETPIVOTDATA("XBB4",'binhba (2016)'!$A$3,"MA_HT","DXH","MA_QH","DDT")</f>
        <v>0</v>
      </c>
      <c r="AO38" s="74">
        <f>+GETPIVOTDATA("XBB4",'binhba (2016)'!$A$3,"MA_HT","DXH","MA_QH","DDL")</f>
        <v>0</v>
      </c>
      <c r="AP38" s="74">
        <f>+GETPIVOTDATA("XBB4",'binhba (2016)'!$A$3,"MA_HT","DXH","MA_QH","DRA")</f>
        <v>0</v>
      </c>
      <c r="AQ38" s="74">
        <f>+GETPIVOTDATA("XBB4",'binhba (2016)'!$A$3,"MA_HT","DXH","MA_QH","ONT")</f>
        <v>0</v>
      </c>
      <c r="AR38" s="74">
        <f>+GETPIVOTDATA("XBB4",'binhba (2016)'!$A$3,"MA_HT","DXH","MA_QH","ODT")</f>
        <v>0</v>
      </c>
      <c r="AS38" s="74">
        <f>+GETPIVOTDATA("XBB4",'binhba (2016)'!$A$3,"MA_HT","DXH","MA_QH","TSC")</f>
        <v>0</v>
      </c>
      <c r="AT38" s="74">
        <f>+GETPIVOTDATA("XBB4",'binhba (2016)'!$A$3,"MA_HT","DXH","MA_QH","DTS")</f>
        <v>0</v>
      </c>
      <c r="AU38" s="74">
        <f>+GETPIVOTDATA("XBB4",'binhba (2016)'!$A$3,"MA_HT","DXH","MA_QH","DNG")</f>
        <v>0</v>
      </c>
      <c r="AV38" s="74">
        <f>+GETPIVOTDATA("XBB4",'binhba (2016)'!$A$3,"MA_HT","DXH","MA_QH","TON")</f>
        <v>0</v>
      </c>
      <c r="AW38" s="74">
        <f>+GETPIVOTDATA("XBB4",'binhba (2016)'!$A$3,"MA_HT","DXH","MA_QH","NTD")</f>
        <v>0</v>
      </c>
      <c r="AX38" s="74">
        <f>+GETPIVOTDATA("XBB4",'binhba (2016)'!$A$3,"MA_HT","DXH","MA_QH","SKX")</f>
        <v>0</v>
      </c>
      <c r="AY38" s="74">
        <f>+GETPIVOTDATA("XBB4",'binhba (2016)'!$A$3,"MA_HT","DXH","MA_QH","DSH")</f>
        <v>0</v>
      </c>
      <c r="AZ38" s="74">
        <f>+GETPIVOTDATA("XBB4",'binhba (2016)'!$A$3,"MA_HT","DXH","MA_QH","DKV")</f>
        <v>0</v>
      </c>
      <c r="BA38" s="139">
        <f>+GETPIVOTDATA("XBB4",'binhba (2016)'!$A$3,"MA_HT","DXH","MA_QH","TIN")</f>
        <v>0</v>
      </c>
      <c r="BB38" s="74">
        <f>+GETPIVOTDATA("XBB4",'binhba (2016)'!$A$3,"MA_HT","DXH","MA_QH","SON")</f>
        <v>0</v>
      </c>
      <c r="BC38" s="74">
        <f>+GETPIVOTDATA("XBB4",'binhba (2016)'!$A$3,"MA_HT","DXH","MA_QH","MNC")</f>
        <v>0</v>
      </c>
      <c r="BD38" s="74">
        <f>+GETPIVOTDATA("XBB4",'binhba (2016)'!$A$3,"MA_HT","DXH","MA_QH","PNK")</f>
        <v>0</v>
      </c>
      <c r="BE38" s="102">
        <f>+GETPIVOTDATA("XBB4",'binhba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+GETPIVOTDATA("XBB4",'binhba (2016)'!$A$3,"MA_HT","DCH","MA_QH","LUC")</f>
        <v>0</v>
      </c>
      <c r="H39" s="74">
        <f>+GETPIVOTDATA("XBB4",'binhba (2016)'!$A$3,"MA_HT","DCH","MA_QH","LUK")</f>
        <v>0</v>
      </c>
      <c r="I39" s="74">
        <f>+GETPIVOTDATA("XBB4",'binhba (2016)'!$A$3,"MA_HT","DCH","MA_QH","LUN")</f>
        <v>0</v>
      </c>
      <c r="J39" s="74">
        <f>+GETPIVOTDATA("XBB4",'binhba (2016)'!$A$3,"MA_HT","DCH","MA_QH","HNK")</f>
        <v>0</v>
      </c>
      <c r="K39" s="74">
        <f>+GETPIVOTDATA("XBB4",'binhba (2016)'!$A$3,"MA_HT","DCH","MA_QH","CLN")</f>
        <v>0</v>
      </c>
      <c r="L39" s="74">
        <f>+GETPIVOTDATA("XBB4",'binhba (2016)'!$A$3,"MA_HT","DCH","MA_QH","RSX")</f>
        <v>0</v>
      </c>
      <c r="M39" s="74">
        <f>+GETPIVOTDATA("XBB4",'binhba (2016)'!$A$3,"MA_HT","DCH","MA_QH","RPH")</f>
        <v>0</v>
      </c>
      <c r="N39" s="74">
        <f>+GETPIVOTDATA("XBB4",'binhba (2016)'!$A$3,"MA_HT","DCH","MA_QH","RDD")</f>
        <v>0</v>
      </c>
      <c r="O39" s="74">
        <f>+GETPIVOTDATA("XBB4",'binhba (2016)'!$A$3,"MA_HT","DCH","MA_QH","NTS")</f>
        <v>0</v>
      </c>
      <c r="P39" s="74">
        <f>+GETPIVOTDATA("XBB4",'binhba (2016)'!$A$3,"MA_HT","DCH","MA_QH","LMU")</f>
        <v>0</v>
      </c>
      <c r="Q39" s="74">
        <f>+GETPIVOTDATA("XBB4",'binhba (2016)'!$A$3,"MA_HT","DCH","MA_QH","NKH")</f>
        <v>0</v>
      </c>
      <c r="R39" s="72">
        <f t="shared" si="20"/>
        <v>0</v>
      </c>
      <c r="S39" s="74">
        <f>+GETPIVOTDATA("XBB4",'binhba (2016)'!$A$3,"MA_HT","DCH","MA_QH","CQP")</f>
        <v>0</v>
      </c>
      <c r="T39" s="74">
        <f>+GETPIVOTDATA("XBB4",'binhba (2016)'!$A$3,"MA_HT","DCH","MA_QH","CAN")</f>
        <v>0</v>
      </c>
      <c r="U39" s="74">
        <f>+GETPIVOTDATA("XBB4",'binhba (2016)'!$A$3,"MA_HT","DCH","MA_QH","SKK")</f>
        <v>0</v>
      </c>
      <c r="V39" s="74">
        <f>+GETPIVOTDATA("XBB4",'binhba (2016)'!$A$3,"MA_HT","DCH","MA_QH","SKT")</f>
        <v>0</v>
      </c>
      <c r="W39" s="74">
        <f>+GETPIVOTDATA("XBB4",'binhba (2016)'!$A$3,"MA_HT","DCH","MA_QH","SKN")</f>
        <v>0</v>
      </c>
      <c r="X39" s="74">
        <f>+GETPIVOTDATA("XBB4",'binhba (2016)'!$A$3,"MA_HT","DCH","MA_QH","TMD")</f>
        <v>0</v>
      </c>
      <c r="Y39" s="74">
        <f>+GETPIVOTDATA("XBB4",'binhba (2016)'!$A$3,"MA_HT","DCH","MA_QH","SKC")</f>
        <v>0</v>
      </c>
      <c r="Z39" s="74">
        <f>+GETPIVOTDATA("XBB4",'binhba (2016)'!$A$3,"MA_HT","DCH","MA_QH","SKS")</f>
        <v>0</v>
      </c>
      <c r="AA39" s="64">
        <f>+SUM(AB39:AK39,AM39)</f>
        <v>0</v>
      </c>
      <c r="AB39" s="74">
        <f>+GETPIVOTDATA("XBB4",'binhba (2016)'!$A$3,"MA_HT","DCH","MA_QH","DGT")</f>
        <v>0</v>
      </c>
      <c r="AC39" s="74">
        <f>+GETPIVOTDATA("XBB4",'binhba (2016)'!$A$3,"MA_HT","DCH","MA_QH","DTL")</f>
        <v>0</v>
      </c>
      <c r="AD39" s="74">
        <f>+GETPIVOTDATA("XBB4",'binhba (2016)'!$A$3,"MA_HT","DCH","MA_QH","DNL")</f>
        <v>0</v>
      </c>
      <c r="AE39" s="74">
        <f>+GETPIVOTDATA("XBB4",'binhba (2016)'!$A$3,"MA_HT","DCH","MA_QH","DBV")</f>
        <v>0</v>
      </c>
      <c r="AF39" s="74">
        <f>+GETPIVOTDATA("XBB4",'binhba (2016)'!$A$3,"MA_HT","DCH","MA_QH","DVH")</f>
        <v>0</v>
      </c>
      <c r="AG39" s="74">
        <f>+GETPIVOTDATA("XBB4",'binhba (2016)'!$A$3,"MA_HT","DCH","MA_QH","DYT")</f>
        <v>0</v>
      </c>
      <c r="AH39" s="74">
        <f>+GETPIVOTDATA("XBB4",'binhba (2016)'!$A$3,"MA_HT","DCH","MA_QH","DGD")</f>
        <v>0</v>
      </c>
      <c r="AI39" s="74">
        <f>+GETPIVOTDATA("XBB4",'binhba (2016)'!$A$3,"MA_HT","DCH","MA_QH","DTT")</f>
        <v>0</v>
      </c>
      <c r="AJ39" s="74">
        <f>+GETPIVOTDATA("XBB4",'binhba (2016)'!$A$3,"MA_HT","DCH","MA_QH","NCK")</f>
        <v>0</v>
      </c>
      <c r="AK39" s="74">
        <f>+GETPIVOTDATA("XBB4",'binhba (2016)'!$A$3,"MA_HT","DCH","MA_QH","DXH")</f>
        <v>0</v>
      </c>
      <c r="AL39" s="100" t="e">
        <f>$D39-$BF39</f>
        <v>#REF!</v>
      </c>
      <c r="AM39" s="74">
        <f>+GETPIVOTDATA("XBB4",'binhba (2016)'!$A$3,"MA_HT","DXH","MA_QH","DKG")</f>
        <v>0</v>
      </c>
      <c r="AN39" s="74">
        <f>+GETPIVOTDATA("XBB4",'binhba (2016)'!$A$3,"MA_HT","DCH","MA_QH","DDT")</f>
        <v>0</v>
      </c>
      <c r="AO39" s="74">
        <f>+GETPIVOTDATA("XBB4",'binhba (2016)'!$A$3,"MA_HT","DCH","MA_QH","DDL")</f>
        <v>0</v>
      </c>
      <c r="AP39" s="74">
        <f>+GETPIVOTDATA("XBB4",'binhba (2016)'!$A$3,"MA_HT","DCH","MA_QH","DRA")</f>
        <v>0</v>
      </c>
      <c r="AQ39" s="74">
        <f>+GETPIVOTDATA("XBB4",'binhba (2016)'!$A$3,"MA_HT","DCH","MA_QH","ONT")</f>
        <v>0</v>
      </c>
      <c r="AR39" s="74">
        <f>+GETPIVOTDATA("XBB4",'binhba (2016)'!$A$3,"MA_HT","DCH","MA_QH","ODT")</f>
        <v>0</v>
      </c>
      <c r="AS39" s="74">
        <f>+GETPIVOTDATA("XBB4",'binhba (2016)'!$A$3,"MA_HT","DCH","MA_QH","TSC")</f>
        <v>0</v>
      </c>
      <c r="AT39" s="74">
        <f>+GETPIVOTDATA("XBB4",'binhba (2016)'!$A$3,"MA_HT","DCH","MA_QH","DTS")</f>
        <v>0</v>
      </c>
      <c r="AU39" s="74">
        <f>+GETPIVOTDATA("XBB4",'binhba (2016)'!$A$3,"MA_HT","DCH","MA_QH","DNG")</f>
        <v>0</v>
      </c>
      <c r="AV39" s="74">
        <f>+GETPIVOTDATA("XBB4",'binhba (2016)'!$A$3,"MA_HT","DCH","MA_QH","TON")</f>
        <v>0</v>
      </c>
      <c r="AW39" s="74">
        <f>+GETPIVOTDATA("XBB4",'binhba (2016)'!$A$3,"MA_HT","DCH","MA_QH","NTD")</f>
        <v>0</v>
      </c>
      <c r="AX39" s="74">
        <f>+GETPIVOTDATA("XBB4",'binhba (2016)'!$A$3,"MA_HT","DCH","MA_QH","SKX")</f>
        <v>0</v>
      </c>
      <c r="AY39" s="74">
        <f>+GETPIVOTDATA("XBB4",'binhba (2016)'!$A$3,"MA_HT","DCH","MA_QH","DSH")</f>
        <v>0</v>
      </c>
      <c r="AZ39" s="74">
        <f>+GETPIVOTDATA("XBB4",'binhba (2016)'!$A$3,"MA_HT","DCH","MA_QH","DKV")</f>
        <v>0</v>
      </c>
      <c r="BA39" s="139">
        <f>+GETPIVOTDATA("XBB4",'binhba (2016)'!$A$3,"MA_HT","DCH","MA_QH","TIN")</f>
        <v>0</v>
      </c>
      <c r="BB39" s="74">
        <f>+GETPIVOTDATA("XBB4",'binhba (2016)'!$A$3,"MA_HT","DCH","MA_QH","SON")</f>
        <v>0</v>
      </c>
      <c r="BC39" s="74">
        <f>+GETPIVOTDATA("XBB4",'binhba (2016)'!$A$3,"MA_HT","DCH","MA_QH","MNC")</f>
        <v>0</v>
      </c>
      <c r="BD39" s="74">
        <f>+GETPIVOTDATA("XBB4",'binhba (2016)'!$A$3,"MA_HT","DCH","MA_QH","PNK")</f>
        <v>0</v>
      </c>
      <c r="BE39" s="102">
        <f>+GETPIVOTDATA("XBB4",'binhba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+GETPIVOTDATA("XBB4",'binhba (2016)'!$A$3,"MA_HT","DKG","MA_QH","LUC")</f>
        <v>0</v>
      </c>
      <c r="H40" s="74">
        <f>+GETPIVOTDATA("XBB4",'binhba (2016)'!$A$3,"MA_HT","DKG","MA_QH","LUK")</f>
        <v>0</v>
      </c>
      <c r="I40" s="74">
        <f>+GETPIVOTDATA("XBB4",'binhba (2016)'!$A$3,"MA_HT","DKG","MA_QH","LUN")</f>
        <v>0</v>
      </c>
      <c r="J40" s="74">
        <f>+GETPIVOTDATA("XBB4",'binhba (2016)'!$A$3,"MA_HT","DKG","MA_QH","HNK")</f>
        <v>0</v>
      </c>
      <c r="K40" s="74">
        <f>+GETPIVOTDATA("XBB4",'binhba (2016)'!$A$3,"MA_HT","DKG","MA_QH","CLN")</f>
        <v>0</v>
      </c>
      <c r="L40" s="74">
        <f>+GETPIVOTDATA("XBB4",'binhba (2016)'!$A$3,"MA_HT","DKG","MA_QH","RSX")</f>
        <v>0</v>
      </c>
      <c r="M40" s="74">
        <f>+GETPIVOTDATA("XBB4",'binhba (2016)'!$A$3,"MA_HT","DKG","MA_QH","RPH")</f>
        <v>0</v>
      </c>
      <c r="N40" s="74">
        <f>+GETPIVOTDATA("XBB4",'binhba (2016)'!$A$3,"MA_HT","DKG","MA_QH","RDD")</f>
        <v>0</v>
      </c>
      <c r="O40" s="74">
        <f>+GETPIVOTDATA("XBB4",'binhba (2016)'!$A$3,"MA_HT","DKG","MA_QH","NTS")</f>
        <v>0</v>
      </c>
      <c r="P40" s="74">
        <f>+GETPIVOTDATA("XBB4",'binhba (2016)'!$A$3,"MA_HT","DKG","MA_QH","LMU")</f>
        <v>0</v>
      </c>
      <c r="Q40" s="74">
        <f>+GETPIVOTDATA("XBB4",'binhba (2016)'!$A$3,"MA_HT","DKG","MA_QH","NKH")</f>
        <v>0</v>
      </c>
      <c r="R40" s="72">
        <f>SUM(S40:AA40,AN40:BD40)</f>
        <v>0</v>
      </c>
      <c r="S40" s="74">
        <f>+GETPIVOTDATA("XBB4",'binhba (2016)'!$A$3,"MA_HT","DKG","MA_QH","CQP")</f>
        <v>0</v>
      </c>
      <c r="T40" s="74">
        <f>+GETPIVOTDATA("XBB4",'binhba (2016)'!$A$3,"MA_HT","DKG","MA_QH","CAN")</f>
        <v>0</v>
      </c>
      <c r="U40" s="74">
        <f>+GETPIVOTDATA("XBB4",'binhba (2016)'!$A$3,"MA_HT","DKG","MA_QH","SKK")</f>
        <v>0</v>
      </c>
      <c r="V40" s="74">
        <f>+GETPIVOTDATA("XBB4",'binhba (2016)'!$A$3,"MA_HT","DKG","MA_QH","SKT")</f>
        <v>0</v>
      </c>
      <c r="W40" s="74">
        <f>+GETPIVOTDATA("XBB4",'binhba (2016)'!$A$3,"MA_HT","DKG","MA_QH","SKN")</f>
        <v>0</v>
      </c>
      <c r="X40" s="74">
        <f>+GETPIVOTDATA("XBB4",'binhba (2016)'!$A$3,"MA_HT","DKG","MA_QH","TMD")</f>
        <v>0</v>
      </c>
      <c r="Y40" s="74">
        <f>+GETPIVOTDATA("XBB4",'binhba (2016)'!$A$3,"MA_HT","DKG","MA_QH","SKC")</f>
        <v>0</v>
      </c>
      <c r="Z40" s="74">
        <f>+GETPIVOTDATA("XBB4",'binhba (2016)'!$A$3,"MA_HT","DKG","MA_QH","SKS")</f>
        <v>0</v>
      </c>
      <c r="AA40" s="64">
        <f>+SUM(AB40:AL40)</f>
        <v>0</v>
      </c>
      <c r="AB40" s="74">
        <f>+GETPIVOTDATA("XBB4",'binhba (2016)'!$A$3,"MA_HT","DKG","MA_QH","DGT")</f>
        <v>0</v>
      </c>
      <c r="AC40" s="74">
        <f>+GETPIVOTDATA("XBB4",'binhba (2016)'!$A$3,"MA_HT","DKG","MA_QH","DTL")</f>
        <v>0</v>
      </c>
      <c r="AD40" s="74">
        <f>+GETPIVOTDATA("XBB4",'binhba (2016)'!$A$3,"MA_HT","DKG","MA_QH","DNL")</f>
        <v>0</v>
      </c>
      <c r="AE40" s="74">
        <f>+GETPIVOTDATA("XBB4",'binhba (2016)'!$A$3,"MA_HT","DKG","MA_QH","DBV")</f>
        <v>0</v>
      </c>
      <c r="AF40" s="74">
        <f>+GETPIVOTDATA("XBB4",'binhba (2016)'!$A$3,"MA_HT","DKG","MA_QH","DVH")</f>
        <v>0</v>
      </c>
      <c r="AG40" s="74">
        <f>+GETPIVOTDATA("XBB4",'binhba (2016)'!$A$3,"MA_HT","DKG","MA_QH","DYT")</f>
        <v>0</v>
      </c>
      <c r="AH40" s="74">
        <f>+GETPIVOTDATA("XBB4",'binhba (2016)'!$A$3,"MA_HT","DKG","MA_QH","DGD")</f>
        <v>0</v>
      </c>
      <c r="AI40" s="74">
        <f>+GETPIVOTDATA("XBB4",'binhba (2016)'!$A$3,"MA_HT","DKG","MA_QH","DTT")</f>
        <v>0</v>
      </c>
      <c r="AJ40" s="74">
        <f>+GETPIVOTDATA("XBB4",'binhba (2016)'!$A$3,"MA_HT","DKG","MA_QH","NCK")</f>
        <v>0</v>
      </c>
      <c r="AK40" s="74">
        <f>+GETPIVOTDATA("XBB4",'binhba (2016)'!$A$3,"MA_HT","DKG","MA_QH","DXH")</f>
        <v>0</v>
      </c>
      <c r="AL40" s="122">
        <f>+GETPIVOTDATA("XBB4",'binhba (2016)'!$A$3,"MA_HT","DDT","MA_QH","DKG")</f>
        <v>0</v>
      </c>
      <c r="AM40" s="100" t="e">
        <f>$D40-$BF40</f>
        <v>#REF!</v>
      </c>
      <c r="AN40" s="74">
        <f>+GETPIVOTDATA("XBB4",'binhba (2016)'!$A$3,"MA_HT","DKG","MA_QH","DDT")</f>
        <v>0</v>
      </c>
      <c r="AO40" s="74">
        <f>+GETPIVOTDATA("XBB4",'binhba (2016)'!$A$3,"MA_HT","DKG","MA_QH","DDL")</f>
        <v>0</v>
      </c>
      <c r="AP40" s="74">
        <f>+GETPIVOTDATA("XBB4",'binhba (2016)'!$A$3,"MA_HT","DKG","MA_QH","DRA")</f>
        <v>0</v>
      </c>
      <c r="AQ40" s="74">
        <f>+GETPIVOTDATA("XBB4",'binhba (2016)'!$A$3,"MA_HT","DKG","MA_QH","ONT")</f>
        <v>0</v>
      </c>
      <c r="AR40" s="74">
        <f>+GETPIVOTDATA("XBB4",'binhba (2016)'!$A$3,"MA_HT","DKG","MA_QH","ODT")</f>
        <v>0</v>
      </c>
      <c r="AS40" s="74">
        <f>+GETPIVOTDATA("XBB4",'binhba (2016)'!$A$3,"MA_HT","DKG","MA_QH","TSC")</f>
        <v>0</v>
      </c>
      <c r="AT40" s="74">
        <f>+GETPIVOTDATA("XBB4",'binhba (2016)'!$A$3,"MA_HT","DKG","MA_QH","DTS")</f>
        <v>0</v>
      </c>
      <c r="AU40" s="74">
        <f>+GETPIVOTDATA("XBB4",'binhba (2016)'!$A$3,"MA_HT","DKG","MA_QH","DNG")</f>
        <v>0</v>
      </c>
      <c r="AV40" s="74">
        <f>+GETPIVOTDATA("XBB4",'binhba (2016)'!$A$3,"MA_HT","DKG","MA_QH","TON")</f>
        <v>0</v>
      </c>
      <c r="AW40" s="74">
        <f>+GETPIVOTDATA("XBB4",'binhba (2016)'!$A$3,"MA_HT","DKG","MA_QH","NTD")</f>
        <v>0</v>
      </c>
      <c r="AX40" s="74">
        <f>+GETPIVOTDATA("XBB4",'binhba (2016)'!$A$3,"MA_HT","DKG","MA_QH","SKX")</f>
        <v>0</v>
      </c>
      <c r="AY40" s="74">
        <f>+GETPIVOTDATA("XBB4",'binhba (2016)'!$A$3,"MA_HT","DKG","MA_QH","DSH")</f>
        <v>0</v>
      </c>
      <c r="AZ40" s="74">
        <f>+GETPIVOTDATA("XBB4",'binhba (2016)'!$A$3,"MA_HT","DKG","MA_QH","DKV")</f>
        <v>0</v>
      </c>
      <c r="BA40" s="139">
        <f>+GETPIVOTDATA("XBB4",'binhba (2016)'!$A$3,"MA_HT","DKG","MA_QH","TIN")</f>
        <v>0</v>
      </c>
      <c r="BB40" s="74">
        <f>+GETPIVOTDATA("XBB4",'binhba (2016)'!$A$3,"MA_HT","DKG","MA_QH","SON")</f>
        <v>0</v>
      </c>
      <c r="BC40" s="74">
        <f>+GETPIVOTDATA("XBB4",'binhba (2016)'!$A$3,"MA_HT","DKG","MA_QH","MNC")</f>
        <v>0</v>
      </c>
      <c r="BD40" s="74">
        <f>+GETPIVOTDATA("XBB4",'binhba (2016)'!$A$3,"MA_HT","DKG","MA_QH","PNK")</f>
        <v>0</v>
      </c>
      <c r="BE40" s="102">
        <f>+GETPIVOTDATA("XBB4",'binhba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+GETPIVOTDATA("XBB4",'binhba (2016)'!$A$3,"MA_HT","DDT","MA_QH","LUC")</f>
        <v>0</v>
      </c>
      <c r="H41" s="122">
        <f>+GETPIVOTDATA("XBB4",'binhba (2016)'!$A$3,"MA_HT","DDT","MA_QH","LUK")</f>
        <v>0</v>
      </c>
      <c r="I41" s="122">
        <f>+GETPIVOTDATA("XBB4",'binhba (2016)'!$A$3,"MA_HT","DDT","MA_QH","LUN")</f>
        <v>0</v>
      </c>
      <c r="J41" s="122">
        <f>+GETPIVOTDATA("XBB4",'binhba (2016)'!$A$3,"MA_HT","DDT","MA_QH","HNK")</f>
        <v>0</v>
      </c>
      <c r="K41" s="122">
        <f>+GETPIVOTDATA("XBB4",'binhba (2016)'!$A$3,"MA_HT","DDT","MA_QH","CLN")</f>
        <v>0</v>
      </c>
      <c r="L41" s="122">
        <f>+GETPIVOTDATA("XBB4",'binhba (2016)'!$A$3,"MA_HT","DDT","MA_QH","RSX")</f>
        <v>0</v>
      </c>
      <c r="M41" s="122">
        <f>+GETPIVOTDATA("XBB4",'binhba (2016)'!$A$3,"MA_HT","DDT","MA_QH","RPH")</f>
        <v>0</v>
      </c>
      <c r="N41" s="122">
        <f>+GETPIVOTDATA("XBB4",'binhba (2016)'!$A$3,"MA_HT","DDT","MA_QH","RDD")</f>
        <v>0</v>
      </c>
      <c r="O41" s="122">
        <f>+GETPIVOTDATA("XBB4",'binhba (2016)'!$A$3,"MA_HT","DDT","MA_QH","NTS")</f>
        <v>0</v>
      </c>
      <c r="P41" s="122">
        <f>+GETPIVOTDATA("XBB4",'binhba (2016)'!$A$3,"MA_HT","DDT","MA_QH","LMU")</f>
        <v>0</v>
      </c>
      <c r="Q41" s="122">
        <f>+GETPIVOTDATA("XBB4",'binhba (2016)'!$A$3,"MA_HT","DDT","MA_QH","NKH")</f>
        <v>0</v>
      </c>
      <c r="R41" s="123">
        <f>SUM(S41:AA41,AO41:BD41)</f>
        <v>0</v>
      </c>
      <c r="S41" s="122">
        <f>+GETPIVOTDATA("XBB4",'binhba (2016)'!$A$3,"MA_HT","DDT","MA_QH","CQP")</f>
        <v>0</v>
      </c>
      <c r="T41" s="122">
        <f>+GETPIVOTDATA("XBB4",'binhba (2016)'!$A$3,"MA_HT","DDT","MA_QH","CAN")</f>
        <v>0</v>
      </c>
      <c r="U41" s="122">
        <f>+GETPIVOTDATA("XBB4",'binhba (2016)'!$A$3,"MA_HT","DDT","MA_QH","SKK")</f>
        <v>0</v>
      </c>
      <c r="V41" s="122">
        <f>+GETPIVOTDATA("XBB4",'binhba (2016)'!$A$3,"MA_HT","DDT","MA_QH","SKT")</f>
        <v>0</v>
      </c>
      <c r="W41" s="122">
        <f>+GETPIVOTDATA("XBB4",'binhba (2016)'!$A$3,"MA_HT","DDT","MA_QH","SKN")</f>
        <v>0</v>
      </c>
      <c r="X41" s="122">
        <f>+GETPIVOTDATA("XBB4",'binhba (2016)'!$A$3,"MA_HT","DDT","MA_QH","TMD")</f>
        <v>0</v>
      </c>
      <c r="Y41" s="122">
        <f>+GETPIVOTDATA("XBB4",'binhba (2016)'!$A$3,"MA_HT","DDT","MA_QH","SKC")</f>
        <v>0</v>
      </c>
      <c r="Z41" s="122">
        <f>+GETPIVOTDATA("XBB4",'binhba (2016)'!$A$3,"MA_HT","DDT","MA_QH","SKS")</f>
        <v>0</v>
      </c>
      <c r="AA41" s="121">
        <f t="shared" ref="AA41:AA58" si="21">+SUM(AB41:AM41)</f>
        <v>0</v>
      </c>
      <c r="AB41" s="122">
        <f>+GETPIVOTDATA("XBB4",'binhba (2016)'!$A$3,"MA_HT","DDT","MA_QH","DGT")</f>
        <v>0</v>
      </c>
      <c r="AC41" s="122">
        <f>+GETPIVOTDATA("XBB4",'binhba (2016)'!$A$3,"MA_HT","DDT","MA_QH","DTL")</f>
        <v>0</v>
      </c>
      <c r="AD41" s="122">
        <f>+GETPIVOTDATA("XBB4",'binhba (2016)'!$A$3,"MA_HT","DDT","MA_QH","DNL")</f>
        <v>0</v>
      </c>
      <c r="AE41" s="122">
        <f>+GETPIVOTDATA("XBB4",'binhba (2016)'!$A$3,"MA_HT","DDT","MA_QH","DBV")</f>
        <v>0</v>
      </c>
      <c r="AF41" s="122">
        <f>+GETPIVOTDATA("XBB4",'binhba (2016)'!$A$3,"MA_HT","DDT","MA_QH","DVH")</f>
        <v>0</v>
      </c>
      <c r="AG41" s="122">
        <f>+GETPIVOTDATA("XBB4",'binhba (2016)'!$A$3,"MA_HT","DDT","MA_QH","DYT")</f>
        <v>0</v>
      </c>
      <c r="AH41" s="122">
        <f>+GETPIVOTDATA("XBB4",'binhba (2016)'!$A$3,"MA_HT","DDT","MA_QH","DGD")</f>
        <v>0</v>
      </c>
      <c r="AI41" s="122">
        <f>+GETPIVOTDATA("XBB4",'binhba (2016)'!$A$3,"MA_HT","DDT","MA_QH","DTT")</f>
        <v>0</v>
      </c>
      <c r="AJ41" s="122">
        <f>+GETPIVOTDATA("XBB4",'binhba (2016)'!$A$3,"MA_HT","DDT","MA_QH","NCK")</f>
        <v>0</v>
      </c>
      <c r="AK41" s="122">
        <f>+GETPIVOTDATA("XBB4",'binhba (2016)'!$A$3,"MA_HT","DDT","MA_QH","DXH")</f>
        <v>0</v>
      </c>
      <c r="AL41" s="122">
        <f>+GETPIVOTDATA("XBB4",'binhba (2016)'!$A$3,"MA_HT","DDT","MA_QH","DCH")</f>
        <v>0</v>
      </c>
      <c r="AM41" s="122">
        <f>+GETPIVOTDATA("XBB4",'binhba (2016)'!$A$3,"MA_HT","DDT","MA_QH","DKG")</f>
        <v>0</v>
      </c>
      <c r="AN41" s="124" t="e">
        <f>$D41-$BF41</f>
        <v>#REF!</v>
      </c>
      <c r="AO41" s="122">
        <f>+GETPIVOTDATA("XBB4",'binhba (2016)'!$A$3,"MA_HT","DDT","MA_QH","DDL")</f>
        <v>0</v>
      </c>
      <c r="AP41" s="122">
        <f>+GETPIVOTDATA("XBB4",'binhba (2016)'!$A$3,"MA_HT","DDT","MA_QH","DRA")</f>
        <v>0</v>
      </c>
      <c r="AQ41" s="122">
        <f>+GETPIVOTDATA("XBB4",'binhba (2016)'!$A$3,"MA_HT","DDT","MA_QH","ONT")</f>
        <v>0</v>
      </c>
      <c r="AR41" s="122">
        <f>+GETPIVOTDATA("XBB4",'binhba (2016)'!$A$3,"MA_HT","DDT","MA_QH","ODT")</f>
        <v>0</v>
      </c>
      <c r="AS41" s="122">
        <f>+GETPIVOTDATA("XBB4",'binhba (2016)'!$A$3,"MA_HT","DDT","MA_QH","TSC")</f>
        <v>0</v>
      </c>
      <c r="AT41" s="122">
        <f>+GETPIVOTDATA("XBB4",'binhba (2016)'!$A$3,"MA_HT","DDT","MA_QH","DTS")</f>
        <v>0</v>
      </c>
      <c r="AU41" s="122">
        <f>+GETPIVOTDATA("XBB4",'binhba (2016)'!$A$3,"MA_HT","DDT","MA_QH","DNG")</f>
        <v>0</v>
      </c>
      <c r="AV41" s="122">
        <f>+GETPIVOTDATA("XBB4",'binhba (2016)'!$A$3,"MA_HT","DDT","MA_QH","TON")</f>
        <v>0</v>
      </c>
      <c r="AW41" s="122">
        <f>+GETPIVOTDATA("XBB4",'binhba (2016)'!$A$3,"MA_HT","DDT","MA_QH","NTD")</f>
        <v>0</v>
      </c>
      <c r="AX41" s="122">
        <f>+GETPIVOTDATA("XBB4",'binhba (2016)'!$A$3,"MA_HT","DDT","MA_QH","SKX")</f>
        <v>0</v>
      </c>
      <c r="AY41" s="122">
        <f>+GETPIVOTDATA("XBB4",'binhba (2016)'!$A$3,"MA_HT","DDT","MA_QH","DSH")</f>
        <v>0</v>
      </c>
      <c r="AZ41" s="122">
        <f>+GETPIVOTDATA("XBB4",'binhba (2016)'!$A$3,"MA_HT","DDT","MA_QH","DKV")</f>
        <v>0</v>
      </c>
      <c r="BA41" s="141">
        <f>+GETPIVOTDATA("XBB4",'binhba (2016)'!$A$3,"MA_HT","DDT","MA_QH","TIN")</f>
        <v>0</v>
      </c>
      <c r="BB41" s="125">
        <f>+GETPIVOTDATA("XBB4",'binhba (2016)'!$A$3,"MA_HT","DDT","MA_QH","SON")</f>
        <v>0</v>
      </c>
      <c r="BC41" s="125">
        <f>+GETPIVOTDATA("XBB4",'binhba (2016)'!$A$3,"MA_HT","DDT","MA_QH","MNC")</f>
        <v>0</v>
      </c>
      <c r="BD41" s="122">
        <f>+GETPIVOTDATA("XBB4",'binhba (2016)'!$A$3,"MA_HT","DDT","MA_QH","PNK")</f>
        <v>0</v>
      </c>
      <c r="BE41" s="126">
        <f>+GETPIVOTDATA("XBB4",'binhba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+GETPIVOTDATA("XBB4",'binhba (2016)'!$A$3,"MA_HT","DDL","MA_QH","LUC")</f>
        <v>0</v>
      </c>
      <c r="H42" s="35">
        <f>+GETPIVOTDATA("XBB4",'binhba (2016)'!$A$3,"MA_HT","DDL","MA_QH","LUK")</f>
        <v>0</v>
      </c>
      <c r="I42" s="35">
        <f>+GETPIVOTDATA("XBB4",'binhba (2016)'!$A$3,"MA_HT","DDL","MA_QH","LUN")</f>
        <v>0</v>
      </c>
      <c r="J42" s="35">
        <f>+GETPIVOTDATA("XBB4",'binhba (2016)'!$A$3,"MA_HT","DDL","MA_QH","HNK")</f>
        <v>0</v>
      </c>
      <c r="K42" s="35">
        <f>+GETPIVOTDATA("XBB4",'binhba (2016)'!$A$3,"MA_HT","DDL","MA_QH","CLN")</f>
        <v>0</v>
      </c>
      <c r="L42" s="35">
        <f>+GETPIVOTDATA("XBB4",'binhba (2016)'!$A$3,"MA_HT","DDL","MA_QH","RSX")</f>
        <v>0</v>
      </c>
      <c r="M42" s="35">
        <f>+GETPIVOTDATA("XBB4",'binhba (2016)'!$A$3,"MA_HT","DDL","MA_QH","RPH")</f>
        <v>0</v>
      </c>
      <c r="N42" s="35">
        <f>+GETPIVOTDATA("XBB4",'binhba (2016)'!$A$3,"MA_HT","DDL","MA_QH","RDD")</f>
        <v>0</v>
      </c>
      <c r="O42" s="35">
        <f>+GETPIVOTDATA("XBB4",'binhba (2016)'!$A$3,"MA_HT","DDL","MA_QH","NTS")</f>
        <v>0</v>
      </c>
      <c r="P42" s="35">
        <f>+GETPIVOTDATA("XBB4",'binhba (2016)'!$A$3,"MA_HT","DDL","MA_QH","LMU")</f>
        <v>0</v>
      </c>
      <c r="Q42" s="35">
        <f>+GETPIVOTDATA("XBB4",'binhba (2016)'!$A$3,"MA_HT","DDL","MA_QH","NKH")</f>
        <v>0</v>
      </c>
      <c r="R42" s="106">
        <f>SUM(S42:AA42,AN42,AP42:BD42)</f>
        <v>0</v>
      </c>
      <c r="S42" s="35">
        <f>+GETPIVOTDATA("XBB4",'binhba (2016)'!$A$3,"MA_HT","DDL","MA_QH","CQP")</f>
        <v>0</v>
      </c>
      <c r="T42" s="35">
        <f>+GETPIVOTDATA("XBB4",'binhba (2016)'!$A$3,"MA_HT","DDL","MA_QH","CAN")</f>
        <v>0</v>
      </c>
      <c r="U42" s="35">
        <f>+GETPIVOTDATA("XBB4",'binhba (2016)'!$A$3,"MA_HT","DDL","MA_QH","SKK")</f>
        <v>0</v>
      </c>
      <c r="V42" s="35">
        <f>+GETPIVOTDATA("XBB4",'binhba (2016)'!$A$3,"MA_HT","DDL","MA_QH","SKT")</f>
        <v>0</v>
      </c>
      <c r="W42" s="35">
        <f>+GETPIVOTDATA("XBB4",'binhba (2016)'!$A$3,"MA_HT","DDL","MA_QH","SKN")</f>
        <v>0</v>
      </c>
      <c r="X42" s="35">
        <f>+GETPIVOTDATA("XBB4",'binhba (2016)'!$A$3,"MA_HT","DDL","MA_QH","TMD")</f>
        <v>0</v>
      </c>
      <c r="Y42" s="35">
        <f>+GETPIVOTDATA("XBB4",'binhba (2016)'!$A$3,"MA_HT","DDL","MA_QH","SKC")</f>
        <v>0</v>
      </c>
      <c r="Z42" s="35">
        <f>+GETPIVOTDATA("XBB4",'binhba (2016)'!$A$3,"MA_HT","DDL","MA_QH","SKS")</f>
        <v>0</v>
      </c>
      <c r="AA42" s="64">
        <f t="shared" si="21"/>
        <v>0</v>
      </c>
      <c r="AB42" s="35">
        <f>+GETPIVOTDATA("XBB4",'binhba (2016)'!$A$3,"MA_HT","DDL","MA_QH","DGT")</f>
        <v>0</v>
      </c>
      <c r="AC42" s="35">
        <f>+GETPIVOTDATA("XBB4",'binhba (2016)'!$A$3,"MA_HT","DDL","MA_QH","DTL")</f>
        <v>0</v>
      </c>
      <c r="AD42" s="35">
        <f>+GETPIVOTDATA("XBB4",'binhba (2016)'!$A$3,"MA_HT","DDL","MA_QH","DNL")</f>
        <v>0</v>
      </c>
      <c r="AE42" s="35">
        <f>+GETPIVOTDATA("XBB4",'binhba (2016)'!$A$3,"MA_HT","DDL","MA_QH","DBV")</f>
        <v>0</v>
      </c>
      <c r="AF42" s="35">
        <f>+GETPIVOTDATA("XBB4",'binhba (2016)'!$A$3,"MA_HT","DDL","MA_QH","DVH")</f>
        <v>0</v>
      </c>
      <c r="AG42" s="35">
        <f>+GETPIVOTDATA("XBB4",'binhba (2016)'!$A$3,"MA_HT","DDL","MA_QH","DYT")</f>
        <v>0</v>
      </c>
      <c r="AH42" s="35">
        <f>+GETPIVOTDATA("XBB4",'binhba (2016)'!$A$3,"MA_HT","DDL","MA_QH","DGD")</f>
        <v>0</v>
      </c>
      <c r="AI42" s="35">
        <f>+GETPIVOTDATA("XBB4",'binhba (2016)'!$A$3,"MA_HT","DDL","MA_QH","DTT")</f>
        <v>0</v>
      </c>
      <c r="AJ42" s="35">
        <f>+GETPIVOTDATA("XBB4",'binhba (2016)'!$A$3,"MA_HT","DDL","MA_QH","NCK")</f>
        <v>0</v>
      </c>
      <c r="AK42" s="35">
        <f>+GETPIVOTDATA("XBB4",'binhba (2016)'!$A$3,"MA_HT","DDL","MA_QH","DXH")</f>
        <v>0</v>
      </c>
      <c r="AL42" s="35">
        <f>+GETPIVOTDATA("XBB4",'binhba (2016)'!$A$3,"MA_HT","DDL","MA_QH","DCH")</f>
        <v>0</v>
      </c>
      <c r="AM42" s="35">
        <f>+GETPIVOTDATA("XBB4",'binhba (2016)'!$A$3,"MA_HT","DDL","MA_QH","DKG")</f>
        <v>0</v>
      </c>
      <c r="AN42" s="35">
        <f>+GETPIVOTDATA("XBB4",'binhba (2016)'!$A$3,"MA_HT","DDL","MA_QH","DDT")</f>
        <v>0</v>
      </c>
      <c r="AO42" s="99" t="e">
        <f>$D42-$BF42</f>
        <v>#REF!</v>
      </c>
      <c r="AP42" s="35">
        <f>+GETPIVOTDATA("XBB4",'binhba (2016)'!$A$3,"MA_HT","DDL","MA_QH","DRA")</f>
        <v>0</v>
      </c>
      <c r="AQ42" s="35">
        <f>+GETPIVOTDATA("XBB4",'binhba (2016)'!$A$3,"MA_HT","DDL","MA_QH","ONT")</f>
        <v>0</v>
      </c>
      <c r="AR42" s="35">
        <f>+GETPIVOTDATA("XBB4",'binhba (2016)'!$A$3,"MA_HT","DDL","MA_QH","ODT")</f>
        <v>0</v>
      </c>
      <c r="AS42" s="35">
        <f>+GETPIVOTDATA("XBB4",'binhba (2016)'!$A$3,"MA_HT","DDL","MA_QH","TSC")</f>
        <v>0</v>
      </c>
      <c r="AT42" s="35">
        <f>+GETPIVOTDATA("XBB4",'binhba (2016)'!$A$3,"MA_HT","DDL","MA_QH","DTS")</f>
        <v>0</v>
      </c>
      <c r="AU42" s="35">
        <f>+GETPIVOTDATA("XBB4",'binhba (2016)'!$A$3,"MA_HT","DDL","MA_QH","DNG")</f>
        <v>0</v>
      </c>
      <c r="AV42" s="35">
        <f>+GETPIVOTDATA("XBB4",'binhba (2016)'!$A$3,"MA_HT","DDL","MA_QH","TON")</f>
        <v>0</v>
      </c>
      <c r="AW42" s="35">
        <f>+GETPIVOTDATA("XBB4",'binhba (2016)'!$A$3,"MA_HT","DDL","MA_QH","NTD")</f>
        <v>0</v>
      </c>
      <c r="AX42" s="35">
        <f>+GETPIVOTDATA("XBB4",'binhba (2016)'!$A$3,"MA_HT","DDL","MA_QH","SKX")</f>
        <v>0</v>
      </c>
      <c r="AY42" s="35">
        <f>+GETPIVOTDATA("XBB4",'binhba (2016)'!$A$3,"MA_HT","DDL","MA_QH","DSH")</f>
        <v>0</v>
      </c>
      <c r="AZ42" s="35">
        <f>+GETPIVOTDATA("XBB4",'binhba (2016)'!$A$3,"MA_HT","DDL","MA_QH","DKV")</f>
        <v>0</v>
      </c>
      <c r="BA42" s="140">
        <f>+GETPIVOTDATA("XBB4",'binhba (2016)'!$A$3,"MA_HT","DDL","MA_QH","TIN")</f>
        <v>0</v>
      </c>
      <c r="BB42" s="74">
        <f>+GETPIVOTDATA("XBB4",'binhba (2016)'!$A$3,"MA_HT","DDL","MA_QH","SON")</f>
        <v>0</v>
      </c>
      <c r="BC42" s="74">
        <f>+GETPIVOTDATA("XBB4",'binhba (2016)'!$A$3,"MA_HT","DDL","MA_QH","MNC")</f>
        <v>0</v>
      </c>
      <c r="BD42" s="35">
        <f>+GETPIVOTDATA("XBB4",'binhba (2016)'!$A$3,"MA_HT","DDL","MA_QH","PNK")</f>
        <v>0</v>
      </c>
      <c r="BE42" s="58">
        <f>+GETPIVOTDATA("XBB4",'binhba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+GETPIVOTDATA("XBB4",'binhba (2016)'!$A$3,"MA_HT","DRA","MA_QH","LUC")</f>
        <v>0</v>
      </c>
      <c r="H43" s="35">
        <f>+GETPIVOTDATA("XBB4",'binhba (2016)'!$A$3,"MA_HT","DRA","MA_QH","LUK")</f>
        <v>0</v>
      </c>
      <c r="I43" s="35">
        <f>+GETPIVOTDATA("XBB4",'binhba (2016)'!$A$3,"MA_HT","DRA","MA_QH","LUN")</f>
        <v>0</v>
      </c>
      <c r="J43" s="35">
        <f>+GETPIVOTDATA("XBB4",'binhba (2016)'!$A$3,"MA_HT","DRA","MA_QH","HNK")</f>
        <v>0</v>
      </c>
      <c r="K43" s="35">
        <f>+GETPIVOTDATA("XBB4",'binhba (2016)'!$A$3,"MA_HT","DRA","MA_QH","CLN")</f>
        <v>0</v>
      </c>
      <c r="L43" s="35">
        <f>+GETPIVOTDATA("XBB4",'binhba (2016)'!$A$3,"MA_HT","DRA","MA_QH","RSX")</f>
        <v>0</v>
      </c>
      <c r="M43" s="35">
        <f>+GETPIVOTDATA("XBB4",'binhba (2016)'!$A$3,"MA_HT","DRA","MA_QH","RPH")</f>
        <v>0</v>
      </c>
      <c r="N43" s="35">
        <f>+GETPIVOTDATA("XBB4",'binhba (2016)'!$A$3,"MA_HT","DRA","MA_QH","RDD")</f>
        <v>0</v>
      </c>
      <c r="O43" s="35">
        <f>+GETPIVOTDATA("XBB4",'binhba (2016)'!$A$3,"MA_HT","DRA","MA_QH","NTS")</f>
        <v>0</v>
      </c>
      <c r="P43" s="35">
        <f>+GETPIVOTDATA("XBB4",'binhba (2016)'!$A$3,"MA_HT","DRA","MA_QH","LMU")</f>
        <v>0</v>
      </c>
      <c r="Q43" s="35">
        <f>+GETPIVOTDATA("XBB4",'binhba (2016)'!$A$3,"MA_HT","DRA","MA_QH","NKH")</f>
        <v>0</v>
      </c>
      <c r="R43" s="106">
        <f>SUM(S43:AA43,AN43:AO43,AQ43:BD43)</f>
        <v>0</v>
      </c>
      <c r="S43" s="35">
        <f>+GETPIVOTDATA("XBB4",'binhba (2016)'!$A$3,"MA_HT","DRA","MA_QH","CQP")</f>
        <v>0</v>
      </c>
      <c r="T43" s="35">
        <f>+GETPIVOTDATA("XBB4",'binhba (2016)'!$A$3,"MA_HT","DRA","MA_QH","CAN")</f>
        <v>0</v>
      </c>
      <c r="U43" s="35">
        <f>+GETPIVOTDATA("XBB4",'binhba (2016)'!$A$3,"MA_HT","DRA","MA_QH","SKK")</f>
        <v>0</v>
      </c>
      <c r="V43" s="35">
        <f>+GETPIVOTDATA("XBB4",'binhba (2016)'!$A$3,"MA_HT","DRA","MA_QH","SKT")</f>
        <v>0</v>
      </c>
      <c r="W43" s="35">
        <f>+GETPIVOTDATA("XBB4",'binhba (2016)'!$A$3,"MA_HT","DRA","MA_QH","SKN")</f>
        <v>0</v>
      </c>
      <c r="X43" s="35">
        <f>+GETPIVOTDATA("XBB4",'binhba (2016)'!$A$3,"MA_HT","DRA","MA_QH","TMD")</f>
        <v>0</v>
      </c>
      <c r="Y43" s="35">
        <f>+GETPIVOTDATA("XBB4",'binhba (2016)'!$A$3,"MA_HT","DRA","MA_QH","SKC")</f>
        <v>0</v>
      </c>
      <c r="Z43" s="35">
        <f>+GETPIVOTDATA("XBB4",'binhba (2016)'!$A$3,"MA_HT","DRA","MA_QH","SKS")</f>
        <v>0</v>
      </c>
      <c r="AA43" s="64">
        <f t="shared" si="21"/>
        <v>0</v>
      </c>
      <c r="AB43" s="35">
        <f>+GETPIVOTDATA("XBB4",'binhba (2016)'!$A$3,"MA_HT","DRA","MA_QH","DGT")</f>
        <v>0</v>
      </c>
      <c r="AC43" s="35">
        <f>+GETPIVOTDATA("XBB4",'binhba (2016)'!$A$3,"MA_HT","DRA","MA_QH","DTL")</f>
        <v>0</v>
      </c>
      <c r="AD43" s="35">
        <f>+GETPIVOTDATA("XBB4",'binhba (2016)'!$A$3,"MA_HT","DRA","MA_QH","DNL")</f>
        <v>0</v>
      </c>
      <c r="AE43" s="35">
        <f>+GETPIVOTDATA("XBB4",'binhba (2016)'!$A$3,"MA_HT","DRA","MA_QH","DBV")</f>
        <v>0</v>
      </c>
      <c r="AF43" s="35">
        <f>+GETPIVOTDATA("XBB4",'binhba (2016)'!$A$3,"MA_HT","DRA","MA_QH","DVH")</f>
        <v>0</v>
      </c>
      <c r="AG43" s="35">
        <f>+GETPIVOTDATA("XBB4",'binhba (2016)'!$A$3,"MA_HT","DRA","MA_QH","DYT")</f>
        <v>0</v>
      </c>
      <c r="AH43" s="35">
        <f>+GETPIVOTDATA("XBB4",'binhba (2016)'!$A$3,"MA_HT","DRA","MA_QH","DGD")</f>
        <v>0</v>
      </c>
      <c r="AI43" s="35">
        <f>+GETPIVOTDATA("XBB4",'binhba (2016)'!$A$3,"MA_HT","DRA","MA_QH","DTT")</f>
        <v>0</v>
      </c>
      <c r="AJ43" s="35">
        <f>+GETPIVOTDATA("XBB4",'binhba (2016)'!$A$3,"MA_HT","DRA","MA_QH","NCK")</f>
        <v>0</v>
      </c>
      <c r="AK43" s="35">
        <f>+GETPIVOTDATA("XBB4",'binhba (2016)'!$A$3,"MA_HT","DRA","MA_QH","DXH")</f>
        <v>0</v>
      </c>
      <c r="AL43" s="35">
        <f>+GETPIVOTDATA("XBB4",'binhba (2016)'!$A$3,"MA_HT","DRA","MA_QH","DCH")</f>
        <v>0</v>
      </c>
      <c r="AM43" s="35">
        <f>+GETPIVOTDATA("XBB4",'binhba (2016)'!$A$3,"MA_HT","DRA","MA_QH","DKG")</f>
        <v>0</v>
      </c>
      <c r="AN43" s="35">
        <f>+GETPIVOTDATA("XBB4",'binhba (2016)'!$A$3,"MA_HT","DRA","MA_QH","DDT")</f>
        <v>0</v>
      </c>
      <c r="AO43" s="35">
        <f>+GETPIVOTDATA("XBB4",'binhba (2016)'!$A$3,"MA_HT","DRA","MA_QH","DDL")</f>
        <v>0</v>
      </c>
      <c r="AP43" s="99" t="e">
        <f>$D43-$BF43</f>
        <v>#REF!</v>
      </c>
      <c r="AQ43" s="35">
        <f>+GETPIVOTDATA("XBB4",'binhba (2016)'!$A$3,"MA_HT","DRA","MA_QH","ONT")</f>
        <v>0</v>
      </c>
      <c r="AR43" s="35">
        <f>+GETPIVOTDATA("XBB4",'binhba (2016)'!$A$3,"MA_HT","DRA","MA_QH","ODT")</f>
        <v>0</v>
      </c>
      <c r="AS43" s="35">
        <f>+GETPIVOTDATA("XBB4",'binhba (2016)'!$A$3,"MA_HT","DRA","MA_QH","TSC")</f>
        <v>0</v>
      </c>
      <c r="AT43" s="35">
        <f>+GETPIVOTDATA("XBB4",'binhba (2016)'!$A$3,"MA_HT","DRA","MA_QH","DTS")</f>
        <v>0</v>
      </c>
      <c r="AU43" s="35">
        <f>+GETPIVOTDATA("XBB4",'binhba (2016)'!$A$3,"MA_HT","DRA","MA_QH","DNG")</f>
        <v>0</v>
      </c>
      <c r="AV43" s="35">
        <f>+GETPIVOTDATA("XBB4",'binhba (2016)'!$A$3,"MA_HT","DRA","MA_QH","TON")</f>
        <v>0</v>
      </c>
      <c r="AW43" s="35">
        <f>+GETPIVOTDATA("XBB4",'binhba (2016)'!$A$3,"MA_HT","DRA","MA_QH","NTD")</f>
        <v>0</v>
      </c>
      <c r="AX43" s="35">
        <f>+GETPIVOTDATA("XBB4",'binhba (2016)'!$A$3,"MA_HT","DRA","MA_QH","SKX")</f>
        <v>0</v>
      </c>
      <c r="AY43" s="35">
        <f>+GETPIVOTDATA("XBB4",'binhba (2016)'!$A$3,"MA_HT","DRA","MA_QH","DSH")</f>
        <v>0</v>
      </c>
      <c r="AZ43" s="35">
        <f>+GETPIVOTDATA("XBB4",'binhba (2016)'!$A$3,"MA_HT","DRA","MA_QH","DKV")</f>
        <v>0</v>
      </c>
      <c r="BA43" s="140">
        <f>+GETPIVOTDATA("XBB4",'binhba (2016)'!$A$3,"MA_HT","DRA","MA_QH","TIN")</f>
        <v>0</v>
      </c>
      <c r="BB43" s="74">
        <f>+GETPIVOTDATA("XBB4",'binhba (2016)'!$A$3,"MA_HT","DRA","MA_QH","SON")</f>
        <v>0</v>
      </c>
      <c r="BC43" s="74">
        <f>+GETPIVOTDATA("XBB4",'binhba (2016)'!$A$3,"MA_HT","DRA","MA_QH","MNC")</f>
        <v>0</v>
      </c>
      <c r="BD43" s="35">
        <f>+GETPIVOTDATA("XBB4",'binhba (2016)'!$A$3,"MA_HT","DRA","MA_QH","PNK")</f>
        <v>0</v>
      </c>
      <c r="BE43" s="58">
        <f>+GETPIVOTDATA("XBB4",'binhba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+GETPIVOTDATA("XBB4",'binhba (2016)'!$A$3,"MA_HT","ONT","MA_QH","LUC")</f>
        <v>0</v>
      </c>
      <c r="H44" s="35">
        <f>+GETPIVOTDATA("XBB4",'binhba (2016)'!$A$3,"MA_HT","ONT","MA_QH","LUK")</f>
        <v>0</v>
      </c>
      <c r="I44" s="35">
        <f>+GETPIVOTDATA("XBB4",'binhba (2016)'!$A$3,"MA_HT","ONT","MA_QH","LUN")</f>
        <v>0</v>
      </c>
      <c r="J44" s="35">
        <f>+GETPIVOTDATA("XBB4",'binhba (2016)'!$A$3,"MA_HT","ONT","MA_QH","HNK")</f>
        <v>0</v>
      </c>
      <c r="K44" s="35">
        <f>+GETPIVOTDATA("XBB4",'binhba (2016)'!$A$3,"MA_HT","ONT","MA_QH","CLN")</f>
        <v>0</v>
      </c>
      <c r="L44" s="35">
        <f>+GETPIVOTDATA("XBB4",'binhba (2016)'!$A$3,"MA_HT","ONT","MA_QH","RSX")</f>
        <v>0</v>
      </c>
      <c r="M44" s="35">
        <f>+GETPIVOTDATA("XBB4",'binhba (2016)'!$A$3,"MA_HT","ONT","MA_QH","RPH")</f>
        <v>0</v>
      </c>
      <c r="N44" s="35">
        <f>+GETPIVOTDATA("XBB4",'binhba (2016)'!$A$3,"MA_HT","ONT","MA_QH","RDD")</f>
        <v>0</v>
      </c>
      <c r="O44" s="35">
        <f>+GETPIVOTDATA("XBB4",'binhba (2016)'!$A$3,"MA_HT","ONT","MA_QH","NTS")</f>
        <v>0</v>
      </c>
      <c r="P44" s="35">
        <f>+GETPIVOTDATA("XBB4",'binhba (2016)'!$A$3,"MA_HT","ONT","MA_QH","LMU")</f>
        <v>0</v>
      </c>
      <c r="Q44" s="35">
        <f>+GETPIVOTDATA("XBB4",'binhba (2016)'!$A$3,"MA_HT","ONT","MA_QH","NKH")</f>
        <v>0</v>
      </c>
      <c r="R44" s="106">
        <f>SUM(S44:AA44,AN44:AP44,AR44:BD44)</f>
        <v>0</v>
      </c>
      <c r="S44" s="35">
        <f>+GETPIVOTDATA("XBB4",'binhba (2016)'!$A$3,"MA_HT","ONT","MA_QH","CQP")</f>
        <v>0</v>
      </c>
      <c r="T44" s="35">
        <f>+GETPIVOTDATA("XBB4",'binhba (2016)'!$A$3,"MA_HT","ONT","MA_QH","CAN")</f>
        <v>0</v>
      </c>
      <c r="U44" s="35">
        <f>+GETPIVOTDATA("XBB4",'binhba (2016)'!$A$3,"MA_HT","ONT","MA_QH","SKK")</f>
        <v>0</v>
      </c>
      <c r="V44" s="35">
        <f>+GETPIVOTDATA("XBB4",'binhba (2016)'!$A$3,"MA_HT","ONT","MA_QH","SKT")</f>
        <v>0</v>
      </c>
      <c r="W44" s="35">
        <f>+GETPIVOTDATA("XBB4",'binhba (2016)'!$A$3,"MA_HT","ONT","MA_QH","SKN")</f>
        <v>0</v>
      </c>
      <c r="X44" s="35">
        <f>+GETPIVOTDATA("XBB4",'binhba (2016)'!$A$3,"MA_HT","ONT","MA_QH","TMD")</f>
        <v>0</v>
      </c>
      <c r="Y44" s="35">
        <f>+GETPIVOTDATA("XBB4",'binhba (2016)'!$A$3,"MA_HT","ONT","MA_QH","SKC")</f>
        <v>0</v>
      </c>
      <c r="Z44" s="35">
        <f>+GETPIVOTDATA("XBB4",'binhba (2016)'!$A$3,"MA_HT","ONT","MA_QH","SKS")</f>
        <v>0</v>
      </c>
      <c r="AA44" s="64">
        <f t="shared" si="21"/>
        <v>0</v>
      </c>
      <c r="AB44" s="35">
        <f>+GETPIVOTDATA("XBB4",'binhba (2016)'!$A$3,"MA_HT","ONT","MA_QH","DGT")</f>
        <v>0</v>
      </c>
      <c r="AC44" s="35">
        <f>+GETPIVOTDATA("XBB4",'binhba (2016)'!$A$3,"MA_HT","ONT","MA_QH","DTL")</f>
        <v>0</v>
      </c>
      <c r="AD44" s="35">
        <f>+GETPIVOTDATA("XBB4",'binhba (2016)'!$A$3,"MA_HT","ONT","MA_QH","DNL")</f>
        <v>0</v>
      </c>
      <c r="AE44" s="35">
        <f>+GETPIVOTDATA("XBB4",'binhba (2016)'!$A$3,"MA_HT","ONT","MA_QH","DBV")</f>
        <v>0</v>
      </c>
      <c r="AF44" s="35">
        <f>+GETPIVOTDATA("XBB4",'binhba (2016)'!$A$3,"MA_HT","ONT","MA_QH","DVH")</f>
        <v>0</v>
      </c>
      <c r="AG44" s="35">
        <f>+GETPIVOTDATA("XBB4",'binhba (2016)'!$A$3,"MA_HT","ONT","MA_QH","DYT")</f>
        <v>0</v>
      </c>
      <c r="AH44" s="35">
        <f>+GETPIVOTDATA("XBB4",'binhba (2016)'!$A$3,"MA_HT","ONT","MA_QH","DGD")</f>
        <v>0</v>
      </c>
      <c r="AI44" s="35">
        <f>+GETPIVOTDATA("XBB4",'binhba (2016)'!$A$3,"MA_HT","ONT","MA_QH","DTT")</f>
        <v>0</v>
      </c>
      <c r="AJ44" s="35">
        <f>+GETPIVOTDATA("XBB4",'binhba (2016)'!$A$3,"MA_HT","ONT","MA_QH","NCK")</f>
        <v>0</v>
      </c>
      <c r="AK44" s="35">
        <f>+GETPIVOTDATA("XBB4",'binhba (2016)'!$A$3,"MA_HT","ONT","MA_QH","DXH")</f>
        <v>0</v>
      </c>
      <c r="AL44" s="35">
        <f>+GETPIVOTDATA("XBB4",'binhba (2016)'!$A$3,"MA_HT","ONT","MA_QH","DCH")</f>
        <v>0</v>
      </c>
      <c r="AM44" s="35">
        <f>+GETPIVOTDATA("XBB4",'binhba (2016)'!$A$3,"MA_HT","ONT","MA_QH","DKG")</f>
        <v>0</v>
      </c>
      <c r="AN44" s="35">
        <f>+GETPIVOTDATA("XBB4",'binhba (2016)'!$A$3,"MA_HT","ONT","MA_QH","DDT")</f>
        <v>0</v>
      </c>
      <c r="AO44" s="35">
        <f>+GETPIVOTDATA("XBB4",'binhba (2016)'!$A$3,"MA_HT","ONT","MA_QH","DDL")</f>
        <v>0</v>
      </c>
      <c r="AP44" s="35">
        <f>+GETPIVOTDATA("XBB4",'binhba (2016)'!$A$3,"MA_HT","ONT","MA_QH","DRA")</f>
        <v>0</v>
      </c>
      <c r="AQ44" s="99" t="e">
        <f>$D44-$BF44</f>
        <v>#REF!</v>
      </c>
      <c r="AR44" s="35">
        <f>+GETPIVOTDATA("XBB4",'binhba (2016)'!$A$3,"MA_HT","ONT","MA_QH","ODT")</f>
        <v>0</v>
      </c>
      <c r="AS44" s="35">
        <f>+GETPIVOTDATA("XBB4",'binhba (2016)'!$A$3,"MA_HT","ONT","MA_QH","TSC")</f>
        <v>0</v>
      </c>
      <c r="AT44" s="35">
        <f>+GETPIVOTDATA("XBB4",'binhba (2016)'!$A$3,"MA_HT","ONT","MA_QH","DTS")</f>
        <v>0</v>
      </c>
      <c r="AU44" s="35">
        <f>+GETPIVOTDATA("XBB4",'binhba (2016)'!$A$3,"MA_HT","ONT","MA_QH","DNG")</f>
        <v>0</v>
      </c>
      <c r="AV44" s="35">
        <f>+GETPIVOTDATA("XBB4",'binhba (2016)'!$A$3,"MA_HT","ONT","MA_QH","TON")</f>
        <v>0</v>
      </c>
      <c r="AW44" s="35">
        <f>+GETPIVOTDATA("XBB4",'binhba (2016)'!$A$3,"MA_HT","ONT","MA_QH","NTD")</f>
        <v>0</v>
      </c>
      <c r="AX44" s="35">
        <f>+GETPIVOTDATA("XBB4",'binhba (2016)'!$A$3,"MA_HT","ONT","MA_QH","SKX")</f>
        <v>0</v>
      </c>
      <c r="AY44" s="35">
        <f>+GETPIVOTDATA("XBB4",'binhba (2016)'!$A$3,"MA_HT","ONT","MA_QH","DSH")</f>
        <v>0</v>
      </c>
      <c r="AZ44" s="35">
        <f>+GETPIVOTDATA("XBB4",'binhba (2016)'!$A$3,"MA_HT","ONT","MA_QH","DKV")</f>
        <v>0</v>
      </c>
      <c r="BA44" s="140">
        <f>+GETPIVOTDATA("XBB4",'binhba (2016)'!$A$3,"MA_HT","ONT","MA_QH","TIN")</f>
        <v>0</v>
      </c>
      <c r="BB44" s="74">
        <f>+GETPIVOTDATA("XBB4",'binhba (2016)'!$A$3,"MA_HT","ONT","MA_QH","SON")</f>
        <v>0</v>
      </c>
      <c r="BC44" s="74">
        <f>+GETPIVOTDATA("XBB4",'binhba (2016)'!$A$3,"MA_HT","ONT","MA_QH","MNC")</f>
        <v>0</v>
      </c>
      <c r="BD44" s="35">
        <f>+GETPIVOTDATA("XBB4",'binhba (2016)'!$A$3,"MA_HT","ONT","MA_QH","PNK")</f>
        <v>0</v>
      </c>
      <c r="BE44" s="58">
        <f>+GETPIVOTDATA("XBB4",'binhba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+GETPIVOTDATA("XBB4",'binhba (2016)'!$A$3,"MA_HT","ODT","MA_QH","LUC")</f>
        <v>0</v>
      </c>
      <c r="H45" s="111">
        <f>+GETPIVOTDATA("XBB4",'binhba (2016)'!$A$3,"MA_HT","ODT","MA_QH","LUK")</f>
        <v>0</v>
      </c>
      <c r="I45" s="111">
        <f>+GETPIVOTDATA("XBB4",'binhba (2016)'!$A$3,"MA_HT","ODT","MA_QH","LUN")</f>
        <v>0</v>
      </c>
      <c r="J45" s="111">
        <f>+GETPIVOTDATA("XBB4",'binhba (2016)'!$A$3,"MA_HT","ODT","MA_QH","HNK")</f>
        <v>0</v>
      </c>
      <c r="K45" s="111">
        <f>+GETPIVOTDATA("XBB4",'binhba (2016)'!$A$3,"MA_HT","ODT","MA_QH","CLN")</f>
        <v>0</v>
      </c>
      <c r="L45" s="111">
        <f>+GETPIVOTDATA("XBB4",'binhba (2016)'!$A$3,"MA_HT","ODT","MA_QH","RSX")</f>
        <v>0</v>
      </c>
      <c r="M45" s="111">
        <f>+GETPIVOTDATA("XBB4",'binhba (2016)'!$A$3,"MA_HT","ODT","MA_QH","RPH")</f>
        <v>0</v>
      </c>
      <c r="N45" s="111">
        <f>+GETPIVOTDATA("XBB4",'binhba (2016)'!$A$3,"MA_HT","ODT","MA_QH","RDD")</f>
        <v>0</v>
      </c>
      <c r="O45" s="111">
        <f>+GETPIVOTDATA("XBB4",'binhba (2016)'!$A$3,"MA_HT","ODT","MA_QH","NTS")</f>
        <v>0</v>
      </c>
      <c r="P45" s="111">
        <f>+GETPIVOTDATA("XBB4",'binhba (2016)'!$A$3,"MA_HT","ODT","MA_QH","LMU")</f>
        <v>0</v>
      </c>
      <c r="Q45" s="111">
        <f>+GETPIVOTDATA("XBB4",'binhba (2016)'!$A$3,"MA_HT","ODT","MA_QH","NKH")</f>
        <v>0</v>
      </c>
      <c r="R45" s="106">
        <f>SUM(S45:AA45,AN45:AQ45,AS45:BD45)</f>
        <v>0</v>
      </c>
      <c r="S45" s="111">
        <f>+GETPIVOTDATA("XBB4",'binhba (2016)'!$A$3,"MA_HT","ODT","MA_QH","CQP")</f>
        <v>0</v>
      </c>
      <c r="T45" s="111">
        <f>+GETPIVOTDATA("XBB4",'binhba (2016)'!$A$3,"MA_HT","ODT","MA_QH","CAN")</f>
        <v>0</v>
      </c>
      <c r="U45" s="111">
        <f>+GETPIVOTDATA("XBB4",'binhba (2016)'!$A$3,"MA_HT","ODT","MA_QH","SKK")</f>
        <v>0</v>
      </c>
      <c r="V45" s="111">
        <f>+GETPIVOTDATA("XBB4",'binhba (2016)'!$A$3,"MA_HT","ODT","MA_QH","SKT")</f>
        <v>0</v>
      </c>
      <c r="W45" s="111">
        <f>+GETPIVOTDATA("XBB4",'binhba (2016)'!$A$3,"MA_HT","ODT","MA_QH","SKN")</f>
        <v>0</v>
      </c>
      <c r="X45" s="111">
        <f>+GETPIVOTDATA("XBB4",'binhba (2016)'!$A$3,"MA_HT","ODT","MA_QH","TMD")</f>
        <v>0</v>
      </c>
      <c r="Y45" s="111">
        <f>+GETPIVOTDATA("XBB4",'binhba (2016)'!$A$3,"MA_HT","ODT","MA_QH","SKC")</f>
        <v>0</v>
      </c>
      <c r="Z45" s="111">
        <f>+GETPIVOTDATA("XBB4",'binhba (2016)'!$A$3,"MA_HT","ODT","MA_QH","SKS")</f>
        <v>0</v>
      </c>
      <c r="AA45" s="104">
        <f t="shared" si="21"/>
        <v>0</v>
      </c>
      <c r="AB45" s="111">
        <f>+GETPIVOTDATA("XBB4",'binhba (2016)'!$A$3,"MA_HT","ODT","MA_QH","DGT")</f>
        <v>0</v>
      </c>
      <c r="AC45" s="111">
        <f>+GETPIVOTDATA("XBB4",'binhba (2016)'!$A$3,"MA_HT","ODT","MA_QH","DTL")</f>
        <v>0</v>
      </c>
      <c r="AD45" s="111">
        <f>+GETPIVOTDATA("XBB4",'binhba (2016)'!$A$3,"MA_HT","ODT","MA_QH","DNL")</f>
        <v>0</v>
      </c>
      <c r="AE45" s="111">
        <f>+GETPIVOTDATA("XBB4",'binhba (2016)'!$A$3,"MA_HT","ODT","MA_QH","DBV")</f>
        <v>0</v>
      </c>
      <c r="AF45" s="111">
        <f>+GETPIVOTDATA("XBB4",'binhba (2016)'!$A$3,"MA_HT","ODT","MA_QH","DVH")</f>
        <v>0</v>
      </c>
      <c r="AG45" s="111">
        <f>+GETPIVOTDATA("XBB4",'binhba (2016)'!$A$3,"MA_HT","ODT","MA_QH","DYT")</f>
        <v>0</v>
      </c>
      <c r="AH45" s="111">
        <f>+GETPIVOTDATA("XBB4",'binhba (2016)'!$A$3,"MA_HT","ODT","MA_QH","DGD")</f>
        <v>0</v>
      </c>
      <c r="AI45" s="111">
        <f>+GETPIVOTDATA("XBB4",'binhba (2016)'!$A$3,"MA_HT","ODT","MA_QH","DTT")</f>
        <v>0</v>
      </c>
      <c r="AJ45" s="111">
        <f>+GETPIVOTDATA("XBB4",'binhba (2016)'!$A$3,"MA_HT","ODT","MA_QH","NCK")</f>
        <v>0</v>
      </c>
      <c r="AK45" s="111">
        <f>+GETPIVOTDATA("XBB4",'binhba (2016)'!$A$3,"MA_HT","ODT","MA_QH","DXH")</f>
        <v>0</v>
      </c>
      <c r="AL45" s="111">
        <f>+GETPIVOTDATA("XBB4",'binhba (2016)'!$A$3,"MA_HT","ODT","MA_QH","DCH")</f>
        <v>0</v>
      </c>
      <c r="AM45" s="111">
        <f>+GETPIVOTDATA("XBB4",'binhba (2016)'!$A$3,"MA_HT","ODT","MA_QH","DKG")</f>
        <v>0</v>
      </c>
      <c r="AN45" s="111">
        <f>+GETPIVOTDATA("XBB4",'binhba (2016)'!$A$3,"MA_HT","ODT","MA_QH","DDT")</f>
        <v>0</v>
      </c>
      <c r="AO45" s="111">
        <f>+GETPIVOTDATA("XBB4",'binhba (2016)'!$A$3,"MA_HT","ODT","MA_QH","DDL")</f>
        <v>0</v>
      </c>
      <c r="AP45" s="111">
        <f>+GETPIVOTDATA("XBB4",'binhba (2016)'!$A$3,"MA_HT","ODT","MA_QH","DRA")</f>
        <v>0</v>
      </c>
      <c r="AQ45" s="111">
        <f>+GETPIVOTDATA("XBB4",'binhba (2016)'!$A$3,"MA_HT","ODT","MA_QH","ONT")</f>
        <v>0</v>
      </c>
      <c r="AR45" s="112" t="e">
        <f>$D45-$BF45</f>
        <v>#REF!</v>
      </c>
      <c r="AS45" s="111">
        <f>+GETPIVOTDATA("XBB4",'binhba (2016)'!$A$3,"MA_HT","ODT","MA_QH","TSC")</f>
        <v>0</v>
      </c>
      <c r="AT45" s="111">
        <f>+GETPIVOTDATA("XBB4",'binhba (2016)'!$A$3,"MA_HT","ODT","MA_QH","DTS")</f>
        <v>0</v>
      </c>
      <c r="AU45" s="111">
        <f>+GETPIVOTDATA("XBB4",'binhba (2016)'!$A$3,"MA_HT","ODT","MA_QH","DNG")</f>
        <v>0</v>
      </c>
      <c r="AV45" s="111">
        <f>+GETPIVOTDATA("XBB4",'binhba (2016)'!$A$3,"MA_HT","ODT","MA_QH","TON")</f>
        <v>0</v>
      </c>
      <c r="AW45" s="111">
        <f>+GETPIVOTDATA("XBB4",'binhba (2016)'!$A$3,"MA_HT","ODT","MA_QH","NTD")</f>
        <v>0</v>
      </c>
      <c r="AX45" s="111">
        <f>+GETPIVOTDATA("XBB4",'binhba (2016)'!$A$3,"MA_HT","ODT","MA_QH","SKX")</f>
        <v>0</v>
      </c>
      <c r="AY45" s="111">
        <f>+GETPIVOTDATA("XBB4",'binhba (2016)'!$A$3,"MA_HT","ODT","MA_QH","DSH")</f>
        <v>0</v>
      </c>
      <c r="AZ45" s="111">
        <f>+GETPIVOTDATA("XBB4",'binhba (2016)'!$A$3,"MA_HT","ODT","MA_QH","DKV")</f>
        <v>0</v>
      </c>
      <c r="BA45" s="142">
        <f>+GETPIVOTDATA("XBB4",'binhba (2016)'!$A$3,"MA_HT","ODT","MA_QH","TIN")</f>
        <v>0</v>
      </c>
      <c r="BB45" s="105">
        <f>+GETPIVOTDATA("XBB4",'binhba (2016)'!$A$3,"MA_HT","ODT","MA_QH","SON")</f>
        <v>0</v>
      </c>
      <c r="BC45" s="105">
        <f>+GETPIVOTDATA("XBB4",'binhba (2016)'!$A$3,"MA_HT","ODT","MA_QH","MNC")</f>
        <v>0</v>
      </c>
      <c r="BD45" s="111">
        <f>+GETPIVOTDATA("XBB4",'binhba (2016)'!$A$3,"MA_HT","ODT","MA_QH","PNK")</f>
        <v>0</v>
      </c>
      <c r="BE45" s="113">
        <f>+GETPIVOTDATA("XBB4",'binhba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+GETPIVOTDATA("XBB4",'binhba (2016)'!$A$3,"MA_HT","TSC","MA_QH","LUC")</f>
        <v>0</v>
      </c>
      <c r="H46" s="35">
        <f>+GETPIVOTDATA("XBB4",'binhba (2016)'!$A$3,"MA_HT","TSC","MA_QH","LUK")</f>
        <v>0</v>
      </c>
      <c r="I46" s="35">
        <f>+GETPIVOTDATA("XBB4",'binhba (2016)'!$A$3,"MA_HT","TSC","MA_QH","LUN")</f>
        <v>0</v>
      </c>
      <c r="J46" s="35">
        <f>+GETPIVOTDATA("XBB4",'binhba (2016)'!$A$3,"MA_HT","TSC","MA_QH","HNK")</f>
        <v>0</v>
      </c>
      <c r="K46" s="35">
        <f>+GETPIVOTDATA("XBB4",'binhba (2016)'!$A$3,"MA_HT","TSC","MA_QH","CLN")</f>
        <v>0</v>
      </c>
      <c r="L46" s="35">
        <f>+GETPIVOTDATA("XBB4",'binhba (2016)'!$A$3,"MA_HT","TSC","MA_QH","RSX")</f>
        <v>0</v>
      </c>
      <c r="M46" s="35">
        <f>+GETPIVOTDATA("XBB4",'binhba (2016)'!$A$3,"MA_HT","TSC","MA_QH","RPH")</f>
        <v>0</v>
      </c>
      <c r="N46" s="35">
        <f>+GETPIVOTDATA("XBB4",'binhba (2016)'!$A$3,"MA_HT","TSC","MA_QH","RDD")</f>
        <v>0</v>
      </c>
      <c r="O46" s="35">
        <f>+GETPIVOTDATA("XBB4",'binhba (2016)'!$A$3,"MA_HT","TSC","MA_QH","NTS")</f>
        <v>0</v>
      </c>
      <c r="P46" s="35">
        <f>+GETPIVOTDATA("XBB4",'binhba (2016)'!$A$3,"MA_HT","TSC","MA_QH","LMU")</f>
        <v>0</v>
      </c>
      <c r="Q46" s="35">
        <f>+GETPIVOTDATA("XBB4",'binhba (2016)'!$A$3,"MA_HT","TSC","MA_QH","NKH")</f>
        <v>0</v>
      </c>
      <c r="R46" s="72">
        <f>SUM(S46:AA46,AN46:AR46,AT46:BD46)</f>
        <v>0</v>
      </c>
      <c r="S46" s="35">
        <f>+GETPIVOTDATA("XBB4",'binhba (2016)'!$A$3,"MA_HT","TSC","MA_QH","CQP")</f>
        <v>0</v>
      </c>
      <c r="T46" s="35">
        <f>+GETPIVOTDATA("XBB4",'binhba (2016)'!$A$3,"MA_HT","TSC","MA_QH","CAN")</f>
        <v>0</v>
      </c>
      <c r="U46" s="35">
        <f>+GETPIVOTDATA("XBB4",'binhba (2016)'!$A$3,"MA_HT","TSC","MA_QH","SKK")</f>
        <v>0</v>
      </c>
      <c r="V46" s="35">
        <f>+GETPIVOTDATA("XBB4",'binhba (2016)'!$A$3,"MA_HT","TSC","MA_QH","SKT")</f>
        <v>0</v>
      </c>
      <c r="W46" s="35">
        <f>+GETPIVOTDATA("XBB4",'binhba (2016)'!$A$3,"MA_HT","TSC","MA_QH","SKN")</f>
        <v>0</v>
      </c>
      <c r="X46" s="35">
        <f>+GETPIVOTDATA("XBB4",'binhba (2016)'!$A$3,"MA_HT","TSC","MA_QH","TMD")</f>
        <v>0</v>
      </c>
      <c r="Y46" s="35">
        <f>+GETPIVOTDATA("XBB4",'binhba (2016)'!$A$3,"MA_HT","TSC","MA_QH","SKC")</f>
        <v>0</v>
      </c>
      <c r="Z46" s="35">
        <f>+GETPIVOTDATA("XBB4",'binhba (2016)'!$A$3,"MA_HT","TSC","MA_QH","SKS")</f>
        <v>0</v>
      </c>
      <c r="AA46" s="64">
        <f t="shared" si="21"/>
        <v>0</v>
      </c>
      <c r="AB46" s="35">
        <f>+GETPIVOTDATA("XBB4",'binhba (2016)'!$A$3,"MA_HT","TSC","MA_QH","DGT")</f>
        <v>0</v>
      </c>
      <c r="AC46" s="35">
        <f>+GETPIVOTDATA("XBB4",'binhba (2016)'!$A$3,"MA_HT","TSC","MA_QH","DTL")</f>
        <v>0</v>
      </c>
      <c r="AD46" s="35">
        <f>+GETPIVOTDATA("XBB4",'binhba (2016)'!$A$3,"MA_HT","TSC","MA_QH","DNL")</f>
        <v>0</v>
      </c>
      <c r="AE46" s="35">
        <f>+GETPIVOTDATA("XBB4",'binhba (2016)'!$A$3,"MA_HT","TSC","MA_QH","DBV")</f>
        <v>0</v>
      </c>
      <c r="AF46" s="35">
        <f>+GETPIVOTDATA("XBB4",'binhba (2016)'!$A$3,"MA_HT","TSC","MA_QH","DVH")</f>
        <v>0</v>
      </c>
      <c r="AG46" s="35">
        <f>+GETPIVOTDATA("XBB4",'binhba (2016)'!$A$3,"MA_HT","TSC","MA_QH","DYT")</f>
        <v>0</v>
      </c>
      <c r="AH46" s="35">
        <f>+GETPIVOTDATA("XBB4",'binhba (2016)'!$A$3,"MA_HT","TSC","MA_QH","DGD")</f>
        <v>0</v>
      </c>
      <c r="AI46" s="35">
        <f>+GETPIVOTDATA("XBB4",'binhba (2016)'!$A$3,"MA_HT","TSC","MA_QH","DTT")</f>
        <v>0</v>
      </c>
      <c r="AJ46" s="35">
        <f>+GETPIVOTDATA("XBB4",'binhba (2016)'!$A$3,"MA_HT","TSC","MA_QH","NCK")</f>
        <v>0</v>
      </c>
      <c r="AK46" s="35">
        <f>+GETPIVOTDATA("XBB4",'binhba (2016)'!$A$3,"MA_HT","TSC","MA_QH","DXH")</f>
        <v>0</v>
      </c>
      <c r="AL46" s="35">
        <f>+GETPIVOTDATA("XBB4",'binhba (2016)'!$A$3,"MA_HT","TSC","MA_QH","DCH")</f>
        <v>0</v>
      </c>
      <c r="AM46" s="35">
        <f>+GETPIVOTDATA("XBB4",'binhba (2016)'!$A$3,"MA_HT","TSC","MA_QH","DKG")</f>
        <v>0</v>
      </c>
      <c r="AN46" s="35">
        <f>+GETPIVOTDATA("XBB4",'binhba (2016)'!$A$3,"MA_HT","TSC","MA_QH","DDT")</f>
        <v>0</v>
      </c>
      <c r="AO46" s="35">
        <f>+GETPIVOTDATA("XBB4",'binhba (2016)'!$A$3,"MA_HT","TSC","MA_QH","DDL")</f>
        <v>0</v>
      </c>
      <c r="AP46" s="35">
        <f>+GETPIVOTDATA("XBB4",'binhba (2016)'!$A$3,"MA_HT","TSC","MA_QH","DRA")</f>
        <v>0</v>
      </c>
      <c r="AQ46" s="35">
        <f>+GETPIVOTDATA("XBB4",'binhba (2016)'!$A$3,"MA_HT","TSC","MA_QH","ONT")</f>
        <v>0</v>
      </c>
      <c r="AR46" s="35">
        <f>+GETPIVOTDATA("XBB4",'binhba (2016)'!$A$3,"MA_HT","TSC","MA_QH","ODT")</f>
        <v>0</v>
      </c>
      <c r="AS46" s="99" t="e">
        <f>$D46-$BF46</f>
        <v>#REF!</v>
      </c>
      <c r="AT46" s="35">
        <f>+GETPIVOTDATA("XBB4",'binhba (2016)'!$A$3,"MA_HT","TSC","MA_QH","DTS")</f>
        <v>0</v>
      </c>
      <c r="AU46" s="35">
        <f>+GETPIVOTDATA("XBB4",'binhba (2016)'!$A$3,"MA_HT","TSC","MA_QH","DNG")</f>
        <v>0</v>
      </c>
      <c r="AV46" s="35">
        <f>+GETPIVOTDATA("XBB4",'binhba (2016)'!$A$3,"MA_HT","TSC","MA_QH","TON")</f>
        <v>0</v>
      </c>
      <c r="AW46" s="35">
        <f>+GETPIVOTDATA("XBB4",'binhba (2016)'!$A$3,"MA_HT","TSC","MA_QH","NTD")</f>
        <v>0</v>
      </c>
      <c r="AX46" s="35">
        <f>+GETPIVOTDATA("XBB4",'binhba (2016)'!$A$3,"MA_HT","TSC","MA_QH","SKX")</f>
        <v>0</v>
      </c>
      <c r="AY46" s="35">
        <f>+GETPIVOTDATA("XBB4",'binhba (2016)'!$A$3,"MA_HT","TSC","MA_QH","DSH")</f>
        <v>0</v>
      </c>
      <c r="AZ46" s="35">
        <f>+GETPIVOTDATA("XBB4",'binhba (2016)'!$A$3,"MA_HT","TSC","MA_QH","DKV")</f>
        <v>0</v>
      </c>
      <c r="BA46" s="140">
        <f>+GETPIVOTDATA("XBB4",'binhba (2016)'!$A$3,"MA_HT","TSC","MA_QH","TIN")</f>
        <v>0</v>
      </c>
      <c r="BB46" s="74">
        <f>+GETPIVOTDATA("XBB4",'binhba (2016)'!$A$3,"MA_HT","TSC","MA_QH","SON")</f>
        <v>0</v>
      </c>
      <c r="BC46" s="74">
        <f>+GETPIVOTDATA("XBB4",'binhba (2016)'!$A$3,"MA_HT","TSC","MA_QH","MNC")</f>
        <v>0</v>
      </c>
      <c r="BD46" s="35">
        <f>+GETPIVOTDATA("XBB4",'binhba (2016)'!$A$3,"MA_HT","TSC","MA_QH","PNK")</f>
        <v>0</v>
      </c>
      <c r="BE46" s="58">
        <f>+GETPIVOTDATA("XBB4",'binhba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+GETPIVOTDATA("XBB4",'binhba (2016)'!$A$3,"MA_HT","DTS","MA_QH","LUC")</f>
        <v>0</v>
      </c>
      <c r="H47" s="122">
        <f>+GETPIVOTDATA("XBB4",'binhba (2016)'!$A$3,"MA_HT","DTS","MA_QH","LUK")</f>
        <v>0</v>
      </c>
      <c r="I47" s="122">
        <f>+GETPIVOTDATA("XBB4",'binhba (2016)'!$A$3,"MA_HT","DTS","MA_QH","LUN")</f>
        <v>0</v>
      </c>
      <c r="J47" s="122">
        <f>+GETPIVOTDATA("XBB4",'binhba (2016)'!$A$3,"MA_HT","DTS","MA_QH","HNK")</f>
        <v>0</v>
      </c>
      <c r="K47" s="122">
        <f>+GETPIVOTDATA("XBB4",'binhba (2016)'!$A$3,"MA_HT","DTS","MA_QH","CLN")</f>
        <v>0</v>
      </c>
      <c r="L47" s="122">
        <f>+GETPIVOTDATA("XBB4",'binhba (2016)'!$A$3,"MA_HT","DTS","MA_QH","RSX")</f>
        <v>0</v>
      </c>
      <c r="M47" s="122">
        <f>+GETPIVOTDATA("XBB4",'binhba (2016)'!$A$3,"MA_HT","DTS","MA_QH","RPH")</f>
        <v>0</v>
      </c>
      <c r="N47" s="122">
        <f>+GETPIVOTDATA("XBB4",'binhba (2016)'!$A$3,"MA_HT","DTS","MA_QH","RDD")</f>
        <v>0</v>
      </c>
      <c r="O47" s="122">
        <f>+GETPIVOTDATA("XBB4",'binhba (2016)'!$A$3,"MA_HT","DTS","MA_QH","NTS")</f>
        <v>0</v>
      </c>
      <c r="P47" s="122">
        <f>+GETPIVOTDATA("XBB4",'binhba (2016)'!$A$3,"MA_HT","DTS","MA_QH","LMU")</f>
        <v>0</v>
      </c>
      <c r="Q47" s="122">
        <f>+GETPIVOTDATA("XBB4",'binhba (2016)'!$A$3,"MA_HT","DTS","MA_QH","NKH")</f>
        <v>0</v>
      </c>
      <c r="R47" s="123">
        <f>SUM(S47:AA47,AN47:AS47,AU47:BD47)</f>
        <v>0</v>
      </c>
      <c r="S47" s="122">
        <f>+GETPIVOTDATA("XBB4",'binhba (2016)'!$A$3,"MA_HT","DTS","MA_QH","CQP")</f>
        <v>0</v>
      </c>
      <c r="T47" s="122">
        <f>+GETPIVOTDATA("XBB4",'binhba (2016)'!$A$3,"MA_HT","DTS","MA_QH","CAN")</f>
        <v>0</v>
      </c>
      <c r="U47" s="122">
        <f>+GETPIVOTDATA("XBB4",'binhba (2016)'!$A$3,"MA_HT","DTS","MA_QH","SKK")</f>
        <v>0</v>
      </c>
      <c r="V47" s="122">
        <f>+GETPIVOTDATA("XBB4",'binhba (2016)'!$A$3,"MA_HT","DTS","MA_QH","SKT")</f>
        <v>0</v>
      </c>
      <c r="W47" s="122">
        <f>+GETPIVOTDATA("XBB4",'binhba (2016)'!$A$3,"MA_HT","DTS","MA_QH","SKN")</f>
        <v>0</v>
      </c>
      <c r="X47" s="122">
        <f>+GETPIVOTDATA("XBB4",'binhba (2016)'!$A$3,"MA_HT","DTS","MA_QH","TMD")</f>
        <v>0</v>
      </c>
      <c r="Y47" s="122">
        <f>+GETPIVOTDATA("XBB4",'binhba (2016)'!$A$3,"MA_HT","DTS","MA_QH","SKC")</f>
        <v>0</v>
      </c>
      <c r="Z47" s="122">
        <f>+GETPIVOTDATA("XBB4",'binhba (2016)'!$A$3,"MA_HT","DTS","MA_QH","SKS")</f>
        <v>0</v>
      </c>
      <c r="AA47" s="121">
        <f t="shared" si="21"/>
        <v>0</v>
      </c>
      <c r="AB47" s="122">
        <f>+GETPIVOTDATA("XBB4",'binhba (2016)'!$A$3,"MA_HT","DTS","MA_QH","DGT")</f>
        <v>0</v>
      </c>
      <c r="AC47" s="122">
        <f>+GETPIVOTDATA("XBB4",'binhba (2016)'!$A$3,"MA_HT","DTS","MA_QH","DTL")</f>
        <v>0</v>
      </c>
      <c r="AD47" s="122">
        <f>+GETPIVOTDATA("XBB4",'binhba (2016)'!$A$3,"MA_HT","DTS","MA_QH","DNL")</f>
        <v>0</v>
      </c>
      <c r="AE47" s="122">
        <f>+GETPIVOTDATA("XBB4",'binhba (2016)'!$A$3,"MA_HT","DTS","MA_QH","DBV")</f>
        <v>0</v>
      </c>
      <c r="AF47" s="122">
        <f>+GETPIVOTDATA("XBB4",'binhba (2016)'!$A$3,"MA_HT","DTS","MA_QH","DVH")</f>
        <v>0</v>
      </c>
      <c r="AG47" s="122">
        <f>+GETPIVOTDATA("XBB4",'binhba (2016)'!$A$3,"MA_HT","DTS","MA_QH","DYT")</f>
        <v>0</v>
      </c>
      <c r="AH47" s="122">
        <f>+GETPIVOTDATA("XBB4",'binhba (2016)'!$A$3,"MA_HT","DTS","MA_QH","DGD")</f>
        <v>0</v>
      </c>
      <c r="AI47" s="122">
        <f>+GETPIVOTDATA("XBB4",'binhba (2016)'!$A$3,"MA_HT","DTS","MA_QH","DTT")</f>
        <v>0</v>
      </c>
      <c r="AJ47" s="122">
        <f>+GETPIVOTDATA("XBB4",'binhba (2016)'!$A$3,"MA_HT","DTS","MA_QH","NCK")</f>
        <v>0</v>
      </c>
      <c r="AK47" s="122">
        <f>+GETPIVOTDATA("XBB4",'binhba (2016)'!$A$3,"MA_HT","DTS","MA_QH","DXH")</f>
        <v>0</v>
      </c>
      <c r="AL47" s="122">
        <f>+GETPIVOTDATA("XBB4",'binhba (2016)'!$A$3,"MA_HT","DTS","MA_QH","DCH")</f>
        <v>0</v>
      </c>
      <c r="AM47" s="122">
        <f>+GETPIVOTDATA("XBB4",'binhba (2016)'!$A$3,"MA_HT","DTS","MA_QH","DKG")</f>
        <v>0</v>
      </c>
      <c r="AN47" s="122">
        <f>+GETPIVOTDATA("XBB4",'binhba (2016)'!$A$3,"MA_HT","DTS","MA_QH","DDT")</f>
        <v>0</v>
      </c>
      <c r="AO47" s="122">
        <f>+GETPIVOTDATA("XBB4",'binhba (2016)'!$A$3,"MA_HT","DTS","MA_QH","DDL")</f>
        <v>0</v>
      </c>
      <c r="AP47" s="122">
        <f>+GETPIVOTDATA("XBB4",'binhba (2016)'!$A$3,"MA_HT","DTS","MA_QH","DRA")</f>
        <v>0</v>
      </c>
      <c r="AQ47" s="122">
        <f>+GETPIVOTDATA("XBB4",'binhba (2016)'!$A$3,"MA_HT","DTS","MA_QH","ONT")</f>
        <v>0</v>
      </c>
      <c r="AR47" s="122">
        <f>+GETPIVOTDATA("XBB4",'binhba (2016)'!$A$3,"MA_HT","DTS","MA_QH","ODT")</f>
        <v>0</v>
      </c>
      <c r="AS47" s="122">
        <f>+GETPIVOTDATA("XBB4",'binhba (2016)'!$A$3,"MA_HT","DTS","MA_QH","TSC")</f>
        <v>0</v>
      </c>
      <c r="AT47" s="124" t="e">
        <f>$D47-$BF47</f>
        <v>#REF!</v>
      </c>
      <c r="AU47" s="122">
        <f>+GETPIVOTDATA("XBB4",'binhba (2016)'!$A$3,"MA_HT","DTS","MA_QH","DNG")</f>
        <v>0</v>
      </c>
      <c r="AV47" s="122">
        <f>+GETPIVOTDATA("XBB4",'binhba (2016)'!$A$3,"MA_HT","DTS","MA_QH","TON")</f>
        <v>0</v>
      </c>
      <c r="AW47" s="122">
        <f>+GETPIVOTDATA("XBB4",'binhba (2016)'!$A$3,"MA_HT","DTS","MA_QH","NTD")</f>
        <v>0</v>
      </c>
      <c r="AX47" s="122">
        <f>+GETPIVOTDATA("XBB4",'binhba (2016)'!$A$3,"MA_HT","DTS","MA_QH","SKX")</f>
        <v>0</v>
      </c>
      <c r="AY47" s="122">
        <f>+GETPIVOTDATA("XBB4",'binhba (2016)'!$A$3,"MA_HT","DTS","MA_QH","DSH")</f>
        <v>0</v>
      </c>
      <c r="AZ47" s="122">
        <f>+GETPIVOTDATA("XBB4",'binhba (2016)'!$A$3,"MA_HT","DTS","MA_QH","DKV")</f>
        <v>0</v>
      </c>
      <c r="BA47" s="141">
        <f>+GETPIVOTDATA("XBB4",'binhba (2016)'!$A$3,"MA_HT","DTS","MA_QH","TIN")</f>
        <v>0</v>
      </c>
      <c r="BB47" s="125">
        <f>+GETPIVOTDATA("XBB4",'binhba (2016)'!$A$3,"MA_HT","DTS","MA_QH","SON")</f>
        <v>0</v>
      </c>
      <c r="BC47" s="125">
        <f>+GETPIVOTDATA("XBB4",'binhba (2016)'!$A$3,"MA_HT","DTS","MA_QH","MNC")</f>
        <v>0</v>
      </c>
      <c r="BD47" s="122">
        <f>+GETPIVOTDATA("XBB4",'binhba (2016)'!$A$3,"MA_HT","DTS","MA_QH","PNK")</f>
        <v>0</v>
      </c>
      <c r="BE47" s="126">
        <f>+GETPIVOTDATA("XBB4",'binhba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+GETPIVOTDATA("XBB4",'binhba (2016)'!$A$3,"MA_HT","DNG","MA_QH","LUC")</f>
        <v>0</v>
      </c>
      <c r="H48" s="35">
        <f>+GETPIVOTDATA("XBB4",'binhba (2016)'!$A$3,"MA_HT","DNG","MA_QH","LUK")</f>
        <v>0</v>
      </c>
      <c r="I48" s="35">
        <f>+GETPIVOTDATA("XBB4",'binhba (2016)'!$A$3,"MA_HT","DNG","MA_QH","LUN")</f>
        <v>0</v>
      </c>
      <c r="J48" s="35">
        <f>+GETPIVOTDATA("XBB4",'binhba (2016)'!$A$3,"MA_HT","DNG","MA_QH","HNK")</f>
        <v>0</v>
      </c>
      <c r="K48" s="35">
        <f>+GETPIVOTDATA("XBB4",'binhba (2016)'!$A$3,"MA_HT","DNG","MA_QH","CLN")</f>
        <v>0</v>
      </c>
      <c r="L48" s="35">
        <f>+GETPIVOTDATA("XBB4",'binhba (2016)'!$A$3,"MA_HT","DNG","MA_QH","RSX")</f>
        <v>0</v>
      </c>
      <c r="M48" s="35">
        <f>+GETPIVOTDATA("XBB4",'binhba (2016)'!$A$3,"MA_HT","DNG","MA_QH","RPH")</f>
        <v>0</v>
      </c>
      <c r="N48" s="35">
        <f>+GETPIVOTDATA("XBB4",'binhba (2016)'!$A$3,"MA_HT","DNG","MA_QH","RDD")</f>
        <v>0</v>
      </c>
      <c r="O48" s="35">
        <f>+GETPIVOTDATA("XBB4",'binhba (2016)'!$A$3,"MA_HT","DNG","MA_QH","NTS")</f>
        <v>0</v>
      </c>
      <c r="P48" s="35">
        <f>+GETPIVOTDATA("XBB4",'binhba (2016)'!$A$3,"MA_HT","DNG","MA_QH","LMU")</f>
        <v>0</v>
      </c>
      <c r="Q48" s="35">
        <f>+GETPIVOTDATA("XBB4",'binhba (2016)'!$A$3,"MA_HT","DNG","MA_QH","NKH")</f>
        <v>0</v>
      </c>
      <c r="R48" s="106">
        <f>SUM(S48:AA48,AN48:AT48,AV48:BD48)</f>
        <v>0</v>
      </c>
      <c r="S48" s="35">
        <f>+GETPIVOTDATA("XBB4",'binhba (2016)'!$A$3,"MA_HT","DNG","MA_QH","CQP")</f>
        <v>0</v>
      </c>
      <c r="T48" s="35">
        <f>+GETPIVOTDATA("XBB4",'binhba (2016)'!$A$3,"MA_HT","DNG","MA_QH","CAN")</f>
        <v>0</v>
      </c>
      <c r="U48" s="35">
        <f>+GETPIVOTDATA("XBB4",'binhba (2016)'!$A$3,"MA_HT","DNG","MA_QH","SKK")</f>
        <v>0</v>
      </c>
      <c r="V48" s="35">
        <f>+GETPIVOTDATA("XBB4",'binhba (2016)'!$A$3,"MA_HT","DNG","MA_QH","SKT")</f>
        <v>0</v>
      </c>
      <c r="W48" s="35">
        <f>+GETPIVOTDATA("XBB4",'binhba (2016)'!$A$3,"MA_HT","DNG","MA_QH","SKN")</f>
        <v>0</v>
      </c>
      <c r="X48" s="35">
        <f>+GETPIVOTDATA("XBB4",'binhba (2016)'!$A$3,"MA_HT","DNG","MA_QH","TMD")</f>
        <v>0</v>
      </c>
      <c r="Y48" s="35">
        <f>+GETPIVOTDATA("XBB4",'binhba (2016)'!$A$3,"MA_HT","DNG","MA_QH","SKC")</f>
        <v>0</v>
      </c>
      <c r="Z48" s="35">
        <f>+GETPIVOTDATA("XBB4",'binhba (2016)'!$A$3,"MA_HT","DNG","MA_QH","SKS")</f>
        <v>0</v>
      </c>
      <c r="AA48" s="64">
        <f t="shared" si="21"/>
        <v>0</v>
      </c>
      <c r="AB48" s="35">
        <f>+GETPIVOTDATA("XBB4",'binhba (2016)'!$A$3,"MA_HT","DNG","MA_QH","DGT")</f>
        <v>0</v>
      </c>
      <c r="AC48" s="35">
        <f>+GETPIVOTDATA("XBB4",'binhba (2016)'!$A$3,"MA_HT","DNG","MA_QH","DTL")</f>
        <v>0</v>
      </c>
      <c r="AD48" s="35">
        <f>+GETPIVOTDATA("XBB4",'binhba (2016)'!$A$3,"MA_HT","DNG","MA_QH","DNL")</f>
        <v>0</v>
      </c>
      <c r="AE48" s="35">
        <f>+GETPIVOTDATA("XBB4",'binhba (2016)'!$A$3,"MA_HT","DNG","MA_QH","DBV")</f>
        <v>0</v>
      </c>
      <c r="AF48" s="35">
        <f>+GETPIVOTDATA("XBB4",'binhba (2016)'!$A$3,"MA_HT","DNG","MA_QH","DVH")</f>
        <v>0</v>
      </c>
      <c r="AG48" s="35">
        <f>+GETPIVOTDATA("XBB4",'binhba (2016)'!$A$3,"MA_HT","DNG","MA_QH","DYT")</f>
        <v>0</v>
      </c>
      <c r="AH48" s="35">
        <f>+GETPIVOTDATA("XBB4",'binhba (2016)'!$A$3,"MA_HT","DNG","MA_QH","DGD")</f>
        <v>0</v>
      </c>
      <c r="AI48" s="35">
        <f>+GETPIVOTDATA("XBB4",'binhba (2016)'!$A$3,"MA_HT","DNG","MA_QH","DTT")</f>
        <v>0</v>
      </c>
      <c r="AJ48" s="35">
        <f>+GETPIVOTDATA("XBB4",'binhba (2016)'!$A$3,"MA_HT","DNG","MA_QH","NCK")</f>
        <v>0</v>
      </c>
      <c r="AK48" s="35">
        <f>+GETPIVOTDATA("XBB4",'binhba (2016)'!$A$3,"MA_HT","DNG","MA_QH","DXH")</f>
        <v>0</v>
      </c>
      <c r="AL48" s="35">
        <f>+GETPIVOTDATA("XBB4",'binhba (2016)'!$A$3,"MA_HT","DNG","MA_QH","DCH")</f>
        <v>0</v>
      </c>
      <c r="AM48" s="35">
        <f>+GETPIVOTDATA("XBB4",'binhba (2016)'!$A$3,"MA_HT","DNG","MA_QH","DKG")</f>
        <v>0</v>
      </c>
      <c r="AN48" s="35">
        <f>+GETPIVOTDATA("XBB4",'binhba (2016)'!$A$3,"MA_HT","DNG","MA_QH","DDT")</f>
        <v>0</v>
      </c>
      <c r="AO48" s="35">
        <f>+GETPIVOTDATA("XBB4",'binhba (2016)'!$A$3,"MA_HT","DNG","MA_QH","DDL")</f>
        <v>0</v>
      </c>
      <c r="AP48" s="35">
        <f>+GETPIVOTDATA("XBB4",'binhba (2016)'!$A$3,"MA_HT","DNG","MA_QH","DRA")</f>
        <v>0</v>
      </c>
      <c r="AQ48" s="35">
        <f>+GETPIVOTDATA("XBB4",'binhba (2016)'!$A$3,"MA_HT","DNG","MA_QH","ONT")</f>
        <v>0</v>
      </c>
      <c r="AR48" s="35">
        <f>+GETPIVOTDATA("XBB4",'binhba (2016)'!$A$3,"MA_HT","DNG","MA_QH","ODT")</f>
        <v>0</v>
      </c>
      <c r="AS48" s="35">
        <f>+GETPIVOTDATA("XBB4",'binhba (2016)'!$A$3,"MA_HT","DNG","MA_QH","TSC")</f>
        <v>0</v>
      </c>
      <c r="AT48" s="35">
        <f>+GETPIVOTDATA("XBB4",'binhba (2016)'!$A$3,"MA_HT","DNG","MA_QH","DTS")</f>
        <v>0</v>
      </c>
      <c r="AU48" s="99" t="e">
        <f>$D48-$BF48</f>
        <v>#REF!</v>
      </c>
      <c r="AV48" s="35">
        <f>+GETPIVOTDATA("XBB4",'binhba (2016)'!$A$3,"MA_HT","DNG","MA_QH","TON")</f>
        <v>0</v>
      </c>
      <c r="AW48" s="35">
        <f>+GETPIVOTDATA("XBB4",'binhba (2016)'!$A$3,"MA_HT","DNG","MA_QH","NTD")</f>
        <v>0</v>
      </c>
      <c r="AX48" s="35">
        <f>+GETPIVOTDATA("XBB4",'binhba (2016)'!$A$3,"MA_HT","DNG","MA_QH","SKX")</f>
        <v>0</v>
      </c>
      <c r="AY48" s="35">
        <f>+GETPIVOTDATA("XBB4",'binhba (2016)'!$A$3,"MA_HT","DNG","MA_QH","DSH")</f>
        <v>0</v>
      </c>
      <c r="AZ48" s="35">
        <f>+GETPIVOTDATA("XBB4",'binhba (2016)'!$A$3,"MA_HT","DNG","MA_QH","DKV")</f>
        <v>0</v>
      </c>
      <c r="BA48" s="140">
        <f>+GETPIVOTDATA("XBB4",'binhba (2016)'!$A$3,"MA_HT","DNG","MA_QH","TIN")</f>
        <v>0</v>
      </c>
      <c r="BB48" s="74">
        <f>+GETPIVOTDATA("XBB4",'binhba (2016)'!$A$3,"MA_HT","DNG","MA_QH","SON")</f>
        <v>0</v>
      </c>
      <c r="BC48" s="74">
        <f>+GETPIVOTDATA("XBB4",'binhba (2016)'!$A$3,"MA_HT","DNG","MA_QH","MNC")</f>
        <v>0</v>
      </c>
      <c r="BD48" s="35">
        <f>+GETPIVOTDATA("XBB4",'binhba (2016)'!$A$3,"MA_HT","DNG","MA_QH","PNK")</f>
        <v>0</v>
      </c>
      <c r="BE48" s="58">
        <f>+GETPIVOTDATA("XBB4",'binhba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+GETPIVOTDATA("XBB4",'binhba (2016)'!$A$3,"MA_HT","TON","MA_QH","LUC")</f>
        <v>0</v>
      </c>
      <c r="H49" s="35">
        <f>+GETPIVOTDATA("XBB4",'binhba (2016)'!$A$3,"MA_HT","TON","MA_QH","LUK")</f>
        <v>0</v>
      </c>
      <c r="I49" s="35">
        <f>+GETPIVOTDATA("XBB4",'binhba (2016)'!$A$3,"MA_HT","TON","MA_QH","LUN")</f>
        <v>0</v>
      </c>
      <c r="J49" s="35">
        <f>+GETPIVOTDATA("XBB4",'binhba (2016)'!$A$3,"MA_HT","TON","MA_QH","HNK")</f>
        <v>0</v>
      </c>
      <c r="K49" s="35">
        <f>+GETPIVOTDATA("XBB4",'binhba (2016)'!$A$3,"MA_HT","TON","MA_QH","CLN")</f>
        <v>0</v>
      </c>
      <c r="L49" s="35">
        <f>+GETPIVOTDATA("XBB4",'binhba (2016)'!$A$3,"MA_HT","TON","MA_QH","RSX")</f>
        <v>0</v>
      </c>
      <c r="M49" s="35">
        <f>+GETPIVOTDATA("XBB4",'binhba (2016)'!$A$3,"MA_HT","TON","MA_QH","RPH")</f>
        <v>0</v>
      </c>
      <c r="N49" s="35">
        <f>+GETPIVOTDATA("XBB4",'binhba (2016)'!$A$3,"MA_HT","TON","MA_QH","RDD")</f>
        <v>0</v>
      </c>
      <c r="O49" s="35">
        <f>+GETPIVOTDATA("XBB4",'binhba (2016)'!$A$3,"MA_HT","TON","MA_QH","NTS")</f>
        <v>0</v>
      </c>
      <c r="P49" s="35">
        <f>+GETPIVOTDATA("XBB4",'binhba (2016)'!$A$3,"MA_HT","TON","MA_QH","LMU")</f>
        <v>0</v>
      </c>
      <c r="Q49" s="35">
        <f>+GETPIVOTDATA("XBB4",'binhba (2016)'!$A$3,"MA_HT","TON","MA_QH","NKH")</f>
        <v>0</v>
      </c>
      <c r="R49" s="106">
        <f>SUM(S49:AA49,AN49:AU49,AW49:BD49)</f>
        <v>0</v>
      </c>
      <c r="S49" s="35">
        <f>+GETPIVOTDATA("XBB4",'binhba (2016)'!$A$3,"MA_HT","TON","MA_QH","CQP")</f>
        <v>0</v>
      </c>
      <c r="T49" s="35">
        <f>+GETPIVOTDATA("XBB4",'binhba (2016)'!$A$3,"MA_HT","TON","MA_QH","CAN")</f>
        <v>0</v>
      </c>
      <c r="U49" s="35">
        <f>+GETPIVOTDATA("XBB4",'binhba (2016)'!$A$3,"MA_HT","TON","MA_QH","SKK")</f>
        <v>0</v>
      </c>
      <c r="V49" s="35">
        <f>+GETPIVOTDATA("XBB4",'binhba (2016)'!$A$3,"MA_HT","TON","MA_QH","SKT")</f>
        <v>0</v>
      </c>
      <c r="W49" s="35">
        <f>+GETPIVOTDATA("XBB4",'binhba (2016)'!$A$3,"MA_HT","TON","MA_QH","SKN")</f>
        <v>0</v>
      </c>
      <c r="X49" s="35">
        <f>+GETPIVOTDATA("XBB4",'binhba (2016)'!$A$3,"MA_HT","TON","MA_QH","TMD")</f>
        <v>0</v>
      </c>
      <c r="Y49" s="35">
        <f>+GETPIVOTDATA("XBB4",'binhba (2016)'!$A$3,"MA_HT","TON","MA_QH","SKC")</f>
        <v>0</v>
      </c>
      <c r="Z49" s="35">
        <f>+GETPIVOTDATA("XBB4",'binhba (2016)'!$A$3,"MA_HT","TON","MA_QH","SKS")</f>
        <v>0</v>
      </c>
      <c r="AA49" s="64">
        <f t="shared" si="21"/>
        <v>0</v>
      </c>
      <c r="AB49" s="35">
        <f>+GETPIVOTDATA("XBB4",'binhba (2016)'!$A$3,"MA_HT","TON","MA_QH","DGT")</f>
        <v>0</v>
      </c>
      <c r="AC49" s="35">
        <f>+GETPIVOTDATA("XBB4",'binhba (2016)'!$A$3,"MA_HT","TON","MA_QH","DTL")</f>
        <v>0</v>
      </c>
      <c r="AD49" s="35">
        <f>+GETPIVOTDATA("XBB4",'binhba (2016)'!$A$3,"MA_HT","TON","MA_QH","DNL")</f>
        <v>0</v>
      </c>
      <c r="AE49" s="35">
        <f>+GETPIVOTDATA("XBB4",'binhba (2016)'!$A$3,"MA_HT","TON","MA_QH","DBV")</f>
        <v>0</v>
      </c>
      <c r="AF49" s="35">
        <f>+GETPIVOTDATA("XBB4",'binhba (2016)'!$A$3,"MA_HT","TON","MA_QH","DVH")</f>
        <v>0</v>
      </c>
      <c r="AG49" s="35">
        <f>+GETPIVOTDATA("XBB4",'binhba (2016)'!$A$3,"MA_HT","TON","MA_QH","DYT")</f>
        <v>0</v>
      </c>
      <c r="AH49" s="35">
        <f>+GETPIVOTDATA("XBB4",'binhba (2016)'!$A$3,"MA_HT","TON","MA_QH","DGD")</f>
        <v>0</v>
      </c>
      <c r="AI49" s="35">
        <f>+GETPIVOTDATA("XBB4",'binhba (2016)'!$A$3,"MA_HT","TON","MA_QH","DTT")</f>
        <v>0</v>
      </c>
      <c r="AJ49" s="35">
        <f>+GETPIVOTDATA("XBB4",'binhba (2016)'!$A$3,"MA_HT","TON","MA_QH","NCK")</f>
        <v>0</v>
      </c>
      <c r="AK49" s="35">
        <f>+GETPIVOTDATA("XBB4",'binhba (2016)'!$A$3,"MA_HT","TON","MA_QH","DXH")</f>
        <v>0</v>
      </c>
      <c r="AL49" s="35">
        <f>+GETPIVOTDATA("XBB4",'binhba (2016)'!$A$3,"MA_HT","TON","MA_QH","DCH")</f>
        <v>0</v>
      </c>
      <c r="AM49" s="35">
        <f>+GETPIVOTDATA("XBB4",'binhba (2016)'!$A$3,"MA_HT","TON","MA_QH","DKG")</f>
        <v>0</v>
      </c>
      <c r="AN49" s="35">
        <f>+GETPIVOTDATA("XBB4",'binhba (2016)'!$A$3,"MA_HT","TON","MA_QH","DDT")</f>
        <v>0</v>
      </c>
      <c r="AO49" s="35">
        <f>+GETPIVOTDATA("XBB4",'binhba (2016)'!$A$3,"MA_HT","TON","MA_QH","DDL")</f>
        <v>0</v>
      </c>
      <c r="AP49" s="35">
        <f>+GETPIVOTDATA("XBB4",'binhba (2016)'!$A$3,"MA_HT","TON","MA_QH","DRA")</f>
        <v>0</v>
      </c>
      <c r="AQ49" s="35">
        <f>+GETPIVOTDATA("XBB4",'binhba (2016)'!$A$3,"MA_HT","TON","MA_QH","ONT")</f>
        <v>0</v>
      </c>
      <c r="AR49" s="35">
        <f>+GETPIVOTDATA("XBB4",'binhba (2016)'!$A$3,"MA_HT","TON","MA_QH","ODT")</f>
        <v>0</v>
      </c>
      <c r="AS49" s="35">
        <f>+GETPIVOTDATA("XBB4",'binhba (2016)'!$A$3,"MA_HT","TON","MA_QH","TSC")</f>
        <v>0</v>
      </c>
      <c r="AT49" s="35">
        <f>+GETPIVOTDATA("XBB4",'binhba (2016)'!$A$3,"MA_HT","TON","MA_QH","DTS")</f>
        <v>0</v>
      </c>
      <c r="AU49" s="35">
        <f>+GETPIVOTDATA("XBB4",'binhba (2016)'!$A$3,"MA_HT","TON","MA_QH","DNG")</f>
        <v>0</v>
      </c>
      <c r="AV49" s="99" t="e">
        <f>$D49-$BF49</f>
        <v>#REF!</v>
      </c>
      <c r="AW49" s="35">
        <f>+GETPIVOTDATA("XBB4",'binhba (2016)'!$A$3,"MA_HT","TON","MA_QH","NTD")</f>
        <v>0</v>
      </c>
      <c r="AX49" s="35">
        <f>+GETPIVOTDATA("XBB4",'binhba (2016)'!$A$3,"MA_HT","TON","MA_QH","SKX")</f>
        <v>0</v>
      </c>
      <c r="AY49" s="35">
        <f>+GETPIVOTDATA("XBB4",'binhba (2016)'!$A$3,"MA_HT","TON","MA_QH","DSH")</f>
        <v>0</v>
      </c>
      <c r="AZ49" s="35">
        <f>+GETPIVOTDATA("XBB4",'binhba (2016)'!$A$3,"MA_HT","TON","MA_QH","DKV")</f>
        <v>0</v>
      </c>
      <c r="BA49" s="140">
        <f>+GETPIVOTDATA("XBB4",'binhba (2016)'!$A$3,"MA_HT","TON","MA_QH","TIN")</f>
        <v>0</v>
      </c>
      <c r="BB49" s="74">
        <f>+GETPIVOTDATA("XBB4",'binhba (2016)'!$A$3,"MA_HT","TON","MA_QH","SON")</f>
        <v>0</v>
      </c>
      <c r="BC49" s="74">
        <f>+GETPIVOTDATA("XBB4",'binhba (2016)'!$A$3,"MA_HT","TON","MA_QH","MNC")</f>
        <v>0</v>
      </c>
      <c r="BD49" s="35">
        <f>+GETPIVOTDATA("XBB4",'binhba (2016)'!$A$3,"MA_HT","TON","MA_QH","PNK")</f>
        <v>0</v>
      </c>
      <c r="BE49" s="58">
        <f>+GETPIVOTDATA("XBB4",'binhba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+GETPIVOTDATA("XBB4",'binhba (2016)'!$A$3,"MA_HT","NTD","MA_QH","LUC")</f>
        <v>0</v>
      </c>
      <c r="H50" s="35">
        <f>+GETPIVOTDATA("XBB4",'binhba (2016)'!$A$3,"MA_HT","NTD","MA_QH","LUK")</f>
        <v>0</v>
      </c>
      <c r="I50" s="35">
        <f>+GETPIVOTDATA("XBB4",'binhba (2016)'!$A$3,"MA_HT","NTD","MA_QH","LUN")</f>
        <v>0</v>
      </c>
      <c r="J50" s="35">
        <f>+GETPIVOTDATA("XBB4",'binhba (2016)'!$A$3,"MA_HT","NTD","MA_QH","HNK")</f>
        <v>0</v>
      </c>
      <c r="K50" s="35">
        <f>+GETPIVOTDATA("XBB4",'binhba (2016)'!$A$3,"MA_HT","NTD","MA_QH","CLN")</f>
        <v>0</v>
      </c>
      <c r="L50" s="35">
        <f>+GETPIVOTDATA("XBB4",'binhba (2016)'!$A$3,"MA_HT","NTD","MA_QH","RSX")</f>
        <v>0</v>
      </c>
      <c r="M50" s="35">
        <f>+GETPIVOTDATA("XBB4",'binhba (2016)'!$A$3,"MA_HT","NTD","MA_QH","RPH")</f>
        <v>0</v>
      </c>
      <c r="N50" s="35">
        <f>+GETPIVOTDATA("XBB4",'binhba (2016)'!$A$3,"MA_HT","NTD","MA_QH","RDD")</f>
        <v>0</v>
      </c>
      <c r="O50" s="35">
        <f>+GETPIVOTDATA("XBB4",'binhba (2016)'!$A$3,"MA_HT","NTD","MA_QH","NTS")</f>
        <v>0</v>
      </c>
      <c r="P50" s="35">
        <f>+GETPIVOTDATA("XBB4",'binhba (2016)'!$A$3,"MA_HT","NTD","MA_QH","LMU")</f>
        <v>0</v>
      </c>
      <c r="Q50" s="35">
        <f>+GETPIVOTDATA("XBB4",'binhba (2016)'!$A$3,"MA_HT","NTD","MA_QH","NKH")</f>
        <v>0</v>
      </c>
      <c r="R50" s="106">
        <f>SUM(S50:AA50,AN50:AV50,AX50:BD50)</f>
        <v>0</v>
      </c>
      <c r="S50" s="35">
        <f>+GETPIVOTDATA("XBB4",'binhba (2016)'!$A$3,"MA_HT","NTD","MA_QH","CQP")</f>
        <v>0</v>
      </c>
      <c r="T50" s="35">
        <f>+GETPIVOTDATA("XBB4",'binhba (2016)'!$A$3,"MA_HT","NTD","MA_QH","CAN")</f>
        <v>0</v>
      </c>
      <c r="U50" s="35">
        <f>+GETPIVOTDATA("XBB4",'binhba (2016)'!$A$3,"MA_HT","NTD","MA_QH","SKK")</f>
        <v>0</v>
      </c>
      <c r="V50" s="35">
        <f>+GETPIVOTDATA("XBB4",'binhba (2016)'!$A$3,"MA_HT","NTD","MA_QH","SKT")</f>
        <v>0</v>
      </c>
      <c r="W50" s="35">
        <f>+GETPIVOTDATA("XBB4",'binhba (2016)'!$A$3,"MA_HT","NTD","MA_QH","SKN")</f>
        <v>0</v>
      </c>
      <c r="X50" s="35">
        <f>+GETPIVOTDATA("XBB4",'binhba (2016)'!$A$3,"MA_HT","NTD","MA_QH","TMD")</f>
        <v>0</v>
      </c>
      <c r="Y50" s="35">
        <f>+GETPIVOTDATA("XBB4",'binhba (2016)'!$A$3,"MA_HT","NTD","MA_QH","SKC")</f>
        <v>0</v>
      </c>
      <c r="Z50" s="35">
        <f>+GETPIVOTDATA("XBB4",'binhba (2016)'!$A$3,"MA_HT","NTD","MA_QH","SKS")</f>
        <v>0</v>
      </c>
      <c r="AA50" s="64">
        <f t="shared" si="21"/>
        <v>0</v>
      </c>
      <c r="AB50" s="35">
        <f>+GETPIVOTDATA("XBB4",'binhba (2016)'!$A$3,"MA_HT","NTD","MA_QH","DGT")</f>
        <v>0</v>
      </c>
      <c r="AC50" s="35">
        <f>+GETPIVOTDATA("XBB4",'binhba (2016)'!$A$3,"MA_HT","NTD","MA_QH","DTL")</f>
        <v>0</v>
      </c>
      <c r="AD50" s="35">
        <f>+GETPIVOTDATA("XBB4",'binhba (2016)'!$A$3,"MA_HT","NTD","MA_QH","DNL")</f>
        <v>0</v>
      </c>
      <c r="AE50" s="35">
        <f>+GETPIVOTDATA("XBB4",'binhba (2016)'!$A$3,"MA_HT","NTD","MA_QH","DBV")</f>
        <v>0</v>
      </c>
      <c r="AF50" s="35">
        <f>+GETPIVOTDATA("XBB4",'binhba (2016)'!$A$3,"MA_HT","NTD","MA_QH","DVH")</f>
        <v>0</v>
      </c>
      <c r="AG50" s="35">
        <f>+GETPIVOTDATA("XBB4",'binhba (2016)'!$A$3,"MA_HT","NTD","MA_QH","DYT")</f>
        <v>0</v>
      </c>
      <c r="AH50" s="35">
        <f>+GETPIVOTDATA("XBB4",'binhba (2016)'!$A$3,"MA_HT","NTD","MA_QH","DGD")</f>
        <v>0</v>
      </c>
      <c r="AI50" s="35">
        <f>+GETPIVOTDATA("XBB4",'binhba (2016)'!$A$3,"MA_HT","NTD","MA_QH","DTT")</f>
        <v>0</v>
      </c>
      <c r="AJ50" s="35">
        <f>+GETPIVOTDATA("XBB4",'binhba (2016)'!$A$3,"MA_HT","NTD","MA_QH","NCK")</f>
        <v>0</v>
      </c>
      <c r="AK50" s="35">
        <f>+GETPIVOTDATA("XBB4",'binhba (2016)'!$A$3,"MA_HT","NTD","MA_QH","DXH")</f>
        <v>0</v>
      </c>
      <c r="AL50" s="35">
        <f>+GETPIVOTDATA("XBB4",'binhba (2016)'!$A$3,"MA_HT","NTD","MA_QH","DCH")</f>
        <v>0</v>
      </c>
      <c r="AM50" s="35">
        <f>+GETPIVOTDATA("XBB4",'binhba (2016)'!$A$3,"MA_HT","NTD","MA_QH","DKG")</f>
        <v>0</v>
      </c>
      <c r="AN50" s="35">
        <f>+GETPIVOTDATA("XBB4",'binhba (2016)'!$A$3,"MA_HT","NTD","MA_QH","DDT")</f>
        <v>0</v>
      </c>
      <c r="AO50" s="35">
        <f>+GETPIVOTDATA("XBB4",'binhba (2016)'!$A$3,"MA_HT","NTD","MA_QH","DDL")</f>
        <v>0</v>
      </c>
      <c r="AP50" s="35">
        <f>+GETPIVOTDATA("XBB4",'binhba (2016)'!$A$3,"MA_HT","NTD","MA_QH","DRA")</f>
        <v>0</v>
      </c>
      <c r="AQ50" s="35">
        <f>+GETPIVOTDATA("XBB4",'binhba (2016)'!$A$3,"MA_HT","NTD","MA_QH","ONT")</f>
        <v>0</v>
      </c>
      <c r="AR50" s="35">
        <f>+GETPIVOTDATA("XBB4",'binhba (2016)'!$A$3,"MA_HT","NTD","MA_QH","ODT")</f>
        <v>0</v>
      </c>
      <c r="AS50" s="35">
        <f>+GETPIVOTDATA("XBB4",'binhba (2016)'!$A$3,"MA_HT","NTD","MA_QH","TSC")</f>
        <v>0</v>
      </c>
      <c r="AT50" s="35">
        <f>+GETPIVOTDATA("XBB4",'binhba (2016)'!$A$3,"MA_HT","NTD","MA_QH","DTS")</f>
        <v>0</v>
      </c>
      <c r="AU50" s="35">
        <f>+GETPIVOTDATA("XBB4",'binhba (2016)'!$A$3,"MA_HT","NTD","MA_QH","DNG")</f>
        <v>0</v>
      </c>
      <c r="AV50" s="35">
        <f>+GETPIVOTDATA("XBB4",'binhba (2016)'!$A$3,"MA_HT","NTD","MA_QH","TON")</f>
        <v>0</v>
      </c>
      <c r="AW50" s="99" t="e">
        <f>$D50-$BF50</f>
        <v>#REF!</v>
      </c>
      <c r="AX50" s="35">
        <f>+GETPIVOTDATA("XBB4",'binhba (2016)'!$A$3,"MA_HT","NTD","MA_QH","SKX")</f>
        <v>0</v>
      </c>
      <c r="AY50" s="35">
        <f>+GETPIVOTDATA("XBB4",'binhba (2016)'!$A$3,"MA_HT","NTD","MA_QH","DSH")</f>
        <v>0</v>
      </c>
      <c r="AZ50" s="35">
        <f>+GETPIVOTDATA("XBB4",'binhba (2016)'!$A$3,"MA_HT","NTD","MA_QH","DKV")</f>
        <v>0</v>
      </c>
      <c r="BA50" s="140">
        <f>+GETPIVOTDATA("XBB4",'binhba (2016)'!$A$3,"MA_HT","NTD","MA_QH","TIN")</f>
        <v>0</v>
      </c>
      <c r="BB50" s="74">
        <f>+GETPIVOTDATA("XBB4",'binhba (2016)'!$A$3,"MA_HT","NTD","MA_QH","SON")</f>
        <v>0</v>
      </c>
      <c r="BC50" s="74">
        <f>+GETPIVOTDATA("XBB4",'binhba (2016)'!$A$3,"MA_HT","NTD","MA_QH","MNC")</f>
        <v>0</v>
      </c>
      <c r="BD50" s="35">
        <f>+GETPIVOTDATA("XBB4",'binhba (2016)'!$A$3,"MA_HT","NTD","MA_QH","PNK")</f>
        <v>0</v>
      </c>
      <c r="BE50" s="58">
        <f>+GETPIVOTDATA("XBB4",'binhba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+GETPIVOTDATA("XBB4",'binhba (2016)'!$A$3,"MA_HT","SKX","MA_QH","LUC")</f>
        <v>0</v>
      </c>
      <c r="H51" s="35">
        <f>+GETPIVOTDATA("XBB4",'binhba (2016)'!$A$3,"MA_HT","SKX","MA_QH","LUK")</f>
        <v>0</v>
      </c>
      <c r="I51" s="35">
        <f>+GETPIVOTDATA("XBB4",'binhba (2016)'!$A$3,"MA_HT","SKX","MA_QH","LUN")</f>
        <v>0</v>
      </c>
      <c r="J51" s="35">
        <f>+GETPIVOTDATA("XBB4",'binhba (2016)'!$A$3,"MA_HT","SKX","MA_QH","HNK")</f>
        <v>0</v>
      </c>
      <c r="K51" s="35">
        <f>+GETPIVOTDATA("XBB4",'binhba (2016)'!$A$3,"MA_HT","SKX","MA_QH","CLN")</f>
        <v>0</v>
      </c>
      <c r="L51" s="35">
        <f>+GETPIVOTDATA("XBB4",'binhba (2016)'!$A$3,"MA_HT","SKX","MA_QH","RSX")</f>
        <v>0</v>
      </c>
      <c r="M51" s="35">
        <f>+GETPIVOTDATA("XBB4",'binhba (2016)'!$A$3,"MA_HT","SKX","MA_QH","RPH")</f>
        <v>0</v>
      </c>
      <c r="N51" s="35">
        <f>+GETPIVOTDATA("XBB4",'binhba (2016)'!$A$3,"MA_HT","SKX","MA_QH","RDD")</f>
        <v>0</v>
      </c>
      <c r="O51" s="35">
        <f>+GETPIVOTDATA("XBB4",'binhba (2016)'!$A$3,"MA_HT","SKX","MA_QH","NTS")</f>
        <v>0</v>
      </c>
      <c r="P51" s="35">
        <f>+GETPIVOTDATA("XBB4",'binhba (2016)'!$A$3,"MA_HT","SKX","MA_QH","LMU")</f>
        <v>0</v>
      </c>
      <c r="Q51" s="35">
        <f>+GETPIVOTDATA("XBB4",'binhba (2016)'!$A$3,"MA_HT","SKX","MA_QH","NKH")</f>
        <v>0</v>
      </c>
      <c r="R51" s="106">
        <f>SUM(S51:AA51,AN51:AW51,AY51:BD51)</f>
        <v>0</v>
      </c>
      <c r="S51" s="35">
        <f>+GETPIVOTDATA("XBB4",'binhba (2016)'!$A$3,"MA_HT","SKX","MA_QH","CQP")</f>
        <v>0</v>
      </c>
      <c r="T51" s="35">
        <f>+GETPIVOTDATA("XBB4",'binhba (2016)'!$A$3,"MA_HT","SKX","MA_QH","CAN")</f>
        <v>0</v>
      </c>
      <c r="U51" s="35">
        <f>+GETPIVOTDATA("XBB4",'binhba (2016)'!$A$3,"MA_HT","SKX","MA_QH","SKK")</f>
        <v>0</v>
      </c>
      <c r="V51" s="35">
        <f>+GETPIVOTDATA("XBB4",'binhba (2016)'!$A$3,"MA_HT","SKX","MA_QH","SKT")</f>
        <v>0</v>
      </c>
      <c r="W51" s="35">
        <f>+GETPIVOTDATA("XBB4",'binhba (2016)'!$A$3,"MA_HT","SKX","MA_QH","SKN")</f>
        <v>0</v>
      </c>
      <c r="X51" s="35">
        <f>+GETPIVOTDATA("XBB4",'binhba (2016)'!$A$3,"MA_HT","SKX","MA_QH","TMD")</f>
        <v>0</v>
      </c>
      <c r="Y51" s="35">
        <f>+GETPIVOTDATA("XBB4",'binhba (2016)'!$A$3,"MA_HT","SKX","MA_QH","SKC")</f>
        <v>0</v>
      </c>
      <c r="Z51" s="35">
        <f>+GETPIVOTDATA("XBB4",'binhba (2016)'!$A$3,"MA_HT","SKX","MA_QH","SKS")</f>
        <v>0</v>
      </c>
      <c r="AA51" s="64">
        <f t="shared" si="21"/>
        <v>0</v>
      </c>
      <c r="AB51" s="35">
        <f>+GETPIVOTDATA("XBB4",'binhba (2016)'!$A$3,"MA_HT","SKX","MA_QH","DGT")</f>
        <v>0</v>
      </c>
      <c r="AC51" s="35">
        <f>+GETPIVOTDATA("XBB4",'binhba (2016)'!$A$3,"MA_HT","SKX","MA_QH","DTL")</f>
        <v>0</v>
      </c>
      <c r="AD51" s="35">
        <f>+GETPIVOTDATA("XBB4",'binhba (2016)'!$A$3,"MA_HT","SKX","MA_QH","DNL")</f>
        <v>0</v>
      </c>
      <c r="AE51" s="35">
        <f>+GETPIVOTDATA("XBB4",'binhba (2016)'!$A$3,"MA_HT","SKX","MA_QH","DBV")</f>
        <v>0</v>
      </c>
      <c r="AF51" s="35">
        <f>+GETPIVOTDATA("XBB4",'binhba (2016)'!$A$3,"MA_HT","SKX","MA_QH","DVH")</f>
        <v>0</v>
      </c>
      <c r="AG51" s="35">
        <f>+GETPIVOTDATA("XBB4",'binhba (2016)'!$A$3,"MA_HT","SKX","MA_QH","DYT")</f>
        <v>0</v>
      </c>
      <c r="AH51" s="35">
        <f>+GETPIVOTDATA("XBB4",'binhba (2016)'!$A$3,"MA_HT","SKX","MA_QH","DGD")</f>
        <v>0</v>
      </c>
      <c r="AI51" s="35">
        <f>+GETPIVOTDATA("XBB4",'binhba (2016)'!$A$3,"MA_HT","SKX","MA_QH","DTT")</f>
        <v>0</v>
      </c>
      <c r="AJ51" s="35">
        <f>+GETPIVOTDATA("XBB4",'binhba (2016)'!$A$3,"MA_HT","SKX","MA_QH","NCK")</f>
        <v>0</v>
      </c>
      <c r="AK51" s="35">
        <f>+GETPIVOTDATA("XBB4",'binhba (2016)'!$A$3,"MA_HT","SKX","MA_QH","DXH")</f>
        <v>0</v>
      </c>
      <c r="AL51" s="35">
        <f>+GETPIVOTDATA("XBB4",'binhba (2016)'!$A$3,"MA_HT","SKX","MA_QH","DCH")</f>
        <v>0</v>
      </c>
      <c r="AM51" s="35">
        <f>+GETPIVOTDATA("XBB4",'binhba (2016)'!$A$3,"MA_HT","SKX","MA_QH","DKG")</f>
        <v>0</v>
      </c>
      <c r="AN51" s="35">
        <f>+GETPIVOTDATA("XBB4",'binhba (2016)'!$A$3,"MA_HT","SKX","MA_QH","DDT")</f>
        <v>0</v>
      </c>
      <c r="AO51" s="35">
        <f>+GETPIVOTDATA("XBB4",'binhba (2016)'!$A$3,"MA_HT","SKX","MA_QH","DDL")</f>
        <v>0</v>
      </c>
      <c r="AP51" s="35">
        <f>+GETPIVOTDATA("XBB4",'binhba (2016)'!$A$3,"MA_HT","SKX","MA_QH","DRA")</f>
        <v>0</v>
      </c>
      <c r="AQ51" s="35">
        <f>+GETPIVOTDATA("XBB4",'binhba (2016)'!$A$3,"MA_HT","SKX","MA_QH","ONT")</f>
        <v>0</v>
      </c>
      <c r="AR51" s="35">
        <f>+GETPIVOTDATA("XBB4",'binhba (2016)'!$A$3,"MA_HT","SKX","MA_QH","ODT")</f>
        <v>0</v>
      </c>
      <c r="AS51" s="35">
        <f>+GETPIVOTDATA("XBB4",'binhba (2016)'!$A$3,"MA_HT","SKX","MA_QH","TSC")</f>
        <v>0</v>
      </c>
      <c r="AT51" s="35">
        <f>+GETPIVOTDATA("XBB4",'binhba (2016)'!$A$3,"MA_HT","SKX","MA_QH","DTS")</f>
        <v>0</v>
      </c>
      <c r="AU51" s="35">
        <f>+GETPIVOTDATA("XBB4",'binhba (2016)'!$A$3,"MA_HT","SKX","MA_QH","DNG")</f>
        <v>0</v>
      </c>
      <c r="AV51" s="35">
        <f>+GETPIVOTDATA("XBB4",'binhba (2016)'!$A$3,"MA_HT","SKX","MA_QH","TON")</f>
        <v>0</v>
      </c>
      <c r="AW51" s="35">
        <f>+GETPIVOTDATA("XBB4",'binhba (2016)'!$A$3,"MA_HT","SKX","MA_QH","NTD")</f>
        <v>0</v>
      </c>
      <c r="AX51" s="99" t="e">
        <f>$D51-$BF51</f>
        <v>#REF!</v>
      </c>
      <c r="AY51" s="35">
        <f>+GETPIVOTDATA("XBB4",'binhba (2016)'!$A$3,"MA_HT","SKX","MA_QH","DSH")</f>
        <v>0</v>
      </c>
      <c r="AZ51" s="35">
        <f>+GETPIVOTDATA("XBB4",'binhba (2016)'!$A$3,"MA_HT","SKX","MA_QH","DKV")</f>
        <v>0</v>
      </c>
      <c r="BA51" s="140">
        <f>+GETPIVOTDATA("XBB4",'binhba (2016)'!$A$3,"MA_HT","SKX","MA_QH","TIN")</f>
        <v>0</v>
      </c>
      <c r="BB51" s="74">
        <f>+GETPIVOTDATA("XBB4",'binhba (2016)'!$A$3,"MA_HT","SKX","MA_QH","SON")</f>
        <v>0</v>
      </c>
      <c r="BC51" s="74">
        <f>+GETPIVOTDATA("XBB4",'binhba (2016)'!$A$3,"MA_HT","SKX","MA_QH","MNC")</f>
        <v>0</v>
      </c>
      <c r="BD51" s="35">
        <f>+GETPIVOTDATA("XBB4",'binhba (2016)'!$A$3,"MA_HT","SKX","MA_QH","PNK")</f>
        <v>0</v>
      </c>
      <c r="BE51" s="58">
        <f>+GETPIVOTDATA("XBB4",'binhba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+GETPIVOTDATA("XBB4",'binhba (2016)'!$A$3,"MA_HT","DSH","MA_QH","LUC")</f>
        <v>0</v>
      </c>
      <c r="H52" s="35">
        <f>+GETPIVOTDATA("XBB4",'binhba (2016)'!$A$3,"MA_HT","DSH","MA_QH","LUK")</f>
        <v>0</v>
      </c>
      <c r="I52" s="35">
        <f>+GETPIVOTDATA("XBB4",'binhba (2016)'!$A$3,"MA_HT","DSH","MA_QH","LUN")</f>
        <v>0</v>
      </c>
      <c r="J52" s="35">
        <f>+GETPIVOTDATA("XBB4",'binhba (2016)'!$A$3,"MA_HT","DSH","MA_QH","HNK")</f>
        <v>0</v>
      </c>
      <c r="K52" s="35">
        <f>+GETPIVOTDATA("XBB4",'binhba (2016)'!$A$3,"MA_HT","DSH","MA_QH","CLN")</f>
        <v>0</v>
      </c>
      <c r="L52" s="35">
        <f>+GETPIVOTDATA("XBB4",'binhba (2016)'!$A$3,"MA_HT","DSH","MA_QH","RSX")</f>
        <v>0</v>
      </c>
      <c r="M52" s="35">
        <f>+GETPIVOTDATA("XBB4",'binhba (2016)'!$A$3,"MA_HT","DSH","MA_QH","RPH")</f>
        <v>0</v>
      </c>
      <c r="N52" s="35">
        <f>+GETPIVOTDATA("XBB4",'binhba (2016)'!$A$3,"MA_HT","DSH","MA_QH","RDD")</f>
        <v>0</v>
      </c>
      <c r="O52" s="35">
        <f>+GETPIVOTDATA("XBB4",'binhba (2016)'!$A$3,"MA_HT","DSH","MA_QH","NTS")</f>
        <v>0</v>
      </c>
      <c r="P52" s="35">
        <f>+GETPIVOTDATA("XBB4",'binhba (2016)'!$A$3,"MA_HT","DSH","MA_QH","LMU")</f>
        <v>0</v>
      </c>
      <c r="Q52" s="35">
        <f>+GETPIVOTDATA("XBB4",'binhba (2016)'!$A$3,"MA_HT","DSH","MA_QH","NKH")</f>
        <v>0</v>
      </c>
      <c r="R52" s="106">
        <f>SUM(S52:AA52,AN52:AX52,AZ52:BD52)</f>
        <v>0</v>
      </c>
      <c r="S52" s="35">
        <f>+GETPIVOTDATA("XBB4",'binhba (2016)'!$A$3,"MA_HT","DSH","MA_QH","CQP")</f>
        <v>0</v>
      </c>
      <c r="T52" s="35">
        <f>+GETPIVOTDATA("XBB4",'binhba (2016)'!$A$3,"MA_HT","DSH","MA_QH","CAN")</f>
        <v>0</v>
      </c>
      <c r="U52" s="35">
        <f>+GETPIVOTDATA("XBB4",'binhba (2016)'!$A$3,"MA_HT","DSH","MA_QH","SKK")</f>
        <v>0</v>
      </c>
      <c r="V52" s="35">
        <f>+GETPIVOTDATA("XBB4",'binhba (2016)'!$A$3,"MA_HT","DSH","MA_QH","SKT")</f>
        <v>0</v>
      </c>
      <c r="W52" s="35">
        <f>+GETPIVOTDATA("XBB4",'binhba (2016)'!$A$3,"MA_HT","DSH","MA_QH","SKN")</f>
        <v>0</v>
      </c>
      <c r="X52" s="35">
        <f>+GETPIVOTDATA("XBB4",'binhba (2016)'!$A$3,"MA_HT","DSH","MA_QH","TMD")</f>
        <v>0</v>
      </c>
      <c r="Y52" s="35">
        <f>+GETPIVOTDATA("XBB4",'binhba (2016)'!$A$3,"MA_HT","DSH","MA_QH","SKC")</f>
        <v>0</v>
      </c>
      <c r="Z52" s="35">
        <f>+GETPIVOTDATA("XBB4",'binhba (2016)'!$A$3,"MA_HT","DSH","MA_QH","SKS")</f>
        <v>0</v>
      </c>
      <c r="AA52" s="64">
        <f t="shared" si="21"/>
        <v>0</v>
      </c>
      <c r="AB52" s="35">
        <f>+GETPIVOTDATA("XBB4",'binhba (2016)'!$A$3,"MA_HT","DSH","MA_QH","DGT")</f>
        <v>0</v>
      </c>
      <c r="AC52" s="35">
        <f>+GETPIVOTDATA("XBB4",'binhba (2016)'!$A$3,"MA_HT","DSH","MA_QH","DTL")</f>
        <v>0</v>
      </c>
      <c r="AD52" s="35">
        <f>+GETPIVOTDATA("XBB4",'binhba (2016)'!$A$3,"MA_HT","DSH","MA_QH","DNL")</f>
        <v>0</v>
      </c>
      <c r="AE52" s="35">
        <f>+GETPIVOTDATA("XBB4",'binhba (2016)'!$A$3,"MA_HT","DSH","MA_QH","DBV")</f>
        <v>0</v>
      </c>
      <c r="AF52" s="35">
        <f>+GETPIVOTDATA("XBB4",'binhba (2016)'!$A$3,"MA_HT","DSH","MA_QH","DVH")</f>
        <v>0</v>
      </c>
      <c r="AG52" s="35">
        <f>+GETPIVOTDATA("XBB4",'binhba (2016)'!$A$3,"MA_HT","DSH","MA_QH","DYT")</f>
        <v>0</v>
      </c>
      <c r="AH52" s="35">
        <f>+GETPIVOTDATA("XBB4",'binhba (2016)'!$A$3,"MA_HT","DSH","MA_QH","DGD")</f>
        <v>0</v>
      </c>
      <c r="AI52" s="35">
        <f>+GETPIVOTDATA("XBB4",'binhba (2016)'!$A$3,"MA_HT","DSH","MA_QH","DTT")</f>
        <v>0</v>
      </c>
      <c r="AJ52" s="35">
        <f>+GETPIVOTDATA("XBB4",'binhba (2016)'!$A$3,"MA_HT","DSH","MA_QH","NCK")</f>
        <v>0</v>
      </c>
      <c r="AK52" s="35">
        <f>+GETPIVOTDATA("XBB4",'binhba (2016)'!$A$3,"MA_HT","DSH","MA_QH","DXH")</f>
        <v>0</v>
      </c>
      <c r="AL52" s="35">
        <f>+GETPIVOTDATA("XBB4",'binhba (2016)'!$A$3,"MA_HT","DSH","MA_QH","DCH")</f>
        <v>0</v>
      </c>
      <c r="AM52" s="35">
        <f>+GETPIVOTDATA("XBB4",'binhba (2016)'!$A$3,"MA_HT","DSH","MA_QH","DKG")</f>
        <v>0</v>
      </c>
      <c r="AN52" s="35">
        <f>+GETPIVOTDATA("XBB4",'binhba (2016)'!$A$3,"MA_HT","DSH","MA_QH","DDT")</f>
        <v>0</v>
      </c>
      <c r="AO52" s="35">
        <f>+GETPIVOTDATA("XBB4",'binhba (2016)'!$A$3,"MA_HT","DSH","MA_QH","DDL")</f>
        <v>0</v>
      </c>
      <c r="AP52" s="35">
        <f>+GETPIVOTDATA("XBB4",'binhba (2016)'!$A$3,"MA_HT","DSH","MA_QH","DRA")</f>
        <v>0</v>
      </c>
      <c r="AQ52" s="35">
        <f>+GETPIVOTDATA("XBB4",'binhba (2016)'!$A$3,"MA_HT","DSH","MA_QH","ONT")</f>
        <v>0</v>
      </c>
      <c r="AR52" s="35">
        <f>+GETPIVOTDATA("XBB4",'binhba (2016)'!$A$3,"MA_HT","DSH","MA_QH","ODT")</f>
        <v>0</v>
      </c>
      <c r="AS52" s="35">
        <f>+GETPIVOTDATA("XBB4",'binhba (2016)'!$A$3,"MA_HT","DSH","MA_QH","TSC")</f>
        <v>0</v>
      </c>
      <c r="AT52" s="35">
        <f>+GETPIVOTDATA("XBB4",'binhba (2016)'!$A$3,"MA_HT","DSH","MA_QH","DTS")</f>
        <v>0</v>
      </c>
      <c r="AU52" s="35">
        <f>+GETPIVOTDATA("XBB4",'binhba (2016)'!$A$3,"MA_HT","DSH","MA_QH","DNG")</f>
        <v>0</v>
      </c>
      <c r="AV52" s="35">
        <f>+GETPIVOTDATA("XBB4",'binhba (2016)'!$A$3,"MA_HT","DSH","MA_QH","TON")</f>
        <v>0</v>
      </c>
      <c r="AW52" s="35">
        <f>+GETPIVOTDATA("XBB4",'binhba (2016)'!$A$3,"MA_HT","DSH","MA_QH","NTD")</f>
        <v>0</v>
      </c>
      <c r="AX52" s="35">
        <f>+GETPIVOTDATA("XBB4",'binhba (2016)'!$A$3,"MA_HT","DSH","MA_QH","SKX")</f>
        <v>0</v>
      </c>
      <c r="AY52" s="99" t="e">
        <f>$D52-$BF52</f>
        <v>#REF!</v>
      </c>
      <c r="AZ52" s="35">
        <f>+GETPIVOTDATA("XBB4",'binhba (2016)'!$A$3,"MA_HT","DSH","MA_QH","DKV")</f>
        <v>0</v>
      </c>
      <c r="BA52" s="140">
        <f>+GETPIVOTDATA("XBB4",'binhba (2016)'!$A$3,"MA_HT","DSH","MA_QH","TIN")</f>
        <v>0</v>
      </c>
      <c r="BB52" s="74">
        <f>+GETPIVOTDATA("XBB4",'binhba (2016)'!$A$3,"MA_HT","DSH","MA_QH","SON")</f>
        <v>0</v>
      </c>
      <c r="BC52" s="74">
        <f>+GETPIVOTDATA("XBB4",'binhba (2016)'!$A$3,"MA_HT","DSH","MA_QH","MNC")</f>
        <v>0</v>
      </c>
      <c r="BD52" s="35">
        <f>+GETPIVOTDATA("XBB4",'binhba (2016)'!$A$3,"MA_HT","DSH","MA_QH","PNK")</f>
        <v>0</v>
      </c>
      <c r="BE52" s="58">
        <f>+GETPIVOTDATA("XBB4",'binhba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+GETPIVOTDATA("XBB4",'binhba (2016)'!$A$3,"MA_HT","DKV","MA_QH","LUC")</f>
        <v>0</v>
      </c>
      <c r="H53" s="35">
        <f>+GETPIVOTDATA("XBB4",'binhba (2016)'!$A$3,"MA_HT","DKV","MA_QH","LUK")</f>
        <v>0</v>
      </c>
      <c r="I53" s="35">
        <f>+GETPIVOTDATA("XBB4",'binhba (2016)'!$A$3,"MA_HT","DKV","MA_QH","LUN")</f>
        <v>0</v>
      </c>
      <c r="J53" s="35">
        <f>+GETPIVOTDATA("XBB4",'binhba (2016)'!$A$3,"MA_HT","DKV","MA_QH","HNK")</f>
        <v>0</v>
      </c>
      <c r="K53" s="35">
        <f>+GETPIVOTDATA("XBB4",'binhba (2016)'!$A$3,"MA_HT","DKV","MA_QH","CLN")</f>
        <v>0</v>
      </c>
      <c r="L53" s="35">
        <f>+GETPIVOTDATA("XBB4",'binhba (2016)'!$A$3,"MA_HT","DKV","MA_QH","RSX")</f>
        <v>0</v>
      </c>
      <c r="M53" s="35">
        <f>+GETPIVOTDATA("XBB4",'binhba (2016)'!$A$3,"MA_HT","DKV","MA_QH","RPH")</f>
        <v>0</v>
      </c>
      <c r="N53" s="35">
        <f>+GETPIVOTDATA("XBB4",'binhba (2016)'!$A$3,"MA_HT","DKV","MA_QH","RDD")</f>
        <v>0</v>
      </c>
      <c r="O53" s="35">
        <f>+GETPIVOTDATA("XBB4",'binhba (2016)'!$A$3,"MA_HT","DKV","MA_QH","NTS")</f>
        <v>0</v>
      </c>
      <c r="P53" s="35">
        <f>+GETPIVOTDATA("XBB4",'binhba (2016)'!$A$3,"MA_HT","DKV","MA_QH","LMU")</f>
        <v>0</v>
      </c>
      <c r="Q53" s="35">
        <f>+GETPIVOTDATA("XBB4",'binhba (2016)'!$A$3,"MA_HT","DKV","MA_QH","NKH")</f>
        <v>0</v>
      </c>
      <c r="R53" s="106">
        <f>SUM(S53:AA53,AN53:AY53,BB53:BD53)</f>
        <v>0</v>
      </c>
      <c r="S53" s="35">
        <f>+GETPIVOTDATA("XBB4",'binhba (2016)'!$A$3,"MA_HT","DKV","MA_QH","CQP")</f>
        <v>0</v>
      </c>
      <c r="T53" s="35">
        <f>+GETPIVOTDATA("XBB4",'binhba (2016)'!$A$3,"MA_HT","DKV","MA_QH","CAN")</f>
        <v>0</v>
      </c>
      <c r="U53" s="35">
        <f>+GETPIVOTDATA("XBB4",'binhba (2016)'!$A$3,"MA_HT","DKV","MA_QH","SKK")</f>
        <v>0</v>
      </c>
      <c r="V53" s="35">
        <f>+GETPIVOTDATA("XBB4",'binhba (2016)'!$A$3,"MA_HT","DKV","MA_QH","SKT")</f>
        <v>0</v>
      </c>
      <c r="W53" s="35">
        <f>+GETPIVOTDATA("XBB4",'binhba (2016)'!$A$3,"MA_HT","DKV","MA_QH","SKN")</f>
        <v>0</v>
      </c>
      <c r="X53" s="35">
        <f>+GETPIVOTDATA("XBB4",'binhba (2016)'!$A$3,"MA_HT","DKV","MA_QH","TMD")</f>
        <v>0</v>
      </c>
      <c r="Y53" s="35">
        <f>+GETPIVOTDATA("XBB4",'binhba (2016)'!$A$3,"MA_HT","DKV","MA_QH","SKC")</f>
        <v>0</v>
      </c>
      <c r="Z53" s="35">
        <f>+GETPIVOTDATA("XBB4",'binhba (2016)'!$A$3,"MA_HT","DKV","MA_QH","SKS")</f>
        <v>0</v>
      </c>
      <c r="AA53" s="64">
        <f t="shared" si="21"/>
        <v>0</v>
      </c>
      <c r="AB53" s="35">
        <f>+GETPIVOTDATA("XBB4",'binhba (2016)'!$A$3,"MA_HT","DKV","MA_QH","DGT")</f>
        <v>0</v>
      </c>
      <c r="AC53" s="35">
        <f>+GETPIVOTDATA("XBB4",'binhba (2016)'!$A$3,"MA_HT","DKV","MA_QH","DTL")</f>
        <v>0</v>
      </c>
      <c r="AD53" s="35">
        <f>+GETPIVOTDATA("XBB4",'binhba (2016)'!$A$3,"MA_HT","DKV","MA_QH","DNL")</f>
        <v>0</v>
      </c>
      <c r="AE53" s="35">
        <f>+GETPIVOTDATA("XBB4",'binhba (2016)'!$A$3,"MA_HT","DKV","MA_QH","DBV")</f>
        <v>0</v>
      </c>
      <c r="AF53" s="35">
        <f>+GETPIVOTDATA("XBB4",'binhba (2016)'!$A$3,"MA_HT","DKV","MA_QH","DVH")</f>
        <v>0</v>
      </c>
      <c r="AG53" s="35">
        <f>+GETPIVOTDATA("XBB4",'binhba (2016)'!$A$3,"MA_HT","DKV","MA_QH","DYT")</f>
        <v>0</v>
      </c>
      <c r="AH53" s="35">
        <f>+GETPIVOTDATA("XBB4",'binhba (2016)'!$A$3,"MA_HT","DKV","MA_QH","DGD")</f>
        <v>0</v>
      </c>
      <c r="AI53" s="35">
        <f>+GETPIVOTDATA("XBB4",'binhba (2016)'!$A$3,"MA_HT","DKV","MA_QH","DTT")</f>
        <v>0</v>
      </c>
      <c r="AJ53" s="35">
        <f>+GETPIVOTDATA("XBB4",'binhba (2016)'!$A$3,"MA_HT","DKV","MA_QH","NCK")</f>
        <v>0</v>
      </c>
      <c r="AK53" s="35">
        <f>+GETPIVOTDATA("XBB4",'binhba (2016)'!$A$3,"MA_HT","DKV","MA_QH","DXH")</f>
        <v>0</v>
      </c>
      <c r="AL53" s="35">
        <f>+GETPIVOTDATA("XBB4",'binhba (2016)'!$A$3,"MA_HT","DKV","MA_QH","DCH")</f>
        <v>0</v>
      </c>
      <c r="AM53" s="35">
        <f>+GETPIVOTDATA("XBB4",'binhba (2016)'!$A$3,"MA_HT","DKV","MA_QH","DKG")</f>
        <v>0</v>
      </c>
      <c r="AN53" s="35">
        <f>+GETPIVOTDATA("XBB4",'binhba (2016)'!$A$3,"MA_HT","DKV","MA_QH","DDT")</f>
        <v>0</v>
      </c>
      <c r="AO53" s="35">
        <f>+GETPIVOTDATA("XBB4",'binhba (2016)'!$A$3,"MA_HT","DKV","MA_QH","DDL")</f>
        <v>0</v>
      </c>
      <c r="AP53" s="35">
        <f>+GETPIVOTDATA("XBB4",'binhba (2016)'!$A$3,"MA_HT","DKV","MA_QH","DRA")</f>
        <v>0</v>
      </c>
      <c r="AQ53" s="35">
        <f>+GETPIVOTDATA("XBB4",'binhba (2016)'!$A$3,"MA_HT","DKV","MA_QH","ONT")</f>
        <v>0</v>
      </c>
      <c r="AR53" s="35">
        <f>+GETPIVOTDATA("XBB4",'binhba (2016)'!$A$3,"MA_HT","DKV","MA_QH","ODT")</f>
        <v>0</v>
      </c>
      <c r="AS53" s="35">
        <f>+GETPIVOTDATA("XBB4",'binhba (2016)'!$A$3,"MA_HT","DKV","MA_QH","TSC")</f>
        <v>0</v>
      </c>
      <c r="AT53" s="35">
        <f>+GETPIVOTDATA("XBB4",'binhba (2016)'!$A$3,"MA_HT","DKV","MA_QH","DTS")</f>
        <v>0</v>
      </c>
      <c r="AU53" s="35">
        <f>+GETPIVOTDATA("XBB4",'binhba (2016)'!$A$3,"MA_HT","DKV","MA_QH","DNG")</f>
        <v>0</v>
      </c>
      <c r="AV53" s="35">
        <f>+GETPIVOTDATA("XBB4",'binhba (2016)'!$A$3,"MA_HT","DKV","MA_QH","TON")</f>
        <v>0</v>
      </c>
      <c r="AW53" s="35">
        <f>+GETPIVOTDATA("XBB4",'binhba (2016)'!$A$3,"MA_HT","DKV","MA_QH","NTD")</f>
        <v>0</v>
      </c>
      <c r="AX53" s="35">
        <f>+GETPIVOTDATA("XBB4",'binhba (2016)'!$A$3,"MA_HT","DKV","MA_QH","SKX")</f>
        <v>0</v>
      </c>
      <c r="AY53" s="35">
        <f>+GETPIVOTDATA("XBB4",'binhba (2016)'!$A$3,"MA_HT","DKV","MA_QH","DSH")</f>
        <v>0</v>
      </c>
      <c r="AZ53" s="99" t="e">
        <f>$D53-$BF53</f>
        <v>#REF!</v>
      </c>
      <c r="BA53" s="140">
        <f>+GETPIVOTDATA("XBB4",'binhba (2016)'!$A$3,"MA_HT","DKV","MA_QH","TIN")</f>
        <v>0</v>
      </c>
      <c r="BB53" s="74">
        <f>+GETPIVOTDATA("XBB4",'binhba (2016)'!$A$3,"MA_HT","DKV","MA_QH","SON")</f>
        <v>0</v>
      </c>
      <c r="BC53" s="74">
        <f>+GETPIVOTDATA("XBB4",'binhba (2016)'!$A$3,"MA_HT","DKV","MA_QH","MNC")</f>
        <v>0</v>
      </c>
      <c r="BD53" s="35">
        <f>+GETPIVOTDATA("XBB4",'binhba (2016)'!$A$3,"MA_HT","DKV","MA_QH","PNK")</f>
        <v>0</v>
      </c>
      <c r="BE53" s="58">
        <f>+GETPIVOTDATA("XBB4",'binhba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+GETPIVOTDATA("XBB4",'binhba (2016)'!$A$3,"MA_HT","TIN","MA_QH","LUC")</f>
        <v>0</v>
      </c>
      <c r="H54" s="35">
        <f>+GETPIVOTDATA("XBB4",'binhba (2016)'!$A$3,"MA_HT","TIN","MA_QH","LUK")</f>
        <v>0</v>
      </c>
      <c r="I54" s="35">
        <f>+GETPIVOTDATA("XBB4",'binhba (2016)'!$A$3,"MA_HT","TIN","MA_QH","LUN")</f>
        <v>0</v>
      </c>
      <c r="J54" s="35">
        <f>+GETPIVOTDATA("XBB4",'binhba (2016)'!$A$3,"MA_HT","TIN","MA_QH","HNK")</f>
        <v>0</v>
      </c>
      <c r="K54" s="35">
        <f>+GETPIVOTDATA("XBB4",'binhba (2016)'!$A$3,"MA_HT","TIN","MA_QH","CLN")</f>
        <v>0</v>
      </c>
      <c r="L54" s="35">
        <f>+GETPIVOTDATA("XBB4",'binhba (2016)'!$A$3,"MA_HT","TIN","MA_QH","RSX")</f>
        <v>0</v>
      </c>
      <c r="M54" s="35">
        <f>+GETPIVOTDATA("XBB4",'binhba (2016)'!$A$3,"MA_HT","TIN","MA_QH","RPH")</f>
        <v>0</v>
      </c>
      <c r="N54" s="35">
        <f>+GETPIVOTDATA("XBB4",'binhba (2016)'!$A$3,"MA_HT","TIN","MA_QH","RDD")</f>
        <v>0</v>
      </c>
      <c r="O54" s="35">
        <f>+GETPIVOTDATA("XBB4",'binhba (2016)'!$A$3,"MA_HT","TIN","MA_QH","NTS")</f>
        <v>0</v>
      </c>
      <c r="P54" s="35">
        <f>+GETPIVOTDATA("XBB4",'binhba (2016)'!$A$3,"MA_HT","TIN","MA_QH","LMU")</f>
        <v>0</v>
      </c>
      <c r="Q54" s="35">
        <f>+GETPIVOTDATA("XBB4",'binhba (2016)'!$A$3,"MA_HT","TIN","MA_QH","NKH")</f>
        <v>0</v>
      </c>
      <c r="R54" s="106">
        <f>SUM(S54:AA54,AN54:AZ54,BB54:BD54)</f>
        <v>0</v>
      </c>
      <c r="S54" s="35">
        <f>+GETPIVOTDATA("XBB4",'binhba (2016)'!$A$3,"MA_HT","TIN","MA_QH","CQP")</f>
        <v>0</v>
      </c>
      <c r="T54" s="35">
        <f>+GETPIVOTDATA("XBB4",'binhba (2016)'!$A$3,"MA_HT","TIN","MA_QH","CAN")</f>
        <v>0</v>
      </c>
      <c r="U54" s="35">
        <f>+GETPIVOTDATA("XBB4",'binhba (2016)'!$A$3,"MA_HT","TIN","MA_QH","SKK")</f>
        <v>0</v>
      </c>
      <c r="V54" s="35">
        <f>+GETPIVOTDATA("XBB4",'binhba (2016)'!$A$3,"MA_HT","TIN","MA_QH","SKT")</f>
        <v>0</v>
      </c>
      <c r="W54" s="35">
        <f>+GETPIVOTDATA("XBB4",'binhba (2016)'!$A$3,"MA_HT","TIN","MA_QH","SKN")</f>
        <v>0</v>
      </c>
      <c r="X54" s="35">
        <f>+GETPIVOTDATA("XBB4",'binhba (2016)'!$A$3,"MA_HT","TIN","MA_QH","TMD")</f>
        <v>0</v>
      </c>
      <c r="Y54" s="35">
        <f>+GETPIVOTDATA("XBB4",'binhba (2016)'!$A$3,"MA_HT","TIN","MA_QH","SKC")</f>
        <v>0</v>
      </c>
      <c r="Z54" s="35">
        <f>+GETPIVOTDATA("XBB4",'binhba (2016)'!$A$3,"MA_HT","TIN","MA_QH","SKS")</f>
        <v>0</v>
      </c>
      <c r="AA54" s="64">
        <f t="shared" si="21"/>
        <v>0</v>
      </c>
      <c r="AB54" s="35">
        <f>+GETPIVOTDATA("XBB4",'binhba (2016)'!$A$3,"MA_HT","TIN","MA_QH","DGT")</f>
        <v>0</v>
      </c>
      <c r="AC54" s="35">
        <f>+GETPIVOTDATA("XBB4",'binhba (2016)'!$A$3,"MA_HT","TIN","MA_QH","DTL")</f>
        <v>0</v>
      </c>
      <c r="AD54" s="35">
        <f>+GETPIVOTDATA("XBB4",'binhba (2016)'!$A$3,"MA_HT","TIN","MA_QH","DNL")</f>
        <v>0</v>
      </c>
      <c r="AE54" s="35">
        <f>+GETPIVOTDATA("XBB4",'binhba (2016)'!$A$3,"MA_HT","TIN","MA_QH","DBV")</f>
        <v>0</v>
      </c>
      <c r="AF54" s="35">
        <f>+GETPIVOTDATA("XBB4",'binhba (2016)'!$A$3,"MA_HT","TIN","MA_QH","DVH")</f>
        <v>0</v>
      </c>
      <c r="AG54" s="35">
        <f>+GETPIVOTDATA("XBB4",'binhba (2016)'!$A$3,"MA_HT","TIN","MA_QH","DYT")</f>
        <v>0</v>
      </c>
      <c r="AH54" s="35">
        <f>+GETPIVOTDATA("XBB4",'binhba (2016)'!$A$3,"MA_HT","TIN","MA_QH","DGD")</f>
        <v>0</v>
      </c>
      <c r="AI54" s="35">
        <f>+GETPIVOTDATA("XBB4",'binhba (2016)'!$A$3,"MA_HT","TIN","MA_QH","DTT")</f>
        <v>0</v>
      </c>
      <c r="AJ54" s="35">
        <f>+GETPIVOTDATA("XBB4",'binhba (2016)'!$A$3,"MA_HT","TIN","MA_QH","NCK")</f>
        <v>0</v>
      </c>
      <c r="AK54" s="35">
        <f>+GETPIVOTDATA("XBB4",'binhba (2016)'!$A$3,"MA_HT","TIN","MA_QH","DXH")</f>
        <v>0</v>
      </c>
      <c r="AL54" s="35">
        <f>+GETPIVOTDATA("XBB4",'binhba (2016)'!$A$3,"MA_HT","TIN","MA_QH","DCH")</f>
        <v>0</v>
      </c>
      <c r="AM54" s="35">
        <f>+GETPIVOTDATA("XBB4",'binhba (2016)'!$A$3,"MA_HT","TIN","MA_QH","DKG")</f>
        <v>0</v>
      </c>
      <c r="AN54" s="35">
        <f>+GETPIVOTDATA("XBB4",'binhba (2016)'!$A$3,"MA_HT","TIN","MA_QH","DDT")</f>
        <v>0</v>
      </c>
      <c r="AO54" s="35">
        <f>+GETPIVOTDATA("XBB4",'binhba (2016)'!$A$3,"MA_HT","TIN","MA_QH","DDL")</f>
        <v>0</v>
      </c>
      <c r="AP54" s="35">
        <f>+GETPIVOTDATA("XBB4",'binhba (2016)'!$A$3,"MA_HT","TIN","MA_QH","DRA")</f>
        <v>0</v>
      </c>
      <c r="AQ54" s="35">
        <f>+GETPIVOTDATA("XBB4",'binhba (2016)'!$A$3,"MA_HT","TIN","MA_QH","ONT")</f>
        <v>0</v>
      </c>
      <c r="AR54" s="35">
        <f>+GETPIVOTDATA("XBB4",'binhba (2016)'!$A$3,"MA_HT","TIN","MA_QH","ODT")</f>
        <v>0</v>
      </c>
      <c r="AS54" s="35">
        <f>+GETPIVOTDATA("XBB4",'binhba (2016)'!$A$3,"MA_HT","TIN","MA_QH","TSC")</f>
        <v>0</v>
      </c>
      <c r="AT54" s="35">
        <f>+GETPIVOTDATA("XBB4",'binhba (2016)'!$A$3,"MA_HT","TIN","MA_QH","DTS")</f>
        <v>0</v>
      </c>
      <c r="AU54" s="35">
        <f>+GETPIVOTDATA("XBB4",'binhba (2016)'!$A$3,"MA_HT","TIN","MA_QH","DNG")</f>
        <v>0</v>
      </c>
      <c r="AV54" s="35">
        <f>+GETPIVOTDATA("XBB4",'binhba (2016)'!$A$3,"MA_HT","TIN","MA_QH","TON")</f>
        <v>0</v>
      </c>
      <c r="AW54" s="35">
        <f>+GETPIVOTDATA("XBB4",'binhba (2016)'!$A$3,"MA_HT","TIN","MA_QH","NTD")</f>
        <v>0</v>
      </c>
      <c r="AX54" s="35">
        <f>+GETPIVOTDATA("XBB4",'binhba (2016)'!$A$3,"MA_HT","TIN","MA_QH","SKX")</f>
        <v>0</v>
      </c>
      <c r="AY54" s="35">
        <f>+GETPIVOTDATA("XBB4",'binhba (2016)'!$A$3,"MA_HT","TIN","MA_QH","DSH")</f>
        <v>0</v>
      </c>
      <c r="AZ54" s="35">
        <f>+GETPIVOTDATA("XBB4",'binhba (2016)'!$A$3,"MA_HT","TIN","MA_QH","DKV")</f>
        <v>0</v>
      </c>
      <c r="BA54" s="99" t="e">
        <f>$D54-$BF54</f>
        <v>#REF!</v>
      </c>
      <c r="BB54" s="35">
        <f>+GETPIVOTDATA("XBB4",'binhba (2016)'!$A$3,"MA_HT","TIN","MA_QH","SON")</f>
        <v>0</v>
      </c>
      <c r="BC54" s="35">
        <f>+GETPIVOTDATA("XBB4",'binhba (2016)'!$A$3,"MA_HT","TIN","MA_QH","MNC")</f>
        <v>0</v>
      </c>
      <c r="BD54" s="35">
        <f>+GETPIVOTDATA("XBB4",'binhba (2016)'!$A$3,"MA_HT","TIN","MA_QH","PNK")</f>
        <v>0</v>
      </c>
      <c r="BE54" s="58">
        <f>+GETPIVOTDATA("XBB4",'binhba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+GETPIVOTDATA("XBB4",'binhba (2016)'!$A$3,"MA_HT","SON","MA_QH","LUC")</f>
        <v>0</v>
      </c>
      <c r="H55" s="35">
        <f>+GETPIVOTDATA("XBB4",'binhba (2016)'!$A$3,"MA_HT","SON","MA_QH","LUK")</f>
        <v>0</v>
      </c>
      <c r="I55" s="35">
        <f>+GETPIVOTDATA("XBB4",'binhba (2016)'!$A$3,"MA_HT","SON","MA_QH","LUN")</f>
        <v>0</v>
      </c>
      <c r="J55" s="35">
        <f>+GETPIVOTDATA("XBB4",'binhba (2016)'!$A$3,"MA_HT","SON","MA_QH","HNK")</f>
        <v>0</v>
      </c>
      <c r="K55" s="35">
        <f>+GETPIVOTDATA("XBB4",'binhba (2016)'!$A$3,"MA_HT","SON","MA_QH","CLN")</f>
        <v>0</v>
      </c>
      <c r="L55" s="35">
        <f>+GETPIVOTDATA("XBB4",'binhba (2016)'!$A$3,"MA_HT","SON","MA_QH","RSX")</f>
        <v>0</v>
      </c>
      <c r="M55" s="35">
        <f>+GETPIVOTDATA("XBB4",'binhba (2016)'!$A$3,"MA_HT","SON","MA_QH","RPH")</f>
        <v>0</v>
      </c>
      <c r="N55" s="35">
        <f>+GETPIVOTDATA("XBB4",'binhba (2016)'!$A$3,"MA_HT","SON","MA_QH","RDD")</f>
        <v>0</v>
      </c>
      <c r="O55" s="35">
        <f>+GETPIVOTDATA("XBB4",'binhba (2016)'!$A$3,"MA_HT","SON","MA_QH","NTS")</f>
        <v>0</v>
      </c>
      <c r="P55" s="35">
        <f>+GETPIVOTDATA("XBB4",'binhba (2016)'!$A$3,"MA_HT","SON","MA_QH","LMU")</f>
        <v>0</v>
      </c>
      <c r="Q55" s="35">
        <f>+GETPIVOTDATA("XBB4",'binhba (2016)'!$A$3,"MA_HT","SON","MA_QH","NKH")</f>
        <v>0</v>
      </c>
      <c r="R55" s="106">
        <f>SUM(S55:AA55,AN55:AZ55,BC55:BD55)</f>
        <v>0</v>
      </c>
      <c r="S55" s="35">
        <f>+GETPIVOTDATA("XBB4",'binhba (2016)'!$A$3,"MA_HT","SON","MA_QH","CQP")</f>
        <v>0</v>
      </c>
      <c r="T55" s="35">
        <f>+GETPIVOTDATA("XBB4",'binhba (2016)'!$A$3,"MA_HT","SON","MA_QH","CAN")</f>
        <v>0</v>
      </c>
      <c r="U55" s="35">
        <f>+GETPIVOTDATA("XBB4",'binhba (2016)'!$A$3,"MA_HT","SON","MA_QH","SKK")</f>
        <v>0</v>
      </c>
      <c r="V55" s="35">
        <f>+GETPIVOTDATA("XBB4",'binhba (2016)'!$A$3,"MA_HT","SON","MA_QH","SKT")</f>
        <v>0</v>
      </c>
      <c r="W55" s="35">
        <f>+GETPIVOTDATA("XBB4",'binhba (2016)'!$A$3,"MA_HT","SON","MA_QH","SKN")</f>
        <v>0</v>
      </c>
      <c r="X55" s="35">
        <f>+GETPIVOTDATA("XBB4",'binhba (2016)'!$A$3,"MA_HT","SON","MA_QH","TMD")</f>
        <v>0</v>
      </c>
      <c r="Y55" s="35">
        <f>+GETPIVOTDATA("XBB4",'binhba (2016)'!$A$3,"MA_HT","SON","MA_QH","SKC")</f>
        <v>0</v>
      </c>
      <c r="Z55" s="35">
        <f>+GETPIVOTDATA("XBB4",'binhba (2016)'!$A$3,"MA_HT","SON","MA_QH","SKS")</f>
        <v>0</v>
      </c>
      <c r="AA55" s="64">
        <f t="shared" si="21"/>
        <v>0</v>
      </c>
      <c r="AB55" s="35">
        <f>+GETPIVOTDATA("XBB4",'binhba (2016)'!$A$3,"MA_HT","SON","MA_QH","DGT")</f>
        <v>0</v>
      </c>
      <c r="AC55" s="35">
        <f>+GETPIVOTDATA("XBB4",'binhba (2016)'!$A$3,"MA_HT","SON","MA_QH","DTL")</f>
        <v>0</v>
      </c>
      <c r="AD55" s="35">
        <f>+GETPIVOTDATA("XBB4",'binhba (2016)'!$A$3,"MA_HT","SON","MA_QH","DNL")</f>
        <v>0</v>
      </c>
      <c r="AE55" s="35">
        <f>+GETPIVOTDATA("XBB4",'binhba (2016)'!$A$3,"MA_HT","SON","MA_QH","DBV")</f>
        <v>0</v>
      </c>
      <c r="AF55" s="35">
        <f>+GETPIVOTDATA("XBB4",'binhba (2016)'!$A$3,"MA_HT","SON","MA_QH","DVH")</f>
        <v>0</v>
      </c>
      <c r="AG55" s="35">
        <f>+GETPIVOTDATA("XBB4",'binhba (2016)'!$A$3,"MA_HT","SON","MA_QH","DYT")</f>
        <v>0</v>
      </c>
      <c r="AH55" s="35">
        <f>+GETPIVOTDATA("XBB4",'binhba (2016)'!$A$3,"MA_HT","SON","MA_QH","DGD")</f>
        <v>0</v>
      </c>
      <c r="AI55" s="35">
        <f>+GETPIVOTDATA("XBB4",'binhba (2016)'!$A$3,"MA_HT","SON","MA_QH","DTT")</f>
        <v>0</v>
      </c>
      <c r="AJ55" s="35">
        <f>+GETPIVOTDATA("XBB4",'binhba (2016)'!$A$3,"MA_HT","SON","MA_QH","NCK")</f>
        <v>0</v>
      </c>
      <c r="AK55" s="35">
        <f>+GETPIVOTDATA("XBB4",'binhba (2016)'!$A$3,"MA_HT","SON","MA_QH","DXH")</f>
        <v>0</v>
      </c>
      <c r="AL55" s="35">
        <f>+GETPIVOTDATA("XBB4",'binhba (2016)'!$A$3,"MA_HT","SON","MA_QH","DCH")</f>
        <v>0</v>
      </c>
      <c r="AM55" s="35">
        <f>+GETPIVOTDATA("XBB4",'binhba (2016)'!$A$3,"MA_HT","SON","MA_QH","DKG")</f>
        <v>0</v>
      </c>
      <c r="AN55" s="35">
        <f>+GETPIVOTDATA("XBB4",'binhba (2016)'!$A$3,"MA_HT","SON","MA_QH","DDT")</f>
        <v>0</v>
      </c>
      <c r="AO55" s="35">
        <f>+GETPIVOTDATA("XBB4",'binhba (2016)'!$A$3,"MA_HT","SON","MA_QH","DDL")</f>
        <v>0</v>
      </c>
      <c r="AP55" s="35">
        <f>+GETPIVOTDATA("XBB4",'binhba (2016)'!$A$3,"MA_HT","SON","MA_QH","DRA")</f>
        <v>0</v>
      </c>
      <c r="AQ55" s="35">
        <f>+GETPIVOTDATA("XBB4",'binhba (2016)'!$A$3,"MA_HT","SON","MA_QH","ONT")</f>
        <v>0</v>
      </c>
      <c r="AR55" s="35">
        <f>+GETPIVOTDATA("XBB4",'binhba (2016)'!$A$3,"MA_HT","SON","MA_QH","ODT")</f>
        <v>0</v>
      </c>
      <c r="AS55" s="35">
        <f>+GETPIVOTDATA("XBB4",'binhba (2016)'!$A$3,"MA_HT","SON","MA_QH","TSC")</f>
        <v>0</v>
      </c>
      <c r="AT55" s="35">
        <f>+GETPIVOTDATA("XBB4",'binhba (2016)'!$A$3,"MA_HT","SON","MA_QH","DTS")</f>
        <v>0</v>
      </c>
      <c r="AU55" s="35">
        <f>+GETPIVOTDATA("XBB4",'binhba (2016)'!$A$3,"MA_HT","SON","MA_QH","DNG")</f>
        <v>0</v>
      </c>
      <c r="AV55" s="35">
        <f>+GETPIVOTDATA("XBB4",'binhba (2016)'!$A$3,"MA_HT","SON","MA_QH","TON")</f>
        <v>0</v>
      </c>
      <c r="AW55" s="35">
        <f>+GETPIVOTDATA("XBB4",'binhba (2016)'!$A$3,"MA_HT","SON","MA_QH","NTD")</f>
        <v>0</v>
      </c>
      <c r="AX55" s="35">
        <f>+GETPIVOTDATA("XBB4",'binhba (2016)'!$A$3,"MA_HT","SON","MA_QH","SKX")</f>
        <v>0</v>
      </c>
      <c r="AY55" s="35">
        <f>+GETPIVOTDATA("XBB4",'binhba (2016)'!$A$3,"MA_HT","SON","MA_QH","DSH")</f>
        <v>0</v>
      </c>
      <c r="AZ55" s="35">
        <f>+GETPIVOTDATA("XBB4",'binhba (2016)'!$A$3,"MA_HT","SON","MA_QH","DKV")</f>
        <v>0</v>
      </c>
      <c r="BA55" s="140">
        <f>+GETPIVOTDATA("XBB4",'binhba (2016)'!$A$3,"MA_HT","SON","MA_QH","TIN")</f>
        <v>0</v>
      </c>
      <c r="BB55" s="99" t="e">
        <f>$D55-$BF55</f>
        <v>#REF!</v>
      </c>
      <c r="BC55" s="74">
        <f>+GETPIVOTDATA("XBB4",'binhba (2016)'!$A$3,"MA_HT","SON","MA_QH","MNC")</f>
        <v>0</v>
      </c>
      <c r="BD55" s="35">
        <f>+GETPIVOTDATA("XBB4",'binhba (2016)'!$A$3,"MA_HT","SON","MA_QH","PNK")</f>
        <v>0</v>
      </c>
      <c r="BE55" s="58">
        <f>+GETPIVOTDATA("XBB4",'binhba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+GETPIVOTDATA("XBB4",'binhba (2016)'!$A$3,"MA_HT","MNC","MA_QH","LUC")</f>
        <v>0</v>
      </c>
      <c r="H56" s="35">
        <f>+GETPIVOTDATA("XBB4",'binhba (2016)'!$A$3,"MA_HT","MNC","MA_QH","LUK")</f>
        <v>0</v>
      </c>
      <c r="I56" s="35">
        <f>+GETPIVOTDATA("XBB4",'binhba (2016)'!$A$3,"MA_HT","MNC","MA_QH","LUN")</f>
        <v>0</v>
      </c>
      <c r="J56" s="35">
        <f>+GETPIVOTDATA("XBB4",'binhba (2016)'!$A$3,"MA_HT","MNC","MA_QH","HNK")</f>
        <v>0</v>
      </c>
      <c r="K56" s="35">
        <f>+GETPIVOTDATA("XBB4",'binhba (2016)'!$A$3,"MA_HT","MNC","MA_QH","CLN")</f>
        <v>0</v>
      </c>
      <c r="L56" s="35">
        <f>+GETPIVOTDATA("XBB4",'binhba (2016)'!$A$3,"MA_HT","MNC","MA_QH","RSX")</f>
        <v>0</v>
      </c>
      <c r="M56" s="35">
        <f>+GETPIVOTDATA("XBB4",'binhba (2016)'!$A$3,"MA_HT","MNC","MA_QH","RPH")</f>
        <v>0</v>
      </c>
      <c r="N56" s="35">
        <f>+GETPIVOTDATA("XBB4",'binhba (2016)'!$A$3,"MA_HT","MNC","MA_QH","RDD")</f>
        <v>0</v>
      </c>
      <c r="O56" s="35">
        <f>+GETPIVOTDATA("XBB4",'binhba (2016)'!$A$3,"MA_HT","MNC","MA_QH","NTS")</f>
        <v>0</v>
      </c>
      <c r="P56" s="35">
        <f>+GETPIVOTDATA("XBB4",'binhba (2016)'!$A$3,"MA_HT","MNC","MA_QH","LMU")</f>
        <v>0</v>
      </c>
      <c r="Q56" s="35">
        <f>+GETPIVOTDATA("XBB4",'binhba (2016)'!$A$3,"MA_HT","MNC","MA_QH","NKH")</f>
        <v>0</v>
      </c>
      <c r="R56" s="106">
        <f>SUM(S56:AA56,AN56:BB56,BD56)</f>
        <v>0</v>
      </c>
      <c r="S56" s="35">
        <f>+GETPIVOTDATA("XBB4",'binhba (2016)'!$A$3,"MA_HT","MNC","MA_QH","CQP")</f>
        <v>0</v>
      </c>
      <c r="T56" s="35">
        <f>+GETPIVOTDATA("XBB4",'binhba (2016)'!$A$3,"MA_HT","MNC","MA_QH","CAN")</f>
        <v>0</v>
      </c>
      <c r="U56" s="35">
        <f>+GETPIVOTDATA("XBB4",'binhba (2016)'!$A$3,"MA_HT","MNC","MA_QH","SKK")</f>
        <v>0</v>
      </c>
      <c r="V56" s="35">
        <f>+GETPIVOTDATA("XBB4",'binhba (2016)'!$A$3,"MA_HT","MNC","MA_QH","SKT")</f>
        <v>0</v>
      </c>
      <c r="W56" s="35">
        <f>+GETPIVOTDATA("XBB4",'binhba (2016)'!$A$3,"MA_HT","MNC","MA_QH","SKN")</f>
        <v>0</v>
      </c>
      <c r="X56" s="35">
        <f>+GETPIVOTDATA("XBB4",'binhba (2016)'!$A$3,"MA_HT","MNC","MA_QH","TMD")</f>
        <v>0</v>
      </c>
      <c r="Y56" s="35">
        <f>+GETPIVOTDATA("XBB4",'binhba (2016)'!$A$3,"MA_HT","MNC","MA_QH","SKC")</f>
        <v>0</v>
      </c>
      <c r="Z56" s="35">
        <f>+GETPIVOTDATA("XBB4",'binhba (2016)'!$A$3,"MA_HT","MNC","MA_QH","SKS")</f>
        <v>0</v>
      </c>
      <c r="AA56" s="64">
        <f t="shared" si="21"/>
        <v>0</v>
      </c>
      <c r="AB56" s="35">
        <f>+GETPIVOTDATA("XBB4",'binhba (2016)'!$A$3,"MA_HT","MNC","MA_QH","DGT")</f>
        <v>0</v>
      </c>
      <c r="AC56" s="35">
        <f>+GETPIVOTDATA("XBB4",'binhba (2016)'!$A$3,"MA_HT","MNC","MA_QH","DTL")</f>
        <v>0</v>
      </c>
      <c r="AD56" s="35">
        <f>+GETPIVOTDATA("XBB4",'binhba (2016)'!$A$3,"MA_HT","MNC","MA_QH","DNL")</f>
        <v>0</v>
      </c>
      <c r="AE56" s="35">
        <f>+GETPIVOTDATA("XBB4",'binhba (2016)'!$A$3,"MA_HT","MNC","MA_QH","DBV")</f>
        <v>0</v>
      </c>
      <c r="AF56" s="35">
        <f>+GETPIVOTDATA("XBB4",'binhba (2016)'!$A$3,"MA_HT","MNC","MA_QH","DVH")</f>
        <v>0</v>
      </c>
      <c r="AG56" s="35">
        <f>+GETPIVOTDATA("XBB4",'binhba (2016)'!$A$3,"MA_HT","MNC","MA_QH","DYT")</f>
        <v>0</v>
      </c>
      <c r="AH56" s="35">
        <f>+GETPIVOTDATA("XBB4",'binhba (2016)'!$A$3,"MA_HT","MNC","MA_QH","DGD")</f>
        <v>0</v>
      </c>
      <c r="AI56" s="35">
        <f>+GETPIVOTDATA("XBB4",'binhba (2016)'!$A$3,"MA_HT","MNC","MA_QH","DTT")</f>
        <v>0</v>
      </c>
      <c r="AJ56" s="35">
        <f>+GETPIVOTDATA("XBB4",'binhba (2016)'!$A$3,"MA_HT","MNC","MA_QH","NCK")</f>
        <v>0</v>
      </c>
      <c r="AK56" s="35">
        <f>+GETPIVOTDATA("XBB4",'binhba (2016)'!$A$3,"MA_HT","MNC","MA_QH","DXH")</f>
        <v>0</v>
      </c>
      <c r="AL56" s="35">
        <f>+GETPIVOTDATA("XBB4",'binhba (2016)'!$A$3,"MA_HT","MNC","MA_QH","DCH")</f>
        <v>0</v>
      </c>
      <c r="AM56" s="35">
        <f>+GETPIVOTDATA("XBB4",'binhba (2016)'!$A$3,"MA_HT","MNC","MA_QH","DKG")</f>
        <v>0</v>
      </c>
      <c r="AN56" s="35">
        <f>+GETPIVOTDATA("XBB4",'binhba (2016)'!$A$3,"MA_HT","MNC","MA_QH","DDT")</f>
        <v>0</v>
      </c>
      <c r="AO56" s="35">
        <f>+GETPIVOTDATA("XBB4",'binhba (2016)'!$A$3,"MA_HT","MNC","MA_QH","DDL")</f>
        <v>0</v>
      </c>
      <c r="AP56" s="35">
        <f>+GETPIVOTDATA("XBB4",'binhba (2016)'!$A$3,"MA_HT","MNC","MA_QH","DRA")</f>
        <v>0</v>
      </c>
      <c r="AQ56" s="35">
        <f>+GETPIVOTDATA("XBB4",'binhba (2016)'!$A$3,"MA_HT","MNC","MA_QH","ONT")</f>
        <v>0</v>
      </c>
      <c r="AR56" s="35">
        <f>+GETPIVOTDATA("XBB4",'binhba (2016)'!$A$3,"MA_HT","MNC","MA_QH","ODT")</f>
        <v>0</v>
      </c>
      <c r="AS56" s="35">
        <f>+GETPIVOTDATA("XBB4",'binhba (2016)'!$A$3,"MA_HT","MNC","MA_QH","TSC")</f>
        <v>0</v>
      </c>
      <c r="AT56" s="35">
        <f>+GETPIVOTDATA("XBB4",'binhba (2016)'!$A$3,"MA_HT","MNC","MA_QH","DTS")</f>
        <v>0</v>
      </c>
      <c r="AU56" s="35">
        <f>+GETPIVOTDATA("XBB4",'binhba (2016)'!$A$3,"MA_HT","MNC","MA_QH","DNG")</f>
        <v>0</v>
      </c>
      <c r="AV56" s="35">
        <f>+GETPIVOTDATA("XBB4",'binhba (2016)'!$A$3,"MA_HT","MNC","MA_QH","TON")</f>
        <v>0</v>
      </c>
      <c r="AW56" s="35">
        <f>+GETPIVOTDATA("XBB4",'binhba (2016)'!$A$3,"MA_HT","MNC","MA_QH","NTD")</f>
        <v>0</v>
      </c>
      <c r="AX56" s="35">
        <f>+GETPIVOTDATA("XBB4",'binhba (2016)'!$A$3,"MA_HT","MNC","MA_QH","SKX")</f>
        <v>0</v>
      </c>
      <c r="AY56" s="35">
        <f>+GETPIVOTDATA("XBB4",'binhba (2016)'!$A$3,"MA_HT","MNC","MA_QH","DSH")</f>
        <v>0</v>
      </c>
      <c r="AZ56" s="35">
        <f>+GETPIVOTDATA("XBB4",'binhba (2016)'!$A$3,"MA_HT","MNC","MA_QH","DKV")</f>
        <v>0</v>
      </c>
      <c r="BA56" s="140">
        <f>+GETPIVOTDATA("XBB4",'binhba (2016)'!$A$3,"MA_HT","MNC","MA_QH","TIN")</f>
        <v>0</v>
      </c>
      <c r="BB56" s="74">
        <f>+GETPIVOTDATA("XBB4",'binhba (2016)'!$A$3,"MA_HT","MNC","MA_QH","SON")</f>
        <v>0</v>
      </c>
      <c r="BC56" s="99" t="e">
        <f>$D56-$BF56</f>
        <v>#REF!</v>
      </c>
      <c r="BD56" s="35">
        <f>+GETPIVOTDATA("XBB4",'binhba (2016)'!$A$3,"MA_HT","MNC","MA_QH","PNK")</f>
        <v>0</v>
      </c>
      <c r="BE56" s="58">
        <f>+GETPIVOTDATA("XBB4",'binhba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+GETPIVOTDATA("XBB4",'binhba (2016)'!$A$3,"MA_HT","PNK","MA_QH","LUC")</f>
        <v>0</v>
      </c>
      <c r="H57" s="35">
        <f>+GETPIVOTDATA("XBB4",'binhba (2016)'!$A$3,"MA_HT","PNK","MA_QH","LUK")</f>
        <v>0</v>
      </c>
      <c r="I57" s="35">
        <f>+GETPIVOTDATA("XBB4",'binhba (2016)'!$A$3,"MA_HT","PNK","MA_QH","LUN")</f>
        <v>0</v>
      </c>
      <c r="J57" s="35">
        <f>+GETPIVOTDATA("XBB4",'binhba (2016)'!$A$3,"MA_HT","PNK","MA_QH","HNK")</f>
        <v>0</v>
      </c>
      <c r="K57" s="35">
        <f>+GETPIVOTDATA("XBB4",'binhba (2016)'!$A$3,"MA_HT","PNK","MA_QH","CLN")</f>
        <v>0</v>
      </c>
      <c r="L57" s="35">
        <f>+GETPIVOTDATA("XBB4",'binhba (2016)'!$A$3,"MA_HT","PNK","MA_QH","RSX")</f>
        <v>0</v>
      </c>
      <c r="M57" s="35">
        <f>+GETPIVOTDATA("XBB4",'binhba (2016)'!$A$3,"MA_HT","PNK","MA_QH","RPH")</f>
        <v>0</v>
      </c>
      <c r="N57" s="35">
        <f>+GETPIVOTDATA("XBB4",'binhba (2016)'!$A$3,"MA_HT","PNK","MA_QH","RDD")</f>
        <v>0</v>
      </c>
      <c r="O57" s="35">
        <f>+GETPIVOTDATA("XBB4",'binhba (2016)'!$A$3,"MA_HT","PNK","MA_QH","NTS")</f>
        <v>0</v>
      </c>
      <c r="P57" s="35">
        <f>+GETPIVOTDATA("XBB4",'binhba (2016)'!$A$3,"MA_HT","PNK","MA_QH","LMU")</f>
        <v>0</v>
      </c>
      <c r="Q57" s="35">
        <f>+GETPIVOTDATA("XBB4",'binhba (2016)'!$A$3,"MA_HT","PNK","MA_QH","NKH")</f>
        <v>0</v>
      </c>
      <c r="R57" s="106">
        <f>SUM(S57:AA57,AN57:BC57)</f>
        <v>0</v>
      </c>
      <c r="S57" s="35">
        <f>+GETPIVOTDATA("XBB4",'binhba (2016)'!$A$3,"MA_HT","PNK","MA_QH","CQP")</f>
        <v>0</v>
      </c>
      <c r="T57" s="35">
        <f>+GETPIVOTDATA("XBB4",'binhba (2016)'!$A$3,"MA_HT","PNK","MA_QH","CAN")</f>
        <v>0</v>
      </c>
      <c r="U57" s="35">
        <f>+GETPIVOTDATA("XBB4",'binhba (2016)'!$A$3,"MA_HT","PNK","MA_QH","SKK")</f>
        <v>0</v>
      </c>
      <c r="V57" s="35">
        <f>+GETPIVOTDATA("XBB4",'binhba (2016)'!$A$3,"MA_HT","PNK","MA_QH","SKT")</f>
        <v>0</v>
      </c>
      <c r="W57" s="35">
        <f>+GETPIVOTDATA("XBB4",'binhba (2016)'!$A$3,"MA_HT","PNK","MA_QH","SKN")</f>
        <v>0</v>
      </c>
      <c r="X57" s="35">
        <f>+GETPIVOTDATA("XBB4",'binhba (2016)'!$A$3,"MA_HT","PNK","MA_QH","TMD")</f>
        <v>0</v>
      </c>
      <c r="Y57" s="35">
        <f>+GETPIVOTDATA("XBB4",'binhba (2016)'!$A$3,"MA_HT","PNK","MA_QH","SKC")</f>
        <v>0</v>
      </c>
      <c r="Z57" s="35">
        <f>+GETPIVOTDATA("XBB4",'binhba (2016)'!$A$3,"MA_HT","PNK","MA_QH","SKS")</f>
        <v>0</v>
      </c>
      <c r="AA57" s="64">
        <f t="shared" si="21"/>
        <v>0</v>
      </c>
      <c r="AB57" s="35">
        <f>+GETPIVOTDATA("XBB4",'binhba (2016)'!$A$3,"MA_HT","PNK","MA_QH","DGT")</f>
        <v>0</v>
      </c>
      <c r="AC57" s="35">
        <f>+GETPIVOTDATA("XBB4",'binhba (2016)'!$A$3,"MA_HT","PNK","MA_QH","DTL")</f>
        <v>0</v>
      </c>
      <c r="AD57" s="35">
        <f>+GETPIVOTDATA("XBB4",'binhba (2016)'!$A$3,"MA_HT","PNK","MA_QH","DNL")</f>
        <v>0</v>
      </c>
      <c r="AE57" s="35">
        <f>+GETPIVOTDATA("XBB4",'binhba (2016)'!$A$3,"MA_HT","PNK","MA_QH","DBV")</f>
        <v>0</v>
      </c>
      <c r="AF57" s="35">
        <f>+GETPIVOTDATA("XBB4",'binhba (2016)'!$A$3,"MA_HT","PNK","MA_QH","DVH")</f>
        <v>0</v>
      </c>
      <c r="AG57" s="35">
        <f>+GETPIVOTDATA("XBB4",'binhba (2016)'!$A$3,"MA_HT","PNK","MA_QH","DYT")</f>
        <v>0</v>
      </c>
      <c r="AH57" s="35">
        <f>+GETPIVOTDATA("XBB4",'binhba (2016)'!$A$3,"MA_HT","PNK","MA_QH","DGD")</f>
        <v>0</v>
      </c>
      <c r="AI57" s="35">
        <f>+GETPIVOTDATA("XBB4",'binhba (2016)'!$A$3,"MA_HT","PNK","MA_QH","DTT")</f>
        <v>0</v>
      </c>
      <c r="AJ57" s="35">
        <f>+GETPIVOTDATA("XBB4",'binhba (2016)'!$A$3,"MA_HT","PNK","MA_QH","NCK")</f>
        <v>0</v>
      </c>
      <c r="AK57" s="35">
        <f>+GETPIVOTDATA("XBB4",'binhba (2016)'!$A$3,"MA_HT","PNK","MA_QH","DXH")</f>
        <v>0</v>
      </c>
      <c r="AL57" s="35">
        <f>+GETPIVOTDATA("XBB4",'binhba (2016)'!$A$3,"MA_HT","PNK","MA_QH","DCH")</f>
        <v>0</v>
      </c>
      <c r="AM57" s="35">
        <f>+GETPIVOTDATA("XBB4",'binhba (2016)'!$A$3,"MA_HT","PNK","MA_QH","DKG")</f>
        <v>0</v>
      </c>
      <c r="AN57" s="35">
        <f>+GETPIVOTDATA("XBB4",'binhba (2016)'!$A$3,"MA_HT","PNK","MA_QH","DDT")</f>
        <v>0</v>
      </c>
      <c r="AO57" s="35">
        <f>+GETPIVOTDATA("XBB4",'binhba (2016)'!$A$3,"MA_HT","PNK","MA_QH","DDL")</f>
        <v>0</v>
      </c>
      <c r="AP57" s="35">
        <f>+GETPIVOTDATA("XBB4",'binhba (2016)'!$A$3,"MA_HT","PNK","MA_QH","DRA")</f>
        <v>0</v>
      </c>
      <c r="AQ57" s="35">
        <f>+GETPIVOTDATA("XBB4",'binhba (2016)'!$A$3,"MA_HT","PNK","MA_QH","ONT")</f>
        <v>0</v>
      </c>
      <c r="AR57" s="35">
        <f>+GETPIVOTDATA("XBB4",'binhba (2016)'!$A$3,"MA_HT","PNK","MA_QH","ODT")</f>
        <v>0</v>
      </c>
      <c r="AS57" s="35">
        <f>+GETPIVOTDATA("XBB4",'binhba (2016)'!$A$3,"MA_HT","PNK","MA_QH","TSC")</f>
        <v>0</v>
      </c>
      <c r="AT57" s="35">
        <f>+GETPIVOTDATA("XBB4",'binhba (2016)'!$A$3,"MA_HT","PNK","MA_QH","DTS")</f>
        <v>0</v>
      </c>
      <c r="AU57" s="35">
        <f>+GETPIVOTDATA("XBB4",'binhba (2016)'!$A$3,"MA_HT","PNK","MA_QH","DNG")</f>
        <v>0</v>
      </c>
      <c r="AV57" s="35">
        <f>+GETPIVOTDATA("XBB4",'binhba (2016)'!$A$3,"MA_HT","PNK","MA_QH","TON")</f>
        <v>0</v>
      </c>
      <c r="AW57" s="35">
        <f>+GETPIVOTDATA("XBB4",'binhba (2016)'!$A$3,"MA_HT","PNK","MA_QH","NTD")</f>
        <v>0</v>
      </c>
      <c r="AX57" s="35">
        <f>+GETPIVOTDATA("XBB4",'binhba (2016)'!$A$3,"MA_HT","PNK","MA_QH","SKX")</f>
        <v>0</v>
      </c>
      <c r="AY57" s="35">
        <f>+GETPIVOTDATA("XBB4",'binhba (2016)'!$A$3,"MA_HT","PNK","MA_QH","DSH")</f>
        <v>0</v>
      </c>
      <c r="AZ57" s="35">
        <f>+GETPIVOTDATA("XBB4",'binhba (2016)'!$A$3,"MA_HT","PNK","MA_QH","DKV")</f>
        <v>0</v>
      </c>
      <c r="BA57" s="140">
        <f>+GETPIVOTDATA("XBB4",'binhba (2016)'!$A$3,"MA_HT","PNK","MA_QH","TIN")</f>
        <v>0</v>
      </c>
      <c r="BB57" s="74">
        <f>+GETPIVOTDATA("XBB4",'binhba (2016)'!$A$3,"MA_HT","PNK","MA_QH","SON")</f>
        <v>0</v>
      </c>
      <c r="BC57" s="74">
        <f>+GETPIVOTDATA("XBB4",'binhba (2016)'!$A$3,"MA_HT","PNK","MA_QH","MNC")</f>
        <v>0</v>
      </c>
      <c r="BD57" s="99" t="e">
        <f>$D57-$BF57</f>
        <v>#REF!</v>
      </c>
      <c r="BE57" s="58">
        <f>+GETPIVOTDATA("XBB4",'binhba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+GETPIVOTDATA("XBB4",'binhba (2016)'!$A$3,"MA_HT","CSD","MA_QH","LUC")</f>
        <v>0</v>
      </c>
      <c r="H58" s="58">
        <f>+GETPIVOTDATA("XBB4",'binhba (2016)'!$A$3,"MA_HT","CSD","MA_QH","LUK")</f>
        <v>0</v>
      </c>
      <c r="I58" s="58">
        <f>+GETPIVOTDATA("XBB4",'binhba (2016)'!$A$3,"MA_HT","CSD","MA_QH","LUN")</f>
        <v>0</v>
      </c>
      <c r="J58" s="58">
        <f>+GETPIVOTDATA("XBB4",'binhba (2016)'!$A$3,"MA_HT","CSD","MA_QH","HNK")</f>
        <v>0</v>
      </c>
      <c r="K58" s="58">
        <f>+GETPIVOTDATA("XBB4",'binhba (2016)'!$A$3,"MA_HT","CSD","MA_QH","CLN")</f>
        <v>0</v>
      </c>
      <c r="L58" s="58">
        <f>+GETPIVOTDATA("XBB4",'binhba (2016)'!$A$3,"MA_HT","CSD","MA_QH","RSX")</f>
        <v>0</v>
      </c>
      <c r="M58" s="58">
        <f>+GETPIVOTDATA("XBB4",'binhba (2016)'!$A$3,"MA_HT","CSD","MA_QH","RPH")</f>
        <v>0</v>
      </c>
      <c r="N58" s="58">
        <f>+GETPIVOTDATA("XBB4",'binhba (2016)'!$A$3,"MA_HT","CSD","MA_QH","RDD")</f>
        <v>0</v>
      </c>
      <c r="O58" s="58">
        <f>+GETPIVOTDATA("XBB4",'binhba (2016)'!$A$3,"MA_HT","CSD","MA_QH","NTS")</f>
        <v>0</v>
      </c>
      <c r="P58" s="58">
        <f>+GETPIVOTDATA("XBB4",'binhba (2016)'!$A$3,"MA_HT","CSD","MA_QH","LMU")</f>
        <v>0</v>
      </c>
      <c r="Q58" s="58">
        <f>+GETPIVOTDATA("XBB4",'binhba (2016)'!$A$3,"MA_HT","CSD","MA_QH","NKH")</f>
        <v>0</v>
      </c>
      <c r="R58" s="106">
        <f>SUM(S58:AA58,AN58:BD58)</f>
        <v>0</v>
      </c>
      <c r="S58" s="102">
        <f>+GETPIVOTDATA("XBB4",'binhba (2016)'!$A$3,"MA_HT","CSD","MA_QH","CQP")</f>
        <v>0</v>
      </c>
      <c r="T58" s="102">
        <f>+GETPIVOTDATA("XBB4",'binhba (2016)'!$A$3,"MA_HT","CSD","MA_QH","CAN")</f>
        <v>0</v>
      </c>
      <c r="U58" s="58">
        <f>+GETPIVOTDATA("XBB4",'binhba (2016)'!$A$3,"MA_HT","CSD","MA_QH","SKK")</f>
        <v>0</v>
      </c>
      <c r="V58" s="58">
        <f>+GETPIVOTDATA("XBB4",'binhba (2016)'!$A$3,"MA_HT","CSD","MA_QH","SKT")</f>
        <v>0</v>
      </c>
      <c r="W58" s="58">
        <f>+GETPIVOTDATA("XBB4",'binhba (2016)'!$A$3,"MA_HT","CSD","MA_QH","SKN")</f>
        <v>0</v>
      </c>
      <c r="X58" s="58">
        <f>+GETPIVOTDATA("XBB4",'binhba (2016)'!$A$3,"MA_HT","CSD","MA_QH","TMD")</f>
        <v>0</v>
      </c>
      <c r="Y58" s="58">
        <f>+GETPIVOTDATA("XBB4",'binhba (2016)'!$A$3,"MA_HT","CSD","MA_QH","SKC")</f>
        <v>0</v>
      </c>
      <c r="Z58" s="58">
        <f>+GETPIVOTDATA("XBB4",'binhba (2016)'!$A$3,"MA_HT","CSD","MA_QH","SKS")</f>
        <v>0</v>
      </c>
      <c r="AA58" s="64">
        <f t="shared" si="21"/>
        <v>0</v>
      </c>
      <c r="AB58" s="102">
        <f>+GETPIVOTDATA("XBB4",'binhba (2016)'!$A$3,"MA_HT","CSD","MA_QH","DGT")</f>
        <v>0</v>
      </c>
      <c r="AC58" s="102">
        <f>+GETPIVOTDATA("XBB4",'binhba (2016)'!$A$3,"MA_HT","CSD","MA_QH","DTL")</f>
        <v>0</v>
      </c>
      <c r="AD58" s="102">
        <f>+GETPIVOTDATA("XBB4",'binhba (2016)'!$A$3,"MA_HT","CSD","MA_QH","DNL")</f>
        <v>0</v>
      </c>
      <c r="AE58" s="102">
        <f>+GETPIVOTDATA("XBB4",'binhba (2016)'!$A$3,"MA_HT","CSD","MA_QH","DBV")</f>
        <v>0</v>
      </c>
      <c r="AF58" s="102">
        <f>+GETPIVOTDATA("XBB4",'binhba (2016)'!$A$3,"MA_HT","CSD","MA_QH","DVH")</f>
        <v>0</v>
      </c>
      <c r="AG58" s="102">
        <f>+GETPIVOTDATA("XBB4",'binhba (2016)'!$A$3,"MA_HT","CSD","MA_QH","DYT")</f>
        <v>0</v>
      </c>
      <c r="AH58" s="102">
        <f>+GETPIVOTDATA("XBB4",'binhba (2016)'!$A$3,"MA_HT","CSD","MA_QH","DGD")</f>
        <v>0</v>
      </c>
      <c r="AI58" s="102">
        <f>+GETPIVOTDATA("XBB4",'binhba (2016)'!$A$3,"MA_HT","CSD","MA_QH","DTT")</f>
        <v>0</v>
      </c>
      <c r="AJ58" s="102">
        <f>+GETPIVOTDATA("XBB4",'binhba (2016)'!$A$3,"MA_HT","CSD","MA_QH","NCK")</f>
        <v>0</v>
      </c>
      <c r="AK58" s="102">
        <f>+GETPIVOTDATA("XBB4",'binhba (2016)'!$A$3,"MA_HT","CSD","MA_QH","DXH")</f>
        <v>0</v>
      </c>
      <c r="AL58" s="102">
        <f>+GETPIVOTDATA("XBB4",'binhba (2016)'!$A$3,"MA_HT","CSD","MA_QH","DCH")</f>
        <v>0</v>
      </c>
      <c r="AM58" s="102">
        <f>+GETPIVOTDATA("XBB4",'binhba (2016)'!$A$3,"MA_HT","CSD","MA_QH","DKG")</f>
        <v>0</v>
      </c>
      <c r="AN58" s="58">
        <f>+GETPIVOTDATA("XBB4",'binhba (2016)'!$A$3,"MA_HT","CSD","MA_QH","DDT")</f>
        <v>0</v>
      </c>
      <c r="AO58" s="58">
        <f>+GETPIVOTDATA("XBB4",'binhba (2016)'!$A$3,"MA_HT","CSD","MA_QH","DDL")</f>
        <v>0</v>
      </c>
      <c r="AP58" s="58">
        <f>+GETPIVOTDATA("XBB4",'binhba (2016)'!$A$3,"MA_HT","CSD","MA_QH","DRA")</f>
        <v>0</v>
      </c>
      <c r="AQ58" s="58">
        <f>+GETPIVOTDATA("XBB4",'binhba (2016)'!$A$3,"MA_HT","CSD","MA_QH","ONT")</f>
        <v>0</v>
      </c>
      <c r="AR58" s="58">
        <f>+GETPIVOTDATA("XBB4",'binhba (2016)'!$A$3,"MA_HT","CSD","MA_QH","ODT")</f>
        <v>0</v>
      </c>
      <c r="AS58" s="58">
        <f>+GETPIVOTDATA("XBB4",'binhba (2016)'!$A$3,"MA_HT","CSD","MA_QH","TSC")</f>
        <v>0</v>
      </c>
      <c r="AT58" s="58">
        <f>+GETPIVOTDATA("XBB4",'binhba (2016)'!$A$3,"MA_HT","CSD","MA_QH","DTS")</f>
        <v>0</v>
      </c>
      <c r="AU58" s="58">
        <f>+GETPIVOTDATA("XBB4",'binhba (2016)'!$A$3,"MA_HT","CSD","MA_QH","DNG")</f>
        <v>0</v>
      </c>
      <c r="AV58" s="58">
        <f>+GETPIVOTDATA("XBB4",'binhba (2016)'!$A$3,"MA_HT","CSD","MA_QH","TON")</f>
        <v>0</v>
      </c>
      <c r="AW58" s="58">
        <f>+GETPIVOTDATA("XBB4",'binhba (2016)'!$A$3,"MA_HT","CSD","MA_QH","NTD")</f>
        <v>0</v>
      </c>
      <c r="AX58" s="58">
        <f>+GETPIVOTDATA("XBB4",'binhba (2016)'!$A$3,"MA_HT","CSD","MA_QH","SKX")</f>
        <v>0</v>
      </c>
      <c r="AY58" s="58">
        <f>+GETPIVOTDATA("XBB4",'binhba (2016)'!$A$3,"MA_HT","CSD","MA_QH","DSH")</f>
        <v>0</v>
      </c>
      <c r="AZ58" s="58">
        <f>+GETPIVOTDATA("XBB4",'binhba (2016)'!$A$3,"MA_HT","CSD","MA_QH","DKV")</f>
        <v>0</v>
      </c>
      <c r="BA58" s="140">
        <f>+GETPIVOTDATA("XBB4",'binhba (2016)'!$A$3,"MA_HT","CSD","MA_QH","TIN")</f>
        <v>0</v>
      </c>
      <c r="BB58" s="102">
        <f>+GETPIVOTDATA("XBB4",'binhba (2016)'!$A$3,"MA_HT","CSD","MA_QH","SON")</f>
        <v>0</v>
      </c>
      <c r="BC58" s="102">
        <f>+GETPIVOTDATA("XBB4",'binhba (2016)'!$A$3,"MA_HT","CSD","MA_QH","MNC")</f>
        <v>0</v>
      </c>
      <c r="BD58" s="58">
        <f>+GETPIVOTDATA("XBB4",'binhba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CCFFFF"/>
  </sheetPr>
  <dimension ref="A1:T62"/>
  <sheetViews>
    <sheetView topLeftCell="A19" workbookViewId="0">
      <selection activeCell="E32" sqref="E32:G32"/>
    </sheetView>
  </sheetViews>
  <sheetFormatPr defaultColWidth="9" defaultRowHeight="13.2"/>
  <cols>
    <col min="1" max="1" width="4.59765625" style="210" customWidth="1"/>
    <col min="2" max="2" width="33.5" style="210" customWidth="1"/>
    <col min="3" max="3" width="5.09765625" style="210" customWidth="1"/>
    <col min="4" max="4" width="10.69921875" style="210" customWidth="1"/>
    <col min="5" max="5" width="9.59765625" style="210" customWidth="1"/>
    <col min="6" max="6" width="9.3984375" style="216" customWidth="1"/>
    <col min="7" max="7" width="9.59765625" style="216" bestFit="1" customWidth="1"/>
    <col min="8" max="16384" width="9" style="210"/>
  </cols>
  <sheetData>
    <row r="1" spans="1:20" s="207" customFormat="1" ht="13.8">
      <c r="A1" s="547" t="s">
        <v>328</v>
      </c>
      <c r="B1" s="547"/>
      <c r="C1" s="547"/>
      <c r="D1" s="547"/>
      <c r="E1" s="547"/>
      <c r="F1" s="547"/>
      <c r="G1" s="547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</row>
    <row r="2" spans="1:20" s="208" customFormat="1" ht="13.8">
      <c r="A2" s="548" t="s">
        <v>346</v>
      </c>
      <c r="B2" s="548"/>
      <c r="C2" s="548"/>
      <c r="D2" s="548"/>
      <c r="E2" s="548"/>
      <c r="F2" s="548"/>
      <c r="G2" s="548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</row>
    <row r="3" spans="1:20" s="208" customFormat="1" ht="13.8">
      <c r="A3" s="548" t="s">
        <v>340</v>
      </c>
      <c r="B3" s="548"/>
      <c r="C3" s="548"/>
      <c r="D3" s="548"/>
      <c r="E3" s="548"/>
      <c r="F3" s="548"/>
      <c r="G3" s="548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</row>
    <row r="4" spans="1:20" s="209" customFormat="1">
      <c r="A4" s="176"/>
      <c r="B4" s="176"/>
      <c r="C4" s="176"/>
      <c r="D4" s="176"/>
      <c r="E4" s="176"/>
      <c r="F4" s="176"/>
      <c r="G4" s="176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</row>
    <row r="5" spans="1:20">
      <c r="A5" s="549" t="s">
        <v>626</v>
      </c>
      <c r="B5" s="550" t="s">
        <v>333</v>
      </c>
      <c r="C5" s="550" t="s">
        <v>2</v>
      </c>
      <c r="D5" s="550" t="s">
        <v>349</v>
      </c>
      <c r="E5" s="550" t="s">
        <v>161</v>
      </c>
      <c r="F5" s="550"/>
      <c r="G5" s="550"/>
    </row>
    <row r="6" spans="1:20">
      <c r="A6" s="549"/>
      <c r="B6" s="550"/>
      <c r="C6" s="550"/>
      <c r="D6" s="550"/>
      <c r="E6" s="551" t="s">
        <v>350</v>
      </c>
      <c r="F6" s="551" t="s">
        <v>162</v>
      </c>
      <c r="G6" s="551"/>
    </row>
    <row r="7" spans="1:20" ht="39.6">
      <c r="A7" s="549"/>
      <c r="B7" s="550"/>
      <c r="C7" s="550"/>
      <c r="D7" s="550"/>
      <c r="E7" s="551"/>
      <c r="F7" s="292" t="s">
        <v>347</v>
      </c>
      <c r="G7" s="178" t="s">
        <v>163</v>
      </c>
    </row>
    <row r="8" spans="1:20" s="211" customFormat="1" ht="10.199999999999999">
      <c r="A8" s="179" t="s">
        <v>5</v>
      </c>
      <c r="B8" s="180" t="s">
        <v>6</v>
      </c>
      <c r="C8" s="180" t="s">
        <v>7</v>
      </c>
      <c r="D8" s="180" t="s">
        <v>164</v>
      </c>
      <c r="E8" s="180" t="s">
        <v>8</v>
      </c>
      <c r="F8" s="180" t="s">
        <v>165</v>
      </c>
      <c r="G8" s="180" t="s">
        <v>166</v>
      </c>
    </row>
    <row r="9" spans="1:20">
      <c r="A9" s="181"/>
      <c r="B9" s="182" t="s">
        <v>20</v>
      </c>
      <c r="C9" s="183"/>
      <c r="D9" s="184">
        <v>66412.613219999999</v>
      </c>
      <c r="E9" s="184">
        <v>66414.220723000006</v>
      </c>
      <c r="F9" s="185">
        <v>1.6075030000065453</v>
      </c>
      <c r="G9" s="185">
        <v>100.00242047846345</v>
      </c>
    </row>
    <row r="10" spans="1:20">
      <c r="A10" s="186">
        <v>1</v>
      </c>
      <c r="B10" s="182" t="s">
        <v>21</v>
      </c>
      <c r="C10" s="187" t="s">
        <v>22</v>
      </c>
      <c r="D10" s="188">
        <v>57436.814159000009</v>
      </c>
      <c r="E10" s="188">
        <v>58690.14425016821</v>
      </c>
      <c r="F10" s="189">
        <v>1253.3300911682018</v>
      </c>
      <c r="G10" s="189">
        <v>102.18210238419329</v>
      </c>
    </row>
    <row r="11" spans="1:20">
      <c r="A11" s="190" t="s">
        <v>23</v>
      </c>
      <c r="B11" s="191" t="s">
        <v>24</v>
      </c>
      <c r="C11" s="192" t="s">
        <v>25</v>
      </c>
      <c r="D11" s="193">
        <v>933.61000000000013</v>
      </c>
      <c r="E11" s="193">
        <v>1020.4820000000001</v>
      </c>
      <c r="F11" s="194">
        <v>86.871999999999957</v>
      </c>
      <c r="G11" s="194">
        <v>109.30495603089084</v>
      </c>
    </row>
    <row r="12" spans="1:20" s="212" customFormat="1">
      <c r="A12" s="195"/>
      <c r="B12" s="196" t="s">
        <v>306</v>
      </c>
      <c r="C12" s="197" t="s">
        <v>27</v>
      </c>
      <c r="D12" s="198">
        <v>557.29999999999995</v>
      </c>
      <c r="E12" s="198">
        <v>74.087230000000005</v>
      </c>
      <c r="F12" s="199">
        <v>-483.21276999999998</v>
      </c>
      <c r="G12" s="199">
        <v>13.293958370715954</v>
      </c>
    </row>
    <row r="13" spans="1:20">
      <c r="A13" s="190" t="s">
        <v>32</v>
      </c>
      <c r="B13" s="200" t="s">
        <v>33</v>
      </c>
      <c r="C13" s="192" t="s">
        <v>34</v>
      </c>
      <c r="D13" s="193">
        <v>302.88800000000566</v>
      </c>
      <c r="E13" s="193">
        <v>235.54100699999998</v>
      </c>
      <c r="F13" s="199">
        <v>-67.346993000005682</v>
      </c>
      <c r="G13" s="194">
        <v>77.765050777843825</v>
      </c>
      <c r="J13" s="213"/>
    </row>
    <row r="14" spans="1:20">
      <c r="A14" s="190" t="s">
        <v>35</v>
      </c>
      <c r="B14" s="191" t="s">
        <v>36</v>
      </c>
      <c r="C14" s="192" t="s">
        <v>37</v>
      </c>
      <c r="D14" s="193">
        <v>48927.90088600001</v>
      </c>
      <c r="E14" s="193">
        <v>50521.898718323195</v>
      </c>
      <c r="F14" s="199">
        <v>1593.9978323231844</v>
      </c>
      <c r="G14" s="194">
        <v>103.25785043596522</v>
      </c>
    </row>
    <row r="15" spans="1:20">
      <c r="A15" s="190" t="s">
        <v>38</v>
      </c>
      <c r="B15" s="201" t="s">
        <v>41</v>
      </c>
      <c r="C15" s="202" t="s">
        <v>42</v>
      </c>
      <c r="D15" s="193">
        <v>510.35</v>
      </c>
      <c r="E15" s="193">
        <v>512.88672500000007</v>
      </c>
      <c r="F15" s="199">
        <v>2.5367250000000467</v>
      </c>
      <c r="G15" s="194">
        <v>100.4970559420006</v>
      </c>
    </row>
    <row r="16" spans="1:20">
      <c r="A16" s="190" t="s">
        <v>40</v>
      </c>
      <c r="B16" s="201" t="s">
        <v>44</v>
      </c>
      <c r="C16" s="202" t="s">
        <v>45</v>
      </c>
      <c r="D16" s="193" t="s">
        <v>345</v>
      </c>
      <c r="E16" s="193">
        <v>0</v>
      </c>
      <c r="F16" s="193" t="s">
        <v>345</v>
      </c>
      <c r="G16" s="193">
        <v>0</v>
      </c>
    </row>
    <row r="17" spans="1:9">
      <c r="A17" s="190" t="s">
        <v>43</v>
      </c>
      <c r="B17" s="201" t="s">
        <v>221</v>
      </c>
      <c r="C17" s="202" t="s">
        <v>39</v>
      </c>
      <c r="D17" s="193">
        <v>5194.2900000000009</v>
      </c>
      <c r="E17" s="193">
        <v>5864.1843749999998</v>
      </c>
      <c r="F17" s="199">
        <v>669.89437499999894</v>
      </c>
      <c r="G17" s="194">
        <v>112.89674575351007</v>
      </c>
    </row>
    <row r="18" spans="1:9" s="212" customFormat="1" ht="26.4">
      <c r="A18" s="195"/>
      <c r="B18" s="196" t="s">
        <v>342</v>
      </c>
      <c r="C18" s="197" t="s">
        <v>293</v>
      </c>
      <c r="D18" s="198" t="s">
        <v>345</v>
      </c>
      <c r="E18" s="198">
        <v>0</v>
      </c>
      <c r="F18" s="193" t="s">
        <v>345</v>
      </c>
      <c r="G18" s="193">
        <v>0</v>
      </c>
    </row>
    <row r="19" spans="1:9">
      <c r="A19" s="190" t="s">
        <v>46</v>
      </c>
      <c r="B19" s="191" t="s">
        <v>47</v>
      </c>
      <c r="C19" s="192" t="s">
        <v>48</v>
      </c>
      <c r="D19" s="193">
        <v>155.34</v>
      </c>
      <c r="E19" s="193">
        <v>44.726283845006691</v>
      </c>
      <c r="F19" s="199">
        <v>-110.61371615499331</v>
      </c>
      <c r="G19" s="194">
        <v>28.792509234586511</v>
      </c>
    </row>
    <row r="20" spans="1:9">
      <c r="A20" s="190" t="s">
        <v>49</v>
      </c>
      <c r="B20" s="191" t="s">
        <v>50</v>
      </c>
      <c r="C20" s="192" t="s">
        <v>51</v>
      </c>
      <c r="D20" s="193" t="s">
        <v>345</v>
      </c>
      <c r="E20" s="193">
        <v>0</v>
      </c>
      <c r="F20" s="193" t="s">
        <v>345</v>
      </c>
      <c r="G20" s="193">
        <v>0</v>
      </c>
    </row>
    <row r="21" spans="1:9">
      <c r="A21" s="190" t="s">
        <v>52</v>
      </c>
      <c r="B21" s="200" t="s">
        <v>53</v>
      </c>
      <c r="C21" s="192" t="s">
        <v>54</v>
      </c>
      <c r="D21" s="193">
        <v>1412.435272999996</v>
      </c>
      <c r="E21" s="193">
        <v>490.425141</v>
      </c>
      <c r="F21" s="199">
        <v>-922.01013199999602</v>
      </c>
      <c r="G21" s="194">
        <v>34.721955078220525</v>
      </c>
    </row>
    <row r="22" spans="1:9">
      <c r="A22" s="186">
        <v>2</v>
      </c>
      <c r="B22" s="182" t="s">
        <v>55</v>
      </c>
      <c r="C22" s="187" t="s">
        <v>56</v>
      </c>
      <c r="D22" s="188">
        <v>8975.799060999987</v>
      </c>
      <c r="E22" s="188">
        <v>7724.0764728317881</v>
      </c>
      <c r="F22" s="189">
        <v>-1251.7225881681989</v>
      </c>
      <c r="G22" s="189">
        <v>86.054471811797171</v>
      </c>
      <c r="I22" s="213"/>
    </row>
    <row r="23" spans="1:9">
      <c r="A23" s="190" t="s">
        <v>57</v>
      </c>
      <c r="B23" s="203" t="s">
        <v>71</v>
      </c>
      <c r="C23" s="192" t="s">
        <v>72</v>
      </c>
      <c r="D23" s="193">
        <v>610.58000000000004</v>
      </c>
      <c r="E23" s="193">
        <v>374.66124597094733</v>
      </c>
      <c r="F23" s="199">
        <v>-235.91875402905271</v>
      </c>
      <c r="G23" s="194">
        <v>61.361532636337138</v>
      </c>
    </row>
    <row r="24" spans="1:9">
      <c r="A24" s="190" t="s">
        <v>59</v>
      </c>
      <c r="B24" s="203" t="s">
        <v>74</v>
      </c>
      <c r="C24" s="192" t="s">
        <v>75</v>
      </c>
      <c r="D24" s="193">
        <v>1059.9848999999999</v>
      </c>
      <c r="E24" s="193">
        <v>1080.1335779999999</v>
      </c>
      <c r="F24" s="199">
        <v>20.148678000000018</v>
      </c>
      <c r="G24" s="194">
        <v>101.90084575733107</v>
      </c>
    </row>
    <row r="25" spans="1:9">
      <c r="A25" s="190" t="s">
        <v>61</v>
      </c>
      <c r="B25" s="191" t="s">
        <v>77</v>
      </c>
      <c r="C25" s="192" t="s">
        <v>78</v>
      </c>
      <c r="D25" s="193">
        <v>862</v>
      </c>
      <c r="E25" s="193">
        <v>862.78483199999994</v>
      </c>
      <c r="F25" s="199">
        <v>0.78483199999993758</v>
      </c>
      <c r="G25" s="194">
        <v>100.09104779582367</v>
      </c>
    </row>
    <row r="26" spans="1:9">
      <c r="A26" s="190" t="s">
        <v>64</v>
      </c>
      <c r="B26" s="191" t="s">
        <v>83</v>
      </c>
      <c r="C26" s="192" t="s">
        <v>84</v>
      </c>
      <c r="D26" s="193">
        <v>40</v>
      </c>
      <c r="E26" s="193">
        <v>0</v>
      </c>
      <c r="F26" s="199">
        <v>-40</v>
      </c>
      <c r="G26" s="194">
        <v>0</v>
      </c>
    </row>
    <row r="27" spans="1:9">
      <c r="A27" s="190" t="s">
        <v>67</v>
      </c>
      <c r="B27" s="191" t="s">
        <v>86</v>
      </c>
      <c r="C27" s="192" t="s">
        <v>87</v>
      </c>
      <c r="D27" s="193">
        <v>23.339500000000005</v>
      </c>
      <c r="E27" s="193">
        <v>8.2458519999999993</v>
      </c>
      <c r="F27" s="199">
        <v>-15.093648000000005</v>
      </c>
      <c r="G27" s="194">
        <v>35.330028492469836</v>
      </c>
    </row>
    <row r="28" spans="1:9">
      <c r="A28" s="190" t="s">
        <v>70</v>
      </c>
      <c r="B28" s="191" t="s">
        <v>89</v>
      </c>
      <c r="C28" s="192" t="s">
        <v>90</v>
      </c>
      <c r="D28" s="193">
        <v>588.58999999999992</v>
      </c>
      <c r="E28" s="193">
        <v>457.06079299999999</v>
      </c>
      <c r="F28" s="199">
        <v>-131.52920699999993</v>
      </c>
      <c r="G28" s="194">
        <v>77.653509743624596</v>
      </c>
    </row>
    <row r="29" spans="1:9">
      <c r="A29" s="190" t="s">
        <v>73</v>
      </c>
      <c r="B29" s="191" t="s">
        <v>343</v>
      </c>
      <c r="C29" s="192" t="s">
        <v>95</v>
      </c>
      <c r="D29" s="193">
        <v>433.06</v>
      </c>
      <c r="E29" s="193">
        <v>275.29837200000003</v>
      </c>
      <c r="F29" s="199">
        <v>-157.76162799999997</v>
      </c>
      <c r="G29" s="194">
        <v>63.57049184870457</v>
      </c>
    </row>
    <row r="30" spans="1:9">
      <c r="A30" s="190" t="s">
        <v>76</v>
      </c>
      <c r="B30" s="191" t="s">
        <v>241</v>
      </c>
      <c r="C30" s="192" t="s">
        <v>92</v>
      </c>
      <c r="D30" s="193">
        <v>91.25160000000001</v>
      </c>
      <c r="E30" s="193">
        <v>47.51398300000001</v>
      </c>
      <c r="F30" s="199">
        <v>-43.737617</v>
      </c>
      <c r="G30" s="194">
        <v>52.069205361878595</v>
      </c>
    </row>
    <row r="31" spans="1:9">
      <c r="A31" s="190" t="s">
        <v>79</v>
      </c>
      <c r="B31" s="191" t="s">
        <v>641</v>
      </c>
      <c r="C31" s="192" t="s">
        <v>118</v>
      </c>
      <c r="D31" s="193">
        <v>2832.8931300000004</v>
      </c>
      <c r="E31" s="193">
        <v>2201.0391847058477</v>
      </c>
      <c r="F31" s="199">
        <v>-631.85394529415271</v>
      </c>
      <c r="G31" s="194">
        <v>77.695807208436676</v>
      </c>
    </row>
    <row r="32" spans="1:9" s="212" customFormat="1">
      <c r="A32" s="195"/>
      <c r="B32" s="204" t="s">
        <v>187</v>
      </c>
      <c r="C32" s="197"/>
      <c r="D32" s="198"/>
      <c r="E32" s="198"/>
      <c r="F32" s="199"/>
      <c r="G32" s="199"/>
    </row>
    <row r="33" spans="1:7" s="212" customFormat="1">
      <c r="A33" s="195" t="s">
        <v>345</v>
      </c>
      <c r="B33" s="204" t="s">
        <v>294</v>
      </c>
      <c r="C33" s="197" t="s">
        <v>120</v>
      </c>
      <c r="D33" s="198">
        <v>1738.9155000000003</v>
      </c>
      <c r="E33" s="198">
        <v>1581.3146290000002</v>
      </c>
      <c r="F33" s="199">
        <v>-157.6008710000001</v>
      </c>
      <c r="G33" s="199">
        <v>90.936829822955744</v>
      </c>
    </row>
    <row r="34" spans="1:7" s="212" customFormat="1">
      <c r="A34" s="195" t="s">
        <v>345</v>
      </c>
      <c r="B34" s="204" t="s">
        <v>295</v>
      </c>
      <c r="C34" s="197" t="s">
        <v>122</v>
      </c>
      <c r="D34" s="198">
        <v>167.39</v>
      </c>
      <c r="E34" s="198">
        <v>108.31426900000001</v>
      </c>
      <c r="F34" s="199">
        <v>-59.075730999999976</v>
      </c>
      <c r="G34" s="199">
        <v>64.707729852440423</v>
      </c>
    </row>
    <row r="35" spans="1:7" s="212" customFormat="1">
      <c r="A35" s="195" t="s">
        <v>345</v>
      </c>
      <c r="B35" s="204" t="s">
        <v>296</v>
      </c>
      <c r="C35" s="197" t="s">
        <v>128</v>
      </c>
      <c r="D35" s="198">
        <v>37.236699999999999</v>
      </c>
      <c r="E35" s="198">
        <v>27.272508999999999</v>
      </c>
      <c r="F35" s="199">
        <v>-9.9641909999999996</v>
      </c>
      <c r="G35" s="199">
        <v>73.240939718073832</v>
      </c>
    </row>
    <row r="36" spans="1:7" s="212" customFormat="1">
      <c r="A36" s="195" t="s">
        <v>345</v>
      </c>
      <c r="B36" s="204" t="s">
        <v>297</v>
      </c>
      <c r="C36" s="197" t="s">
        <v>130</v>
      </c>
      <c r="D36" s="198">
        <v>49.11</v>
      </c>
      <c r="E36" s="198">
        <v>32.223337999999998</v>
      </c>
      <c r="F36" s="199">
        <v>-16.886662000000001</v>
      </c>
      <c r="G36" s="199">
        <v>65.614616167786608</v>
      </c>
    </row>
    <row r="37" spans="1:7" s="212" customFormat="1">
      <c r="A37" s="195" t="s">
        <v>345</v>
      </c>
      <c r="B37" s="204" t="s">
        <v>298</v>
      </c>
      <c r="C37" s="197" t="s">
        <v>132</v>
      </c>
      <c r="D37" s="198">
        <v>89.399600000000007</v>
      </c>
      <c r="E37" s="198">
        <v>65.462155705847735</v>
      </c>
      <c r="F37" s="199">
        <v>-23.937444294152272</v>
      </c>
      <c r="G37" s="199">
        <v>73.224215439272356</v>
      </c>
    </row>
    <row r="38" spans="1:7" s="212" customFormat="1">
      <c r="A38" s="195" t="s">
        <v>345</v>
      </c>
      <c r="B38" s="204" t="s">
        <v>299</v>
      </c>
      <c r="C38" s="197" t="s">
        <v>134</v>
      </c>
      <c r="D38" s="198">
        <v>94.16391999999999</v>
      </c>
      <c r="E38" s="198">
        <v>22.222180999999999</v>
      </c>
      <c r="F38" s="199">
        <v>-71.941738999999984</v>
      </c>
      <c r="G38" s="199">
        <v>23.599464635711854</v>
      </c>
    </row>
    <row r="39" spans="1:7" s="212" customFormat="1">
      <c r="A39" s="195" t="s">
        <v>345</v>
      </c>
      <c r="B39" s="204" t="s">
        <v>300</v>
      </c>
      <c r="C39" s="197" t="s">
        <v>124</v>
      </c>
      <c r="D39" s="198">
        <v>400.86549999999994</v>
      </c>
      <c r="E39" s="198">
        <v>221.21611300000001</v>
      </c>
      <c r="F39" s="199">
        <v>-179.64938699999993</v>
      </c>
      <c r="G39" s="199">
        <v>55.18462252301584</v>
      </c>
    </row>
    <row r="40" spans="1:7" s="212" customFormat="1">
      <c r="A40" s="195" t="s">
        <v>345</v>
      </c>
      <c r="B40" s="204" t="s">
        <v>301</v>
      </c>
      <c r="C40" s="197" t="s">
        <v>126</v>
      </c>
      <c r="D40" s="198">
        <v>1.6631900000000002</v>
      </c>
      <c r="E40" s="198">
        <v>1.6456760000000001</v>
      </c>
      <c r="F40" s="199">
        <v>-1.751400000000003E-2</v>
      </c>
      <c r="G40" s="199">
        <v>98.946963365580601</v>
      </c>
    </row>
    <row r="41" spans="1:7" s="212" customFormat="1">
      <c r="A41" s="195" t="s">
        <v>345</v>
      </c>
      <c r="B41" s="204" t="s">
        <v>302</v>
      </c>
      <c r="C41" s="197" t="s">
        <v>305</v>
      </c>
      <c r="D41" s="198" t="s">
        <v>345</v>
      </c>
      <c r="E41" s="198">
        <v>0</v>
      </c>
      <c r="F41" s="193" t="s">
        <v>345</v>
      </c>
      <c r="G41" s="193">
        <v>0</v>
      </c>
    </row>
    <row r="42" spans="1:7" s="212" customFormat="1">
      <c r="A42" s="195" t="s">
        <v>345</v>
      </c>
      <c r="B42" s="204" t="s">
        <v>270</v>
      </c>
      <c r="C42" s="197" t="s">
        <v>97</v>
      </c>
      <c r="D42" s="198">
        <v>2.7035</v>
      </c>
      <c r="E42" s="198">
        <v>1.572659</v>
      </c>
      <c r="F42" s="199">
        <v>-1.130841</v>
      </c>
      <c r="G42" s="199">
        <v>58.17122248936564</v>
      </c>
    </row>
    <row r="43" spans="1:7" s="212" customFormat="1">
      <c r="A43" s="195" t="s">
        <v>345</v>
      </c>
      <c r="B43" s="204" t="s">
        <v>271</v>
      </c>
      <c r="C43" s="197" t="s">
        <v>103</v>
      </c>
      <c r="D43" s="198">
        <v>59.74</v>
      </c>
      <c r="E43" s="198">
        <v>24.573335</v>
      </c>
      <c r="F43" s="199">
        <v>-35.166665000000002</v>
      </c>
      <c r="G43" s="199">
        <v>41.133804820890525</v>
      </c>
    </row>
    <row r="44" spans="1:7" s="212" customFormat="1">
      <c r="A44" s="195" t="s">
        <v>345</v>
      </c>
      <c r="B44" s="204" t="s">
        <v>105</v>
      </c>
      <c r="C44" s="197" t="s">
        <v>106</v>
      </c>
      <c r="D44" s="198">
        <v>12.219860000000001</v>
      </c>
      <c r="E44" s="198">
        <v>13.322333999999996</v>
      </c>
      <c r="F44" s="199">
        <v>1.1024739999999955</v>
      </c>
      <c r="G44" s="199">
        <v>109.02198552192903</v>
      </c>
    </row>
    <row r="45" spans="1:7" s="212" customFormat="1" ht="26.4">
      <c r="A45" s="195" t="s">
        <v>345</v>
      </c>
      <c r="B45" s="204" t="s">
        <v>518</v>
      </c>
      <c r="C45" s="197" t="s">
        <v>111</v>
      </c>
      <c r="D45" s="198">
        <v>167.59</v>
      </c>
      <c r="E45" s="198">
        <v>97.492464000000012</v>
      </c>
      <c r="F45" s="199">
        <v>-70.097535999999991</v>
      </c>
      <c r="G45" s="199">
        <v>58.173198878214698</v>
      </c>
    </row>
    <row r="46" spans="1:7" s="212" customFormat="1">
      <c r="A46" s="195" t="s">
        <v>345</v>
      </c>
      <c r="B46" s="204" t="s">
        <v>303</v>
      </c>
      <c r="C46" s="197" t="s">
        <v>136</v>
      </c>
      <c r="D46" s="198" t="s">
        <v>345</v>
      </c>
      <c r="E46" s="198">
        <v>0</v>
      </c>
      <c r="F46" s="193" t="s">
        <v>345</v>
      </c>
      <c r="G46" s="193">
        <v>0</v>
      </c>
    </row>
    <row r="47" spans="1:7" s="212" customFormat="1">
      <c r="A47" s="195" t="s">
        <v>345</v>
      </c>
      <c r="B47" s="205" t="s">
        <v>304</v>
      </c>
      <c r="C47" s="197" t="s">
        <v>138</v>
      </c>
      <c r="D47" s="198" t="s">
        <v>345</v>
      </c>
      <c r="E47" s="198">
        <v>0</v>
      </c>
      <c r="F47" s="193" t="s">
        <v>345</v>
      </c>
      <c r="G47" s="193">
        <v>0</v>
      </c>
    </row>
    <row r="48" spans="1:7" s="212" customFormat="1">
      <c r="A48" s="195" t="s">
        <v>345</v>
      </c>
      <c r="B48" s="205" t="s">
        <v>263</v>
      </c>
      <c r="C48" s="197" t="s">
        <v>140</v>
      </c>
      <c r="D48" s="198">
        <v>11.895359999999998</v>
      </c>
      <c r="E48" s="198">
        <v>4.4075220000000002</v>
      </c>
      <c r="F48" s="199">
        <v>-7.4878379999999982</v>
      </c>
      <c r="G48" s="199">
        <v>37.052447340811888</v>
      </c>
    </row>
    <row r="49" spans="1:7">
      <c r="A49" s="190" t="s">
        <v>82</v>
      </c>
      <c r="B49" s="191" t="s">
        <v>99</v>
      </c>
      <c r="C49" s="192" t="s">
        <v>100</v>
      </c>
      <c r="D49" s="193" t="s">
        <v>345</v>
      </c>
      <c r="E49" s="193">
        <v>0</v>
      </c>
      <c r="F49" s="193" t="s">
        <v>345</v>
      </c>
      <c r="G49" s="193">
        <v>0</v>
      </c>
    </row>
    <row r="50" spans="1:7">
      <c r="A50" s="190" t="s">
        <v>85</v>
      </c>
      <c r="B50" s="191" t="s">
        <v>142</v>
      </c>
      <c r="C50" s="192" t="s">
        <v>143</v>
      </c>
      <c r="D50" s="193">
        <v>26.187559999999998</v>
      </c>
      <c r="E50" s="193">
        <v>12.401898000000001</v>
      </c>
      <c r="F50" s="194">
        <v>-13.785661999999997</v>
      </c>
      <c r="G50" s="194">
        <v>47.357974549748057</v>
      </c>
    </row>
    <row r="51" spans="1:7">
      <c r="A51" s="190" t="s">
        <v>88</v>
      </c>
      <c r="B51" s="191" t="s">
        <v>145</v>
      </c>
      <c r="C51" s="192" t="s">
        <v>146</v>
      </c>
      <c r="D51" s="193">
        <v>13.4642</v>
      </c>
      <c r="E51" s="193">
        <v>9.9138779999999986</v>
      </c>
      <c r="F51" s="194">
        <v>-3.5503220000000013</v>
      </c>
      <c r="G51" s="194">
        <v>73.631392878893635</v>
      </c>
    </row>
    <row r="52" spans="1:7">
      <c r="A52" s="190" t="s">
        <v>91</v>
      </c>
      <c r="B52" s="191" t="s">
        <v>238</v>
      </c>
      <c r="C52" s="192" t="s">
        <v>58</v>
      </c>
      <c r="D52" s="193">
        <v>626</v>
      </c>
      <c r="E52" s="193">
        <v>559.67882700000007</v>
      </c>
      <c r="F52" s="194">
        <v>-66.321172999999931</v>
      </c>
      <c r="G52" s="194">
        <v>89.405563418530363</v>
      </c>
    </row>
    <row r="53" spans="1:7">
      <c r="A53" s="190" t="s">
        <v>93</v>
      </c>
      <c r="B53" s="191" t="s">
        <v>239</v>
      </c>
      <c r="C53" s="192" t="s">
        <v>60</v>
      </c>
      <c r="D53" s="193">
        <v>150</v>
      </c>
      <c r="E53" s="193">
        <v>130.01883699999999</v>
      </c>
      <c r="F53" s="194">
        <v>-19.981163000000009</v>
      </c>
      <c r="G53" s="194">
        <v>86.679224666666656</v>
      </c>
    </row>
    <row r="54" spans="1:7">
      <c r="A54" s="190" t="s">
        <v>96</v>
      </c>
      <c r="B54" s="191" t="s">
        <v>62</v>
      </c>
      <c r="C54" s="192" t="s">
        <v>63</v>
      </c>
      <c r="D54" s="193">
        <v>52.19</v>
      </c>
      <c r="E54" s="193">
        <v>36.096491999999998</v>
      </c>
      <c r="F54" s="194">
        <v>-16.093508</v>
      </c>
      <c r="G54" s="194">
        <v>69.163617551255015</v>
      </c>
    </row>
    <row r="55" spans="1:7">
      <c r="A55" s="190" t="s">
        <v>98</v>
      </c>
      <c r="B55" s="191" t="s">
        <v>632</v>
      </c>
      <c r="C55" s="192" t="s">
        <v>66</v>
      </c>
      <c r="D55" s="193">
        <v>0.49</v>
      </c>
      <c r="E55" s="193">
        <v>0.48929600000000001</v>
      </c>
      <c r="F55" s="194">
        <v>-7.0399999999998242E-4</v>
      </c>
      <c r="G55" s="194">
        <v>99.85632653061225</v>
      </c>
    </row>
    <row r="56" spans="1:7">
      <c r="A56" s="190" t="s">
        <v>101</v>
      </c>
      <c r="B56" s="191" t="s">
        <v>68</v>
      </c>
      <c r="C56" s="192" t="s">
        <v>69</v>
      </c>
      <c r="D56" s="193" t="s">
        <v>345</v>
      </c>
      <c r="E56" s="193">
        <v>0</v>
      </c>
      <c r="F56" s="193" t="s">
        <v>345</v>
      </c>
      <c r="G56" s="193">
        <v>0</v>
      </c>
    </row>
    <row r="57" spans="1:7">
      <c r="A57" s="190" t="s">
        <v>104</v>
      </c>
      <c r="B57" s="191" t="s">
        <v>348</v>
      </c>
      <c r="C57" s="192" t="s">
        <v>109</v>
      </c>
      <c r="D57" s="193">
        <v>2.4219900000000001</v>
      </c>
      <c r="E57" s="193">
        <v>0.27047700000000002</v>
      </c>
      <c r="F57" s="194">
        <v>-2.151513</v>
      </c>
      <c r="G57" s="194">
        <v>11.167552302032625</v>
      </c>
    </row>
    <row r="58" spans="1:7">
      <c r="A58" s="190" t="s">
        <v>107</v>
      </c>
      <c r="B58" s="200" t="s">
        <v>242</v>
      </c>
      <c r="C58" s="192" t="s">
        <v>116</v>
      </c>
      <c r="D58" s="193">
        <v>1374.5123699999997</v>
      </c>
      <c r="E58" s="193">
        <v>1342.4534100000001</v>
      </c>
      <c r="F58" s="194">
        <v>-32.058959999999615</v>
      </c>
      <c r="G58" s="194">
        <v>97.667612114687657</v>
      </c>
    </row>
    <row r="59" spans="1:7">
      <c r="A59" s="190" t="s">
        <v>110</v>
      </c>
      <c r="B59" s="200" t="s">
        <v>272</v>
      </c>
      <c r="C59" s="192" t="s">
        <v>114</v>
      </c>
      <c r="D59" s="193">
        <v>107.46662099998744</v>
      </c>
      <c r="E59" s="193">
        <v>323.38511615499334</v>
      </c>
      <c r="F59" s="194">
        <v>215.9184951550059</v>
      </c>
      <c r="G59" s="194">
        <v>300.91679923111298</v>
      </c>
    </row>
    <row r="60" spans="1:7">
      <c r="A60" s="190" t="s">
        <v>112</v>
      </c>
      <c r="B60" s="200" t="s">
        <v>148</v>
      </c>
      <c r="C60" s="192" t="s">
        <v>149</v>
      </c>
      <c r="D60" s="193">
        <v>81.367189999999994</v>
      </c>
      <c r="E60" s="193">
        <v>2.630401</v>
      </c>
      <c r="F60" s="206">
        <v>-78.736788999999987</v>
      </c>
      <c r="G60" s="194">
        <v>3.2327538901122188</v>
      </c>
    </row>
    <row r="61" spans="1:7" s="214" customFormat="1">
      <c r="A61" s="186" t="s">
        <v>150</v>
      </c>
      <c r="B61" s="182" t="s">
        <v>151</v>
      </c>
      <c r="C61" s="187" t="s">
        <v>152</v>
      </c>
      <c r="D61" s="188" t="s">
        <v>345</v>
      </c>
      <c r="E61" s="188">
        <v>0</v>
      </c>
      <c r="F61" s="193" t="s">
        <v>345</v>
      </c>
      <c r="G61" s="193">
        <v>0</v>
      </c>
    </row>
    <row r="62" spans="1:7" s="215" customFormat="1" ht="27.75" customHeight="1">
      <c r="A62" s="546" t="s">
        <v>1114</v>
      </c>
      <c r="B62" s="546"/>
      <c r="C62" s="546"/>
      <c r="D62" s="546"/>
      <c r="E62" s="546"/>
      <c r="F62" s="546"/>
      <c r="G62" s="546"/>
    </row>
  </sheetData>
  <mergeCells count="11">
    <mergeCell ref="A62:G62"/>
    <mergeCell ref="A1:G1"/>
    <mergeCell ref="A2:G2"/>
    <mergeCell ref="A5:A7"/>
    <mergeCell ref="B5:B7"/>
    <mergeCell ref="C5:C7"/>
    <mergeCell ref="D5:D7"/>
    <mergeCell ref="E5:G5"/>
    <mergeCell ref="E6:E7"/>
    <mergeCell ref="F6:G6"/>
    <mergeCell ref="A3:G3"/>
  </mergeCells>
  <phoneticPr fontId="2" type="noConversion"/>
  <printOptions horizontalCentered="1"/>
  <pageMargins left="0.78740157480314965" right="0.39370078740157483" top="0.78740157480314965" bottom="0.78740157480314965" header="0.51181102362204722" footer="0.43307086614173229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82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+GETPIVOTDATA("XBG4",'binhgia (2016)'!$A$3,"MA_HT","LUC","MA_QH","LUK")</f>
        <v>0</v>
      </c>
      <c r="I8" s="74">
        <f>+GETPIVOTDATA("XBG4",'binhgia (2016)'!$A$3,"MA_HT","LUC","MA_QH","LUN")</f>
        <v>0</v>
      </c>
      <c r="J8" s="74">
        <f>+GETPIVOTDATA("XBG4",'binhgia (2016)'!$A$3,"MA_HT","LUC","MA_QH","HNK")</f>
        <v>0</v>
      </c>
      <c r="K8" s="74">
        <f>+GETPIVOTDATA("XBG4",'binhgia (2016)'!$A$3,"MA_HT","LUC","MA_QH","CLN")</f>
        <v>0</v>
      </c>
      <c r="L8" s="74">
        <f>+GETPIVOTDATA("XBG4",'binhgia (2016)'!$A$3,"MA_HT","LUC","MA_QH","RSX")</f>
        <v>0</v>
      </c>
      <c r="M8" s="74">
        <f>+GETPIVOTDATA("XBG4",'binhgia (2016)'!$A$3,"MA_HT","LUC","MA_QH","RPH")</f>
        <v>0</v>
      </c>
      <c r="N8" s="74">
        <f>+GETPIVOTDATA("XBG4",'binhgia (2016)'!$A$3,"MA_HT","LUC","MA_QH","RDD")</f>
        <v>0</v>
      </c>
      <c r="O8" s="74">
        <f>+GETPIVOTDATA("XBG4",'binhgia (2016)'!$A$3,"MA_HT","LUC","MA_QH","NTS")</f>
        <v>0</v>
      </c>
      <c r="P8" s="74">
        <f>+GETPIVOTDATA("XBG4",'binhgia (2016)'!$A$3,"MA_HT","LUC","MA_QH","LMU")</f>
        <v>0</v>
      </c>
      <c r="Q8" s="74">
        <f>+GETPIVOTDATA("XBG4",'binhgia (2016)'!$A$3,"MA_HT","LUC","MA_QH","NKH")</f>
        <v>0</v>
      </c>
      <c r="R8" s="72">
        <f>SUM(S8:AA8,AN8:BD8)</f>
        <v>0</v>
      </c>
      <c r="S8" s="74">
        <f>+GETPIVOTDATA("XBG4",'binhgia (2016)'!$A$3,"MA_HT","LUC","MA_QH","CQP")</f>
        <v>0</v>
      </c>
      <c r="T8" s="74">
        <f>+GETPIVOTDATA("XBG4",'binhgia (2016)'!$A$3,"MA_HT","LUC","MA_QH","CAN")</f>
        <v>0</v>
      </c>
      <c r="U8" s="74">
        <f>+GETPIVOTDATA("XBG4",'binhgia (2016)'!$A$3,"MA_HT","LUC","MA_QH","SKK")</f>
        <v>0</v>
      </c>
      <c r="V8" s="74">
        <f>+GETPIVOTDATA("XBG4",'binhgia (2016)'!$A$3,"MA_HT","LUC","MA_QH","SKT")</f>
        <v>0</v>
      </c>
      <c r="W8" s="74">
        <f>+GETPIVOTDATA("XBG4",'binhgia (2016)'!$A$3,"MA_HT","LUC","MA_QH","SKN")</f>
        <v>0</v>
      </c>
      <c r="X8" s="74">
        <f>+GETPIVOTDATA("XBG4",'binhgia (2016)'!$A$3,"MA_HT","LUC","MA_QH","TMD")</f>
        <v>0</v>
      </c>
      <c r="Y8" s="74">
        <f>+GETPIVOTDATA("XBG4",'binhgia (2016)'!$A$3,"MA_HT","LUC","MA_QH","SKC")</f>
        <v>0</v>
      </c>
      <c r="Z8" s="74">
        <f>+GETPIVOTDATA("XBG4",'binhgia (2016)'!$A$3,"MA_HT","LUC","MA_QH","SKS")</f>
        <v>0</v>
      </c>
      <c r="AA8" s="64">
        <f t="shared" si="4"/>
        <v>0</v>
      </c>
      <c r="AB8" s="74">
        <f>+GETPIVOTDATA("XBG4",'binhgia (2016)'!$A$3,"MA_HT","LUC","MA_QH","DGT")</f>
        <v>0</v>
      </c>
      <c r="AC8" s="74">
        <f>+GETPIVOTDATA("XBG4",'binhgia (2016)'!$A$3,"MA_HT","LUC","MA_QH","DTL")</f>
        <v>0</v>
      </c>
      <c r="AD8" s="74">
        <f>+GETPIVOTDATA("XBG4",'binhgia (2016)'!$A$3,"MA_HT","LUC","MA_QH","DNL")</f>
        <v>0</v>
      </c>
      <c r="AE8" s="74">
        <f>+GETPIVOTDATA("XBG4",'binhgia (2016)'!$A$3,"MA_HT","LUC","MA_QH","DBV")</f>
        <v>0</v>
      </c>
      <c r="AF8" s="74">
        <f>+GETPIVOTDATA("XBG4",'binhgia (2016)'!$A$3,"MA_HT","LUC","MA_QH","DVH")</f>
        <v>0</v>
      </c>
      <c r="AG8" s="74">
        <f>+GETPIVOTDATA("XBG4",'binhgia (2016)'!$A$3,"MA_HT","LUC","MA_QH","DYT")</f>
        <v>0</v>
      </c>
      <c r="AH8" s="74">
        <f>+GETPIVOTDATA("XBG4",'binhgia (2016)'!$A$3,"MA_HT","LUC","MA_QH","DGD")</f>
        <v>0</v>
      </c>
      <c r="AI8" s="74">
        <f>+GETPIVOTDATA("XBG4",'binhgia (2016)'!$A$3,"MA_HT","LUC","MA_QH","DTT")</f>
        <v>0</v>
      </c>
      <c r="AJ8" s="74">
        <f>+GETPIVOTDATA("XBG4",'binhgia (2016)'!$A$3,"MA_HT","LUC","MA_QH","NCK")</f>
        <v>0</v>
      </c>
      <c r="AK8" s="74">
        <f>+GETPIVOTDATA("XBG4",'binhgia (2016)'!$A$3,"MA_HT","LUC","MA_QH","DXH")</f>
        <v>0</v>
      </c>
      <c r="AL8" s="74">
        <f>+GETPIVOTDATA("XBG4",'binhgia (2016)'!$A$3,"MA_HT","LUC","MA_QH","DCH")</f>
        <v>0</v>
      </c>
      <c r="AM8" s="74">
        <f>+GETPIVOTDATA("XBG4",'binhgia (2016)'!$A$3,"MA_HT","LUC","MA_QH","DKG")</f>
        <v>0</v>
      </c>
      <c r="AN8" s="74">
        <f>+GETPIVOTDATA("XBG4",'binhgia (2016)'!$A$3,"MA_HT","LUC","MA_QH","DDT")</f>
        <v>0</v>
      </c>
      <c r="AO8" s="74">
        <f>+GETPIVOTDATA("XBG4",'binhgia (2016)'!$A$3,"MA_HT","LUC","MA_QH","DDL")</f>
        <v>0</v>
      </c>
      <c r="AP8" s="74">
        <f>+GETPIVOTDATA("XBG4",'binhgia (2016)'!$A$3,"MA_HT","LUC","MA_QH","DRA")</f>
        <v>0</v>
      </c>
      <c r="AQ8" s="74">
        <f>+GETPIVOTDATA("XBG4",'binhgia (2016)'!$A$3,"MA_HT","LUC","MA_QH","ONT")</f>
        <v>0</v>
      </c>
      <c r="AR8" s="74">
        <f>+GETPIVOTDATA("XBG4",'binhgia (2016)'!$A$3,"MA_HT","LUC","MA_QH","ODT")</f>
        <v>0</v>
      </c>
      <c r="AS8" s="74">
        <f>+GETPIVOTDATA("XBG4",'binhgia (2016)'!$A$3,"MA_HT","LUC","MA_QH","TSC")</f>
        <v>0</v>
      </c>
      <c r="AT8" s="74">
        <f>+GETPIVOTDATA("XBG4",'binhgia (2016)'!$A$3,"MA_HT","LUC","MA_QH","DTS")</f>
        <v>0</v>
      </c>
      <c r="AU8" s="74">
        <f>+GETPIVOTDATA("XBG4",'binhgia (2016)'!$A$3,"MA_HT","LUC","MA_QH","DNG")</f>
        <v>0</v>
      </c>
      <c r="AV8" s="74">
        <f>+GETPIVOTDATA("XBG4",'binhgia (2016)'!$A$3,"MA_HT","LUC","MA_QH","TON")</f>
        <v>0</v>
      </c>
      <c r="AW8" s="74">
        <f>+GETPIVOTDATA("XBG4",'binhgia (2016)'!$A$3,"MA_HT","LUC","MA_QH","NTD")</f>
        <v>0</v>
      </c>
      <c r="AX8" s="74">
        <f>+GETPIVOTDATA("XBG4",'binhgia (2016)'!$A$3,"MA_HT","LUC","MA_QH","SKX")</f>
        <v>0</v>
      </c>
      <c r="AY8" s="74">
        <f>+GETPIVOTDATA("XBG4",'binhgia (2016)'!$A$3,"MA_HT","LUC","MA_QH","DSH")</f>
        <v>0</v>
      </c>
      <c r="AZ8" s="74">
        <f>+GETPIVOTDATA("XBG4",'binhgia (2016)'!$A$3,"MA_HT","LUC","MA_QH","DKV")</f>
        <v>0</v>
      </c>
      <c r="BA8" s="139">
        <f>+GETPIVOTDATA("XBG4",'binhgia (2016)'!$A$3,"MA_HT","LUC","MA_QH","TIN")</f>
        <v>0</v>
      </c>
      <c r="BB8" s="74">
        <f>+GETPIVOTDATA("XBG4",'binhgia (2016)'!$A$3,"MA_HT","LUC","MA_QH","SON")</f>
        <v>0</v>
      </c>
      <c r="BC8" s="74">
        <f>+GETPIVOTDATA("XBG4",'binhgia (2016)'!$A$3,"MA_HT","LUC","MA_QH","MNC")</f>
        <v>0</v>
      </c>
      <c r="BD8" s="74">
        <f>+GETPIVOTDATA("XBG4",'binhgia (2016)'!$A$3,"MA_HT","LUC","MA_QH","PNK")</f>
        <v>0</v>
      </c>
      <c r="BE8" s="102">
        <f>+GETPIVOTDATA("XBG4",'binhgia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+GETPIVOTDATA("XBG4",'binhgia (2016)'!$A$3,"MA_HT","LUK","MA_QH","LUC")</f>
        <v>0</v>
      </c>
      <c r="H9" s="100" t="e">
        <f>$D9-$BF9</f>
        <v>#REF!</v>
      </c>
      <c r="I9" s="74">
        <f>+GETPIVOTDATA("XBG4",'binhgia (2016)'!$A$3,"MA_HT","LUK","MA_QH","LUN")</f>
        <v>0</v>
      </c>
      <c r="J9" s="74">
        <f>+GETPIVOTDATA("XBG4",'binhgia (2016)'!$A$3,"MA_HT","LUK","MA_QH","HNK")</f>
        <v>0</v>
      </c>
      <c r="K9" s="74">
        <f>+GETPIVOTDATA("XBG4",'binhgia (2016)'!$A$3,"MA_HT","LUK","MA_QH","CLN")</f>
        <v>0</v>
      </c>
      <c r="L9" s="74">
        <f>+GETPIVOTDATA("XBG4",'binhgia (2016)'!$A$3,"MA_HT","LUK","MA_QH","RSX")</f>
        <v>0</v>
      </c>
      <c r="M9" s="74">
        <f>+GETPIVOTDATA("XBG4",'binhgia (2016)'!$A$3,"MA_HT","LUK","MA_QH","RPH")</f>
        <v>0</v>
      </c>
      <c r="N9" s="74">
        <f>+GETPIVOTDATA("XBG4",'binhgia (2016)'!$A$3,"MA_HT","LUK","MA_QH","RDD")</f>
        <v>0</v>
      </c>
      <c r="O9" s="74">
        <f>+GETPIVOTDATA("XBG4",'binhgia (2016)'!$A$3,"MA_HT","LUK","MA_QH","NTS")</f>
        <v>0</v>
      </c>
      <c r="P9" s="74">
        <f>+GETPIVOTDATA("XBG4",'binhgia (2016)'!$A$3,"MA_HT","LUK","MA_QH","LMU")</f>
        <v>0</v>
      </c>
      <c r="Q9" s="74">
        <f>+GETPIVOTDATA("XBG4",'binhgia (2016)'!$A$3,"MA_HT","LUK","MA_QH","NKH")</f>
        <v>0</v>
      </c>
      <c r="R9" s="72">
        <f t="shared" si="2"/>
        <v>0</v>
      </c>
      <c r="S9" s="74">
        <f>+GETPIVOTDATA("XBG4",'binhgia (2016)'!$A$3,"MA_HT","LUK","MA_QH","CQP")</f>
        <v>0</v>
      </c>
      <c r="T9" s="74">
        <f>+GETPIVOTDATA("XBG4",'binhgia (2016)'!$A$3,"MA_HT","LUK","MA_QH","CAN")</f>
        <v>0</v>
      </c>
      <c r="U9" s="74">
        <f>+GETPIVOTDATA("XBG4",'binhgia (2016)'!$A$3,"MA_HT","LUK","MA_QH","SKK")</f>
        <v>0</v>
      </c>
      <c r="V9" s="74">
        <f>+GETPIVOTDATA("XBG4",'binhgia (2016)'!$A$3,"MA_HT","LUK","MA_QH","SKT")</f>
        <v>0</v>
      </c>
      <c r="W9" s="74">
        <f>+GETPIVOTDATA("XBG4",'binhgia (2016)'!$A$3,"MA_HT","LUK","MA_QH","SKN")</f>
        <v>0</v>
      </c>
      <c r="X9" s="74">
        <f>+GETPIVOTDATA("XBG4",'binhgia (2016)'!$A$3,"MA_HT","LUK","MA_QH","TMD")</f>
        <v>0</v>
      </c>
      <c r="Y9" s="74">
        <f>+GETPIVOTDATA("XBG4",'binhgia (2016)'!$A$3,"MA_HT","LUK","MA_QH","SKC")</f>
        <v>0</v>
      </c>
      <c r="Z9" s="74">
        <f>+GETPIVOTDATA("XBG4",'binhgia (2016)'!$A$3,"MA_HT","LUK","MA_QH","SKS")</f>
        <v>0</v>
      </c>
      <c r="AA9" s="64">
        <f t="shared" si="4"/>
        <v>0</v>
      </c>
      <c r="AB9" s="74">
        <f>+GETPIVOTDATA("XBG4",'binhgia (2016)'!$A$3,"MA_HT","LUK","MA_QH","DGT")</f>
        <v>0</v>
      </c>
      <c r="AC9" s="74">
        <f>+GETPIVOTDATA("XBG4",'binhgia (2016)'!$A$3,"MA_HT","LUK","MA_QH","DTL")</f>
        <v>0</v>
      </c>
      <c r="AD9" s="74">
        <f>+GETPIVOTDATA("XBG4",'binhgia (2016)'!$A$3,"MA_HT","LUK","MA_QH","DNL")</f>
        <v>0</v>
      </c>
      <c r="AE9" s="74">
        <f>+GETPIVOTDATA("XBG4",'binhgia (2016)'!$A$3,"MA_HT","LUK","MA_QH","DBV")</f>
        <v>0</v>
      </c>
      <c r="AF9" s="74">
        <f>+GETPIVOTDATA("XBG4",'binhgia (2016)'!$A$3,"MA_HT","LUK","MA_QH","DVH")</f>
        <v>0</v>
      </c>
      <c r="AG9" s="74">
        <f>+GETPIVOTDATA("XBG4",'binhgia (2016)'!$A$3,"MA_HT","LUK","MA_QH","DYT")</f>
        <v>0</v>
      </c>
      <c r="AH9" s="74">
        <f>+GETPIVOTDATA("XBG4",'binhgia (2016)'!$A$3,"MA_HT","LUK","MA_QH","DGD")</f>
        <v>0</v>
      </c>
      <c r="AI9" s="74">
        <f>+GETPIVOTDATA("XBG4",'binhgia (2016)'!$A$3,"MA_HT","LUK","MA_QH","DTT")</f>
        <v>0</v>
      </c>
      <c r="AJ9" s="74">
        <f>+GETPIVOTDATA("XBG4",'binhgia (2016)'!$A$3,"MA_HT","LUK","MA_QH","NCK")</f>
        <v>0</v>
      </c>
      <c r="AK9" s="74">
        <f>+GETPIVOTDATA("XBG4",'binhgia (2016)'!$A$3,"MA_HT","LUK","MA_QH","DXH")</f>
        <v>0</v>
      </c>
      <c r="AL9" s="74">
        <f>+GETPIVOTDATA("XBG4",'binhgia (2016)'!$A$3,"MA_HT","LUK","MA_QH","DCH")</f>
        <v>0</v>
      </c>
      <c r="AM9" s="74">
        <f>+GETPIVOTDATA("XBG4",'binhgia (2016)'!$A$3,"MA_HT","LUK","MA_QH","DKG")</f>
        <v>0</v>
      </c>
      <c r="AN9" s="74">
        <f>+GETPIVOTDATA("XBG4",'binhgia (2016)'!$A$3,"MA_HT","LUK","MA_QH","DDT")</f>
        <v>0</v>
      </c>
      <c r="AO9" s="74">
        <f>+GETPIVOTDATA("XBG4",'binhgia (2016)'!$A$3,"MA_HT","LUK","MA_QH","DDL")</f>
        <v>0</v>
      </c>
      <c r="AP9" s="74">
        <f>+GETPIVOTDATA("XBG4",'binhgia (2016)'!$A$3,"MA_HT","LUK","MA_QH","DRA")</f>
        <v>0</v>
      </c>
      <c r="AQ9" s="74">
        <f>+GETPIVOTDATA("XBG4",'binhgia (2016)'!$A$3,"MA_HT","LUK","MA_QH","ONT")</f>
        <v>0</v>
      </c>
      <c r="AR9" s="74">
        <f>+GETPIVOTDATA("XBG4",'binhgia (2016)'!$A$3,"MA_HT","LUK","MA_QH","ODT")</f>
        <v>0</v>
      </c>
      <c r="AS9" s="74">
        <f>+GETPIVOTDATA("XBG4",'binhgia (2016)'!$A$3,"MA_HT","LUK","MA_QH","TSC")</f>
        <v>0</v>
      </c>
      <c r="AT9" s="74">
        <f>+GETPIVOTDATA("XBG4",'binhgia (2016)'!$A$3,"MA_HT","LUK","MA_QH","DTS")</f>
        <v>0</v>
      </c>
      <c r="AU9" s="74">
        <f>+GETPIVOTDATA("XBG4",'binhgia (2016)'!$A$3,"MA_HT","LUK","MA_QH","DNG")</f>
        <v>0</v>
      </c>
      <c r="AV9" s="74">
        <f>+GETPIVOTDATA("XBG4",'binhgia (2016)'!$A$3,"MA_HT","LUK","MA_QH","TON")</f>
        <v>0</v>
      </c>
      <c r="AW9" s="74">
        <f>+GETPIVOTDATA("XBG4",'binhgia (2016)'!$A$3,"MA_HT","LUK","MA_QH","NTD")</f>
        <v>0</v>
      </c>
      <c r="AX9" s="74">
        <f>+GETPIVOTDATA("XBG4",'binhgia (2016)'!$A$3,"MA_HT","LUK","MA_QH","SKX")</f>
        <v>0</v>
      </c>
      <c r="AY9" s="74">
        <f>+GETPIVOTDATA("XBG4",'binhgia (2016)'!$A$3,"MA_HT","LUK","MA_QH","DSH")</f>
        <v>0</v>
      </c>
      <c r="AZ9" s="74">
        <f>+GETPIVOTDATA("XBG4",'binhgia (2016)'!$A$3,"MA_HT","LUK","MA_QH","DKV")</f>
        <v>0</v>
      </c>
      <c r="BA9" s="139">
        <f>+GETPIVOTDATA("XBG4",'binhgia (2016)'!$A$3,"MA_HT","LUK","MA_QH","TIN")</f>
        <v>0</v>
      </c>
      <c r="BB9" s="74">
        <f>+GETPIVOTDATA("XBG4",'binhgia (2016)'!$A$3,"MA_HT","LUK","MA_QH","SON")</f>
        <v>0</v>
      </c>
      <c r="BC9" s="74">
        <f>+GETPIVOTDATA("XBG4",'binhgia (2016)'!$A$3,"MA_HT","LUK","MA_QH","MNC")</f>
        <v>0</v>
      </c>
      <c r="BD9" s="74">
        <f>+GETPIVOTDATA("XBG4",'binhgia (2016)'!$A$3,"MA_HT","LUK","MA_QH","PNK")</f>
        <v>0</v>
      </c>
      <c r="BE9" s="102">
        <f>+GETPIVOTDATA("XBG4",'binhgia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+GETPIVOTDATA("XBG4",'binhgia (2016)'!$A$3,"MA_HT","LUN","MA_QH","LUC")</f>
        <v>0</v>
      </c>
      <c r="H10" s="74">
        <f>+GETPIVOTDATA("XBG4",'binhgia (2016)'!$A$3,"MA_HT","LUN","MA_QH","LUK")</f>
        <v>0</v>
      </c>
      <c r="I10" s="100" t="e">
        <f>$D10-$BF10</f>
        <v>#REF!</v>
      </c>
      <c r="J10" s="74">
        <f>+GETPIVOTDATA("XBG4",'binhgia (2016)'!$A$3,"MA_HT","LUN","MA_QH","HNK")</f>
        <v>0</v>
      </c>
      <c r="K10" s="74">
        <f>+GETPIVOTDATA("XBG4",'binhgia (2016)'!$A$3,"MA_HT","LUN","MA_QH","CLN")</f>
        <v>0</v>
      </c>
      <c r="L10" s="74">
        <f>+GETPIVOTDATA("XBG4",'binhgia (2016)'!$A$3,"MA_HT","LUN","MA_QH","RSX")</f>
        <v>0</v>
      </c>
      <c r="M10" s="74">
        <f>+GETPIVOTDATA("XBG4",'binhgia (2016)'!$A$3,"MA_HT","LUN","MA_QH","RPH")</f>
        <v>0</v>
      </c>
      <c r="N10" s="74">
        <f>+GETPIVOTDATA("XBG4",'binhgia (2016)'!$A$3,"MA_HT","LUN","MA_QH","RDD")</f>
        <v>0</v>
      </c>
      <c r="O10" s="74">
        <f>+GETPIVOTDATA("XBG4",'binhgia (2016)'!$A$3,"MA_HT","LUN","MA_QH","NTS")</f>
        <v>0</v>
      </c>
      <c r="P10" s="74">
        <f>+GETPIVOTDATA("XBG4",'binhgia (2016)'!$A$3,"MA_HT","LUN","MA_QH","LMU")</f>
        <v>0</v>
      </c>
      <c r="Q10" s="74">
        <f>+GETPIVOTDATA("XBG4",'binhgia (2016)'!$A$3,"MA_HT","LUN","MA_QH","NKH")</f>
        <v>0</v>
      </c>
      <c r="R10" s="72">
        <f t="shared" si="2"/>
        <v>0</v>
      </c>
      <c r="S10" s="74">
        <f>+GETPIVOTDATA("XBG4",'binhgia (2016)'!$A$3,"MA_HT","LUN","MA_QH","CQP")</f>
        <v>0</v>
      </c>
      <c r="T10" s="74">
        <f>+GETPIVOTDATA("XBG4",'binhgia (2016)'!$A$3,"MA_HT","LUN","MA_QH","CAN")</f>
        <v>0</v>
      </c>
      <c r="U10" s="74">
        <f>+GETPIVOTDATA("XBG4",'binhgia (2016)'!$A$3,"MA_HT","LUN","MA_QH","SKK")</f>
        <v>0</v>
      </c>
      <c r="V10" s="74">
        <f>+GETPIVOTDATA("XBG4",'binhgia (2016)'!$A$3,"MA_HT","LUN","MA_QH","SKT")</f>
        <v>0</v>
      </c>
      <c r="W10" s="74">
        <f>+GETPIVOTDATA("XBG4",'binhgia (2016)'!$A$3,"MA_HT","LUN","MA_QH","SKN")</f>
        <v>0</v>
      </c>
      <c r="X10" s="74">
        <f>+GETPIVOTDATA("XBG4",'binhgia (2016)'!$A$3,"MA_HT","LUN","MA_QH","TMD")</f>
        <v>0</v>
      </c>
      <c r="Y10" s="74">
        <f>+GETPIVOTDATA("XBG4",'binhgia (2016)'!$A$3,"MA_HT","LUN","MA_QH","SKC")</f>
        <v>0</v>
      </c>
      <c r="Z10" s="74">
        <f>+GETPIVOTDATA("XBG4",'binhgia (2016)'!$A$3,"MA_HT","LUN","MA_QH","SKS")</f>
        <v>0</v>
      </c>
      <c r="AA10" s="64">
        <f t="shared" si="4"/>
        <v>0</v>
      </c>
      <c r="AB10" s="74">
        <f>+GETPIVOTDATA("XBG4",'binhgia (2016)'!$A$3,"MA_HT","LUN","MA_QH","DGT")</f>
        <v>0</v>
      </c>
      <c r="AC10" s="74">
        <f>+GETPIVOTDATA("XBG4",'binhgia (2016)'!$A$3,"MA_HT","LUN","MA_QH","DTL")</f>
        <v>0</v>
      </c>
      <c r="AD10" s="74">
        <f>+GETPIVOTDATA("XBG4",'binhgia (2016)'!$A$3,"MA_HT","LUN","MA_QH","DNL")</f>
        <v>0</v>
      </c>
      <c r="AE10" s="74">
        <f>+GETPIVOTDATA("XBG4",'binhgia (2016)'!$A$3,"MA_HT","LUN","MA_QH","DBV")</f>
        <v>0</v>
      </c>
      <c r="AF10" s="74">
        <f>+GETPIVOTDATA("XBG4",'binhgia (2016)'!$A$3,"MA_HT","LUN","MA_QH","DVH")</f>
        <v>0</v>
      </c>
      <c r="AG10" s="74">
        <f>+GETPIVOTDATA("XBG4",'binhgia (2016)'!$A$3,"MA_HT","LUN","MA_QH","DYT")</f>
        <v>0</v>
      </c>
      <c r="AH10" s="74">
        <f>+GETPIVOTDATA("XBG4",'binhgia (2016)'!$A$3,"MA_HT","LUN","MA_QH","DGD")</f>
        <v>0</v>
      </c>
      <c r="AI10" s="74">
        <f>+GETPIVOTDATA("XBG4",'binhgia (2016)'!$A$3,"MA_HT","LUN","MA_QH","DTT")</f>
        <v>0</v>
      </c>
      <c r="AJ10" s="74">
        <f>+GETPIVOTDATA("XBG4",'binhgia (2016)'!$A$3,"MA_HT","LUN","MA_QH","NCK")</f>
        <v>0</v>
      </c>
      <c r="AK10" s="74">
        <f>+GETPIVOTDATA("XBG4",'binhgia (2016)'!$A$3,"MA_HT","LUN","MA_QH","DXH")</f>
        <v>0</v>
      </c>
      <c r="AL10" s="74">
        <f>+GETPIVOTDATA("XBG4",'binhgia (2016)'!$A$3,"MA_HT","LUN","MA_QH","DCH")</f>
        <v>0</v>
      </c>
      <c r="AM10" s="74">
        <f>+GETPIVOTDATA("XBG4",'binhgia (2016)'!$A$3,"MA_HT","LUN","MA_QH","DKG")</f>
        <v>0</v>
      </c>
      <c r="AN10" s="74">
        <f>+GETPIVOTDATA("XBG4",'binhgia (2016)'!$A$3,"MA_HT","LUN","MA_QH","DDT")</f>
        <v>0</v>
      </c>
      <c r="AO10" s="74">
        <f>+GETPIVOTDATA("XBG4",'binhgia (2016)'!$A$3,"MA_HT","LUN","MA_QH","DDL")</f>
        <v>0</v>
      </c>
      <c r="AP10" s="74">
        <f>+GETPIVOTDATA("XBG4",'binhgia (2016)'!$A$3,"MA_HT","LUN","MA_QH","DRA")</f>
        <v>0</v>
      </c>
      <c r="AQ10" s="74">
        <f>+GETPIVOTDATA("XBG4",'binhgia (2016)'!$A$3,"MA_HT","LUN","MA_QH","ONT")</f>
        <v>0</v>
      </c>
      <c r="AR10" s="74">
        <f>+GETPIVOTDATA("XBG4",'binhgia (2016)'!$A$3,"MA_HT","LUN","MA_QH","ODT")</f>
        <v>0</v>
      </c>
      <c r="AS10" s="74">
        <f>+GETPIVOTDATA("XBG4",'binhgia (2016)'!$A$3,"MA_HT","LUN","MA_QH","TSC")</f>
        <v>0</v>
      </c>
      <c r="AT10" s="74">
        <f>+GETPIVOTDATA("XBG4",'binhgia (2016)'!$A$3,"MA_HT","LUN","MA_QH","DTS")</f>
        <v>0</v>
      </c>
      <c r="AU10" s="74">
        <f>+GETPIVOTDATA("XBG4",'binhgia (2016)'!$A$3,"MA_HT","LUN","MA_QH","DNG")</f>
        <v>0</v>
      </c>
      <c r="AV10" s="74">
        <f>+GETPIVOTDATA("XBG4",'binhgia (2016)'!$A$3,"MA_HT","LUN","MA_QH","TON")</f>
        <v>0</v>
      </c>
      <c r="AW10" s="74">
        <f>+GETPIVOTDATA("XBG4",'binhgia (2016)'!$A$3,"MA_HT","LUN","MA_QH","NTD")</f>
        <v>0</v>
      </c>
      <c r="AX10" s="74">
        <f>+GETPIVOTDATA("XBG4",'binhgia (2016)'!$A$3,"MA_HT","LUN","MA_QH","SKX")</f>
        <v>0</v>
      </c>
      <c r="AY10" s="74">
        <f>+GETPIVOTDATA("XBG4",'binhgia (2016)'!$A$3,"MA_HT","LUN","MA_QH","DSH")</f>
        <v>0</v>
      </c>
      <c r="AZ10" s="74">
        <f>+GETPIVOTDATA("XBG4",'binhgia (2016)'!$A$3,"MA_HT","LUN","MA_QH","DKV")</f>
        <v>0</v>
      </c>
      <c r="BA10" s="139">
        <f>+GETPIVOTDATA("XBG4",'binhgia (2016)'!$A$3,"MA_HT","LUN","MA_QH","TIN")</f>
        <v>0</v>
      </c>
      <c r="BB10" s="74">
        <f>+GETPIVOTDATA("XBG4",'binhgia (2016)'!$A$3,"MA_HT","LUN","MA_QH","SON")</f>
        <v>0</v>
      </c>
      <c r="BC10" s="74">
        <f>+GETPIVOTDATA("XBG4",'binhgia (2016)'!$A$3,"MA_HT","LUN","MA_QH","MNC")</f>
        <v>0</v>
      </c>
      <c r="BD10" s="74">
        <f>+GETPIVOTDATA("XBG4",'binhgia (2016)'!$A$3,"MA_HT","LUN","MA_QH","PNK")</f>
        <v>0</v>
      </c>
      <c r="BE10" s="102">
        <f>+GETPIVOTDATA("XBG4",'binhgia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+GETPIVOTDATA("XBG4",'binhgia (2016)'!$A$3,"MA_HT","HNK","MA_QH","LUC")</f>
        <v>0</v>
      </c>
      <c r="H11" s="35">
        <f>+GETPIVOTDATA("XBG4",'binhgia (2016)'!$A$3,"MA_HT","HNK","MA_QH","LUK")</f>
        <v>0</v>
      </c>
      <c r="I11" s="35">
        <f>+GETPIVOTDATA("XBG4",'binhgia (2016)'!$A$3,"MA_HT","HNK","MA_QH","LUN")</f>
        <v>0</v>
      </c>
      <c r="J11" s="99" t="e">
        <f>$D11-$BF11</f>
        <v>#REF!</v>
      </c>
      <c r="K11" s="35">
        <f>+GETPIVOTDATA("XBG4",'binhgia (2016)'!$A$3,"MA_HT","HNK","MA_QH","CLN")</f>
        <v>0</v>
      </c>
      <c r="L11" s="35">
        <f>+GETPIVOTDATA("XBG4",'binhgia (2016)'!$A$3,"MA_HT","HNK","MA_QH","RSX")</f>
        <v>0</v>
      </c>
      <c r="M11" s="35">
        <f>+GETPIVOTDATA("XBG4",'binhgia (2016)'!$A$3,"MA_HT","HNK","MA_QH","RPH")</f>
        <v>0</v>
      </c>
      <c r="N11" s="35">
        <f>+GETPIVOTDATA("XBG4",'binhgia (2016)'!$A$3,"MA_HT","HNK","MA_QH","RDD")</f>
        <v>0</v>
      </c>
      <c r="O11" s="35">
        <f>+GETPIVOTDATA("XBG4",'binhgia (2016)'!$A$3,"MA_HT","HNK","MA_QH","NTS")</f>
        <v>0</v>
      </c>
      <c r="P11" s="35">
        <f>+GETPIVOTDATA("XBG4",'binhgia (2016)'!$A$3,"MA_HT","HNK","MA_QH","LMU")</f>
        <v>0</v>
      </c>
      <c r="Q11" s="35">
        <f>+GETPIVOTDATA("XBG4",'binhgia (2016)'!$A$3,"MA_HT","HNK","MA_QH","NKH")</f>
        <v>0</v>
      </c>
      <c r="R11" s="63">
        <f t="shared" si="2"/>
        <v>0</v>
      </c>
      <c r="S11" s="35">
        <f>+GETPIVOTDATA("XBG4",'binhgia (2016)'!$A$3,"MA_HT","HNK","MA_QH","CQP")</f>
        <v>0</v>
      </c>
      <c r="T11" s="35">
        <f>+GETPIVOTDATA("XBG4",'binhgia (2016)'!$A$3,"MA_HT","HNK","MA_QH","CAN")</f>
        <v>0</v>
      </c>
      <c r="U11" s="35">
        <f>+GETPIVOTDATA("XBG4",'binhgia (2016)'!$A$3,"MA_HT","HNK","MA_QH","SKK")</f>
        <v>0</v>
      </c>
      <c r="V11" s="35">
        <f>+GETPIVOTDATA("XBG4",'binhgia (2016)'!$A$3,"MA_HT","HNK","MA_QH","SKT")</f>
        <v>0</v>
      </c>
      <c r="W11" s="35">
        <f>+GETPIVOTDATA("XBG4",'binhgia (2016)'!$A$3,"MA_HT","HNK","MA_QH","SKN")</f>
        <v>0</v>
      </c>
      <c r="X11" s="35">
        <f>+GETPIVOTDATA("XBG4",'binhgia (2016)'!$A$3,"MA_HT","HNK","MA_QH","TMD")</f>
        <v>0</v>
      </c>
      <c r="Y11" s="35">
        <f>+GETPIVOTDATA("XBG4",'binhgia (2016)'!$A$3,"MA_HT","HNK","MA_QH","SKC")</f>
        <v>0</v>
      </c>
      <c r="Z11" s="35">
        <f>+GETPIVOTDATA("XBG4",'binhgia (2016)'!$A$3,"MA_HT","HNK","MA_QH","SKS")</f>
        <v>0</v>
      </c>
      <c r="AA11" s="64">
        <f t="shared" si="4"/>
        <v>0</v>
      </c>
      <c r="AB11" s="35">
        <f>+GETPIVOTDATA("XBG4",'binhgia (2016)'!$A$3,"MA_HT","HNK","MA_QH","DGT")</f>
        <v>0</v>
      </c>
      <c r="AC11" s="35">
        <f>+GETPIVOTDATA("XBG4",'binhgia (2016)'!$A$3,"MA_HT","HNK","MA_QH","DTL")</f>
        <v>0</v>
      </c>
      <c r="AD11" s="35">
        <f>+GETPIVOTDATA("XBG4",'binhgia (2016)'!$A$3,"MA_HT","HNK","MA_QH","DNL")</f>
        <v>0</v>
      </c>
      <c r="AE11" s="35">
        <f>+GETPIVOTDATA("XBG4",'binhgia (2016)'!$A$3,"MA_HT","HNK","MA_QH","DBV")</f>
        <v>0</v>
      </c>
      <c r="AF11" s="35">
        <f>+GETPIVOTDATA("XBG4",'binhgia (2016)'!$A$3,"MA_HT","HNK","MA_QH","DVH")</f>
        <v>0</v>
      </c>
      <c r="AG11" s="35">
        <f>+GETPIVOTDATA("XBG4",'binhgia (2016)'!$A$3,"MA_HT","HNK","MA_QH","DYT")</f>
        <v>0</v>
      </c>
      <c r="AH11" s="35">
        <f>+GETPIVOTDATA("XBG4",'binhgia (2016)'!$A$3,"MA_HT","HNK","MA_QH","DGD")</f>
        <v>0</v>
      </c>
      <c r="AI11" s="35">
        <f>+GETPIVOTDATA("XBG4",'binhgia (2016)'!$A$3,"MA_HT","HNK","MA_QH","DTT")</f>
        <v>0</v>
      </c>
      <c r="AJ11" s="35">
        <f>+GETPIVOTDATA("XBG4",'binhgia (2016)'!$A$3,"MA_HT","HNK","MA_QH","NCK")</f>
        <v>0</v>
      </c>
      <c r="AK11" s="35">
        <f>+GETPIVOTDATA("XBG4",'binhgia (2016)'!$A$3,"MA_HT","HNK","MA_QH","DXH")</f>
        <v>0</v>
      </c>
      <c r="AL11" s="35">
        <f>+GETPIVOTDATA("XBG4",'binhgia (2016)'!$A$3,"MA_HT","HNK","MA_QH","DCH")</f>
        <v>0</v>
      </c>
      <c r="AM11" s="35">
        <f>+GETPIVOTDATA("XBG4",'binhgia (2016)'!$A$3,"MA_HT","HNK","MA_QH","DKG")</f>
        <v>0</v>
      </c>
      <c r="AN11" s="35">
        <f>+GETPIVOTDATA("XBG4",'binhgia (2016)'!$A$3,"MA_HT","HNK","MA_QH","DDT")</f>
        <v>0</v>
      </c>
      <c r="AO11" s="35">
        <f>+GETPIVOTDATA("XBG4",'binhgia (2016)'!$A$3,"MA_HT","HNK","MA_QH","DDL")</f>
        <v>0</v>
      </c>
      <c r="AP11" s="35">
        <f>+GETPIVOTDATA("XBG4",'binhgia (2016)'!$A$3,"MA_HT","HNK","MA_QH","DRA")</f>
        <v>0</v>
      </c>
      <c r="AQ11" s="35">
        <f>+GETPIVOTDATA("XBG4",'binhgia (2016)'!$A$3,"MA_HT","HNK","MA_QH","ONT")</f>
        <v>0</v>
      </c>
      <c r="AR11" s="35">
        <f>+GETPIVOTDATA("XBG4",'binhgia (2016)'!$A$3,"MA_HT","HNK","MA_QH","ODT")</f>
        <v>0</v>
      </c>
      <c r="AS11" s="35">
        <f>+GETPIVOTDATA("XBG4",'binhgia (2016)'!$A$3,"MA_HT","HNK","MA_QH","TSC")</f>
        <v>0</v>
      </c>
      <c r="AT11" s="35">
        <f>+GETPIVOTDATA("XBG4",'binhgia (2016)'!$A$3,"MA_HT","HNK","MA_QH","DTS")</f>
        <v>0</v>
      </c>
      <c r="AU11" s="35">
        <f>+GETPIVOTDATA("XBG4",'binhgia (2016)'!$A$3,"MA_HT","HNK","MA_QH","DNG")</f>
        <v>0</v>
      </c>
      <c r="AV11" s="35">
        <f>+GETPIVOTDATA("XBG4",'binhgia (2016)'!$A$3,"MA_HT","HNK","MA_QH","TON")</f>
        <v>0</v>
      </c>
      <c r="AW11" s="35">
        <f>+GETPIVOTDATA("XBG4",'binhgia (2016)'!$A$3,"MA_HT","HNK","MA_QH","NTD")</f>
        <v>0</v>
      </c>
      <c r="AX11" s="35">
        <f>+GETPIVOTDATA("XBG4",'binhgia (2016)'!$A$3,"MA_HT","HNK","MA_QH","SKX")</f>
        <v>0</v>
      </c>
      <c r="AY11" s="35">
        <f>+GETPIVOTDATA("XBG4",'binhgia (2016)'!$A$3,"MA_HT","HNK","MA_QH","DSH")</f>
        <v>0</v>
      </c>
      <c r="AZ11" s="35">
        <f>+GETPIVOTDATA("XBG4",'binhgia (2016)'!$A$3,"MA_HT","HNK","MA_QH","DKV")</f>
        <v>0</v>
      </c>
      <c r="BA11" s="140">
        <f>+GETPIVOTDATA("XBG4",'binhgia (2016)'!$A$3,"MA_HT","HNK","MA_QH","TIN")</f>
        <v>0</v>
      </c>
      <c r="BB11" s="74">
        <f>+GETPIVOTDATA("XBG4",'binhgia (2016)'!$A$3,"MA_HT","HNK","MA_QH","SON")</f>
        <v>0</v>
      </c>
      <c r="BC11" s="74">
        <f>+GETPIVOTDATA("XBG4",'binhgia (2016)'!$A$3,"MA_HT","HNK","MA_QH","MNC")</f>
        <v>0</v>
      </c>
      <c r="BD11" s="35">
        <f>+GETPIVOTDATA("XBG4",'binhgia (2016)'!$A$3,"MA_HT","HNK","MA_QH","PNK")</f>
        <v>0</v>
      </c>
      <c r="BE11" s="58">
        <f>+GETPIVOTDATA("XBG4",'binhgia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+GETPIVOTDATA("XBG4",'binhgia (2016)'!$A$3,"MA_HT","CLN","MA_QH","LUC")</f>
        <v>0</v>
      </c>
      <c r="H12" s="35">
        <f>+GETPIVOTDATA("XBG4",'binhgia (2016)'!$A$3,"MA_HT","CLN","MA_QH","LUK")</f>
        <v>0</v>
      </c>
      <c r="I12" s="35">
        <f>+GETPIVOTDATA("XBG4",'binhgia (2016)'!$A$3,"MA_HT","CLN","MA_QH","LUN")</f>
        <v>0</v>
      </c>
      <c r="J12" s="35">
        <f>+GETPIVOTDATA("XBG4",'binhgia (2016)'!$A$3,"MA_HT","CLN","MA_QH","HNK")</f>
        <v>0</v>
      </c>
      <c r="K12" s="99" t="e">
        <f>$D12-$BF12</f>
        <v>#REF!</v>
      </c>
      <c r="L12" s="35">
        <f>+GETPIVOTDATA("XBG4",'binhgia (2016)'!$A$3,"MA_HT","CLN","MA_QH","RSX")</f>
        <v>0</v>
      </c>
      <c r="M12" s="35">
        <f>+GETPIVOTDATA("XBG4",'binhgia (2016)'!$A$3,"MA_HT","CLN","MA_QH","RPH")</f>
        <v>0</v>
      </c>
      <c r="N12" s="35">
        <f>+GETPIVOTDATA("XBG4",'binhgia (2016)'!$A$3,"MA_HT","CLN","MA_QH","RDD")</f>
        <v>0</v>
      </c>
      <c r="O12" s="35">
        <f>+GETPIVOTDATA("XBG4",'binhgia (2016)'!$A$3,"MA_HT","CLN","MA_QH","NTS")</f>
        <v>0</v>
      </c>
      <c r="P12" s="35">
        <f>+GETPIVOTDATA("XBG4",'binhgia (2016)'!$A$3,"MA_HT","CLN","MA_QH","LMU")</f>
        <v>0</v>
      </c>
      <c r="Q12" s="35">
        <f>+GETPIVOTDATA("XBG4",'binhgia (2016)'!$A$3,"MA_HT","CLN","MA_QH","NKH")</f>
        <v>0</v>
      </c>
      <c r="R12" s="63">
        <f t="shared" si="2"/>
        <v>0</v>
      </c>
      <c r="S12" s="35">
        <f>+GETPIVOTDATA("XBG4",'binhgia (2016)'!$A$3,"MA_HT","CLN","MA_QH","CQP")</f>
        <v>0</v>
      </c>
      <c r="T12" s="35">
        <f>+GETPIVOTDATA("XBG4",'binhgia (2016)'!$A$3,"MA_HT","CLN","MA_QH","CAN")</f>
        <v>0</v>
      </c>
      <c r="U12" s="35">
        <f>+GETPIVOTDATA("XBG4",'binhgia (2016)'!$A$3,"MA_HT","CLN","MA_QH","SKK")</f>
        <v>0</v>
      </c>
      <c r="V12" s="35">
        <f>+GETPIVOTDATA("XBG4",'binhgia (2016)'!$A$3,"MA_HT","CLN","MA_QH","SKT")</f>
        <v>0</v>
      </c>
      <c r="W12" s="35">
        <f>+GETPIVOTDATA("XBG4",'binhgia (2016)'!$A$3,"MA_HT","CLN","MA_QH","SKN")</f>
        <v>0</v>
      </c>
      <c r="X12" s="35">
        <f>+GETPIVOTDATA("XBG4",'binhgia (2016)'!$A$3,"MA_HT","CLN","MA_QH","TMD")</f>
        <v>0</v>
      </c>
      <c r="Y12" s="35">
        <f>+GETPIVOTDATA("XBG4",'binhgia (2016)'!$A$3,"MA_HT","CLN","MA_QH","SKC")</f>
        <v>0</v>
      </c>
      <c r="Z12" s="35">
        <f>+GETPIVOTDATA("XBG4",'binhgia (2016)'!$A$3,"MA_HT","CLN","MA_QH","SKS")</f>
        <v>0</v>
      </c>
      <c r="AA12" s="64">
        <f t="shared" si="4"/>
        <v>0</v>
      </c>
      <c r="AB12" s="35">
        <f>+GETPIVOTDATA("XBG4",'binhgia (2016)'!$A$3,"MA_HT","CLN","MA_QH","DGT")</f>
        <v>0</v>
      </c>
      <c r="AC12" s="35">
        <f>+GETPIVOTDATA("XBG4",'binhgia (2016)'!$A$3,"MA_HT","CLN","MA_QH","DTL")</f>
        <v>0</v>
      </c>
      <c r="AD12" s="35">
        <f>+GETPIVOTDATA("XBG4",'binhgia (2016)'!$A$3,"MA_HT","CLN","MA_QH","DNL")</f>
        <v>0</v>
      </c>
      <c r="AE12" s="35">
        <f>+GETPIVOTDATA("XBG4",'binhgia (2016)'!$A$3,"MA_HT","CLN","MA_QH","DBV")</f>
        <v>0</v>
      </c>
      <c r="AF12" s="35">
        <f>+GETPIVOTDATA("XBG4",'binhgia (2016)'!$A$3,"MA_HT","CLN","MA_QH","DVH")</f>
        <v>0</v>
      </c>
      <c r="AG12" s="35">
        <f>+GETPIVOTDATA("XBG4",'binhgia (2016)'!$A$3,"MA_HT","CLN","MA_QH","DYT")</f>
        <v>0</v>
      </c>
      <c r="AH12" s="35">
        <f>+GETPIVOTDATA("XBG4",'binhgia (2016)'!$A$3,"MA_HT","CLN","MA_QH","DGD")</f>
        <v>0</v>
      </c>
      <c r="AI12" s="35">
        <f>+GETPIVOTDATA("XBG4",'binhgia (2016)'!$A$3,"MA_HT","CLN","MA_QH","DTT")</f>
        <v>0</v>
      </c>
      <c r="AJ12" s="35">
        <f>+GETPIVOTDATA("XBG4",'binhgia (2016)'!$A$3,"MA_HT","CLN","MA_QH","NCK")</f>
        <v>0</v>
      </c>
      <c r="AK12" s="35">
        <f>+GETPIVOTDATA("XBG4",'binhgia (2016)'!$A$3,"MA_HT","CLN","MA_QH","DXH")</f>
        <v>0</v>
      </c>
      <c r="AL12" s="35">
        <f>+GETPIVOTDATA("XBG4",'binhgia (2016)'!$A$3,"MA_HT","CLN","MA_QH","DCH")</f>
        <v>0</v>
      </c>
      <c r="AM12" s="35">
        <f>+GETPIVOTDATA("XBG4",'binhgia (2016)'!$A$3,"MA_HT","CLN","MA_QH","DKG")</f>
        <v>0</v>
      </c>
      <c r="AN12" s="35">
        <f>+GETPIVOTDATA("XBG4",'binhgia (2016)'!$A$3,"MA_HT","CLN","MA_QH","DDT")</f>
        <v>0</v>
      </c>
      <c r="AO12" s="35">
        <f>+GETPIVOTDATA("XBG4",'binhgia (2016)'!$A$3,"MA_HT","CLN","MA_QH","DDL")</f>
        <v>0</v>
      </c>
      <c r="AP12" s="35">
        <f>+GETPIVOTDATA("XBG4",'binhgia (2016)'!$A$3,"MA_HT","CLN","MA_QH","DRA")</f>
        <v>0</v>
      </c>
      <c r="AQ12" s="35">
        <f>+GETPIVOTDATA("XBG4",'binhgia (2016)'!$A$3,"MA_HT","CLN","MA_QH","ONT")</f>
        <v>0</v>
      </c>
      <c r="AR12" s="35">
        <f>+GETPIVOTDATA("XBG4",'binhgia (2016)'!$A$3,"MA_HT","CLN","MA_QH","ODT")</f>
        <v>0</v>
      </c>
      <c r="AS12" s="35">
        <f>+GETPIVOTDATA("XBG4",'binhgia (2016)'!$A$3,"MA_HT","CLN","MA_QH","TSC")</f>
        <v>0</v>
      </c>
      <c r="AT12" s="35">
        <f>+GETPIVOTDATA("XBG4",'binhgia (2016)'!$A$3,"MA_HT","CLN","MA_QH","DTS")</f>
        <v>0</v>
      </c>
      <c r="AU12" s="35">
        <f>+GETPIVOTDATA("XBG4",'binhgia (2016)'!$A$3,"MA_HT","CLN","MA_QH","DNG")</f>
        <v>0</v>
      </c>
      <c r="AV12" s="35">
        <f>+GETPIVOTDATA("XBG4",'binhgia (2016)'!$A$3,"MA_HT","CLN","MA_QH","TON")</f>
        <v>0</v>
      </c>
      <c r="AW12" s="35">
        <f>+GETPIVOTDATA("XBG4",'binhgia (2016)'!$A$3,"MA_HT","CLN","MA_QH","NTD")</f>
        <v>0</v>
      </c>
      <c r="AX12" s="35">
        <f>+GETPIVOTDATA("XBG4",'binhgia (2016)'!$A$3,"MA_HT","CLN","MA_QH","SKX")</f>
        <v>0</v>
      </c>
      <c r="AY12" s="35">
        <f>+GETPIVOTDATA("XBG4",'binhgia (2016)'!$A$3,"MA_HT","CLN","MA_QH","DSH")</f>
        <v>0</v>
      </c>
      <c r="AZ12" s="35">
        <f>+GETPIVOTDATA("XBG4",'binhgia (2016)'!$A$3,"MA_HT","CLN","MA_QH","DKV")</f>
        <v>0</v>
      </c>
      <c r="BA12" s="140">
        <f>+GETPIVOTDATA("XBG4",'binhgia (2016)'!$A$3,"MA_HT","CLN","MA_QH","TIN")</f>
        <v>0</v>
      </c>
      <c r="BB12" s="74">
        <f>+GETPIVOTDATA("XBG4",'binhgia (2016)'!$A$3,"MA_HT","CLN","MA_QH","SON")</f>
        <v>0</v>
      </c>
      <c r="BC12" s="74">
        <f>+GETPIVOTDATA("XBG4",'binhgia (2016)'!$A$3,"MA_HT","CLN","MA_QH","MNC")</f>
        <v>0</v>
      </c>
      <c r="BD12" s="35">
        <f>+GETPIVOTDATA("XBG4",'binhgia (2016)'!$A$3,"MA_HT","CLN","MA_QH","PNK")</f>
        <v>0</v>
      </c>
      <c r="BE12" s="58">
        <f>+GETPIVOTDATA("XBG4",'binhgia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+GETPIVOTDATA("XBG4",'binhgia (2016)'!$A$3,"MA_HT","RSX","MA_QH","LUC")</f>
        <v>0</v>
      </c>
      <c r="H13" s="35">
        <f>+GETPIVOTDATA("XBG4",'binhgia (2016)'!$A$3,"MA_HT","RSX","MA_QH","LUK")</f>
        <v>0</v>
      </c>
      <c r="I13" s="35">
        <f>+GETPIVOTDATA("XBG4",'binhgia (2016)'!$A$3,"MA_HT","RSX","MA_QH","LUN")</f>
        <v>0</v>
      </c>
      <c r="J13" s="35">
        <f>+GETPIVOTDATA("XBG4",'binhgia (2016)'!$A$3,"MA_HT","RSX","MA_QH","HNK")</f>
        <v>0</v>
      </c>
      <c r="K13" s="35">
        <f>+GETPIVOTDATA("XBG4",'binhgia (2016)'!$A$3,"MA_HT","RSX","MA_QH","CLN")</f>
        <v>0</v>
      </c>
      <c r="L13" s="99" t="e">
        <f>$D13-$BF13</f>
        <v>#REF!</v>
      </c>
      <c r="M13" s="35">
        <f>+GETPIVOTDATA("XBG4",'binhgia (2016)'!$A$3,"MA_HT","RSX","MA_QH","RPH")</f>
        <v>0</v>
      </c>
      <c r="N13" s="35">
        <f>+GETPIVOTDATA("XBG4",'binhgia (2016)'!$A$3,"MA_HT","RSX","MA_QH","RDD")</f>
        <v>0</v>
      </c>
      <c r="O13" s="35">
        <f>+GETPIVOTDATA("XBG4",'binhgia (2016)'!$A$3,"MA_HT","RSX","MA_QH","NTS")</f>
        <v>0</v>
      </c>
      <c r="P13" s="35">
        <f>+GETPIVOTDATA("XBG4",'binhgia (2016)'!$A$3,"MA_HT","RSX","MA_QH","LMU")</f>
        <v>0</v>
      </c>
      <c r="Q13" s="35">
        <f>+GETPIVOTDATA("XBG4",'binhgia (2016)'!$A$3,"MA_HT","RSX","MA_QH","NKH")</f>
        <v>0</v>
      </c>
      <c r="R13" s="63">
        <f t="shared" si="2"/>
        <v>0</v>
      </c>
      <c r="S13" s="35">
        <f>+GETPIVOTDATA("XBG4",'binhgia (2016)'!$A$3,"MA_HT","RSX","MA_QH","CQP")</f>
        <v>0</v>
      </c>
      <c r="T13" s="35">
        <f>+GETPIVOTDATA("XBG4",'binhgia (2016)'!$A$3,"MA_HT","RSX","MA_QH","CAN")</f>
        <v>0</v>
      </c>
      <c r="U13" s="35">
        <f>+GETPIVOTDATA("XBG4",'binhgia (2016)'!$A$3,"MA_HT","RSX","MA_QH","SKK")</f>
        <v>0</v>
      </c>
      <c r="V13" s="35">
        <f>+GETPIVOTDATA("XBG4",'binhgia (2016)'!$A$3,"MA_HT","RSX","MA_QH","SKT")</f>
        <v>0</v>
      </c>
      <c r="W13" s="35">
        <f>+GETPIVOTDATA("XBG4",'binhgia (2016)'!$A$3,"MA_HT","RSX","MA_QH","SKN")</f>
        <v>0</v>
      </c>
      <c r="X13" s="35">
        <f>+GETPIVOTDATA("XBG4",'binhgia (2016)'!$A$3,"MA_HT","RSX","MA_QH","TMD")</f>
        <v>0</v>
      </c>
      <c r="Y13" s="35">
        <f>+GETPIVOTDATA("XBG4",'binhgia (2016)'!$A$3,"MA_HT","RSX","MA_QH","SKC")</f>
        <v>0</v>
      </c>
      <c r="Z13" s="35">
        <f>+GETPIVOTDATA("XBG4",'binhgia (2016)'!$A$3,"MA_HT","RSX","MA_QH","SKS")</f>
        <v>0</v>
      </c>
      <c r="AA13" s="64">
        <f t="shared" si="4"/>
        <v>0</v>
      </c>
      <c r="AB13" s="35">
        <f>+GETPIVOTDATA("XBG4",'binhgia (2016)'!$A$3,"MA_HT","RSX","MA_QH","DGT")</f>
        <v>0</v>
      </c>
      <c r="AC13" s="35">
        <f>+GETPIVOTDATA("XBG4",'binhgia (2016)'!$A$3,"MA_HT","RSX","MA_QH","DTL")</f>
        <v>0</v>
      </c>
      <c r="AD13" s="35">
        <f>+GETPIVOTDATA("XBG4",'binhgia (2016)'!$A$3,"MA_HT","RSX","MA_QH","DNL")</f>
        <v>0</v>
      </c>
      <c r="AE13" s="35">
        <f>+GETPIVOTDATA("XBG4",'binhgia (2016)'!$A$3,"MA_HT","RSX","MA_QH","DBV")</f>
        <v>0</v>
      </c>
      <c r="AF13" s="35">
        <f>+GETPIVOTDATA("XBG4",'binhgia (2016)'!$A$3,"MA_HT","RSX","MA_QH","DVH")</f>
        <v>0</v>
      </c>
      <c r="AG13" s="35">
        <f>+GETPIVOTDATA("XBG4",'binhgia (2016)'!$A$3,"MA_HT","RSX","MA_QH","DYT")</f>
        <v>0</v>
      </c>
      <c r="AH13" s="35">
        <f>+GETPIVOTDATA("XBG4",'binhgia (2016)'!$A$3,"MA_HT","RSX","MA_QH","DGD")</f>
        <v>0</v>
      </c>
      <c r="AI13" s="35">
        <f>+GETPIVOTDATA("XBG4",'binhgia (2016)'!$A$3,"MA_HT","RSX","MA_QH","DTT")</f>
        <v>0</v>
      </c>
      <c r="AJ13" s="35">
        <f>+GETPIVOTDATA("XBG4",'binhgia (2016)'!$A$3,"MA_HT","RSX","MA_QH","NCK")</f>
        <v>0</v>
      </c>
      <c r="AK13" s="35">
        <f>+GETPIVOTDATA("XBG4",'binhgia (2016)'!$A$3,"MA_HT","RSX","MA_QH","DXH")</f>
        <v>0</v>
      </c>
      <c r="AL13" s="35">
        <f>+GETPIVOTDATA("XBG4",'binhgia (2016)'!$A$3,"MA_HT","RSX","MA_QH","DCH")</f>
        <v>0</v>
      </c>
      <c r="AM13" s="35">
        <f>+GETPIVOTDATA("XBG4",'binhgia (2016)'!$A$3,"MA_HT","RSX","MA_QH","DKG")</f>
        <v>0</v>
      </c>
      <c r="AN13" s="35">
        <f>+GETPIVOTDATA("XBG4",'binhgia (2016)'!$A$3,"MA_HT","RSX","MA_QH","DDT")</f>
        <v>0</v>
      </c>
      <c r="AO13" s="35">
        <f>+GETPIVOTDATA("XBG4",'binhgia (2016)'!$A$3,"MA_HT","RSX","MA_QH","DDL")</f>
        <v>0</v>
      </c>
      <c r="AP13" s="35">
        <f>+GETPIVOTDATA("XBG4",'binhgia (2016)'!$A$3,"MA_HT","RSX","MA_QH","DRA")</f>
        <v>0</v>
      </c>
      <c r="AQ13" s="35">
        <f>+GETPIVOTDATA("XBG4",'binhgia (2016)'!$A$3,"MA_HT","RSX","MA_QH","ONT")</f>
        <v>0</v>
      </c>
      <c r="AR13" s="35">
        <f>+GETPIVOTDATA("XBG4",'binhgia (2016)'!$A$3,"MA_HT","RSX","MA_QH","ODT")</f>
        <v>0</v>
      </c>
      <c r="AS13" s="35">
        <f>+GETPIVOTDATA("XBG4",'binhgia (2016)'!$A$3,"MA_HT","RSX","MA_QH","TSC")</f>
        <v>0</v>
      </c>
      <c r="AT13" s="35">
        <f>+GETPIVOTDATA("XBG4",'binhgia (2016)'!$A$3,"MA_HT","RSX","MA_QH","DTS")</f>
        <v>0</v>
      </c>
      <c r="AU13" s="35">
        <f>+GETPIVOTDATA("XBG4",'binhgia (2016)'!$A$3,"MA_HT","RSX","MA_QH","DNG")</f>
        <v>0</v>
      </c>
      <c r="AV13" s="35">
        <f>+GETPIVOTDATA("XBG4",'binhgia (2016)'!$A$3,"MA_HT","RSX","MA_QH","TON")</f>
        <v>0</v>
      </c>
      <c r="AW13" s="35">
        <f>+GETPIVOTDATA("XBG4",'binhgia (2016)'!$A$3,"MA_HT","RSX","MA_QH","NTD")</f>
        <v>0</v>
      </c>
      <c r="AX13" s="35">
        <f>+GETPIVOTDATA("XBG4",'binhgia (2016)'!$A$3,"MA_HT","RSX","MA_QH","SKX")</f>
        <v>0</v>
      </c>
      <c r="AY13" s="35">
        <f>+GETPIVOTDATA("XBG4",'binhgia (2016)'!$A$3,"MA_HT","RSX","MA_QH","DSH")</f>
        <v>0</v>
      </c>
      <c r="AZ13" s="35">
        <f>+GETPIVOTDATA("XBG4",'binhgia (2016)'!$A$3,"MA_HT","RSX","MA_QH","DKV")</f>
        <v>0</v>
      </c>
      <c r="BA13" s="140">
        <f>+GETPIVOTDATA("XBG4",'binhgia (2016)'!$A$3,"MA_HT","RSX","MA_QH","TIN")</f>
        <v>0</v>
      </c>
      <c r="BB13" s="74">
        <f>+GETPIVOTDATA("XBG4",'binhgia (2016)'!$A$3,"MA_HT","RSX","MA_QH","SON")</f>
        <v>0</v>
      </c>
      <c r="BC13" s="74">
        <f>+GETPIVOTDATA("XBG4",'binhgia (2016)'!$A$3,"MA_HT","RSX","MA_QH","MNC")</f>
        <v>0</v>
      </c>
      <c r="BD13" s="35">
        <f>+GETPIVOTDATA("XBG4",'binhgia (2016)'!$A$3,"MA_HT","RSX","MA_QH","PNK")</f>
        <v>0</v>
      </c>
      <c r="BE13" s="58">
        <f>+GETPIVOTDATA("XBG4",'binhgia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+GETPIVOTDATA("XBG4",'binhgia (2016)'!$A$3,"MA_HT","RPH","MA_QH","LUC")</f>
        <v>0</v>
      </c>
      <c r="H14" s="35">
        <f>+GETPIVOTDATA("XBG4",'binhgia (2016)'!$A$3,"MA_HT","RPH","MA_QH","LUK")</f>
        <v>0</v>
      </c>
      <c r="I14" s="35">
        <f>+GETPIVOTDATA("XBG4",'binhgia (2016)'!$A$3,"MA_HT","RPH","MA_QH","LUN")</f>
        <v>0</v>
      </c>
      <c r="J14" s="35">
        <f>+GETPIVOTDATA("XBG4",'binhgia (2016)'!$A$3,"MA_HT","RPH","MA_QH","HNK")</f>
        <v>0</v>
      </c>
      <c r="K14" s="35">
        <f>+GETPIVOTDATA("XBG4",'binhgia (2016)'!$A$3,"MA_HT","RPH","MA_QH","CLN")</f>
        <v>0</v>
      </c>
      <c r="L14" s="35">
        <f>+GETPIVOTDATA("XBG4",'binhgia (2016)'!$A$3,"MA_HT","RPH","MA_QH","RSX")</f>
        <v>0</v>
      </c>
      <c r="M14" s="99" t="e">
        <f>$D14-$BF14</f>
        <v>#REF!</v>
      </c>
      <c r="N14" s="35">
        <f>+GETPIVOTDATA("XBG4",'binhgia (2016)'!$A$3,"MA_HT","RPH","MA_QH","RDD")</f>
        <v>0</v>
      </c>
      <c r="O14" s="35">
        <f>+GETPIVOTDATA("XBG4",'binhgia (2016)'!$A$3,"MA_HT","RPH","MA_QH","NTS")</f>
        <v>0</v>
      </c>
      <c r="P14" s="35">
        <f>+GETPIVOTDATA("XBG4",'binhgia (2016)'!$A$3,"MA_HT","RPH","MA_QH","LMU")</f>
        <v>0</v>
      </c>
      <c r="Q14" s="35">
        <f>+GETPIVOTDATA("XBG4",'binhgia (2016)'!$A$3,"MA_HT","RPH","MA_QH","NKH")</f>
        <v>0</v>
      </c>
      <c r="R14" s="63">
        <f t="shared" si="2"/>
        <v>0</v>
      </c>
      <c r="S14" s="35">
        <f>+GETPIVOTDATA("XBG4",'binhgia (2016)'!$A$3,"MA_HT","RPH","MA_QH","CQP")</f>
        <v>0</v>
      </c>
      <c r="T14" s="35">
        <f>+GETPIVOTDATA("XBG4",'binhgia (2016)'!$A$3,"MA_HT","RPH","MA_QH","CAN")</f>
        <v>0</v>
      </c>
      <c r="U14" s="35">
        <f>+GETPIVOTDATA("XBG4",'binhgia (2016)'!$A$3,"MA_HT","RPH","MA_QH","SKK")</f>
        <v>0</v>
      </c>
      <c r="V14" s="35">
        <f>+GETPIVOTDATA("XBG4",'binhgia (2016)'!$A$3,"MA_HT","RPH","MA_QH","SKT")</f>
        <v>0</v>
      </c>
      <c r="W14" s="35">
        <f>+GETPIVOTDATA("XBG4",'binhgia (2016)'!$A$3,"MA_HT","RPH","MA_QH","SKN")</f>
        <v>0</v>
      </c>
      <c r="X14" s="35">
        <f>+GETPIVOTDATA("XBG4",'binhgia (2016)'!$A$3,"MA_HT","RPH","MA_QH","TMD")</f>
        <v>0</v>
      </c>
      <c r="Y14" s="35">
        <f>+GETPIVOTDATA("XBG4",'binhgia (2016)'!$A$3,"MA_HT","RPH","MA_QH","SKC")</f>
        <v>0</v>
      </c>
      <c r="Z14" s="35">
        <f>+GETPIVOTDATA("XBG4",'binhgia (2016)'!$A$3,"MA_HT","RPH","MA_QH","SKS")</f>
        <v>0</v>
      </c>
      <c r="AA14" s="64">
        <f t="shared" si="4"/>
        <v>0</v>
      </c>
      <c r="AB14" s="35">
        <f>+GETPIVOTDATA("XBG4",'binhgia (2016)'!$A$3,"MA_HT","RPH","MA_QH","DGT")</f>
        <v>0</v>
      </c>
      <c r="AC14" s="35">
        <f>+GETPIVOTDATA("XBG4",'binhgia (2016)'!$A$3,"MA_HT","RPH","MA_QH","DTL")</f>
        <v>0</v>
      </c>
      <c r="AD14" s="35">
        <f>+GETPIVOTDATA("XBG4",'binhgia (2016)'!$A$3,"MA_HT","RPH","MA_QH","DNL")</f>
        <v>0</v>
      </c>
      <c r="AE14" s="35">
        <f>+GETPIVOTDATA("XBG4",'binhgia (2016)'!$A$3,"MA_HT","RPH","MA_QH","DBV")</f>
        <v>0</v>
      </c>
      <c r="AF14" s="35">
        <f>+GETPIVOTDATA("XBG4",'binhgia (2016)'!$A$3,"MA_HT","RPH","MA_QH","DVH")</f>
        <v>0</v>
      </c>
      <c r="AG14" s="35">
        <f>+GETPIVOTDATA("XBG4",'binhgia (2016)'!$A$3,"MA_HT","RPH","MA_QH","DYT")</f>
        <v>0</v>
      </c>
      <c r="AH14" s="35">
        <f>+GETPIVOTDATA("XBG4",'binhgia (2016)'!$A$3,"MA_HT","RPH","MA_QH","DGD")</f>
        <v>0</v>
      </c>
      <c r="AI14" s="35">
        <f>+GETPIVOTDATA("XBG4",'binhgia (2016)'!$A$3,"MA_HT","RPH","MA_QH","DTT")</f>
        <v>0</v>
      </c>
      <c r="AJ14" s="35">
        <f>+GETPIVOTDATA("XBG4",'binhgia (2016)'!$A$3,"MA_HT","RPH","MA_QH","NCK")</f>
        <v>0</v>
      </c>
      <c r="AK14" s="35">
        <f>+GETPIVOTDATA("XBG4",'binhgia (2016)'!$A$3,"MA_HT","RPH","MA_QH","DXH")</f>
        <v>0</v>
      </c>
      <c r="AL14" s="35">
        <f>+GETPIVOTDATA("XBG4",'binhgia (2016)'!$A$3,"MA_HT","RPH","MA_QH","DCH")</f>
        <v>0</v>
      </c>
      <c r="AM14" s="35">
        <f>+GETPIVOTDATA("XBG4",'binhgia (2016)'!$A$3,"MA_HT","RPH","MA_QH","DKG")</f>
        <v>0</v>
      </c>
      <c r="AN14" s="35">
        <f>+GETPIVOTDATA("XBG4",'binhgia (2016)'!$A$3,"MA_HT","RPH","MA_QH","DDT")</f>
        <v>0</v>
      </c>
      <c r="AO14" s="35">
        <f>+GETPIVOTDATA("XBG4",'binhgia (2016)'!$A$3,"MA_HT","RPH","MA_QH","DDL")</f>
        <v>0</v>
      </c>
      <c r="AP14" s="35">
        <f>+GETPIVOTDATA("XBG4",'binhgia (2016)'!$A$3,"MA_HT","RPH","MA_QH","DRA")</f>
        <v>0</v>
      </c>
      <c r="AQ14" s="35">
        <f>+GETPIVOTDATA("XBG4",'binhgia (2016)'!$A$3,"MA_HT","RPH","MA_QH","ONT")</f>
        <v>0</v>
      </c>
      <c r="AR14" s="35">
        <f>+GETPIVOTDATA("XBG4",'binhgia (2016)'!$A$3,"MA_HT","RPH","MA_QH","ODT")</f>
        <v>0</v>
      </c>
      <c r="AS14" s="35">
        <f>+GETPIVOTDATA("XBG4",'binhgia (2016)'!$A$3,"MA_HT","RPH","MA_QH","TSC")</f>
        <v>0</v>
      </c>
      <c r="AT14" s="35">
        <f>+GETPIVOTDATA("XBG4",'binhgia (2016)'!$A$3,"MA_HT","RPH","MA_QH","DTS")</f>
        <v>0</v>
      </c>
      <c r="AU14" s="35">
        <f>+GETPIVOTDATA("XBG4",'binhgia (2016)'!$A$3,"MA_HT","RPH","MA_QH","DNG")</f>
        <v>0</v>
      </c>
      <c r="AV14" s="35">
        <f>+GETPIVOTDATA("XBG4",'binhgia (2016)'!$A$3,"MA_HT","RPH","MA_QH","TON")</f>
        <v>0</v>
      </c>
      <c r="AW14" s="35">
        <f>+GETPIVOTDATA("XBG4",'binhgia (2016)'!$A$3,"MA_HT","RPH","MA_QH","NTD")</f>
        <v>0</v>
      </c>
      <c r="AX14" s="35">
        <f>+GETPIVOTDATA("XBG4",'binhgia (2016)'!$A$3,"MA_HT","RPH","MA_QH","SKX")</f>
        <v>0</v>
      </c>
      <c r="AY14" s="35">
        <f>+GETPIVOTDATA("XBG4",'binhgia (2016)'!$A$3,"MA_HT","RPH","MA_QH","DSH")</f>
        <v>0</v>
      </c>
      <c r="AZ14" s="35">
        <f>+GETPIVOTDATA("XBG4",'binhgia (2016)'!$A$3,"MA_HT","RPH","MA_QH","DKV")</f>
        <v>0</v>
      </c>
      <c r="BA14" s="140">
        <f>+GETPIVOTDATA("XBG4",'binhgia (2016)'!$A$3,"MA_HT","RPH","MA_QH","TIN")</f>
        <v>0</v>
      </c>
      <c r="BB14" s="74">
        <f>+GETPIVOTDATA("XBG4",'binhgia (2016)'!$A$3,"MA_HT","RPH","MA_QH","SON")</f>
        <v>0</v>
      </c>
      <c r="BC14" s="74">
        <f>+GETPIVOTDATA("XBG4",'binhgia (2016)'!$A$3,"MA_HT","RPH","MA_QH","MNC")</f>
        <v>0</v>
      </c>
      <c r="BD14" s="35">
        <f>+GETPIVOTDATA("XBG4",'binhgia (2016)'!$A$3,"MA_HT","RPH","MA_QH","PNK")</f>
        <v>0</v>
      </c>
      <c r="BE14" s="58">
        <f>+GETPIVOTDATA("XBG4",'binhgia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+GETPIVOTDATA("XBG4",'binhgia (2016)'!$A$3,"MA_HT","RDD","MA_QH","LUC")</f>
        <v>0</v>
      </c>
      <c r="H15" s="35">
        <f>+GETPIVOTDATA("XBG4",'binhgia (2016)'!$A$3,"MA_HT","RDD","MA_QH","LUK")</f>
        <v>0</v>
      </c>
      <c r="I15" s="35">
        <f>+GETPIVOTDATA("XBG4",'binhgia (2016)'!$A$3,"MA_HT","RDD","MA_QH","LUN")</f>
        <v>0</v>
      </c>
      <c r="J15" s="35">
        <f>+GETPIVOTDATA("XBG4",'binhgia (2016)'!$A$3,"MA_HT","RDD","MA_QH","HNK")</f>
        <v>0</v>
      </c>
      <c r="K15" s="35">
        <f>+GETPIVOTDATA("XBG4",'binhgia (2016)'!$A$3,"MA_HT","RDD","MA_QH","CLN")</f>
        <v>0</v>
      </c>
      <c r="L15" s="35">
        <f>+GETPIVOTDATA("XBG4",'binhgia (2016)'!$A$3,"MA_HT","RDD","MA_QH","RSX")</f>
        <v>0</v>
      </c>
      <c r="M15" s="35">
        <f>+GETPIVOTDATA("XBG4",'binhgia (2016)'!$A$3,"MA_HT","RDD","MA_QH","RPH")</f>
        <v>0</v>
      </c>
      <c r="N15" s="99" t="e">
        <f>$D15-$BF15</f>
        <v>#REF!</v>
      </c>
      <c r="O15" s="35">
        <f>+GETPIVOTDATA("XBG4",'binhgia (2016)'!$A$3,"MA_HT","RDD","MA_QH","NTS")</f>
        <v>0</v>
      </c>
      <c r="P15" s="35">
        <f>+GETPIVOTDATA("XBG4",'binhgia (2016)'!$A$3,"MA_HT","RDD","MA_QH","LMU")</f>
        <v>0</v>
      </c>
      <c r="Q15" s="35">
        <f>+GETPIVOTDATA("XBG4",'binhgia (2016)'!$A$3,"MA_HT","RDD","MA_QH","NKH")</f>
        <v>0</v>
      </c>
      <c r="R15" s="63">
        <f t="shared" si="2"/>
        <v>0</v>
      </c>
      <c r="S15" s="35">
        <f>+GETPIVOTDATA("XBG4",'binhgia (2016)'!$A$3,"MA_HT","RDD","MA_QH","CQP")</f>
        <v>0</v>
      </c>
      <c r="T15" s="35">
        <f>+GETPIVOTDATA("XBG4",'binhgia (2016)'!$A$3,"MA_HT","RDD","MA_QH","CAN")</f>
        <v>0</v>
      </c>
      <c r="U15" s="35">
        <f>+GETPIVOTDATA("XBG4",'binhgia (2016)'!$A$3,"MA_HT","RDD","MA_QH","SKK")</f>
        <v>0</v>
      </c>
      <c r="V15" s="35">
        <f>+GETPIVOTDATA("XBG4",'binhgia (2016)'!$A$3,"MA_HT","RDD","MA_QH","SKT")</f>
        <v>0</v>
      </c>
      <c r="W15" s="35">
        <f>+GETPIVOTDATA("XBG4",'binhgia (2016)'!$A$3,"MA_HT","RDD","MA_QH","SKN")</f>
        <v>0</v>
      </c>
      <c r="X15" s="35">
        <f>+GETPIVOTDATA("XBG4",'binhgia (2016)'!$A$3,"MA_HT","RDD","MA_QH","TMD")</f>
        <v>0</v>
      </c>
      <c r="Y15" s="35">
        <f>+GETPIVOTDATA("XBG4",'binhgia (2016)'!$A$3,"MA_HT","RDD","MA_QH","SKC")</f>
        <v>0</v>
      </c>
      <c r="Z15" s="35">
        <f>+GETPIVOTDATA("XBG4",'binhgia (2016)'!$A$3,"MA_HT","RDD","MA_QH","SKS")</f>
        <v>0</v>
      </c>
      <c r="AA15" s="64">
        <f t="shared" si="4"/>
        <v>0</v>
      </c>
      <c r="AB15" s="35">
        <f>+GETPIVOTDATA("XBG4",'binhgia (2016)'!$A$3,"MA_HT","RDD","MA_QH","DGT")</f>
        <v>0</v>
      </c>
      <c r="AC15" s="35">
        <f>+GETPIVOTDATA("XBG4",'binhgia (2016)'!$A$3,"MA_HT","RDD","MA_QH","DTL")</f>
        <v>0</v>
      </c>
      <c r="AD15" s="35">
        <f>+GETPIVOTDATA("XBG4",'binhgia (2016)'!$A$3,"MA_HT","RDD","MA_QH","DNL")</f>
        <v>0</v>
      </c>
      <c r="AE15" s="35">
        <f>+GETPIVOTDATA("XBG4",'binhgia (2016)'!$A$3,"MA_HT","RDD","MA_QH","DBV")</f>
        <v>0</v>
      </c>
      <c r="AF15" s="35">
        <f>+GETPIVOTDATA("XBG4",'binhgia (2016)'!$A$3,"MA_HT","RDD","MA_QH","DVH")</f>
        <v>0</v>
      </c>
      <c r="AG15" s="35">
        <f>+GETPIVOTDATA("XBG4",'binhgia (2016)'!$A$3,"MA_HT","RDD","MA_QH","DYT")</f>
        <v>0</v>
      </c>
      <c r="AH15" s="35">
        <f>+GETPIVOTDATA("XBG4",'binhgia (2016)'!$A$3,"MA_HT","RDD","MA_QH","DGD")</f>
        <v>0</v>
      </c>
      <c r="AI15" s="35">
        <f>+GETPIVOTDATA("XBG4",'binhgia (2016)'!$A$3,"MA_HT","RDD","MA_QH","DTT")</f>
        <v>0</v>
      </c>
      <c r="AJ15" s="35">
        <f>+GETPIVOTDATA("XBG4",'binhgia (2016)'!$A$3,"MA_HT","RDD","MA_QH","NCK")</f>
        <v>0</v>
      </c>
      <c r="AK15" s="35">
        <f>+GETPIVOTDATA("XBG4",'binhgia (2016)'!$A$3,"MA_HT","RDD","MA_QH","DXH")</f>
        <v>0</v>
      </c>
      <c r="AL15" s="35">
        <f>+GETPIVOTDATA("XBG4",'binhgia (2016)'!$A$3,"MA_HT","RDD","MA_QH","DCH")</f>
        <v>0</v>
      </c>
      <c r="AM15" s="35">
        <f>+GETPIVOTDATA("XBG4",'binhgia (2016)'!$A$3,"MA_HT","RDD","MA_QH","DKG")</f>
        <v>0</v>
      </c>
      <c r="AN15" s="35">
        <f>+GETPIVOTDATA("XBG4",'binhgia (2016)'!$A$3,"MA_HT","RDD","MA_QH","DDT")</f>
        <v>0</v>
      </c>
      <c r="AO15" s="35">
        <f>+GETPIVOTDATA("XBG4",'binhgia (2016)'!$A$3,"MA_HT","RDD","MA_QH","DDL")</f>
        <v>0</v>
      </c>
      <c r="AP15" s="35">
        <f>+GETPIVOTDATA("XBG4",'binhgia (2016)'!$A$3,"MA_HT","RDD","MA_QH","DRA")</f>
        <v>0</v>
      </c>
      <c r="AQ15" s="35">
        <f>+GETPIVOTDATA("XBG4",'binhgia (2016)'!$A$3,"MA_HT","RDD","MA_QH","ONT")</f>
        <v>0</v>
      </c>
      <c r="AR15" s="35">
        <f>+GETPIVOTDATA("XBG4",'binhgia (2016)'!$A$3,"MA_HT","RDD","MA_QH","ODT")</f>
        <v>0</v>
      </c>
      <c r="AS15" s="35">
        <f>+GETPIVOTDATA("XBG4",'binhgia (2016)'!$A$3,"MA_HT","RDD","MA_QH","TSC")</f>
        <v>0</v>
      </c>
      <c r="AT15" s="35">
        <f>+GETPIVOTDATA("XBG4",'binhgia (2016)'!$A$3,"MA_HT","RDD","MA_QH","DTS")</f>
        <v>0</v>
      </c>
      <c r="AU15" s="35">
        <f>+GETPIVOTDATA("XBG4",'binhgia (2016)'!$A$3,"MA_HT","RDD","MA_QH","DNG")</f>
        <v>0</v>
      </c>
      <c r="AV15" s="35">
        <f>+GETPIVOTDATA("XBG4",'binhgia (2016)'!$A$3,"MA_HT","RDD","MA_QH","TON")</f>
        <v>0</v>
      </c>
      <c r="AW15" s="35">
        <f>+GETPIVOTDATA("XBG4",'binhgia (2016)'!$A$3,"MA_HT","RDD","MA_QH","NTD")</f>
        <v>0</v>
      </c>
      <c r="AX15" s="35">
        <f>+GETPIVOTDATA("XBG4",'binhgia (2016)'!$A$3,"MA_HT","RDD","MA_QH","SKX")</f>
        <v>0</v>
      </c>
      <c r="AY15" s="35">
        <f>+GETPIVOTDATA("XBG4",'binhgia (2016)'!$A$3,"MA_HT","RDD","MA_QH","DSH")</f>
        <v>0</v>
      </c>
      <c r="AZ15" s="35">
        <f>+GETPIVOTDATA("XBG4",'binhgia (2016)'!$A$3,"MA_HT","RDD","MA_QH","DKV")</f>
        <v>0</v>
      </c>
      <c r="BA15" s="140">
        <f>+GETPIVOTDATA("XBG4",'binhgia (2016)'!$A$3,"MA_HT","RDD","MA_QH","TIN")</f>
        <v>0</v>
      </c>
      <c r="BB15" s="74">
        <f>+GETPIVOTDATA("XBG4",'binhgia (2016)'!$A$3,"MA_HT","RDD","MA_QH","SON")</f>
        <v>0</v>
      </c>
      <c r="BC15" s="74">
        <f>+GETPIVOTDATA("XBG4",'binhgia (2016)'!$A$3,"MA_HT","RDD","MA_QH","MNC")</f>
        <v>0</v>
      </c>
      <c r="BD15" s="35">
        <f>+GETPIVOTDATA("XBG4",'binhgia (2016)'!$A$3,"MA_HT","RDD","MA_QH","PNK")</f>
        <v>0</v>
      </c>
      <c r="BE15" s="58">
        <f>+GETPIVOTDATA("XBG4",'binhgia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+GETPIVOTDATA("XBG4",'binhgia (2016)'!$A$3,"MA_HT","NTS","MA_QH","LUC")</f>
        <v>0</v>
      </c>
      <c r="H16" s="35">
        <f>+GETPIVOTDATA("XBG4",'binhgia (2016)'!$A$3,"MA_HT","NTS","MA_QH","LUK")</f>
        <v>0</v>
      </c>
      <c r="I16" s="35">
        <f>+GETPIVOTDATA("XBG4",'binhgia (2016)'!$A$3,"MA_HT","NTS","MA_QH","LUN")</f>
        <v>0</v>
      </c>
      <c r="J16" s="35">
        <f>+GETPIVOTDATA("XBG4",'binhgia (2016)'!$A$3,"MA_HT","NTS","MA_QH","HNK")</f>
        <v>0</v>
      </c>
      <c r="K16" s="35">
        <f>+GETPIVOTDATA("XBG4",'binhgia (2016)'!$A$3,"MA_HT","NTS","MA_QH","CLN")</f>
        <v>0</v>
      </c>
      <c r="L16" s="35">
        <f>+GETPIVOTDATA("XBG4",'binhgia (2016)'!$A$3,"MA_HT","NTS","MA_QH","RSX")</f>
        <v>0</v>
      </c>
      <c r="M16" s="35">
        <f>+GETPIVOTDATA("XBG4",'binhgia (2016)'!$A$3,"MA_HT","NTS","MA_QH","RPH")</f>
        <v>0</v>
      </c>
      <c r="N16" s="35">
        <f>+GETPIVOTDATA("XBG4",'binhgia (2016)'!$A$3,"MA_HT","NTS","MA_QH","RDD")</f>
        <v>0</v>
      </c>
      <c r="O16" s="99" t="e">
        <f>$D16-$BF16</f>
        <v>#REF!</v>
      </c>
      <c r="P16" s="35">
        <f>+GETPIVOTDATA("XBG4",'binhgia (2016)'!$A$3,"MA_HT","NTS","MA_QH","LMU")</f>
        <v>0</v>
      </c>
      <c r="Q16" s="35">
        <f>+GETPIVOTDATA("XBG4",'binhgia (2016)'!$A$3,"MA_HT","NTS","MA_QH","NKH")</f>
        <v>0</v>
      </c>
      <c r="R16" s="63">
        <f t="shared" si="2"/>
        <v>0</v>
      </c>
      <c r="S16" s="35">
        <f>+GETPIVOTDATA("XBG4",'binhgia (2016)'!$A$3,"MA_HT","NTS","MA_QH","CQP")</f>
        <v>0</v>
      </c>
      <c r="T16" s="35">
        <f>+GETPIVOTDATA("XBG4",'binhgia (2016)'!$A$3,"MA_HT","NTS","MA_QH","CAN")</f>
        <v>0</v>
      </c>
      <c r="U16" s="35">
        <f>+GETPIVOTDATA("XBG4",'binhgia (2016)'!$A$3,"MA_HT","NTS","MA_QH","SKK")</f>
        <v>0</v>
      </c>
      <c r="V16" s="35">
        <f>+GETPIVOTDATA("XBG4",'binhgia (2016)'!$A$3,"MA_HT","NTS","MA_QH","SKT")</f>
        <v>0</v>
      </c>
      <c r="W16" s="35">
        <f>+GETPIVOTDATA("XBG4",'binhgia (2016)'!$A$3,"MA_HT","NTS","MA_QH","SKN")</f>
        <v>0</v>
      </c>
      <c r="X16" s="35">
        <f>+GETPIVOTDATA("XBG4",'binhgia (2016)'!$A$3,"MA_HT","NTS","MA_QH","TMD")</f>
        <v>0</v>
      </c>
      <c r="Y16" s="35">
        <f>+GETPIVOTDATA("XBG4",'binhgia (2016)'!$A$3,"MA_HT","NTS","MA_QH","SKC")</f>
        <v>0</v>
      </c>
      <c r="Z16" s="35">
        <f>+GETPIVOTDATA("XBG4",'binhgia (2016)'!$A$3,"MA_HT","NTS","MA_QH","SKS")</f>
        <v>0</v>
      </c>
      <c r="AA16" s="64">
        <f t="shared" si="4"/>
        <v>0</v>
      </c>
      <c r="AB16" s="35">
        <f>+GETPIVOTDATA("XBG4",'binhgia (2016)'!$A$3,"MA_HT","NTS","MA_QH","DGT")</f>
        <v>0</v>
      </c>
      <c r="AC16" s="35">
        <f>+GETPIVOTDATA("XBG4",'binhgia (2016)'!$A$3,"MA_HT","NTS","MA_QH","DTL")</f>
        <v>0</v>
      </c>
      <c r="AD16" s="35">
        <f>+GETPIVOTDATA("XBG4",'binhgia (2016)'!$A$3,"MA_HT","NTS","MA_QH","DNL")</f>
        <v>0</v>
      </c>
      <c r="AE16" s="35">
        <f>+GETPIVOTDATA("XBG4",'binhgia (2016)'!$A$3,"MA_HT","NTS","MA_QH","DBV")</f>
        <v>0</v>
      </c>
      <c r="AF16" s="35">
        <f>+GETPIVOTDATA("XBG4",'binhgia (2016)'!$A$3,"MA_HT","NTS","MA_QH","DVH")</f>
        <v>0</v>
      </c>
      <c r="AG16" s="35">
        <f>+GETPIVOTDATA("XBG4",'binhgia (2016)'!$A$3,"MA_HT","NTS","MA_QH","DYT")</f>
        <v>0</v>
      </c>
      <c r="AH16" s="35">
        <f>+GETPIVOTDATA("XBG4",'binhgia (2016)'!$A$3,"MA_HT","NTS","MA_QH","DGD")</f>
        <v>0</v>
      </c>
      <c r="AI16" s="35">
        <f>+GETPIVOTDATA("XBG4",'binhgia (2016)'!$A$3,"MA_HT","NTS","MA_QH","DTT")</f>
        <v>0</v>
      </c>
      <c r="AJ16" s="35">
        <f>+GETPIVOTDATA("XBG4",'binhgia (2016)'!$A$3,"MA_HT","NTS","MA_QH","NCK")</f>
        <v>0</v>
      </c>
      <c r="AK16" s="35">
        <f>+GETPIVOTDATA("XBG4",'binhgia (2016)'!$A$3,"MA_HT","NTS","MA_QH","DXH")</f>
        <v>0</v>
      </c>
      <c r="AL16" s="35">
        <f>+GETPIVOTDATA("XBG4",'binhgia (2016)'!$A$3,"MA_HT","NTS","MA_QH","DCH")</f>
        <v>0</v>
      </c>
      <c r="AM16" s="35">
        <f>+GETPIVOTDATA("XBG4",'binhgia (2016)'!$A$3,"MA_HT","NTS","MA_QH","DKG")</f>
        <v>0</v>
      </c>
      <c r="AN16" s="35">
        <f>+GETPIVOTDATA("XBG4",'binhgia (2016)'!$A$3,"MA_HT","NTS","MA_QH","DDT")</f>
        <v>0</v>
      </c>
      <c r="AO16" s="35">
        <f>+GETPIVOTDATA("XBG4",'binhgia (2016)'!$A$3,"MA_HT","NTS","MA_QH","DDL")</f>
        <v>0</v>
      </c>
      <c r="AP16" s="35">
        <f>+GETPIVOTDATA("XBG4",'binhgia (2016)'!$A$3,"MA_HT","NTS","MA_QH","DRA")</f>
        <v>0</v>
      </c>
      <c r="AQ16" s="35">
        <f>+GETPIVOTDATA("XBG4",'binhgia (2016)'!$A$3,"MA_HT","NTS","MA_QH","ONT")</f>
        <v>0</v>
      </c>
      <c r="AR16" s="35">
        <f>+GETPIVOTDATA("XBG4",'binhgia (2016)'!$A$3,"MA_HT","NTS","MA_QH","ODT")</f>
        <v>0</v>
      </c>
      <c r="AS16" s="35">
        <f>+GETPIVOTDATA("XBG4",'binhgia (2016)'!$A$3,"MA_HT","NTS","MA_QH","TSC")</f>
        <v>0</v>
      </c>
      <c r="AT16" s="35">
        <f>+GETPIVOTDATA("XBG4",'binhgia (2016)'!$A$3,"MA_HT","NTS","MA_QH","DTS")</f>
        <v>0</v>
      </c>
      <c r="AU16" s="35">
        <f>+GETPIVOTDATA("XBG4",'binhgia (2016)'!$A$3,"MA_HT","NTS","MA_QH","DNG")</f>
        <v>0</v>
      </c>
      <c r="AV16" s="35">
        <f>+GETPIVOTDATA("XBG4",'binhgia (2016)'!$A$3,"MA_HT","NTS","MA_QH","TON")</f>
        <v>0</v>
      </c>
      <c r="AW16" s="35">
        <f>+GETPIVOTDATA("XBG4",'binhgia (2016)'!$A$3,"MA_HT","NTS","MA_QH","NTD")</f>
        <v>0</v>
      </c>
      <c r="AX16" s="35">
        <f>+GETPIVOTDATA("XBG4",'binhgia (2016)'!$A$3,"MA_HT","NTS","MA_QH","SKX")</f>
        <v>0</v>
      </c>
      <c r="AY16" s="35">
        <f>+GETPIVOTDATA("XBG4",'binhgia (2016)'!$A$3,"MA_HT","NTS","MA_QH","DSH")</f>
        <v>0</v>
      </c>
      <c r="AZ16" s="35">
        <f>+GETPIVOTDATA("XBG4",'binhgia (2016)'!$A$3,"MA_HT","NTS","MA_QH","DKV")</f>
        <v>0</v>
      </c>
      <c r="BA16" s="140">
        <f>+GETPIVOTDATA("XBG4",'binhgia (2016)'!$A$3,"MA_HT","NTS","MA_QH","TIN")</f>
        <v>0</v>
      </c>
      <c r="BB16" s="74">
        <f>+GETPIVOTDATA("XBG4",'binhgia (2016)'!$A$3,"MA_HT","NTS","MA_QH","SON")</f>
        <v>0</v>
      </c>
      <c r="BC16" s="74">
        <f>+GETPIVOTDATA("XBG4",'binhgia (2016)'!$A$3,"MA_HT","NTS","MA_QH","MNC")</f>
        <v>0</v>
      </c>
      <c r="BD16" s="35">
        <f>+GETPIVOTDATA("XBG4",'binhgia (2016)'!$A$3,"MA_HT","NTS","MA_QH","PNK")</f>
        <v>0</v>
      </c>
      <c r="BE16" s="58">
        <f>+GETPIVOTDATA("XBG4",'binhgia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+GETPIVOTDATA("XBG4",'binhgia (2016)'!$A$3,"MA_HT","LMU","MA_QH","LUC")</f>
        <v>0</v>
      </c>
      <c r="H17" s="35">
        <f>+GETPIVOTDATA("XBG4",'binhgia (2016)'!$A$3,"MA_HT","LMU","MA_QH","LUK")</f>
        <v>0</v>
      </c>
      <c r="I17" s="35">
        <f>+GETPIVOTDATA("XBG4",'binhgia (2016)'!$A$3,"MA_HT","LMU","MA_QH","LUN")</f>
        <v>0</v>
      </c>
      <c r="J17" s="35">
        <f>+GETPIVOTDATA("XBG4",'binhgia (2016)'!$A$3,"MA_HT","LMU","MA_QH","HNK")</f>
        <v>0</v>
      </c>
      <c r="K17" s="35">
        <f>+GETPIVOTDATA("XBG4",'binhgia (2016)'!$A$3,"MA_HT","LMU","MA_QH","CLN")</f>
        <v>0</v>
      </c>
      <c r="L17" s="35">
        <f>+GETPIVOTDATA("XBG4",'binhgia (2016)'!$A$3,"MA_HT","LMU","MA_QH","RSX")</f>
        <v>0</v>
      </c>
      <c r="M17" s="35">
        <f>+GETPIVOTDATA("XBG4",'binhgia (2016)'!$A$3,"MA_HT","LMU","MA_QH","RPH")</f>
        <v>0</v>
      </c>
      <c r="N17" s="35">
        <f>+GETPIVOTDATA("XBG4",'binhgia (2016)'!$A$3,"MA_HT","LMU","MA_QH","RDD")</f>
        <v>0</v>
      </c>
      <c r="O17" s="35">
        <f>+GETPIVOTDATA("XBG4",'binhgia (2016)'!$A$3,"MA_HT","LMU","MA_QH","NTS")</f>
        <v>0</v>
      </c>
      <c r="P17" s="99" t="e">
        <f>$D17-$BF17</f>
        <v>#REF!</v>
      </c>
      <c r="Q17" s="35">
        <f>+GETPIVOTDATA("XBG4",'binhgia (2016)'!$A$3,"MA_HT","LMU","MA_QH","NKH")</f>
        <v>0</v>
      </c>
      <c r="R17" s="63">
        <f t="shared" si="2"/>
        <v>0</v>
      </c>
      <c r="S17" s="35">
        <f>+GETPIVOTDATA("XBG4",'binhgia (2016)'!$A$3,"MA_HT","LMU","MA_QH","CQP")</f>
        <v>0</v>
      </c>
      <c r="T17" s="35">
        <f>+GETPIVOTDATA("XBG4",'binhgia (2016)'!$A$3,"MA_HT","LMU","MA_QH","CAN")</f>
        <v>0</v>
      </c>
      <c r="U17" s="35">
        <f>+GETPIVOTDATA("XBG4",'binhgia (2016)'!$A$3,"MA_HT","LMU","MA_QH","SKK")</f>
        <v>0</v>
      </c>
      <c r="V17" s="35">
        <f>+GETPIVOTDATA("XBG4",'binhgia (2016)'!$A$3,"MA_HT","LMU","MA_QH","SKT")</f>
        <v>0</v>
      </c>
      <c r="W17" s="35">
        <f>+GETPIVOTDATA("XBG4",'binhgia (2016)'!$A$3,"MA_HT","LMU","MA_QH","SKN")</f>
        <v>0</v>
      </c>
      <c r="X17" s="35">
        <f>+GETPIVOTDATA("XBG4",'binhgia (2016)'!$A$3,"MA_HT","LMU","MA_QH","TMD")</f>
        <v>0</v>
      </c>
      <c r="Y17" s="35">
        <f>+GETPIVOTDATA("XBG4",'binhgia (2016)'!$A$3,"MA_HT","LMU","MA_QH","SKC")</f>
        <v>0</v>
      </c>
      <c r="Z17" s="35">
        <f>+GETPIVOTDATA("XBG4",'binhgia (2016)'!$A$3,"MA_HT","LMU","MA_QH","SKS")</f>
        <v>0</v>
      </c>
      <c r="AA17" s="64">
        <f t="shared" si="4"/>
        <v>0</v>
      </c>
      <c r="AB17" s="35">
        <f>+GETPIVOTDATA("XBG4",'binhgia (2016)'!$A$3,"MA_HT","LMU","MA_QH","DGT")</f>
        <v>0</v>
      </c>
      <c r="AC17" s="35">
        <f>+GETPIVOTDATA("XBG4",'binhgia (2016)'!$A$3,"MA_HT","LMU","MA_QH","DTL")</f>
        <v>0</v>
      </c>
      <c r="AD17" s="35">
        <f>+GETPIVOTDATA("XBG4",'binhgia (2016)'!$A$3,"MA_HT","LMU","MA_QH","DNL")</f>
        <v>0</v>
      </c>
      <c r="AE17" s="35">
        <f>+GETPIVOTDATA("XBG4",'binhgia (2016)'!$A$3,"MA_HT","LMU","MA_QH","DBV")</f>
        <v>0</v>
      </c>
      <c r="AF17" s="35">
        <f>+GETPIVOTDATA("XBG4",'binhgia (2016)'!$A$3,"MA_HT","LMU","MA_QH","DVH")</f>
        <v>0</v>
      </c>
      <c r="AG17" s="35">
        <f>+GETPIVOTDATA("XBG4",'binhgia (2016)'!$A$3,"MA_HT","LMU","MA_QH","DYT")</f>
        <v>0</v>
      </c>
      <c r="AH17" s="35">
        <f>+GETPIVOTDATA("XBG4",'binhgia (2016)'!$A$3,"MA_HT","LMU","MA_QH","DGD")</f>
        <v>0</v>
      </c>
      <c r="AI17" s="35">
        <f>+GETPIVOTDATA("XBG4",'binhgia (2016)'!$A$3,"MA_HT","LMU","MA_QH","DTT")</f>
        <v>0</v>
      </c>
      <c r="AJ17" s="35">
        <f>+GETPIVOTDATA("XBG4",'binhgia (2016)'!$A$3,"MA_HT","LMU","MA_QH","NCK")</f>
        <v>0</v>
      </c>
      <c r="AK17" s="35">
        <f>+GETPIVOTDATA("XBG4",'binhgia (2016)'!$A$3,"MA_HT","LMU","MA_QH","DXH")</f>
        <v>0</v>
      </c>
      <c r="AL17" s="35">
        <f>+GETPIVOTDATA("XBG4",'binhgia (2016)'!$A$3,"MA_HT","LMU","MA_QH","DCH")</f>
        <v>0</v>
      </c>
      <c r="AM17" s="35">
        <f>+GETPIVOTDATA("XBG4",'binhgia (2016)'!$A$3,"MA_HT","LMU","MA_QH","DKG")</f>
        <v>0</v>
      </c>
      <c r="AN17" s="35">
        <f>+GETPIVOTDATA("XBG4",'binhgia (2016)'!$A$3,"MA_HT","LMU","MA_QH","DDT")</f>
        <v>0</v>
      </c>
      <c r="AO17" s="35">
        <f>+GETPIVOTDATA("XBG4",'binhgia (2016)'!$A$3,"MA_HT","LMU","MA_QH","DDL")</f>
        <v>0</v>
      </c>
      <c r="AP17" s="35">
        <f>+GETPIVOTDATA("XBG4",'binhgia (2016)'!$A$3,"MA_HT","LMU","MA_QH","DRA")</f>
        <v>0</v>
      </c>
      <c r="AQ17" s="35">
        <f>+GETPIVOTDATA("XBG4",'binhgia (2016)'!$A$3,"MA_HT","LMU","MA_QH","ONT")</f>
        <v>0</v>
      </c>
      <c r="AR17" s="35">
        <f>+GETPIVOTDATA("XBG4",'binhgia (2016)'!$A$3,"MA_HT","LMU","MA_QH","ODT")</f>
        <v>0</v>
      </c>
      <c r="AS17" s="35">
        <f>+GETPIVOTDATA("XBG4",'binhgia (2016)'!$A$3,"MA_HT","LMU","MA_QH","TSC")</f>
        <v>0</v>
      </c>
      <c r="AT17" s="35">
        <f>+GETPIVOTDATA("XBG4",'binhgia (2016)'!$A$3,"MA_HT","LMU","MA_QH","DTS")</f>
        <v>0</v>
      </c>
      <c r="AU17" s="35">
        <f>+GETPIVOTDATA("XBG4",'binhgia (2016)'!$A$3,"MA_HT","LMU","MA_QH","DNG")</f>
        <v>0</v>
      </c>
      <c r="AV17" s="35">
        <f>+GETPIVOTDATA("XBG4",'binhgia (2016)'!$A$3,"MA_HT","LMU","MA_QH","TON")</f>
        <v>0</v>
      </c>
      <c r="AW17" s="35">
        <f>+GETPIVOTDATA("XBG4",'binhgia (2016)'!$A$3,"MA_HT","LMU","MA_QH","NTD")</f>
        <v>0</v>
      </c>
      <c r="AX17" s="35">
        <f>+GETPIVOTDATA("XBG4",'binhgia (2016)'!$A$3,"MA_HT","LMU","MA_QH","SKX")</f>
        <v>0</v>
      </c>
      <c r="AY17" s="35">
        <f>+GETPIVOTDATA("XBG4",'binhgia (2016)'!$A$3,"MA_HT","LMU","MA_QH","DSH")</f>
        <v>0</v>
      </c>
      <c r="AZ17" s="35">
        <f>+GETPIVOTDATA("XBG4",'binhgia (2016)'!$A$3,"MA_HT","LMU","MA_QH","DKV")</f>
        <v>0</v>
      </c>
      <c r="BA17" s="140">
        <f>+GETPIVOTDATA("XBG4",'binhgia (2016)'!$A$3,"MA_HT","LMU","MA_QH","TIN")</f>
        <v>0</v>
      </c>
      <c r="BB17" s="74">
        <f>+GETPIVOTDATA("XBG4",'binhgia (2016)'!$A$3,"MA_HT","LMU","MA_QH","SON")</f>
        <v>0</v>
      </c>
      <c r="BC17" s="74">
        <f>+GETPIVOTDATA("XBG4",'binhgia (2016)'!$A$3,"MA_HT","LMU","MA_QH","MNC")</f>
        <v>0</v>
      </c>
      <c r="BD17" s="35">
        <f>+GETPIVOTDATA("XBG4",'binhgia (2016)'!$A$3,"MA_HT","LMU","MA_QH","PNK")</f>
        <v>0</v>
      </c>
      <c r="BE17" s="58">
        <f>+GETPIVOTDATA("XBG4",'binhgia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+GETPIVOTDATA("XBG4",'binhgia (2016)'!$A$3,"MA_HT","NKH","MA_QH","LUC")</f>
        <v>0</v>
      </c>
      <c r="H18" s="35">
        <f>+GETPIVOTDATA("XBG4",'binhgia (2016)'!$A$3,"MA_HT","NKH","MA_QH","LUK")</f>
        <v>0</v>
      </c>
      <c r="I18" s="35">
        <f>+GETPIVOTDATA("XBG4",'binhgia (2016)'!$A$3,"MA_HT","NKH","MA_QH","LUN")</f>
        <v>0</v>
      </c>
      <c r="J18" s="35">
        <f>+GETPIVOTDATA("XBG4",'binhgia (2016)'!$A$3,"MA_HT","NKH","MA_QH","HNK")</f>
        <v>0</v>
      </c>
      <c r="K18" s="35">
        <f>+GETPIVOTDATA("XBG4",'binhgia (2016)'!$A$3,"MA_HT","NKH","MA_QH","CLN")</f>
        <v>0</v>
      </c>
      <c r="L18" s="35">
        <f>+GETPIVOTDATA("XBG4",'binhgia (2016)'!$A$3,"MA_HT","NKH","MA_QH","RSX")</f>
        <v>0</v>
      </c>
      <c r="M18" s="35">
        <f>+GETPIVOTDATA("XBG4",'binhgia (2016)'!$A$3,"MA_HT","NKH","MA_QH","RPH")</f>
        <v>0</v>
      </c>
      <c r="N18" s="35">
        <f>+GETPIVOTDATA("XBG4",'binhgia (2016)'!$A$3,"MA_HT","NKH","MA_QH","RDD")</f>
        <v>0</v>
      </c>
      <c r="O18" s="35">
        <f>+GETPIVOTDATA("XBG4",'binhgia (2016)'!$A$3,"MA_HT","NKH","MA_QH","NTS")</f>
        <v>0</v>
      </c>
      <c r="P18" s="35">
        <f>+GETPIVOTDATA("XBG4",'binhgia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+GETPIVOTDATA("XBG4",'binhgia (2016)'!$A$3,"MA_HT","NKH","MA_QH","CQP")</f>
        <v>0</v>
      </c>
      <c r="T18" s="35">
        <f>+GETPIVOTDATA("XBG4",'binhgia (2016)'!$A$3,"MA_HT","NKH","MA_QH","CAN")</f>
        <v>0</v>
      </c>
      <c r="U18" s="35">
        <f>+GETPIVOTDATA("XBG4",'binhgia (2016)'!$A$3,"MA_HT","NKH","MA_QH","SKK")</f>
        <v>0</v>
      </c>
      <c r="V18" s="35">
        <f>+GETPIVOTDATA("XBG4",'binhgia (2016)'!$A$3,"MA_HT","NKH","MA_QH","SKT")</f>
        <v>0</v>
      </c>
      <c r="W18" s="35">
        <f>+GETPIVOTDATA("XBG4",'binhgia (2016)'!$A$3,"MA_HT","NKH","MA_QH","SKN")</f>
        <v>0</v>
      </c>
      <c r="X18" s="35">
        <f>+GETPIVOTDATA("XBG4",'binhgia (2016)'!$A$3,"MA_HT","NKH","MA_QH","TMD")</f>
        <v>0</v>
      </c>
      <c r="Y18" s="35">
        <f>+GETPIVOTDATA("XBG4",'binhgia (2016)'!$A$3,"MA_HT","NKH","MA_QH","SKC")</f>
        <v>0</v>
      </c>
      <c r="Z18" s="35">
        <f>+GETPIVOTDATA("XBG4",'binhgia (2016)'!$A$3,"MA_HT","NKH","MA_QH","SKS")</f>
        <v>0</v>
      </c>
      <c r="AA18" s="64">
        <f t="shared" si="4"/>
        <v>0</v>
      </c>
      <c r="AB18" s="35">
        <f>+GETPIVOTDATA("XBG4",'binhgia (2016)'!$A$3,"MA_HT","NKH","MA_QH","DGT")</f>
        <v>0</v>
      </c>
      <c r="AC18" s="35">
        <f>+GETPIVOTDATA("XBG4",'binhgia (2016)'!$A$3,"MA_HT","NKH","MA_QH","DTL")</f>
        <v>0</v>
      </c>
      <c r="AD18" s="35">
        <f>+GETPIVOTDATA("XBG4",'binhgia (2016)'!$A$3,"MA_HT","NKH","MA_QH","DNL")</f>
        <v>0</v>
      </c>
      <c r="AE18" s="35">
        <f>+GETPIVOTDATA("XBG4",'binhgia (2016)'!$A$3,"MA_HT","NKH","MA_QH","DBV")</f>
        <v>0</v>
      </c>
      <c r="AF18" s="35">
        <f>+GETPIVOTDATA("XBG4",'binhgia (2016)'!$A$3,"MA_HT","NKH","MA_QH","DVH")</f>
        <v>0</v>
      </c>
      <c r="AG18" s="35">
        <f>+GETPIVOTDATA("XBG4",'binhgia (2016)'!$A$3,"MA_HT","NKH","MA_QH","DYT")</f>
        <v>0</v>
      </c>
      <c r="AH18" s="35">
        <f>+GETPIVOTDATA("XBG4",'binhgia (2016)'!$A$3,"MA_HT","NKH","MA_QH","DGD")</f>
        <v>0</v>
      </c>
      <c r="AI18" s="35">
        <f>+GETPIVOTDATA("XBG4",'binhgia (2016)'!$A$3,"MA_HT","NKH","MA_QH","DTT")</f>
        <v>0</v>
      </c>
      <c r="AJ18" s="35">
        <f>+GETPIVOTDATA("XBG4",'binhgia (2016)'!$A$3,"MA_HT","NKH","MA_QH","NCK")</f>
        <v>0</v>
      </c>
      <c r="AK18" s="35">
        <f>+GETPIVOTDATA("XBG4",'binhgia (2016)'!$A$3,"MA_HT","NKH","MA_QH","DXH")</f>
        <v>0</v>
      </c>
      <c r="AL18" s="35">
        <f>+GETPIVOTDATA("XBG4",'binhgia (2016)'!$A$3,"MA_HT","NKH","MA_QH","DCH")</f>
        <v>0</v>
      </c>
      <c r="AM18" s="35">
        <f>+GETPIVOTDATA("XBG4",'binhgia (2016)'!$A$3,"MA_HT","NKH","MA_QH","DKG")</f>
        <v>0</v>
      </c>
      <c r="AN18" s="35">
        <f>+GETPIVOTDATA("XBG4",'binhgia (2016)'!$A$3,"MA_HT","NKH","MA_QH","DDT")</f>
        <v>0</v>
      </c>
      <c r="AO18" s="35">
        <f>+GETPIVOTDATA("XBG4",'binhgia (2016)'!$A$3,"MA_HT","NKH","MA_QH","DDL")</f>
        <v>0</v>
      </c>
      <c r="AP18" s="35">
        <f>+GETPIVOTDATA("XBG4",'binhgia (2016)'!$A$3,"MA_HT","NKH","MA_QH","DRA")</f>
        <v>0</v>
      </c>
      <c r="AQ18" s="35">
        <f>+GETPIVOTDATA("XBG4",'binhgia (2016)'!$A$3,"MA_HT","NKH","MA_QH","ONT")</f>
        <v>0</v>
      </c>
      <c r="AR18" s="35">
        <f>+GETPIVOTDATA("XBG4",'binhgia (2016)'!$A$3,"MA_HT","NKH","MA_QH","ODT")</f>
        <v>0</v>
      </c>
      <c r="AS18" s="35">
        <f>+GETPIVOTDATA("XBG4",'binhgia (2016)'!$A$3,"MA_HT","NKH","MA_QH","TSC")</f>
        <v>0</v>
      </c>
      <c r="AT18" s="35">
        <f>+GETPIVOTDATA("XBG4",'binhgia (2016)'!$A$3,"MA_HT","NKH","MA_QH","DTS")</f>
        <v>0</v>
      </c>
      <c r="AU18" s="35">
        <f>+GETPIVOTDATA("XBG4",'binhgia (2016)'!$A$3,"MA_HT","NKH","MA_QH","DNG")</f>
        <v>0</v>
      </c>
      <c r="AV18" s="35">
        <f>+GETPIVOTDATA("XBG4",'binhgia (2016)'!$A$3,"MA_HT","NKH","MA_QH","TON")</f>
        <v>0</v>
      </c>
      <c r="AW18" s="35">
        <f>+GETPIVOTDATA("XBG4",'binhgia (2016)'!$A$3,"MA_HT","NKH","MA_QH","NTD")</f>
        <v>0</v>
      </c>
      <c r="AX18" s="35">
        <f>+GETPIVOTDATA("XBG4",'binhgia (2016)'!$A$3,"MA_HT","NKH","MA_QH","SKX")</f>
        <v>0</v>
      </c>
      <c r="AY18" s="35">
        <f>+GETPIVOTDATA("XBG4",'binhgia (2016)'!$A$3,"MA_HT","NKH","MA_QH","DSH")</f>
        <v>0</v>
      </c>
      <c r="AZ18" s="35">
        <f>+GETPIVOTDATA("XBG4",'binhgia (2016)'!$A$3,"MA_HT","NKH","MA_QH","DKV")</f>
        <v>0</v>
      </c>
      <c r="BA18" s="140">
        <f>+GETPIVOTDATA("XBG4",'binhgia (2016)'!$A$3,"MA_HT","NKH","MA_QH","TIN")</f>
        <v>0</v>
      </c>
      <c r="BB18" s="74">
        <f>+GETPIVOTDATA("XBG4",'binhgia (2016)'!$A$3,"MA_HT","NKH","MA_QH","SON")</f>
        <v>0</v>
      </c>
      <c r="BC18" s="74">
        <f>+GETPIVOTDATA("XBG4",'binhgia (2016)'!$A$3,"MA_HT","NKH","MA_QH","MNC")</f>
        <v>0</v>
      </c>
      <c r="BD18" s="35">
        <f>+GETPIVOTDATA("XBG4",'binhgia (2016)'!$A$3,"MA_HT","NKH","MA_QH","PNK")</f>
        <v>0</v>
      </c>
      <c r="BE18" s="58">
        <f>+GETPIVOTDATA("XBG4",'binhgia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+GETPIVOTDATA("XBG4",'binhgia (2016)'!$A$3,"MA_HT","CQP","MA_QH","LUC")</f>
        <v>0</v>
      </c>
      <c r="H20" s="35">
        <f>+GETPIVOTDATA("XBG4",'binhgia (2016)'!$A$3,"MA_HT","CQP","MA_QH","LUK")</f>
        <v>0</v>
      </c>
      <c r="I20" s="35">
        <f>+GETPIVOTDATA("XBG4",'binhgia (2016)'!$A$3,"MA_HT","CQP","MA_QH","LUN")</f>
        <v>0</v>
      </c>
      <c r="J20" s="35">
        <f>+GETPIVOTDATA("XBG4",'binhgia (2016)'!$A$3,"MA_HT","CQP","MA_QH","HNK")</f>
        <v>0</v>
      </c>
      <c r="K20" s="35">
        <f>+GETPIVOTDATA("XBG4",'binhgia (2016)'!$A$3,"MA_HT","CQP","MA_QH","CLN")</f>
        <v>0</v>
      </c>
      <c r="L20" s="35">
        <f>+GETPIVOTDATA("XBG4",'binhgia (2016)'!$A$3,"MA_HT","CQP","MA_QH","RSX")</f>
        <v>0</v>
      </c>
      <c r="M20" s="35">
        <f>+GETPIVOTDATA("XBG4",'binhgia (2016)'!$A$3,"MA_HT","CQP","MA_QH","RPH")</f>
        <v>0</v>
      </c>
      <c r="N20" s="35">
        <f>+GETPIVOTDATA("XBG4",'binhgia (2016)'!$A$3,"MA_HT","CQP","MA_QH","RDD")</f>
        <v>0</v>
      </c>
      <c r="O20" s="35">
        <f>+GETPIVOTDATA("XBG4",'binhgia (2016)'!$A$3,"MA_HT","CQP","MA_QH","NTS")</f>
        <v>0</v>
      </c>
      <c r="P20" s="35">
        <f>+GETPIVOTDATA("XBG4",'binhgia (2016)'!$A$3,"MA_HT","CQP","MA_QH","LMU")</f>
        <v>0</v>
      </c>
      <c r="Q20" s="35">
        <f>+GETPIVOTDATA("XBG4",'binhgia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+GETPIVOTDATA("XBG4",'binhgia (2016)'!$A$3,"MA_HT","CQP","MA_QH","CAN")</f>
        <v>0</v>
      </c>
      <c r="U20" s="35">
        <f>+GETPIVOTDATA("XBG4",'binhgia (2016)'!$A$3,"MA_HT","CQP","MA_QH","SKK")</f>
        <v>0</v>
      </c>
      <c r="V20" s="35">
        <f>+GETPIVOTDATA("XBG4",'binhgia (2016)'!$A$3,"MA_HT","CQP","MA_QH","SKT")</f>
        <v>0</v>
      </c>
      <c r="W20" s="35">
        <f>+GETPIVOTDATA("XBG4",'binhgia (2016)'!$A$3,"MA_HT","CQP","MA_QH","SKN")</f>
        <v>0</v>
      </c>
      <c r="X20" s="35">
        <f>+GETPIVOTDATA("XBG4",'binhgia (2016)'!$A$3,"MA_HT","CQP","MA_QH","TMD")</f>
        <v>0</v>
      </c>
      <c r="Y20" s="35">
        <f>+GETPIVOTDATA("XBG4",'binhgia (2016)'!$A$3,"MA_HT","CQP","MA_QH","SKC")</f>
        <v>0</v>
      </c>
      <c r="Z20" s="35">
        <f>+GETPIVOTDATA("XBG4",'binhgia (2016)'!$A$3,"MA_HT","CQP","MA_QH","SKS")</f>
        <v>0</v>
      </c>
      <c r="AA20" s="64">
        <f t="shared" ref="AA20:AA27" si="12">+SUM(AB20:AM20)</f>
        <v>0</v>
      </c>
      <c r="AB20" s="35">
        <f>+GETPIVOTDATA("XBG4",'binhgia (2016)'!$A$3,"MA_HT","CQP","MA_QH","DGT")</f>
        <v>0</v>
      </c>
      <c r="AC20" s="35">
        <f>+GETPIVOTDATA("XBG4",'binhgia (2016)'!$A$3,"MA_HT","CQP","MA_QH","DTL")</f>
        <v>0</v>
      </c>
      <c r="AD20" s="35">
        <f>+GETPIVOTDATA("XBG4",'binhgia (2016)'!$A$3,"MA_HT","CQP","MA_QH","DNL")</f>
        <v>0</v>
      </c>
      <c r="AE20" s="35">
        <f>+GETPIVOTDATA("XBG4",'binhgia (2016)'!$A$3,"MA_HT","CQP","MA_QH","DBV")</f>
        <v>0</v>
      </c>
      <c r="AF20" s="35">
        <f>+GETPIVOTDATA("XBG4",'binhgia (2016)'!$A$3,"MA_HT","CQP","MA_QH","DVH")</f>
        <v>0</v>
      </c>
      <c r="AG20" s="35">
        <f>+GETPIVOTDATA("XBG4",'binhgia (2016)'!$A$3,"MA_HT","CQP","MA_QH","DYT")</f>
        <v>0</v>
      </c>
      <c r="AH20" s="35">
        <f>+GETPIVOTDATA("XBG4",'binhgia (2016)'!$A$3,"MA_HT","CQP","MA_QH","DGD")</f>
        <v>0</v>
      </c>
      <c r="AI20" s="35">
        <f>+GETPIVOTDATA("XBG4",'binhgia (2016)'!$A$3,"MA_HT","CQP","MA_QH","DTT")</f>
        <v>0</v>
      </c>
      <c r="AJ20" s="35">
        <f>+GETPIVOTDATA("XBG4",'binhgia (2016)'!$A$3,"MA_HT","CQP","MA_QH","NCK")</f>
        <v>0</v>
      </c>
      <c r="AK20" s="35">
        <f>+GETPIVOTDATA("XBG4",'binhgia (2016)'!$A$3,"MA_HT","CQP","MA_QH","DXH")</f>
        <v>0</v>
      </c>
      <c r="AL20" s="35">
        <f>+GETPIVOTDATA("XBG4",'binhgia (2016)'!$A$3,"MA_HT","CQP","MA_QH","DCH")</f>
        <v>0</v>
      </c>
      <c r="AM20" s="35">
        <f>+GETPIVOTDATA("XBG4",'binhgia (2016)'!$A$3,"MA_HT","CQP","MA_QH","DKG")</f>
        <v>0</v>
      </c>
      <c r="AN20" s="35">
        <f>+GETPIVOTDATA("XBG4",'binhgia (2016)'!$A$3,"MA_HT","CQP","MA_QH","DDT")</f>
        <v>0</v>
      </c>
      <c r="AO20" s="35">
        <f>+GETPIVOTDATA("XBG4",'binhgia (2016)'!$A$3,"MA_HT","CQP","MA_QH","DDL")</f>
        <v>0</v>
      </c>
      <c r="AP20" s="35">
        <f>+GETPIVOTDATA("XBG4",'binhgia (2016)'!$A$3,"MA_HT","CQP","MA_QH","DRA")</f>
        <v>0</v>
      </c>
      <c r="AQ20" s="35">
        <f>+GETPIVOTDATA("XBG4",'binhgia (2016)'!$A$3,"MA_HT","CQP","MA_QH","ONT")</f>
        <v>0</v>
      </c>
      <c r="AR20" s="35">
        <f>+GETPIVOTDATA("XBG4",'binhgia (2016)'!$A$3,"MA_HT","CQP","MA_QH","ODT")</f>
        <v>0</v>
      </c>
      <c r="AS20" s="35">
        <f>+GETPIVOTDATA("XBG4",'binhgia (2016)'!$A$3,"MA_HT","CQP","MA_QH","TSC")</f>
        <v>0</v>
      </c>
      <c r="AT20" s="35">
        <f>+GETPIVOTDATA("XBG4",'binhgia (2016)'!$A$3,"MA_HT","CQP","MA_QH","DTS")</f>
        <v>0</v>
      </c>
      <c r="AU20" s="35">
        <f>+GETPIVOTDATA("XBG4",'binhgia (2016)'!$A$3,"MA_HT","CQP","MA_QH","DNG")</f>
        <v>0</v>
      </c>
      <c r="AV20" s="35">
        <f>+GETPIVOTDATA("XBG4",'binhgia (2016)'!$A$3,"MA_HT","CQP","MA_QH","TON")</f>
        <v>0</v>
      </c>
      <c r="AW20" s="35">
        <f>+GETPIVOTDATA("XBG4",'binhgia (2016)'!$A$3,"MA_HT","CQP","MA_QH","NTD")</f>
        <v>0</v>
      </c>
      <c r="AX20" s="35">
        <f>+GETPIVOTDATA("XBG4",'binhgia (2016)'!$A$3,"MA_HT","CQP","MA_QH","SKX")</f>
        <v>0</v>
      </c>
      <c r="AY20" s="35">
        <f>+GETPIVOTDATA("XBG4",'binhgia (2016)'!$A$3,"MA_HT","CQP","MA_QH","DSH")</f>
        <v>0</v>
      </c>
      <c r="AZ20" s="35">
        <f>+GETPIVOTDATA("XBG4",'binhgia (2016)'!$A$3,"MA_HT","CQP","MA_QH","DKV")</f>
        <v>0</v>
      </c>
      <c r="BA20" s="140">
        <f>+GETPIVOTDATA("XBG4",'binhgia (2016)'!$A$3,"MA_HT","CQP","MA_QH","TIN")</f>
        <v>0</v>
      </c>
      <c r="BB20" s="74">
        <f>+GETPIVOTDATA("XBG4",'binhgia (2016)'!$A$3,"MA_HT","CQP","MA_QH","SON")</f>
        <v>0</v>
      </c>
      <c r="BC20" s="74">
        <f>+GETPIVOTDATA("XBG4",'binhgia (2016)'!$A$3,"MA_HT","CQP","MA_QH","MNC")</f>
        <v>0</v>
      </c>
      <c r="BD20" s="35">
        <f>+GETPIVOTDATA("XBG4",'binhgia (2016)'!$A$3,"MA_HT","CQP","MA_QH","PNK")</f>
        <v>0</v>
      </c>
      <c r="BE20" s="58">
        <f>+GETPIVOTDATA("XBG4",'binhgia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+GETPIVOTDATA("XBG4",'binhgia (2016)'!$A$3,"MA_HT","CAN","MA_QH","LUC")</f>
        <v>0</v>
      </c>
      <c r="H21" s="35">
        <f>+GETPIVOTDATA("XBG4",'binhgia (2016)'!$A$3,"MA_HT","CAN","MA_QH","LUK")</f>
        <v>0</v>
      </c>
      <c r="I21" s="35">
        <f>+GETPIVOTDATA("XBG4",'binhgia (2016)'!$A$3,"MA_HT","CAN","MA_QH","LUN")</f>
        <v>0</v>
      </c>
      <c r="J21" s="35">
        <f>+GETPIVOTDATA("XBG4",'binhgia (2016)'!$A$3,"MA_HT","CAN","MA_QH","HNK")</f>
        <v>0</v>
      </c>
      <c r="K21" s="35">
        <f>+GETPIVOTDATA("XBG4",'binhgia (2016)'!$A$3,"MA_HT","CAN","MA_QH","CLN")</f>
        <v>0</v>
      </c>
      <c r="L21" s="35">
        <f>+GETPIVOTDATA("XBG4",'binhgia (2016)'!$A$3,"MA_HT","CAN","MA_QH","RSX")</f>
        <v>0</v>
      </c>
      <c r="M21" s="35">
        <f>+GETPIVOTDATA("XBG4",'binhgia (2016)'!$A$3,"MA_HT","CAN","MA_QH","RPH")</f>
        <v>0</v>
      </c>
      <c r="N21" s="35">
        <f>+GETPIVOTDATA("XBG4",'binhgia (2016)'!$A$3,"MA_HT","CAN","MA_QH","RDD")</f>
        <v>0</v>
      </c>
      <c r="O21" s="35">
        <f>+GETPIVOTDATA("XBG4",'binhgia (2016)'!$A$3,"MA_HT","CAN","MA_QH","NTS")</f>
        <v>0</v>
      </c>
      <c r="P21" s="35">
        <f>+GETPIVOTDATA("XBG4",'binhgia (2016)'!$A$3,"MA_HT","CAN","MA_QH","LMU")</f>
        <v>0</v>
      </c>
      <c r="Q21" s="35">
        <f>+GETPIVOTDATA("XBG4",'binhgia (2016)'!$A$3,"MA_HT","CAN","MA_QH","NKH")</f>
        <v>0</v>
      </c>
      <c r="R21" s="63">
        <f>SUM(S21,U21:AA21,AN21:BD21)</f>
        <v>0</v>
      </c>
      <c r="S21" s="35">
        <f>+GETPIVOTDATA("XBG4",'binhgia (2016)'!$A$3,"MA_HT","CAN","MA_QH","CQP")</f>
        <v>0</v>
      </c>
      <c r="T21" s="99" t="e">
        <f>$D21-$BF21</f>
        <v>#REF!</v>
      </c>
      <c r="U21" s="35">
        <f>+GETPIVOTDATA("XBG4",'binhgia (2016)'!$A$3,"MA_HT","CAN","MA_QH","SKK")</f>
        <v>0</v>
      </c>
      <c r="V21" s="35">
        <f>+GETPIVOTDATA("XBG4",'binhgia (2016)'!$A$3,"MA_HT","CAN","MA_QH","SKT")</f>
        <v>0</v>
      </c>
      <c r="W21" s="35">
        <f>+GETPIVOTDATA("XBG4",'binhgia (2016)'!$A$3,"MA_HT","CAN","MA_QH","SKN")</f>
        <v>0</v>
      </c>
      <c r="X21" s="35">
        <f>+GETPIVOTDATA("XBG4",'binhgia (2016)'!$A$3,"MA_HT","CAN","MA_QH","TMD")</f>
        <v>0</v>
      </c>
      <c r="Y21" s="35">
        <f>+GETPIVOTDATA("XBG4",'binhgia (2016)'!$A$3,"MA_HT","CAN","MA_QH","SKC")</f>
        <v>0</v>
      </c>
      <c r="Z21" s="35">
        <f>+GETPIVOTDATA("XBG4",'binhgia (2016)'!$A$3,"MA_HT","CAN","MA_QH","SKS")</f>
        <v>0</v>
      </c>
      <c r="AA21" s="64">
        <f t="shared" si="12"/>
        <v>0</v>
      </c>
      <c r="AB21" s="35">
        <f>+GETPIVOTDATA("XBG4",'binhgia (2016)'!$A$3,"MA_HT","CAN","MA_QH","DGT")</f>
        <v>0</v>
      </c>
      <c r="AC21" s="35">
        <f>+GETPIVOTDATA("XBG4",'binhgia (2016)'!$A$3,"MA_HT","CAN","MA_QH","DTL")</f>
        <v>0</v>
      </c>
      <c r="AD21" s="35">
        <f>+GETPIVOTDATA("XBG4",'binhgia (2016)'!$A$3,"MA_HT","CAN","MA_QH","DNL")</f>
        <v>0</v>
      </c>
      <c r="AE21" s="35">
        <f>+GETPIVOTDATA("XBG4",'binhgia (2016)'!$A$3,"MA_HT","CAN","MA_QH","DBV")</f>
        <v>0</v>
      </c>
      <c r="AF21" s="35">
        <f>+GETPIVOTDATA("XBG4",'binhgia (2016)'!$A$3,"MA_HT","CAN","MA_QH","DVH")</f>
        <v>0</v>
      </c>
      <c r="AG21" s="35">
        <f>+GETPIVOTDATA("XBG4",'binhgia (2016)'!$A$3,"MA_HT","CAN","MA_QH","DYT")</f>
        <v>0</v>
      </c>
      <c r="AH21" s="35">
        <f>+GETPIVOTDATA("XBG4",'binhgia (2016)'!$A$3,"MA_HT","CAN","MA_QH","DGD")</f>
        <v>0</v>
      </c>
      <c r="AI21" s="35">
        <f>+GETPIVOTDATA("XBG4",'binhgia (2016)'!$A$3,"MA_HT","CAN","MA_QH","DTT")</f>
        <v>0</v>
      </c>
      <c r="AJ21" s="35">
        <f>+GETPIVOTDATA("XBG4",'binhgia (2016)'!$A$3,"MA_HT","CAN","MA_QH","NCK")</f>
        <v>0</v>
      </c>
      <c r="AK21" s="35">
        <f>+GETPIVOTDATA("XBG4",'binhgia (2016)'!$A$3,"MA_HT","CAN","MA_QH","DXH")</f>
        <v>0</v>
      </c>
      <c r="AL21" s="35">
        <f>+GETPIVOTDATA("XBG4",'binhgia (2016)'!$A$3,"MA_HT","CAN","MA_QH","DCH")</f>
        <v>0</v>
      </c>
      <c r="AM21" s="35">
        <f>+GETPIVOTDATA("XBG4",'binhgia (2016)'!$A$3,"MA_HT","CAN","MA_QH","DKG")</f>
        <v>0</v>
      </c>
      <c r="AN21" s="35">
        <f>+GETPIVOTDATA("XBG4",'binhgia (2016)'!$A$3,"MA_HT","CAN","MA_QH","DDT")</f>
        <v>0</v>
      </c>
      <c r="AO21" s="35">
        <f>+GETPIVOTDATA("XBG4",'binhgia (2016)'!$A$3,"MA_HT","CAN","MA_QH","DDL")</f>
        <v>0</v>
      </c>
      <c r="AP21" s="35">
        <f>+GETPIVOTDATA("XBG4",'binhgia (2016)'!$A$3,"MA_HT","CAN","MA_QH","DRA")</f>
        <v>0</v>
      </c>
      <c r="AQ21" s="35">
        <f>+GETPIVOTDATA("XBG4",'binhgia (2016)'!$A$3,"MA_HT","CAN","MA_QH","ONT")</f>
        <v>0</v>
      </c>
      <c r="AR21" s="35">
        <f>+GETPIVOTDATA("XBG4",'binhgia (2016)'!$A$3,"MA_HT","CAN","MA_QH","ODT")</f>
        <v>0</v>
      </c>
      <c r="AS21" s="35">
        <f>+GETPIVOTDATA("XBG4",'binhgia (2016)'!$A$3,"MA_HT","CAN","MA_QH","TSC")</f>
        <v>0</v>
      </c>
      <c r="AT21" s="35">
        <f>+GETPIVOTDATA("XBG4",'binhgia (2016)'!$A$3,"MA_HT","CAN","MA_QH","DTS")</f>
        <v>0</v>
      </c>
      <c r="AU21" s="35">
        <f>+GETPIVOTDATA("XBG4",'binhgia (2016)'!$A$3,"MA_HT","CAN","MA_QH","DNG")</f>
        <v>0</v>
      </c>
      <c r="AV21" s="35">
        <f>+GETPIVOTDATA("XBG4",'binhgia (2016)'!$A$3,"MA_HT","CAN","MA_QH","TON")</f>
        <v>0</v>
      </c>
      <c r="AW21" s="35">
        <f>+GETPIVOTDATA("XBG4",'binhgia (2016)'!$A$3,"MA_HT","CAN","MA_QH","NTD")</f>
        <v>0</v>
      </c>
      <c r="AX21" s="35">
        <f>+GETPIVOTDATA("XBG4",'binhgia (2016)'!$A$3,"MA_HT","CAN","MA_QH","SKX")</f>
        <v>0</v>
      </c>
      <c r="AY21" s="35">
        <f>+GETPIVOTDATA("XBG4",'binhgia (2016)'!$A$3,"MA_HT","CAN","MA_QH","DSH")</f>
        <v>0</v>
      </c>
      <c r="AZ21" s="35">
        <f>+GETPIVOTDATA("XBG4",'binhgia (2016)'!$A$3,"MA_HT","CAN","MA_QH","DKV")</f>
        <v>0</v>
      </c>
      <c r="BA21" s="140">
        <f>+GETPIVOTDATA("XBG4",'binhgia (2016)'!$A$3,"MA_HT","CAN","MA_QH","TIN")</f>
        <v>0</v>
      </c>
      <c r="BB21" s="74">
        <f>+GETPIVOTDATA("XBG4",'binhgia (2016)'!$A$3,"MA_HT","CAN","MA_QH","SON")</f>
        <v>0</v>
      </c>
      <c r="BC21" s="74">
        <f>+GETPIVOTDATA("XBG4",'binhgia (2016)'!$A$3,"MA_HT","CAN","MA_QH","MNC")</f>
        <v>0</v>
      </c>
      <c r="BD21" s="35">
        <f>+GETPIVOTDATA("XBG4",'binhgia (2016)'!$A$3,"MA_HT","CAN","MA_QH","PNK")</f>
        <v>0</v>
      </c>
      <c r="BE21" s="58">
        <f>+GETPIVOTDATA("XBG4",'binhgia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+GETPIVOTDATA("XBG4",'binhgia (2016)'!$A$3,"MA_HT","SKK","MA_QH","LUC")</f>
        <v>0</v>
      </c>
      <c r="H22" s="35">
        <f>+GETPIVOTDATA("XBG4",'binhgia (2016)'!$A$3,"MA_HT","SKK","MA_QH","LUK")</f>
        <v>0</v>
      </c>
      <c r="I22" s="35">
        <f>+GETPIVOTDATA("XBG4",'binhgia (2016)'!$A$3,"MA_HT","SKK","MA_QH","LUN")</f>
        <v>0</v>
      </c>
      <c r="J22" s="35">
        <f>+GETPIVOTDATA("XBG4",'binhgia (2016)'!$A$3,"MA_HT","SKK","MA_QH","HNK")</f>
        <v>0</v>
      </c>
      <c r="K22" s="35">
        <f>+GETPIVOTDATA("XBG4",'binhgia (2016)'!$A$3,"MA_HT","SKK","MA_QH","CLN")</f>
        <v>0</v>
      </c>
      <c r="L22" s="35">
        <f>+GETPIVOTDATA("XBG4",'binhgia (2016)'!$A$3,"MA_HT","SKK","MA_QH","RSX")</f>
        <v>0</v>
      </c>
      <c r="M22" s="35">
        <f>+GETPIVOTDATA("XBG4",'binhgia (2016)'!$A$3,"MA_HT","SKK","MA_QH","RPH")</f>
        <v>0</v>
      </c>
      <c r="N22" s="35">
        <f>+GETPIVOTDATA("XBG4",'binhgia (2016)'!$A$3,"MA_HT","SKK","MA_QH","RDD")</f>
        <v>0</v>
      </c>
      <c r="O22" s="35">
        <f>+GETPIVOTDATA("XBG4",'binhgia (2016)'!$A$3,"MA_HT","SKK","MA_QH","NTS")</f>
        <v>0</v>
      </c>
      <c r="P22" s="35">
        <f>+GETPIVOTDATA("XBG4",'binhgia (2016)'!$A$3,"MA_HT","SKK","MA_QH","LMU")</f>
        <v>0</v>
      </c>
      <c r="Q22" s="35">
        <f>+GETPIVOTDATA("XBG4",'binhgia (2016)'!$A$3,"MA_HT","SKK","MA_QH","NKH")</f>
        <v>0</v>
      </c>
      <c r="R22" s="63">
        <f>SUM(S22:T22,V22:AA22,AN22:BD22)</f>
        <v>0</v>
      </c>
      <c r="S22" s="35">
        <f>+GETPIVOTDATA("XBG4",'binhgia (2016)'!$A$3,"MA_HT","SKK","MA_QH","CQP")</f>
        <v>0</v>
      </c>
      <c r="T22" s="35">
        <f>+GETPIVOTDATA("XBG4",'binhgia (2016)'!$A$3,"MA_HT","SKK","MA_QH","CAN")</f>
        <v>0</v>
      </c>
      <c r="U22" s="99" t="e">
        <f>$D22-$BF22</f>
        <v>#REF!</v>
      </c>
      <c r="V22" s="35">
        <f>+GETPIVOTDATA("XBG4",'binhgia (2016)'!$A$3,"MA_HT","SKK","MA_QH","SKT")</f>
        <v>0</v>
      </c>
      <c r="W22" s="35">
        <f>+GETPIVOTDATA("XBG4",'binhgia (2016)'!$A$3,"MA_HT","SKK","MA_QH","SKN")</f>
        <v>0</v>
      </c>
      <c r="X22" s="35">
        <f>+GETPIVOTDATA("XBG4",'binhgia (2016)'!$A$3,"MA_HT","SKK","MA_QH","TMD")</f>
        <v>0</v>
      </c>
      <c r="Y22" s="35">
        <f>+GETPIVOTDATA("XBG4",'binhgia (2016)'!$A$3,"MA_HT","SKK","MA_QH","SKC")</f>
        <v>0</v>
      </c>
      <c r="Z22" s="35">
        <f>+GETPIVOTDATA("XBG4",'binhgia (2016)'!$A$3,"MA_HT","SKK","MA_QH","SKS")</f>
        <v>0</v>
      </c>
      <c r="AA22" s="64">
        <f t="shared" si="12"/>
        <v>0</v>
      </c>
      <c r="AB22" s="35">
        <f>+GETPIVOTDATA("XBG4",'binhgia (2016)'!$A$3,"MA_HT","SKK","MA_QH","DGT")</f>
        <v>0</v>
      </c>
      <c r="AC22" s="35">
        <f>+GETPIVOTDATA("XBG4",'binhgia (2016)'!$A$3,"MA_HT","SKK","MA_QH","DTL")</f>
        <v>0</v>
      </c>
      <c r="AD22" s="35">
        <f>+GETPIVOTDATA("XBG4",'binhgia (2016)'!$A$3,"MA_HT","SKK","MA_QH","DNL")</f>
        <v>0</v>
      </c>
      <c r="AE22" s="35">
        <f>+GETPIVOTDATA("XBG4",'binhgia (2016)'!$A$3,"MA_HT","SKK","MA_QH","DBV")</f>
        <v>0</v>
      </c>
      <c r="AF22" s="35">
        <f>+GETPIVOTDATA("XBG4",'binhgia (2016)'!$A$3,"MA_HT","SKK","MA_QH","DVH")</f>
        <v>0</v>
      </c>
      <c r="AG22" s="35">
        <f>+GETPIVOTDATA("XBG4",'binhgia (2016)'!$A$3,"MA_HT","SKK","MA_QH","DYT")</f>
        <v>0</v>
      </c>
      <c r="AH22" s="35">
        <f>+GETPIVOTDATA("XBG4",'binhgia (2016)'!$A$3,"MA_HT","SKK","MA_QH","DGD")</f>
        <v>0</v>
      </c>
      <c r="AI22" s="35">
        <f>+GETPIVOTDATA("XBG4",'binhgia (2016)'!$A$3,"MA_HT","SKK","MA_QH","DTT")</f>
        <v>0</v>
      </c>
      <c r="AJ22" s="35">
        <f>+GETPIVOTDATA("XBG4",'binhgia (2016)'!$A$3,"MA_HT","SKK","MA_QH","NCK")</f>
        <v>0</v>
      </c>
      <c r="AK22" s="35">
        <f>+GETPIVOTDATA("XBG4",'binhgia (2016)'!$A$3,"MA_HT","SKK","MA_QH","DXH")</f>
        <v>0</v>
      </c>
      <c r="AL22" s="35">
        <f>+GETPIVOTDATA("XBG4",'binhgia (2016)'!$A$3,"MA_HT","SKK","MA_QH","DCH")</f>
        <v>0</v>
      </c>
      <c r="AM22" s="35">
        <f>+GETPIVOTDATA("XBG4",'binhgia (2016)'!$A$3,"MA_HT","SKK","MA_QH","DKG")</f>
        <v>0</v>
      </c>
      <c r="AN22" s="35">
        <f>+GETPIVOTDATA("XBG4",'binhgia (2016)'!$A$3,"MA_HT","SKK","MA_QH","DDT")</f>
        <v>0</v>
      </c>
      <c r="AO22" s="35">
        <f>+GETPIVOTDATA("XBG4",'binhgia (2016)'!$A$3,"MA_HT","SKK","MA_QH","DDL")</f>
        <v>0</v>
      </c>
      <c r="AP22" s="35">
        <f>+GETPIVOTDATA("XBG4",'binhgia (2016)'!$A$3,"MA_HT","SKK","MA_QH","DRA")</f>
        <v>0</v>
      </c>
      <c r="AQ22" s="35">
        <f>+GETPIVOTDATA("XBG4",'binhgia (2016)'!$A$3,"MA_HT","SKK","MA_QH","ONT")</f>
        <v>0</v>
      </c>
      <c r="AR22" s="35">
        <f>+GETPIVOTDATA("XBG4",'binhgia (2016)'!$A$3,"MA_HT","SKK","MA_QH","ODT")</f>
        <v>0</v>
      </c>
      <c r="AS22" s="35">
        <f>+GETPIVOTDATA("XBG4",'binhgia (2016)'!$A$3,"MA_HT","SKK","MA_QH","TSC")</f>
        <v>0</v>
      </c>
      <c r="AT22" s="35">
        <f>+GETPIVOTDATA("XBG4",'binhgia (2016)'!$A$3,"MA_HT","SKK","MA_QH","DTS")</f>
        <v>0</v>
      </c>
      <c r="AU22" s="35">
        <f>+GETPIVOTDATA("XBG4",'binhgia (2016)'!$A$3,"MA_HT","SKK","MA_QH","DNG")</f>
        <v>0</v>
      </c>
      <c r="AV22" s="35">
        <f>+GETPIVOTDATA("XBG4",'binhgia (2016)'!$A$3,"MA_HT","SKK","MA_QH","TON")</f>
        <v>0</v>
      </c>
      <c r="AW22" s="35">
        <f>+GETPIVOTDATA("XBG4",'binhgia (2016)'!$A$3,"MA_HT","SKK","MA_QH","NTD")</f>
        <v>0</v>
      </c>
      <c r="AX22" s="35">
        <f>+GETPIVOTDATA("XBG4",'binhgia (2016)'!$A$3,"MA_HT","SKK","MA_QH","SKX")</f>
        <v>0</v>
      </c>
      <c r="AY22" s="35">
        <f>+GETPIVOTDATA("XBG4",'binhgia (2016)'!$A$3,"MA_HT","SKK","MA_QH","DSH")</f>
        <v>0</v>
      </c>
      <c r="AZ22" s="35">
        <f>+GETPIVOTDATA("XBG4",'binhgia (2016)'!$A$3,"MA_HT","SKK","MA_QH","DKV")</f>
        <v>0</v>
      </c>
      <c r="BA22" s="140">
        <f>+GETPIVOTDATA("XBG4",'binhgia (2016)'!$A$3,"MA_HT","SKK","MA_QH","TIN")</f>
        <v>0</v>
      </c>
      <c r="BB22" s="74">
        <f>+GETPIVOTDATA("XBG4",'binhgia (2016)'!$A$3,"MA_HT","SKK","MA_QH","SON")</f>
        <v>0</v>
      </c>
      <c r="BC22" s="74">
        <f>+GETPIVOTDATA("XBG4",'binhgia (2016)'!$A$3,"MA_HT","SKK","MA_QH","MNC")</f>
        <v>0</v>
      </c>
      <c r="BD22" s="35">
        <f>+GETPIVOTDATA("XBG4",'binhgia (2016)'!$A$3,"MA_HT","SKK","MA_QH","PNK")</f>
        <v>0</v>
      </c>
      <c r="BE22" s="58">
        <f>+GETPIVOTDATA("XBG4",'binhgia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+GETPIVOTDATA("XBG4",'binhgia (2016)'!$A$3,"MA_HT","SKT","MA_QH","LUC")</f>
        <v>0</v>
      </c>
      <c r="H23" s="35">
        <f>+GETPIVOTDATA("XBG4",'binhgia (2016)'!$A$3,"MA_HT","SKT","MA_QH","LUK")</f>
        <v>0</v>
      </c>
      <c r="I23" s="35">
        <f>+GETPIVOTDATA("XBG4",'binhgia (2016)'!$A$3,"MA_HT","SKT","MA_QH","LUN")</f>
        <v>0</v>
      </c>
      <c r="J23" s="35">
        <f>+GETPIVOTDATA("XBG4",'binhgia (2016)'!$A$3,"MA_HT","SKT","MA_QH","HNK")</f>
        <v>0</v>
      </c>
      <c r="K23" s="35">
        <f>+GETPIVOTDATA("XBG4",'binhgia (2016)'!$A$3,"MA_HT","SKT","MA_QH","CLN")</f>
        <v>0</v>
      </c>
      <c r="L23" s="35">
        <f>+GETPIVOTDATA("XBG4",'binhgia (2016)'!$A$3,"MA_HT","SKT","MA_QH","RSX")</f>
        <v>0</v>
      </c>
      <c r="M23" s="35">
        <f>+GETPIVOTDATA("XBG4",'binhgia (2016)'!$A$3,"MA_HT","SKT","MA_QH","RPH")</f>
        <v>0</v>
      </c>
      <c r="N23" s="35">
        <f>+GETPIVOTDATA("XBG4",'binhgia (2016)'!$A$3,"MA_HT","SKT","MA_QH","RDD")</f>
        <v>0</v>
      </c>
      <c r="O23" s="35">
        <f>+GETPIVOTDATA("XBG4",'binhgia (2016)'!$A$3,"MA_HT","SKT","MA_QH","NTS")</f>
        <v>0</v>
      </c>
      <c r="P23" s="35">
        <f>+GETPIVOTDATA("XBG4",'binhgia (2016)'!$A$3,"MA_HT","SKT","MA_QH","LMU")</f>
        <v>0</v>
      </c>
      <c r="Q23" s="35">
        <f>+GETPIVOTDATA("XBG4",'binhgia (2016)'!$A$3,"MA_HT","SKT","MA_QH","NKH")</f>
        <v>0</v>
      </c>
      <c r="R23" s="63">
        <f>SUM(S23:U23,W23:AA23,AN23:BD23)</f>
        <v>0</v>
      </c>
      <c r="S23" s="35">
        <f>+GETPIVOTDATA("XBG4",'binhgia (2016)'!$A$3,"MA_HT","SKT","MA_QH","CQP")</f>
        <v>0</v>
      </c>
      <c r="T23" s="35">
        <f>+GETPIVOTDATA("XBG4",'binhgia (2016)'!$A$3,"MA_HT","SKT","MA_QH","CAN")</f>
        <v>0</v>
      </c>
      <c r="U23" s="35">
        <f>+GETPIVOTDATA("XBG4",'binhgia (2016)'!$A$3,"MA_HT","SKT","MA_QH","SKK")</f>
        <v>0</v>
      </c>
      <c r="V23" s="99" t="e">
        <f>$D23-$BF23</f>
        <v>#REF!</v>
      </c>
      <c r="W23" s="35">
        <f>+GETPIVOTDATA("XBG4",'binhgia (2016)'!$A$3,"MA_HT","SKT","MA_QH","SKN")</f>
        <v>0</v>
      </c>
      <c r="X23" s="35">
        <f>+GETPIVOTDATA("XBG4",'binhgia (2016)'!$A$3,"MA_HT","SKT","MA_QH","TMD")</f>
        <v>0</v>
      </c>
      <c r="Y23" s="35">
        <f>+GETPIVOTDATA("XBG4",'binhgia (2016)'!$A$3,"MA_HT","SKT","MA_QH","SKC")</f>
        <v>0</v>
      </c>
      <c r="Z23" s="35">
        <f>+GETPIVOTDATA("XBG4",'binhgia (2016)'!$A$3,"MA_HT","SKT","MA_QH","SKS")</f>
        <v>0</v>
      </c>
      <c r="AA23" s="64">
        <f t="shared" si="12"/>
        <v>0</v>
      </c>
      <c r="AB23" s="35">
        <f>+GETPIVOTDATA("XBG4",'binhgia (2016)'!$A$3,"MA_HT","SKT","MA_QH","DGT")</f>
        <v>0</v>
      </c>
      <c r="AC23" s="35">
        <f>+GETPIVOTDATA("XBG4",'binhgia (2016)'!$A$3,"MA_HT","SKT","MA_QH","DTL")</f>
        <v>0</v>
      </c>
      <c r="AD23" s="35">
        <f>+GETPIVOTDATA("XBG4",'binhgia (2016)'!$A$3,"MA_HT","SKT","MA_QH","DNL")</f>
        <v>0</v>
      </c>
      <c r="AE23" s="35">
        <f>+GETPIVOTDATA("XBG4",'binhgia (2016)'!$A$3,"MA_HT","SKT","MA_QH","DBV")</f>
        <v>0</v>
      </c>
      <c r="AF23" s="35">
        <f>+GETPIVOTDATA("XBG4",'binhgia (2016)'!$A$3,"MA_HT","SKT","MA_QH","DVH")</f>
        <v>0</v>
      </c>
      <c r="AG23" s="35">
        <f>+GETPIVOTDATA("XBG4",'binhgia (2016)'!$A$3,"MA_HT","SKT","MA_QH","DYT")</f>
        <v>0</v>
      </c>
      <c r="AH23" s="35">
        <f>+GETPIVOTDATA("XBG4",'binhgia (2016)'!$A$3,"MA_HT","SKT","MA_QH","DGD")</f>
        <v>0</v>
      </c>
      <c r="AI23" s="35">
        <f>+GETPIVOTDATA("XBG4",'binhgia (2016)'!$A$3,"MA_HT","SKT","MA_QH","DTT")</f>
        <v>0</v>
      </c>
      <c r="AJ23" s="35">
        <f>+GETPIVOTDATA("XBG4",'binhgia (2016)'!$A$3,"MA_HT","SKT","MA_QH","NCK")</f>
        <v>0</v>
      </c>
      <c r="AK23" s="35">
        <f>+GETPIVOTDATA("XBG4",'binhgia (2016)'!$A$3,"MA_HT","SKT","MA_QH","DXH")</f>
        <v>0</v>
      </c>
      <c r="AL23" s="35">
        <f>+GETPIVOTDATA("XBG4",'binhgia (2016)'!$A$3,"MA_HT","SKT","MA_QH","DCH")</f>
        <v>0</v>
      </c>
      <c r="AM23" s="35">
        <f>+GETPIVOTDATA("XBG4",'binhgia (2016)'!$A$3,"MA_HT","SKT","MA_QH","DKG")</f>
        <v>0</v>
      </c>
      <c r="AN23" s="35">
        <f>+GETPIVOTDATA("XBG4",'binhgia (2016)'!$A$3,"MA_HT","SKT","MA_QH","DDT")</f>
        <v>0</v>
      </c>
      <c r="AO23" s="35">
        <f>+GETPIVOTDATA("XBG4",'binhgia (2016)'!$A$3,"MA_HT","SKT","MA_QH","DDL")</f>
        <v>0</v>
      </c>
      <c r="AP23" s="35">
        <f>+GETPIVOTDATA("XBG4",'binhgia (2016)'!$A$3,"MA_HT","SKT","MA_QH","DRA")</f>
        <v>0</v>
      </c>
      <c r="AQ23" s="35">
        <f>+GETPIVOTDATA("XBG4",'binhgia (2016)'!$A$3,"MA_HT","SKT","MA_QH","ONT")</f>
        <v>0</v>
      </c>
      <c r="AR23" s="35">
        <f>+GETPIVOTDATA("XBG4",'binhgia (2016)'!$A$3,"MA_HT","SKT","MA_QH","ODT")</f>
        <v>0</v>
      </c>
      <c r="AS23" s="35">
        <f>+GETPIVOTDATA("XBG4",'binhgia (2016)'!$A$3,"MA_HT","SKT","MA_QH","TSC")</f>
        <v>0</v>
      </c>
      <c r="AT23" s="35">
        <f>+GETPIVOTDATA("XBG4",'binhgia (2016)'!$A$3,"MA_HT","SKT","MA_QH","DTS")</f>
        <v>0</v>
      </c>
      <c r="AU23" s="35">
        <f>+GETPIVOTDATA("XBG4",'binhgia (2016)'!$A$3,"MA_HT","SKT","MA_QH","DNG")</f>
        <v>0</v>
      </c>
      <c r="AV23" s="35">
        <f>+GETPIVOTDATA("XBG4",'binhgia (2016)'!$A$3,"MA_HT","SKT","MA_QH","TON")</f>
        <v>0</v>
      </c>
      <c r="AW23" s="35">
        <f>+GETPIVOTDATA("XBG4",'binhgia (2016)'!$A$3,"MA_HT","SKT","MA_QH","NTD")</f>
        <v>0</v>
      </c>
      <c r="AX23" s="35">
        <f>+GETPIVOTDATA("XBG4",'binhgia (2016)'!$A$3,"MA_HT","SKT","MA_QH","SKX")</f>
        <v>0</v>
      </c>
      <c r="AY23" s="35">
        <f>+GETPIVOTDATA("XBG4",'binhgia (2016)'!$A$3,"MA_HT","SKT","MA_QH","DSH")</f>
        <v>0</v>
      </c>
      <c r="AZ23" s="35">
        <f>+GETPIVOTDATA("XBG4",'binhgia (2016)'!$A$3,"MA_HT","SKT","MA_QH","DKV")</f>
        <v>0</v>
      </c>
      <c r="BA23" s="140">
        <f>+GETPIVOTDATA("XBG4",'binhgia (2016)'!$A$3,"MA_HT","SKT","MA_QH","TIN")</f>
        <v>0</v>
      </c>
      <c r="BB23" s="74">
        <f>+GETPIVOTDATA("XBG4",'binhgia (2016)'!$A$3,"MA_HT","SKT","MA_QH","SON")</f>
        <v>0</v>
      </c>
      <c r="BC23" s="74">
        <f>+GETPIVOTDATA("XBG4",'binhgia (2016)'!$A$3,"MA_HT","SKT","MA_QH","MNC")</f>
        <v>0</v>
      </c>
      <c r="BD23" s="35">
        <f>+GETPIVOTDATA("XBG4",'binhgia (2016)'!$A$3,"MA_HT","SKT","MA_QH","PNK")</f>
        <v>0</v>
      </c>
      <c r="BE23" s="58">
        <f>+GETPIVOTDATA("XBG4",'binhgia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+GETPIVOTDATA("XBG4",'binhgia (2016)'!$A$3,"MA_HT","SKN","MA_QH","LUC")</f>
        <v>0</v>
      </c>
      <c r="H24" s="35">
        <f>+GETPIVOTDATA("XBG4",'binhgia (2016)'!$A$3,"MA_HT","SKN","MA_QH","LUK")</f>
        <v>0</v>
      </c>
      <c r="I24" s="35">
        <f>+GETPIVOTDATA("XBG4",'binhgia (2016)'!$A$3,"MA_HT","SKN","MA_QH","LUN")</f>
        <v>0</v>
      </c>
      <c r="J24" s="35">
        <f>+GETPIVOTDATA("XBG4",'binhgia (2016)'!$A$3,"MA_HT","SKN","MA_QH","HNK")</f>
        <v>0</v>
      </c>
      <c r="K24" s="35">
        <f>+GETPIVOTDATA("XBG4",'binhgia (2016)'!$A$3,"MA_HT","SKN","MA_QH","CLN")</f>
        <v>0</v>
      </c>
      <c r="L24" s="35">
        <f>+GETPIVOTDATA("XBG4",'binhgia (2016)'!$A$3,"MA_HT","SKN","MA_QH","RSX")</f>
        <v>0</v>
      </c>
      <c r="M24" s="35">
        <f>+GETPIVOTDATA("XBG4",'binhgia (2016)'!$A$3,"MA_HT","SKN","MA_QH","RPH")</f>
        <v>0</v>
      </c>
      <c r="N24" s="35">
        <f>+GETPIVOTDATA("XBG4",'binhgia (2016)'!$A$3,"MA_HT","SKN","MA_QH","RDD")</f>
        <v>0</v>
      </c>
      <c r="O24" s="35">
        <f>+GETPIVOTDATA("XBG4",'binhgia (2016)'!$A$3,"MA_HT","SKN","MA_QH","NTS")</f>
        <v>0</v>
      </c>
      <c r="P24" s="35">
        <f>+GETPIVOTDATA("XBG4",'binhgia (2016)'!$A$3,"MA_HT","SKN","MA_QH","LMU")</f>
        <v>0</v>
      </c>
      <c r="Q24" s="35">
        <f>+GETPIVOTDATA("XBG4",'binhgia (2016)'!$A$3,"MA_HT","SKN","MA_QH","NKH")</f>
        <v>0</v>
      </c>
      <c r="R24" s="63">
        <f>SUM(S24:V24,X24:AA24,AN24:BD24)</f>
        <v>0</v>
      </c>
      <c r="S24" s="35">
        <f>+GETPIVOTDATA("XBG4",'binhgia (2016)'!$A$3,"MA_HT","SKN","MA_QH","CQP")</f>
        <v>0</v>
      </c>
      <c r="T24" s="35">
        <f>+GETPIVOTDATA("XBG4",'binhgia (2016)'!$A$3,"MA_HT","SKN","MA_QH","CAN")</f>
        <v>0</v>
      </c>
      <c r="U24" s="35">
        <f>+GETPIVOTDATA("XBG4",'binhgia (2016)'!$A$3,"MA_HT","SKN","MA_QH","SKK")</f>
        <v>0</v>
      </c>
      <c r="V24" s="35">
        <f>+GETPIVOTDATA("XBG4",'binhgia (2016)'!$A$3,"MA_HT","SKN","MA_QH","SKT")</f>
        <v>0</v>
      </c>
      <c r="W24" s="99" t="e">
        <f>$D24-$BF24</f>
        <v>#REF!</v>
      </c>
      <c r="X24" s="35">
        <f>+GETPIVOTDATA("XBG4",'binhgia (2016)'!$A$3,"MA_HT","SKN","MA_QH","TMD")</f>
        <v>0</v>
      </c>
      <c r="Y24" s="35">
        <f>+GETPIVOTDATA("XBG4",'binhgia (2016)'!$A$3,"MA_HT","SKN","MA_QH","SKC")</f>
        <v>0</v>
      </c>
      <c r="Z24" s="35">
        <f>+GETPIVOTDATA("XBG4",'binhgia (2016)'!$A$3,"MA_HT","SKN","MA_QH","SKS")</f>
        <v>0</v>
      </c>
      <c r="AA24" s="64">
        <f t="shared" si="12"/>
        <v>0</v>
      </c>
      <c r="AB24" s="35">
        <f>+GETPIVOTDATA("XBG4",'binhgia (2016)'!$A$3,"MA_HT","SKN","MA_QH","DGT")</f>
        <v>0</v>
      </c>
      <c r="AC24" s="35">
        <f>+GETPIVOTDATA("XBG4",'binhgia (2016)'!$A$3,"MA_HT","SKN","MA_QH","DTL")</f>
        <v>0</v>
      </c>
      <c r="AD24" s="35">
        <f>+GETPIVOTDATA("XBG4",'binhgia (2016)'!$A$3,"MA_HT","SKN","MA_QH","DNL")</f>
        <v>0</v>
      </c>
      <c r="AE24" s="35">
        <f>+GETPIVOTDATA("XBG4",'binhgia (2016)'!$A$3,"MA_HT","SKN","MA_QH","DBV")</f>
        <v>0</v>
      </c>
      <c r="AF24" s="35">
        <f>+GETPIVOTDATA("XBG4",'binhgia (2016)'!$A$3,"MA_HT","SKN","MA_QH","DVH")</f>
        <v>0</v>
      </c>
      <c r="AG24" s="35">
        <f>+GETPIVOTDATA("XBG4",'binhgia (2016)'!$A$3,"MA_HT","SKN","MA_QH","DYT")</f>
        <v>0</v>
      </c>
      <c r="AH24" s="35">
        <f>+GETPIVOTDATA("XBG4",'binhgia (2016)'!$A$3,"MA_HT","SKN","MA_QH","DGD")</f>
        <v>0</v>
      </c>
      <c r="AI24" s="35">
        <f>+GETPIVOTDATA("XBG4",'binhgia (2016)'!$A$3,"MA_HT","SKN","MA_QH","DTT")</f>
        <v>0</v>
      </c>
      <c r="AJ24" s="35">
        <f>+GETPIVOTDATA("XBG4",'binhgia (2016)'!$A$3,"MA_HT","SKN","MA_QH","NCK")</f>
        <v>0</v>
      </c>
      <c r="AK24" s="35">
        <f>+GETPIVOTDATA("XBG4",'binhgia (2016)'!$A$3,"MA_HT","SKN","MA_QH","DXH")</f>
        <v>0</v>
      </c>
      <c r="AL24" s="35">
        <f>+GETPIVOTDATA("XBG4",'binhgia (2016)'!$A$3,"MA_HT","SKN","MA_QH","DCH")</f>
        <v>0</v>
      </c>
      <c r="AM24" s="35">
        <f>+GETPIVOTDATA("XBG4",'binhgia (2016)'!$A$3,"MA_HT","SKN","MA_QH","DKG")</f>
        <v>0</v>
      </c>
      <c r="AN24" s="35">
        <f>+GETPIVOTDATA("XBG4",'binhgia (2016)'!$A$3,"MA_HT","SKN","MA_QH","DDT")</f>
        <v>0</v>
      </c>
      <c r="AO24" s="35">
        <f>+GETPIVOTDATA("XBG4",'binhgia (2016)'!$A$3,"MA_HT","SKN","MA_QH","DDL")</f>
        <v>0</v>
      </c>
      <c r="AP24" s="35">
        <f>+GETPIVOTDATA("XBG4",'binhgia (2016)'!$A$3,"MA_HT","SKN","MA_QH","DRA")</f>
        <v>0</v>
      </c>
      <c r="AQ24" s="35">
        <f>+GETPIVOTDATA("XBG4",'binhgia (2016)'!$A$3,"MA_HT","SKN","MA_QH","ONT")</f>
        <v>0</v>
      </c>
      <c r="AR24" s="35">
        <f>+GETPIVOTDATA("XBG4",'binhgia (2016)'!$A$3,"MA_HT","SKN","MA_QH","ODT")</f>
        <v>0</v>
      </c>
      <c r="AS24" s="35">
        <f>+GETPIVOTDATA("XBG4",'binhgia (2016)'!$A$3,"MA_HT","SKN","MA_QH","TSC")</f>
        <v>0</v>
      </c>
      <c r="AT24" s="35">
        <f>+GETPIVOTDATA("XBG4",'binhgia (2016)'!$A$3,"MA_HT","SKN","MA_QH","DTS")</f>
        <v>0</v>
      </c>
      <c r="AU24" s="35">
        <f>+GETPIVOTDATA("XBG4",'binhgia (2016)'!$A$3,"MA_HT","SKN","MA_QH","DNG")</f>
        <v>0</v>
      </c>
      <c r="AV24" s="35">
        <f>+GETPIVOTDATA("XBG4",'binhgia (2016)'!$A$3,"MA_HT","SKN","MA_QH","TON")</f>
        <v>0</v>
      </c>
      <c r="AW24" s="35">
        <f>+GETPIVOTDATA("XBG4",'binhgia (2016)'!$A$3,"MA_HT","SKN","MA_QH","NTD")</f>
        <v>0</v>
      </c>
      <c r="AX24" s="35">
        <f>+GETPIVOTDATA("XBG4",'binhgia (2016)'!$A$3,"MA_HT","SKN","MA_QH","SKX")</f>
        <v>0</v>
      </c>
      <c r="AY24" s="35">
        <f>+GETPIVOTDATA("XBG4",'binhgia (2016)'!$A$3,"MA_HT","SKN","MA_QH","DSH")</f>
        <v>0</v>
      </c>
      <c r="AZ24" s="35">
        <f>+GETPIVOTDATA("XBG4",'binhgia (2016)'!$A$3,"MA_HT","SKN","MA_QH","DKV")</f>
        <v>0</v>
      </c>
      <c r="BA24" s="140">
        <f>+GETPIVOTDATA("XBG4",'binhgia (2016)'!$A$3,"MA_HT","SKN","MA_QH","TIN")</f>
        <v>0</v>
      </c>
      <c r="BB24" s="74">
        <f>+GETPIVOTDATA("XBG4",'binhgia (2016)'!$A$3,"MA_HT","SKN","MA_QH","SON")</f>
        <v>0</v>
      </c>
      <c r="BC24" s="74">
        <f>+GETPIVOTDATA("XBG4",'binhgia (2016)'!$A$3,"MA_HT","SKN","MA_QH","MNC")</f>
        <v>0</v>
      </c>
      <c r="BD24" s="35">
        <f>+GETPIVOTDATA("XBG4",'binhgia (2016)'!$A$3,"MA_HT","SKN","MA_QH","PNK")</f>
        <v>0</v>
      </c>
      <c r="BE24" s="58">
        <f>+GETPIVOTDATA("XBG4",'binhgia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+GETPIVOTDATA("XBG4",'binhgia (2016)'!$A$3,"MA_HT","TMD","MA_QH","LUC")</f>
        <v>0</v>
      </c>
      <c r="H25" s="35">
        <f>+GETPIVOTDATA("XBG4",'binhgia (2016)'!$A$3,"MA_HT","TMD","MA_QH","LUK")</f>
        <v>0</v>
      </c>
      <c r="I25" s="35">
        <f>+GETPIVOTDATA("XBG4",'binhgia (2016)'!$A$3,"MA_HT","TMD","MA_QH","LUN")</f>
        <v>0</v>
      </c>
      <c r="J25" s="35">
        <f>+GETPIVOTDATA("XBG4",'binhgia (2016)'!$A$3,"MA_HT","TMD","MA_QH","HNK")</f>
        <v>0</v>
      </c>
      <c r="K25" s="35">
        <f>+GETPIVOTDATA("XBG4",'binhgia (2016)'!$A$3,"MA_HT","TMD","MA_QH","CLN")</f>
        <v>0</v>
      </c>
      <c r="L25" s="35">
        <f>+GETPIVOTDATA("XBG4",'binhgia (2016)'!$A$3,"MA_HT","TMD","MA_QH","RSX")</f>
        <v>0</v>
      </c>
      <c r="M25" s="35">
        <f>+GETPIVOTDATA("XBG4",'binhgia (2016)'!$A$3,"MA_HT","TMD","MA_QH","RPH")</f>
        <v>0</v>
      </c>
      <c r="N25" s="35">
        <f>+GETPIVOTDATA("XBG4",'binhgia (2016)'!$A$3,"MA_HT","TMD","MA_QH","RDD")</f>
        <v>0</v>
      </c>
      <c r="O25" s="35">
        <f>+GETPIVOTDATA("XBG4",'binhgia (2016)'!$A$3,"MA_HT","TMD","MA_QH","NTS")</f>
        <v>0</v>
      </c>
      <c r="P25" s="35">
        <f>+GETPIVOTDATA("XBG4",'binhgia (2016)'!$A$3,"MA_HT","TMD","MA_QH","LMU")</f>
        <v>0</v>
      </c>
      <c r="Q25" s="35">
        <f>+GETPIVOTDATA("XBG4",'binhgia (2016)'!$A$3,"MA_HT","TMD","MA_QH","NKH")</f>
        <v>0</v>
      </c>
      <c r="R25" s="63">
        <f>SUM(S25:W25,Y25:AA25,AN25:BD25)</f>
        <v>0</v>
      </c>
      <c r="S25" s="35">
        <f>+GETPIVOTDATA("XBG4",'binhgia (2016)'!$A$3,"MA_HT","TMD","MA_QH","CQP")</f>
        <v>0</v>
      </c>
      <c r="T25" s="35">
        <f>+GETPIVOTDATA("XBG4",'binhgia (2016)'!$A$3,"MA_HT","TMD","MA_QH","CAN")</f>
        <v>0</v>
      </c>
      <c r="U25" s="35">
        <f>+GETPIVOTDATA("XBG4",'binhgia (2016)'!$A$3,"MA_HT","TMD","MA_QH","SKK")</f>
        <v>0</v>
      </c>
      <c r="V25" s="35">
        <f>+GETPIVOTDATA("XBG4",'binhgia (2016)'!$A$3,"MA_HT","TMD","MA_QH","SKT")</f>
        <v>0</v>
      </c>
      <c r="W25" s="35">
        <f>+GETPIVOTDATA("XBG4",'binhgia (2016)'!$A$3,"MA_HT","TMD","MA_QH","SKN")</f>
        <v>0</v>
      </c>
      <c r="X25" s="99" t="e">
        <f>$D25-$BF25</f>
        <v>#REF!</v>
      </c>
      <c r="Y25" s="35">
        <f>+GETPIVOTDATA("XBG4",'binhgia (2016)'!$A$3,"MA_HT","TMD","MA_QH","SKC")</f>
        <v>0</v>
      </c>
      <c r="Z25" s="35">
        <f>+GETPIVOTDATA("XBG4",'binhgia (2016)'!$A$3,"MA_HT","TMD","MA_QH","SKS")</f>
        <v>0</v>
      </c>
      <c r="AA25" s="64">
        <f t="shared" si="12"/>
        <v>0</v>
      </c>
      <c r="AB25" s="35">
        <f>+GETPIVOTDATA("XBG4",'binhgia (2016)'!$A$3,"MA_HT","TMD","MA_QH","DGT")</f>
        <v>0</v>
      </c>
      <c r="AC25" s="35">
        <f>+GETPIVOTDATA("XBG4",'binhgia (2016)'!$A$3,"MA_HT","TMD","MA_QH","DTL")</f>
        <v>0</v>
      </c>
      <c r="AD25" s="35">
        <f>+GETPIVOTDATA("XBG4",'binhgia (2016)'!$A$3,"MA_HT","TMD","MA_QH","DNL")</f>
        <v>0</v>
      </c>
      <c r="AE25" s="35">
        <f>+GETPIVOTDATA("XBG4",'binhgia (2016)'!$A$3,"MA_HT","TMD","MA_QH","DBV")</f>
        <v>0</v>
      </c>
      <c r="AF25" s="35">
        <f>+GETPIVOTDATA("XBG4",'binhgia (2016)'!$A$3,"MA_HT","TMD","MA_QH","DVH")</f>
        <v>0</v>
      </c>
      <c r="AG25" s="35">
        <f>+GETPIVOTDATA("XBG4",'binhgia (2016)'!$A$3,"MA_HT","TMD","MA_QH","DYT")</f>
        <v>0</v>
      </c>
      <c r="AH25" s="35">
        <f>+GETPIVOTDATA("XBG4",'binhgia (2016)'!$A$3,"MA_HT","TMD","MA_QH","DGD")</f>
        <v>0</v>
      </c>
      <c r="AI25" s="35">
        <f>+GETPIVOTDATA("XBG4",'binhgia (2016)'!$A$3,"MA_HT","TMD","MA_QH","DTT")</f>
        <v>0</v>
      </c>
      <c r="AJ25" s="35">
        <f>+GETPIVOTDATA("XBG4",'binhgia (2016)'!$A$3,"MA_HT","TMD","MA_QH","NCK")</f>
        <v>0</v>
      </c>
      <c r="AK25" s="35">
        <f>+GETPIVOTDATA("XBG4",'binhgia (2016)'!$A$3,"MA_HT","TMD","MA_QH","DXH")</f>
        <v>0</v>
      </c>
      <c r="AL25" s="35">
        <f>+GETPIVOTDATA("XBG4",'binhgia (2016)'!$A$3,"MA_HT","TMD","MA_QH","DCH")</f>
        <v>0</v>
      </c>
      <c r="AM25" s="35">
        <f>+GETPIVOTDATA("XBG4",'binhgia (2016)'!$A$3,"MA_HT","TMD","MA_QH","DKG")</f>
        <v>0</v>
      </c>
      <c r="AN25" s="35">
        <f>+GETPIVOTDATA("XBG4",'binhgia (2016)'!$A$3,"MA_HT","TMD","MA_QH","DDT")</f>
        <v>0</v>
      </c>
      <c r="AO25" s="35">
        <f>+GETPIVOTDATA("XBG4",'binhgia (2016)'!$A$3,"MA_HT","TMD","MA_QH","DDL")</f>
        <v>0</v>
      </c>
      <c r="AP25" s="35">
        <f>+GETPIVOTDATA("XBG4",'binhgia (2016)'!$A$3,"MA_HT","TMD","MA_QH","DRA")</f>
        <v>0</v>
      </c>
      <c r="AQ25" s="35">
        <f>+GETPIVOTDATA("XBG4",'binhgia (2016)'!$A$3,"MA_HT","TMD","MA_QH","ONT")</f>
        <v>0</v>
      </c>
      <c r="AR25" s="35">
        <f>+GETPIVOTDATA("XBG4",'binhgia (2016)'!$A$3,"MA_HT","TMD","MA_QH","ODT")</f>
        <v>0</v>
      </c>
      <c r="AS25" s="35">
        <f>+GETPIVOTDATA("XBG4",'binhgia (2016)'!$A$3,"MA_HT","TMD","MA_QH","TSC")</f>
        <v>0</v>
      </c>
      <c r="AT25" s="35">
        <f>+GETPIVOTDATA("XBG4",'binhgia (2016)'!$A$3,"MA_HT","TMD","MA_QH","DTS")</f>
        <v>0</v>
      </c>
      <c r="AU25" s="35">
        <f>+GETPIVOTDATA("XBG4",'binhgia (2016)'!$A$3,"MA_HT","TMD","MA_QH","DNG")</f>
        <v>0</v>
      </c>
      <c r="AV25" s="35">
        <f>+GETPIVOTDATA("XBG4",'binhgia (2016)'!$A$3,"MA_HT","TMD","MA_QH","TON")</f>
        <v>0</v>
      </c>
      <c r="AW25" s="35">
        <f>+GETPIVOTDATA("XBG4",'binhgia (2016)'!$A$3,"MA_HT","TMD","MA_QH","NTD")</f>
        <v>0</v>
      </c>
      <c r="AX25" s="35">
        <f>+GETPIVOTDATA("XBG4",'binhgia (2016)'!$A$3,"MA_HT","TMD","MA_QH","SKX")</f>
        <v>0</v>
      </c>
      <c r="AY25" s="35">
        <f>+GETPIVOTDATA("XBG4",'binhgia (2016)'!$A$3,"MA_HT","TMD","MA_QH","DSH")</f>
        <v>0</v>
      </c>
      <c r="AZ25" s="35">
        <f>+GETPIVOTDATA("XBG4",'binhgia (2016)'!$A$3,"MA_HT","TMD","MA_QH","DKV")</f>
        <v>0</v>
      </c>
      <c r="BA25" s="140">
        <f>+GETPIVOTDATA("XBG4",'binhgia (2016)'!$A$3,"MA_HT","TMD","MA_QH","TIN")</f>
        <v>0</v>
      </c>
      <c r="BB25" s="74">
        <f>+GETPIVOTDATA("XBG4",'binhgia (2016)'!$A$3,"MA_HT","TMD","MA_QH","SON")</f>
        <v>0</v>
      </c>
      <c r="BC25" s="74">
        <f>+GETPIVOTDATA("XBG4",'binhgia (2016)'!$A$3,"MA_HT","TMD","MA_QH","MNC")</f>
        <v>0</v>
      </c>
      <c r="BD25" s="35">
        <f>+GETPIVOTDATA("XBG4",'binhgia (2016)'!$A$3,"MA_HT","TMD","MA_QH","PNK")</f>
        <v>0</v>
      </c>
      <c r="BE25" s="58">
        <f>+GETPIVOTDATA("XBG4",'binhgia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+GETPIVOTDATA("XBG4",'binhgia (2016)'!$A$3,"MA_HT","SKC","MA_QH","LUC")</f>
        <v>0</v>
      </c>
      <c r="H26" s="35">
        <f>+GETPIVOTDATA("XBG4",'binhgia (2016)'!$A$3,"MA_HT","SKC","MA_QH","LUK")</f>
        <v>0</v>
      </c>
      <c r="I26" s="35">
        <f>+GETPIVOTDATA("XBG4",'binhgia (2016)'!$A$3,"MA_HT","SKC","MA_QH","LUN")</f>
        <v>0</v>
      </c>
      <c r="J26" s="35">
        <f>+GETPIVOTDATA("XBG4",'binhgia (2016)'!$A$3,"MA_HT","SKC","MA_QH","HNK")</f>
        <v>0</v>
      </c>
      <c r="K26" s="35">
        <f>+GETPIVOTDATA("XBG4",'binhgia (2016)'!$A$3,"MA_HT","SKC","MA_QH","CLN")</f>
        <v>0</v>
      </c>
      <c r="L26" s="35">
        <f>+GETPIVOTDATA("XBG4",'binhgia (2016)'!$A$3,"MA_HT","SKC","MA_QH","RSX")</f>
        <v>0</v>
      </c>
      <c r="M26" s="35">
        <f>+GETPIVOTDATA("XBG4",'binhgia (2016)'!$A$3,"MA_HT","SKC","MA_QH","RPH")</f>
        <v>0</v>
      </c>
      <c r="N26" s="35">
        <f>+GETPIVOTDATA("XBG4",'binhgia (2016)'!$A$3,"MA_HT","SKC","MA_QH","RDD")</f>
        <v>0</v>
      </c>
      <c r="O26" s="35">
        <f>+GETPIVOTDATA("XBG4",'binhgia (2016)'!$A$3,"MA_HT","SKC","MA_QH","NTS")</f>
        <v>0</v>
      </c>
      <c r="P26" s="35">
        <f>+GETPIVOTDATA("XBG4",'binhgia (2016)'!$A$3,"MA_HT","SKC","MA_QH","LMU")</f>
        <v>0</v>
      </c>
      <c r="Q26" s="35">
        <f>+GETPIVOTDATA("XBG4",'binhgia (2016)'!$A$3,"MA_HT","SKC","MA_QH","NKH")</f>
        <v>0</v>
      </c>
      <c r="R26" s="63">
        <f>SUM(S26:X26,Z26,AN26:BD26)</f>
        <v>0</v>
      </c>
      <c r="S26" s="35">
        <f>+GETPIVOTDATA("XBG4",'binhgia (2016)'!$A$3,"MA_HT","SKC","MA_QH","CQP")</f>
        <v>0</v>
      </c>
      <c r="T26" s="35">
        <f>+GETPIVOTDATA("XBG4",'binhgia (2016)'!$A$3,"MA_HT","SKC","MA_QH","CAN")</f>
        <v>0</v>
      </c>
      <c r="U26" s="35">
        <f>+GETPIVOTDATA("XBG4",'binhgia (2016)'!$A$3,"MA_HT","SKC","MA_QH","SKK")</f>
        <v>0</v>
      </c>
      <c r="V26" s="35">
        <f>+GETPIVOTDATA("XBG4",'binhgia (2016)'!$A$3,"MA_HT","SKC","MA_QH","SKT")</f>
        <v>0</v>
      </c>
      <c r="W26" s="35">
        <f>+GETPIVOTDATA("XBG4",'binhgia (2016)'!$A$3,"MA_HT","SKC","MA_QH","SKN")</f>
        <v>0</v>
      </c>
      <c r="X26" s="35">
        <f>+GETPIVOTDATA("XBG4",'binhgia (2016)'!$A$3,"MA_HT","SKC","MA_QH","TMD")</f>
        <v>0</v>
      </c>
      <c r="Y26" s="99" t="e">
        <f>$D26-$BF26</f>
        <v>#REF!</v>
      </c>
      <c r="Z26" s="35">
        <f>+GETPIVOTDATA("XBG4",'binhgia (2016)'!$A$3,"MA_HT","SKC","MA_QH","SKS")</f>
        <v>0</v>
      </c>
      <c r="AA26" s="64">
        <f t="shared" si="12"/>
        <v>0</v>
      </c>
      <c r="AB26" s="35">
        <f>+GETPIVOTDATA("XBG4",'binhgia (2016)'!$A$3,"MA_HT","SKC","MA_QH","DGT")</f>
        <v>0</v>
      </c>
      <c r="AC26" s="35">
        <f>+GETPIVOTDATA("XBG4",'binhgia (2016)'!$A$3,"MA_HT","SKC","MA_QH","DTL")</f>
        <v>0</v>
      </c>
      <c r="AD26" s="35">
        <f>+GETPIVOTDATA("XBG4",'binhgia (2016)'!$A$3,"MA_HT","SKC","MA_QH","DNL")</f>
        <v>0</v>
      </c>
      <c r="AE26" s="35">
        <f>+GETPIVOTDATA("XBG4",'binhgia (2016)'!$A$3,"MA_HT","SKC","MA_QH","DBV")</f>
        <v>0</v>
      </c>
      <c r="AF26" s="35">
        <f>+GETPIVOTDATA("XBG4",'binhgia (2016)'!$A$3,"MA_HT","SKC","MA_QH","DVH")</f>
        <v>0</v>
      </c>
      <c r="AG26" s="35">
        <f>+GETPIVOTDATA("XBG4",'binhgia (2016)'!$A$3,"MA_HT","SKC","MA_QH","DYT")</f>
        <v>0</v>
      </c>
      <c r="AH26" s="35">
        <f>+GETPIVOTDATA("XBG4",'binhgia (2016)'!$A$3,"MA_HT","SKC","MA_QH","DGD")</f>
        <v>0</v>
      </c>
      <c r="AI26" s="35">
        <f>+GETPIVOTDATA("XBG4",'binhgia (2016)'!$A$3,"MA_HT","SKC","MA_QH","DTT")</f>
        <v>0</v>
      </c>
      <c r="AJ26" s="35">
        <f>+GETPIVOTDATA("XBG4",'binhgia (2016)'!$A$3,"MA_HT","SKC","MA_QH","NCK")</f>
        <v>0</v>
      </c>
      <c r="AK26" s="35">
        <f>+GETPIVOTDATA("XBG4",'binhgia (2016)'!$A$3,"MA_HT","SKC","MA_QH","DXH")</f>
        <v>0</v>
      </c>
      <c r="AL26" s="35">
        <f>+GETPIVOTDATA("XBG4",'binhgia (2016)'!$A$3,"MA_HT","SKC","MA_QH","DCH")</f>
        <v>0</v>
      </c>
      <c r="AM26" s="35">
        <f>+GETPIVOTDATA("XBG4",'binhgia (2016)'!$A$3,"MA_HT","SKC","MA_QH","DKG")</f>
        <v>0</v>
      </c>
      <c r="AN26" s="35">
        <f>+GETPIVOTDATA("XBG4",'binhgia (2016)'!$A$3,"MA_HT","SKC","MA_QH","DDT")</f>
        <v>0</v>
      </c>
      <c r="AO26" s="35">
        <f>+GETPIVOTDATA("XBG4",'binhgia (2016)'!$A$3,"MA_HT","SKC","MA_QH","DDL")</f>
        <v>0</v>
      </c>
      <c r="AP26" s="35">
        <f>+GETPIVOTDATA("XBG4",'binhgia (2016)'!$A$3,"MA_HT","SKC","MA_QH","DRA")</f>
        <v>0</v>
      </c>
      <c r="AQ26" s="35">
        <f>+GETPIVOTDATA("XBG4",'binhgia (2016)'!$A$3,"MA_HT","SKC","MA_QH","ONT")</f>
        <v>0</v>
      </c>
      <c r="AR26" s="35">
        <f>+GETPIVOTDATA("XBG4",'binhgia (2016)'!$A$3,"MA_HT","SKC","MA_QH","ODT")</f>
        <v>0</v>
      </c>
      <c r="AS26" s="35">
        <f>+GETPIVOTDATA("XBG4",'binhgia (2016)'!$A$3,"MA_HT","SKC","MA_QH","TSC")</f>
        <v>0</v>
      </c>
      <c r="AT26" s="35">
        <f>+GETPIVOTDATA("XBG4",'binhgia (2016)'!$A$3,"MA_HT","SKC","MA_QH","DTS")</f>
        <v>0</v>
      </c>
      <c r="AU26" s="35">
        <f>+GETPIVOTDATA("XBG4",'binhgia (2016)'!$A$3,"MA_HT","SKC","MA_QH","DNG")</f>
        <v>0</v>
      </c>
      <c r="AV26" s="35">
        <f>+GETPIVOTDATA("XBG4",'binhgia (2016)'!$A$3,"MA_HT","SKC","MA_QH","TON")</f>
        <v>0</v>
      </c>
      <c r="AW26" s="35">
        <f>+GETPIVOTDATA("XBG4",'binhgia (2016)'!$A$3,"MA_HT","SKC","MA_QH","NTD")</f>
        <v>0</v>
      </c>
      <c r="AX26" s="35">
        <f>+GETPIVOTDATA("XBG4",'binhgia (2016)'!$A$3,"MA_HT","SKC","MA_QH","SKX")</f>
        <v>0</v>
      </c>
      <c r="AY26" s="35">
        <f>+GETPIVOTDATA("XBG4",'binhgia (2016)'!$A$3,"MA_HT","SKC","MA_QH","DSH")</f>
        <v>0</v>
      </c>
      <c r="AZ26" s="35">
        <f>+GETPIVOTDATA("XBG4",'binhgia (2016)'!$A$3,"MA_HT","SKC","MA_QH","DKV")</f>
        <v>0</v>
      </c>
      <c r="BA26" s="140">
        <f>+GETPIVOTDATA("XBG4",'binhgia (2016)'!$A$3,"MA_HT","SKC","MA_QH","TIN")</f>
        <v>0</v>
      </c>
      <c r="BB26" s="74">
        <f>+GETPIVOTDATA("XBG4",'binhgia (2016)'!$A$3,"MA_HT","SKC","MA_QH","SON")</f>
        <v>0</v>
      </c>
      <c r="BC26" s="74">
        <f>+GETPIVOTDATA("XBG4",'binhgia (2016)'!$A$3,"MA_HT","SKC","MA_QH","MNC")</f>
        <v>0</v>
      </c>
      <c r="BD26" s="35">
        <f>+GETPIVOTDATA("XBG4",'binhgia (2016)'!$A$3,"MA_HT","SKC","MA_QH","PNK")</f>
        <v>0</v>
      </c>
      <c r="BE26" s="58">
        <f>+GETPIVOTDATA("XBG4",'binhgia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+GETPIVOTDATA("XBG4",'binhgia (2016)'!$A$3,"MA_HT","SKS","MA_QH","LUC")</f>
        <v>0</v>
      </c>
      <c r="H27" s="35">
        <f>+GETPIVOTDATA("XBG4",'binhgia (2016)'!$A$3,"MA_HT","SKS","MA_QH","LUK")</f>
        <v>0</v>
      </c>
      <c r="I27" s="35">
        <f>+GETPIVOTDATA("XBG4",'binhgia (2016)'!$A$3,"MA_HT","SKS","MA_QH","LUN")</f>
        <v>0</v>
      </c>
      <c r="J27" s="35">
        <f>+GETPIVOTDATA("XBG4",'binhgia (2016)'!$A$3,"MA_HT","SKS","MA_QH","HNK")</f>
        <v>0</v>
      </c>
      <c r="K27" s="35">
        <f>+GETPIVOTDATA("XBG4",'binhgia (2016)'!$A$3,"MA_HT","SKS","MA_QH","CLN")</f>
        <v>0</v>
      </c>
      <c r="L27" s="35">
        <f>+GETPIVOTDATA("XBG4",'binhgia (2016)'!$A$3,"MA_HT","SKS","MA_QH","RSX")</f>
        <v>0</v>
      </c>
      <c r="M27" s="35">
        <f>+GETPIVOTDATA("XBG4",'binhgia (2016)'!$A$3,"MA_HT","SKS","MA_QH","RPH")</f>
        <v>0</v>
      </c>
      <c r="N27" s="35">
        <f>+GETPIVOTDATA("XBG4",'binhgia (2016)'!$A$3,"MA_HT","SKS","MA_QH","RDD")</f>
        <v>0</v>
      </c>
      <c r="O27" s="35">
        <f>+GETPIVOTDATA("XBG4",'binhgia (2016)'!$A$3,"MA_HT","SKS","MA_QH","NTS")</f>
        <v>0</v>
      </c>
      <c r="P27" s="35">
        <f>+GETPIVOTDATA("XBG4",'binhgia (2016)'!$A$3,"MA_HT","SKS","MA_QH","LMU")</f>
        <v>0</v>
      </c>
      <c r="Q27" s="35">
        <f>+GETPIVOTDATA("XBG4",'binhgia (2016)'!$A$3,"MA_HT","SKS","MA_QH","NKH")</f>
        <v>0</v>
      </c>
      <c r="R27" s="63">
        <f>SUM(S27:Y27,AA27,AN27:BD27)</f>
        <v>0</v>
      </c>
      <c r="S27" s="35">
        <f>+GETPIVOTDATA("XBG4",'binhgia (2016)'!$A$3,"MA_HT","SKS","MA_QH","CQP")</f>
        <v>0</v>
      </c>
      <c r="T27" s="35">
        <f>+GETPIVOTDATA("XBG4",'binhgia (2016)'!$A$3,"MA_HT","SKS","MA_QH","CAN")</f>
        <v>0</v>
      </c>
      <c r="U27" s="35">
        <f>+GETPIVOTDATA("XBG4",'binhgia (2016)'!$A$3,"MA_HT","SKS","MA_QH","SKK")</f>
        <v>0</v>
      </c>
      <c r="V27" s="35">
        <f>+GETPIVOTDATA("XBG4",'binhgia (2016)'!$A$3,"MA_HT","SKS","MA_QH","SKT")</f>
        <v>0</v>
      </c>
      <c r="W27" s="35">
        <f>+GETPIVOTDATA("XBG4",'binhgia (2016)'!$A$3,"MA_HT","SKS","MA_QH","SKN")</f>
        <v>0</v>
      </c>
      <c r="X27" s="35">
        <f>+GETPIVOTDATA("XBG4",'binhgia (2016)'!$A$3,"MA_HT","SKS","MA_QH","TMD")</f>
        <v>0</v>
      </c>
      <c r="Y27" s="35">
        <f>+GETPIVOTDATA("XBG4",'binhgia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+GETPIVOTDATA("XBG4",'binhgia (2016)'!$A$3,"MA_HT","SKS","MA_QH","DGT")</f>
        <v>0</v>
      </c>
      <c r="AC27" s="35">
        <f>+GETPIVOTDATA("XBG4",'binhgia (2016)'!$A$3,"MA_HT","SKS","MA_QH","DTL")</f>
        <v>0</v>
      </c>
      <c r="AD27" s="35">
        <f>+GETPIVOTDATA("XBG4",'binhgia (2016)'!$A$3,"MA_HT","SKS","MA_QH","DNL")</f>
        <v>0</v>
      </c>
      <c r="AE27" s="35">
        <f>+GETPIVOTDATA("XBG4",'binhgia (2016)'!$A$3,"MA_HT","SKS","MA_QH","DBV")</f>
        <v>0</v>
      </c>
      <c r="AF27" s="35">
        <f>+GETPIVOTDATA("XBG4",'binhgia (2016)'!$A$3,"MA_HT","SKS","MA_QH","DVH")</f>
        <v>0</v>
      </c>
      <c r="AG27" s="35">
        <f>+GETPIVOTDATA("XBG4",'binhgia (2016)'!$A$3,"MA_HT","SKS","MA_QH","DYT")</f>
        <v>0</v>
      </c>
      <c r="AH27" s="35">
        <f>+GETPIVOTDATA("XBG4",'binhgia (2016)'!$A$3,"MA_HT","SKS","MA_QH","DGD")</f>
        <v>0</v>
      </c>
      <c r="AI27" s="35">
        <f>+GETPIVOTDATA("XBG4",'binhgia (2016)'!$A$3,"MA_HT","SKS","MA_QH","DTT")</f>
        <v>0</v>
      </c>
      <c r="AJ27" s="35">
        <f>+GETPIVOTDATA("XBG4",'binhgia (2016)'!$A$3,"MA_HT","SKS","MA_QH","NCK")</f>
        <v>0</v>
      </c>
      <c r="AK27" s="35">
        <f>+GETPIVOTDATA("XBG4",'binhgia (2016)'!$A$3,"MA_HT","SKS","MA_QH","DXH")</f>
        <v>0</v>
      </c>
      <c r="AL27" s="35">
        <f>+GETPIVOTDATA("XBG4",'binhgia (2016)'!$A$3,"MA_HT","SKS","MA_QH","DCH")</f>
        <v>0</v>
      </c>
      <c r="AM27" s="35">
        <f>+GETPIVOTDATA("XBG4",'binhgia (2016)'!$A$3,"MA_HT","SKS","MA_QH","DKG")</f>
        <v>0</v>
      </c>
      <c r="AN27" s="35">
        <f>+GETPIVOTDATA("XBG4",'binhgia (2016)'!$A$3,"MA_HT","SKS","MA_QH","DDT")</f>
        <v>0</v>
      </c>
      <c r="AO27" s="35">
        <f>+GETPIVOTDATA("XBG4",'binhgia (2016)'!$A$3,"MA_HT","SKS","MA_QH","DDL")</f>
        <v>0</v>
      </c>
      <c r="AP27" s="35">
        <f>+GETPIVOTDATA("XBG4",'binhgia (2016)'!$A$3,"MA_HT","SKS","MA_QH","DRA")</f>
        <v>0</v>
      </c>
      <c r="AQ27" s="35">
        <f>+GETPIVOTDATA("XBG4",'binhgia (2016)'!$A$3,"MA_HT","SKS","MA_QH","ONT")</f>
        <v>0</v>
      </c>
      <c r="AR27" s="35">
        <f>+GETPIVOTDATA("XBG4",'binhgia (2016)'!$A$3,"MA_HT","SKS","MA_QH","ODT")</f>
        <v>0</v>
      </c>
      <c r="AS27" s="35">
        <f>+GETPIVOTDATA("XBG4",'binhgia (2016)'!$A$3,"MA_HT","SKS","MA_QH","TSC")</f>
        <v>0</v>
      </c>
      <c r="AT27" s="35">
        <f>+GETPIVOTDATA("XBG4",'binhgia (2016)'!$A$3,"MA_HT","SKS","MA_QH","DTS")</f>
        <v>0</v>
      </c>
      <c r="AU27" s="35">
        <f>+GETPIVOTDATA("XBG4",'binhgia (2016)'!$A$3,"MA_HT","SKS","MA_QH","DNG")</f>
        <v>0</v>
      </c>
      <c r="AV27" s="35">
        <f>+GETPIVOTDATA("XBG4",'binhgia (2016)'!$A$3,"MA_HT","SKS","MA_QH","TON")</f>
        <v>0</v>
      </c>
      <c r="AW27" s="35">
        <f>+GETPIVOTDATA("XBG4",'binhgia (2016)'!$A$3,"MA_HT","SKS","MA_QH","NTD")</f>
        <v>0</v>
      </c>
      <c r="AX27" s="35">
        <f>+GETPIVOTDATA("XBG4",'binhgia (2016)'!$A$3,"MA_HT","SKS","MA_QH","SKX")</f>
        <v>0</v>
      </c>
      <c r="AY27" s="35">
        <f>+GETPIVOTDATA("XBG4",'binhgia (2016)'!$A$3,"MA_HT","SKS","MA_QH","DSH")</f>
        <v>0</v>
      </c>
      <c r="AZ27" s="35">
        <f>+GETPIVOTDATA("XBG4",'binhgia (2016)'!$A$3,"MA_HT","SKS","MA_QH","DKV")</f>
        <v>0</v>
      </c>
      <c r="BA27" s="140">
        <f>+GETPIVOTDATA("XBG4",'binhgia (2016)'!$A$3,"MA_HT","SKS","MA_QH","TIN")</f>
        <v>0</v>
      </c>
      <c r="BB27" s="74">
        <f>+GETPIVOTDATA("XBG4",'binhgia (2016)'!$A$3,"MA_HT","SKS","MA_QH","SON")</f>
        <v>0</v>
      </c>
      <c r="BC27" s="74">
        <f>+GETPIVOTDATA("XBG4",'binhgia (2016)'!$A$3,"MA_HT","SKS","MA_QH","MNC")</f>
        <v>0</v>
      </c>
      <c r="BD27" s="35">
        <f>+GETPIVOTDATA("XBG4",'binhgia (2016)'!$A$3,"MA_HT","SKS","MA_QH","PNK")</f>
        <v>0</v>
      </c>
      <c r="BE27" s="58">
        <f>+GETPIVOTDATA("XBG4",'binhgia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+GETPIVOTDATA("XBG4",'binhgia (2016)'!$A$3,"MA_HT","DGT","MA_QH","LUC")</f>
        <v>0</v>
      </c>
      <c r="H29" s="74">
        <f>+GETPIVOTDATA("XBG4",'binhgia (2016)'!$A$3,"MA_HT","DGT","MA_QH","LUK")</f>
        <v>0</v>
      </c>
      <c r="I29" s="74">
        <f>+GETPIVOTDATA("XBG4",'binhgia (2016)'!$A$3,"MA_HT","DGT","MA_QH","LUN")</f>
        <v>0</v>
      </c>
      <c r="J29" s="74">
        <f>+GETPIVOTDATA("XBG4",'binhgia (2016)'!$A$3,"MA_HT","DGT","MA_QH","HNK")</f>
        <v>0</v>
      </c>
      <c r="K29" s="74">
        <f>+GETPIVOTDATA("XBG4",'binhgia (2016)'!$A$3,"MA_HT","DGT","MA_QH","CLN")</f>
        <v>0</v>
      </c>
      <c r="L29" s="74">
        <f>+GETPIVOTDATA("XBG4",'binhgia (2016)'!$A$3,"MA_HT","DGT","MA_QH","RSX")</f>
        <v>0</v>
      </c>
      <c r="M29" s="74">
        <f>+GETPIVOTDATA("XBG4",'binhgia (2016)'!$A$3,"MA_HT","DGT","MA_QH","RPH")</f>
        <v>0</v>
      </c>
      <c r="N29" s="74">
        <f>+GETPIVOTDATA("XBG4",'binhgia (2016)'!$A$3,"MA_HT","DGT","MA_QH","RDD")</f>
        <v>0</v>
      </c>
      <c r="O29" s="74">
        <f>+GETPIVOTDATA("XBG4",'binhgia (2016)'!$A$3,"MA_HT","DGT","MA_QH","NTS")</f>
        <v>0</v>
      </c>
      <c r="P29" s="74">
        <f>+GETPIVOTDATA("XBG4",'binhgia (2016)'!$A$3,"MA_HT","DGT","MA_QH","LMU")</f>
        <v>0</v>
      </c>
      <c r="Q29" s="74">
        <f>+GETPIVOTDATA("XBG4",'binhgia (2016)'!$A$3,"MA_HT","DGT","MA_QH","NKH")</f>
        <v>0</v>
      </c>
      <c r="R29" s="72">
        <f>SUM(S29:AA29,AN29:BD29)</f>
        <v>0</v>
      </c>
      <c r="S29" s="74">
        <f>+GETPIVOTDATA("XBG4",'binhgia (2016)'!$A$3,"MA_HT","DGT","MA_QH","CQP")</f>
        <v>0</v>
      </c>
      <c r="T29" s="74">
        <f>+GETPIVOTDATA("XBG4",'binhgia (2016)'!$A$3,"MA_HT","DGT","MA_QH","CAN")</f>
        <v>0</v>
      </c>
      <c r="U29" s="74">
        <f>+GETPIVOTDATA("XBG4",'binhgia (2016)'!$A$3,"MA_HT","DGT","MA_QH","SKK")</f>
        <v>0</v>
      </c>
      <c r="V29" s="74">
        <f>+GETPIVOTDATA("XBG4",'binhgia (2016)'!$A$3,"MA_HT","DGT","MA_QH","SKT")</f>
        <v>0</v>
      </c>
      <c r="W29" s="74">
        <f>+GETPIVOTDATA("XBG4",'binhgia (2016)'!$A$3,"MA_HT","DGT","MA_QH","SKN")</f>
        <v>0</v>
      </c>
      <c r="X29" s="74">
        <f>+GETPIVOTDATA("XBG4",'binhgia (2016)'!$A$3,"MA_HT","DGT","MA_QH","TMD")</f>
        <v>0</v>
      </c>
      <c r="Y29" s="74">
        <f>+GETPIVOTDATA("XBG4",'binhgia (2016)'!$A$3,"MA_HT","DGT","MA_QH","SKC")</f>
        <v>0</v>
      </c>
      <c r="Z29" s="74">
        <f>+GETPIVOTDATA("XBG4",'binhgia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+GETPIVOTDATA("XBG4",'binhgia (2016)'!$A$3,"MA_HT","DGT","MA_QH","DTL")</f>
        <v>0</v>
      </c>
      <c r="AD29" s="74">
        <f>+GETPIVOTDATA("XBG4",'binhgia (2016)'!$A$3,"MA_HT","DGT","MA_QH","DNL")</f>
        <v>0</v>
      </c>
      <c r="AE29" s="74">
        <f>+GETPIVOTDATA("XBG4",'binhgia (2016)'!$A$3,"MA_HT","DGT","MA_QH","DBV")</f>
        <v>0</v>
      </c>
      <c r="AF29" s="74">
        <f>+GETPIVOTDATA("XBG4",'binhgia (2016)'!$A$3,"MA_HT","DGT","MA_QH","DVH")</f>
        <v>0</v>
      </c>
      <c r="AG29" s="74">
        <f>+GETPIVOTDATA("XBG4",'binhgia (2016)'!$A$3,"MA_HT","DGT","MA_QH","DYT")</f>
        <v>0</v>
      </c>
      <c r="AH29" s="74">
        <f>+GETPIVOTDATA("XBG4",'binhgia (2016)'!$A$3,"MA_HT","DGT","MA_QH","DGD")</f>
        <v>0</v>
      </c>
      <c r="AI29" s="74">
        <f>+GETPIVOTDATA("XBG4",'binhgia (2016)'!$A$3,"MA_HT","DGT","MA_QH","DTT")</f>
        <v>0</v>
      </c>
      <c r="AJ29" s="74">
        <f>+GETPIVOTDATA("XBG4",'binhgia (2016)'!$A$3,"MA_HT","DGT","MA_QH","NCK")</f>
        <v>0</v>
      </c>
      <c r="AK29" s="74">
        <f>+GETPIVOTDATA("XBG4",'binhgia (2016)'!$A$3,"MA_HT","DGT","MA_QH","DXH")</f>
        <v>0</v>
      </c>
      <c r="AL29" s="74">
        <f>+GETPIVOTDATA("XBG4",'binhgia (2016)'!$A$3,"MA_HT","DGT","MA_QH","DCH")</f>
        <v>0</v>
      </c>
      <c r="AM29" s="74">
        <f>+GETPIVOTDATA("XBG4",'binhgia (2016)'!$A$3,"MA_HT","DGT","MA_QH","DKG")</f>
        <v>0</v>
      </c>
      <c r="AN29" s="74">
        <f>+GETPIVOTDATA("XBG4",'binhgia (2016)'!$A$3,"MA_HT","DGT","MA_QH","DDT")</f>
        <v>0</v>
      </c>
      <c r="AO29" s="74">
        <f>+GETPIVOTDATA("XBG4",'binhgia (2016)'!$A$3,"MA_HT","DGT","MA_QH","DDL")</f>
        <v>0</v>
      </c>
      <c r="AP29" s="74">
        <f>+GETPIVOTDATA("XBG4",'binhgia (2016)'!$A$3,"MA_HT","DGT","MA_QH","DRA")</f>
        <v>0</v>
      </c>
      <c r="AQ29" s="74">
        <f>+GETPIVOTDATA("XBG4",'binhgia (2016)'!$A$3,"MA_HT","DGT","MA_QH","ONT")</f>
        <v>0</v>
      </c>
      <c r="AR29" s="74">
        <f>+GETPIVOTDATA("XBG4",'binhgia (2016)'!$A$3,"MA_HT","DGT","MA_QH","ODT")</f>
        <v>0</v>
      </c>
      <c r="AS29" s="74">
        <f>+GETPIVOTDATA("XBG4",'binhgia (2016)'!$A$3,"MA_HT","DGT","MA_QH","TSC")</f>
        <v>0</v>
      </c>
      <c r="AT29" s="74">
        <f>+GETPIVOTDATA("XBG4",'binhgia (2016)'!$A$3,"MA_HT","DGT","MA_QH","DTS")</f>
        <v>0</v>
      </c>
      <c r="AU29" s="74">
        <f>+GETPIVOTDATA("XBG4",'binhgia (2016)'!$A$3,"MA_HT","DGT","MA_QH","DNG")</f>
        <v>0</v>
      </c>
      <c r="AV29" s="74">
        <f>+GETPIVOTDATA("XBG4",'binhgia (2016)'!$A$3,"MA_HT","DGT","MA_QH","TON")</f>
        <v>0</v>
      </c>
      <c r="AW29" s="74">
        <f>+GETPIVOTDATA("XBG4",'binhgia (2016)'!$A$3,"MA_HT","DGT","MA_QH","NTD")</f>
        <v>0</v>
      </c>
      <c r="AX29" s="74">
        <f>+GETPIVOTDATA("XBG4",'binhgia (2016)'!$A$3,"MA_HT","DGT","MA_QH","SKX")</f>
        <v>0</v>
      </c>
      <c r="AY29" s="74">
        <f>+GETPIVOTDATA("XBG4",'binhgia (2016)'!$A$3,"MA_HT","DGT","MA_QH","DSH")</f>
        <v>0</v>
      </c>
      <c r="AZ29" s="74">
        <f>+GETPIVOTDATA("XBG4",'binhgia (2016)'!$A$3,"MA_HT","DGT","MA_QH","DKV")</f>
        <v>0</v>
      </c>
      <c r="BA29" s="139">
        <f>+GETPIVOTDATA("XBG4",'binhgia (2016)'!$A$3,"MA_HT","DGT","MA_QH","TIN")</f>
        <v>0</v>
      </c>
      <c r="BB29" s="74">
        <f>+GETPIVOTDATA("XBG4",'binhgia (2016)'!$A$3,"MA_HT","DGT","MA_QH","SON")</f>
        <v>0</v>
      </c>
      <c r="BC29" s="74">
        <f>+GETPIVOTDATA("XBG4",'binhgia (2016)'!$A$3,"MA_HT","DGT","MA_QH","MNC")</f>
        <v>0</v>
      </c>
      <c r="BD29" s="74">
        <f>+GETPIVOTDATA("XBG4",'binhgia (2016)'!$A$3,"MA_HT","DGT","MA_QH","PNK")</f>
        <v>0</v>
      </c>
      <c r="BE29" s="102">
        <f>+GETPIVOTDATA("XBG4",'binhgia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+GETPIVOTDATA("XBG4",'binhgia (2016)'!$A$3,"MA_HT","DTL","MA_QH","LUC")</f>
        <v>0</v>
      </c>
      <c r="H30" s="74">
        <f>+GETPIVOTDATA("XBG4",'binhgia (2016)'!$A$3,"MA_HT","DTL","MA_QH","LUK")</f>
        <v>0</v>
      </c>
      <c r="I30" s="74">
        <f>+GETPIVOTDATA("XBG4",'binhgia (2016)'!$A$3,"MA_HT","DTL","MA_QH","LUN")</f>
        <v>0</v>
      </c>
      <c r="J30" s="74">
        <f>+GETPIVOTDATA("XBG4",'binhgia (2016)'!$A$3,"MA_HT","DTL","MA_QH","HNK")</f>
        <v>0</v>
      </c>
      <c r="K30" s="74">
        <f>+GETPIVOTDATA("XBG4",'binhgia (2016)'!$A$3,"MA_HT","DTL","MA_QH","CLN")</f>
        <v>0</v>
      </c>
      <c r="L30" s="74">
        <f>+GETPIVOTDATA("XBG4",'binhgia (2016)'!$A$3,"MA_HT","DTL","MA_QH","RSX")</f>
        <v>0</v>
      </c>
      <c r="M30" s="74">
        <f>+GETPIVOTDATA("XBG4",'binhgia (2016)'!$A$3,"MA_HT","DTL","MA_QH","RPH")</f>
        <v>0</v>
      </c>
      <c r="N30" s="74">
        <f>+GETPIVOTDATA("XBG4",'binhgia (2016)'!$A$3,"MA_HT","DTL","MA_QH","RDD")</f>
        <v>0</v>
      </c>
      <c r="O30" s="74">
        <f>+GETPIVOTDATA("XBG4",'binhgia (2016)'!$A$3,"MA_HT","DTL","MA_QH","NTS")</f>
        <v>0</v>
      </c>
      <c r="P30" s="74">
        <f>+GETPIVOTDATA("XBG4",'binhgia (2016)'!$A$3,"MA_HT","DTL","MA_QH","LMU")</f>
        <v>0</v>
      </c>
      <c r="Q30" s="74">
        <f>+GETPIVOTDATA("XBG4",'binhgia (2016)'!$A$3,"MA_HT","DTL","MA_QH","NKH")</f>
        <v>0</v>
      </c>
      <c r="R30" s="72">
        <f t="shared" ref="R30:R39" si="20">SUM(S30:AA30,AN30:BD30)</f>
        <v>0</v>
      </c>
      <c r="S30" s="74">
        <f>+GETPIVOTDATA("XBG4",'binhgia (2016)'!$A$3,"MA_HT","DTL","MA_QH","CQP")</f>
        <v>0</v>
      </c>
      <c r="T30" s="74">
        <f>+GETPIVOTDATA("XBG4",'binhgia (2016)'!$A$3,"MA_HT","DTL","MA_QH","CAN")</f>
        <v>0</v>
      </c>
      <c r="U30" s="74">
        <f>+GETPIVOTDATA("XBG4",'binhgia (2016)'!$A$3,"MA_HT","DTL","MA_QH","SKK")</f>
        <v>0</v>
      </c>
      <c r="V30" s="74">
        <f>+GETPIVOTDATA("XBG4",'binhgia (2016)'!$A$3,"MA_HT","DTL","MA_QH","SKT")</f>
        <v>0</v>
      </c>
      <c r="W30" s="74">
        <f>+GETPIVOTDATA("XBG4",'binhgia (2016)'!$A$3,"MA_HT","DTL","MA_QH","SKN")</f>
        <v>0</v>
      </c>
      <c r="X30" s="74">
        <f>+GETPIVOTDATA("XBG4",'binhgia (2016)'!$A$3,"MA_HT","DTL","MA_QH","TMD")</f>
        <v>0</v>
      </c>
      <c r="Y30" s="74">
        <f>+GETPIVOTDATA("XBG4",'binhgia (2016)'!$A$3,"MA_HT","DTL","MA_QH","SKC")</f>
        <v>0</v>
      </c>
      <c r="Z30" s="74">
        <f>+GETPIVOTDATA("XBG4",'binhgia (2016)'!$A$3,"MA_HT","DTL","MA_QH","SKS")</f>
        <v>0</v>
      </c>
      <c r="AA30" s="64">
        <f>+SUM(AB30,AD30:AM30)</f>
        <v>0</v>
      </c>
      <c r="AB30" s="74">
        <f>+GETPIVOTDATA("XBG4",'binhgia (2016)'!$A$3,"MA_HT","DTL","MA_QH","DGT")</f>
        <v>0</v>
      </c>
      <c r="AC30" s="100" t="e">
        <f>$D30-$BF30</f>
        <v>#REF!</v>
      </c>
      <c r="AD30" s="74">
        <f>+GETPIVOTDATA("XBG4",'binhgia (2016)'!$A$3,"MA_HT","DTL","MA_QH","DNL")</f>
        <v>0</v>
      </c>
      <c r="AE30" s="74">
        <f>+GETPIVOTDATA("XBG4",'binhgia (2016)'!$A$3,"MA_HT","DTL","MA_QH","DBV")</f>
        <v>0</v>
      </c>
      <c r="AF30" s="74">
        <f>+GETPIVOTDATA("XBG4",'binhgia (2016)'!$A$3,"MA_HT","DTL","MA_QH","DVH")</f>
        <v>0</v>
      </c>
      <c r="AG30" s="74">
        <f>+GETPIVOTDATA("XBG4",'binhgia (2016)'!$A$3,"MA_HT","DTL","MA_QH","DYT")</f>
        <v>0</v>
      </c>
      <c r="AH30" s="74">
        <f>+GETPIVOTDATA("XBG4",'binhgia (2016)'!$A$3,"MA_HT","DTL","MA_QH","DGD")</f>
        <v>0</v>
      </c>
      <c r="AI30" s="74">
        <f>+GETPIVOTDATA("XBG4",'binhgia (2016)'!$A$3,"MA_HT","DTL","MA_QH","DTT")</f>
        <v>0</v>
      </c>
      <c r="AJ30" s="74">
        <f>+GETPIVOTDATA("XBG4",'binhgia (2016)'!$A$3,"MA_HT","DTL","MA_QH","NCK")</f>
        <v>0</v>
      </c>
      <c r="AK30" s="74">
        <f>+GETPIVOTDATA("XBG4",'binhgia (2016)'!$A$3,"MA_HT","DTL","MA_QH","DXH")</f>
        <v>0</v>
      </c>
      <c r="AL30" s="74">
        <f>+GETPIVOTDATA("XBG4",'binhgia (2016)'!$A$3,"MA_HT","DTL","MA_QH","DCH")</f>
        <v>0</v>
      </c>
      <c r="AM30" s="74">
        <f>+GETPIVOTDATA("XBG4",'binhgia (2016)'!$A$3,"MA_HT","DTL","MA_QH","DKG")</f>
        <v>0</v>
      </c>
      <c r="AN30" s="74">
        <f>+GETPIVOTDATA("XBG4",'binhgia (2016)'!$A$3,"MA_HT","DTL","MA_QH","DDT")</f>
        <v>0</v>
      </c>
      <c r="AO30" s="74">
        <f>+GETPIVOTDATA("XBG4",'binhgia (2016)'!$A$3,"MA_HT","DTL","MA_QH","DDL")</f>
        <v>0</v>
      </c>
      <c r="AP30" s="74">
        <f>+GETPIVOTDATA("XBG4",'binhgia (2016)'!$A$3,"MA_HT","DTL","MA_QH","DRA")</f>
        <v>0</v>
      </c>
      <c r="AQ30" s="74">
        <f>+GETPIVOTDATA("XBG4",'binhgia (2016)'!$A$3,"MA_HT","DTL","MA_QH","ONT")</f>
        <v>0</v>
      </c>
      <c r="AR30" s="74">
        <f>+GETPIVOTDATA("XBG4",'binhgia (2016)'!$A$3,"MA_HT","DTL","MA_QH","ODT")</f>
        <v>0</v>
      </c>
      <c r="AS30" s="74">
        <f>+GETPIVOTDATA("XBG4",'binhgia (2016)'!$A$3,"MA_HT","DTL","MA_QH","TSC")</f>
        <v>0</v>
      </c>
      <c r="AT30" s="74">
        <f>+GETPIVOTDATA("XBG4",'binhgia (2016)'!$A$3,"MA_HT","DTL","MA_QH","DTS")</f>
        <v>0</v>
      </c>
      <c r="AU30" s="74">
        <f>+GETPIVOTDATA("XBG4",'binhgia (2016)'!$A$3,"MA_HT","DTL","MA_QH","DNG")</f>
        <v>0</v>
      </c>
      <c r="AV30" s="74">
        <f>+GETPIVOTDATA("XBG4",'binhgia (2016)'!$A$3,"MA_HT","DTL","MA_QH","TON")</f>
        <v>0</v>
      </c>
      <c r="AW30" s="74">
        <f>+GETPIVOTDATA("XBG4",'binhgia (2016)'!$A$3,"MA_HT","DTL","MA_QH","NTD")</f>
        <v>0</v>
      </c>
      <c r="AX30" s="74">
        <f>+GETPIVOTDATA("XBG4",'binhgia (2016)'!$A$3,"MA_HT","DTL","MA_QH","SKX")</f>
        <v>0</v>
      </c>
      <c r="AY30" s="74">
        <f>+GETPIVOTDATA("XBG4",'binhgia (2016)'!$A$3,"MA_HT","DTL","MA_QH","DSH")</f>
        <v>0</v>
      </c>
      <c r="AZ30" s="74">
        <f>+GETPIVOTDATA("XBG4",'binhgia (2016)'!$A$3,"MA_HT","DTL","MA_QH","DKV")</f>
        <v>0</v>
      </c>
      <c r="BA30" s="139">
        <f>+GETPIVOTDATA("XBG4",'binhgia (2016)'!$A$3,"MA_HT","DTL","MA_QH","TIN")</f>
        <v>0</v>
      </c>
      <c r="BB30" s="74">
        <f>+GETPIVOTDATA("XBG4",'binhgia (2016)'!$A$3,"MA_HT","DTL","MA_QH","SON")</f>
        <v>0</v>
      </c>
      <c r="BC30" s="74">
        <f>+GETPIVOTDATA("XBG4",'binhgia (2016)'!$A$3,"MA_HT","DTL","MA_QH","MNC")</f>
        <v>0</v>
      </c>
      <c r="BD30" s="74">
        <f>+GETPIVOTDATA("XBG4",'binhgia (2016)'!$A$3,"MA_HT","DTL","MA_QH","PNK")</f>
        <v>0</v>
      </c>
      <c r="BE30" s="102">
        <f>+GETPIVOTDATA("XBG4",'binhgia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+GETPIVOTDATA("XBG4",'binhgia (2016)'!$A$3,"MA_HT","DNL","MA_QH","LUC")</f>
        <v>0</v>
      </c>
      <c r="H31" s="74">
        <f>+GETPIVOTDATA("XBG4",'binhgia (2016)'!$A$3,"MA_HT","DNL","MA_QH","LUK")</f>
        <v>0</v>
      </c>
      <c r="I31" s="74">
        <f>+GETPIVOTDATA("XBG4",'binhgia (2016)'!$A$3,"MA_HT","DNL","MA_QH","LUN")</f>
        <v>0</v>
      </c>
      <c r="J31" s="74">
        <f>+GETPIVOTDATA("XBG4",'binhgia (2016)'!$A$3,"MA_HT","DNL","MA_QH","HNK")</f>
        <v>0</v>
      </c>
      <c r="K31" s="74">
        <f>+GETPIVOTDATA("XBG4",'binhgia (2016)'!$A$3,"MA_HT","DNL","MA_QH","CLN")</f>
        <v>0</v>
      </c>
      <c r="L31" s="74">
        <f>+GETPIVOTDATA("XBG4",'binhgia (2016)'!$A$3,"MA_HT","DNL","MA_QH","RSX")</f>
        <v>0</v>
      </c>
      <c r="M31" s="74">
        <f>+GETPIVOTDATA("XBG4",'binhgia (2016)'!$A$3,"MA_HT","DNL","MA_QH","RPH")</f>
        <v>0</v>
      </c>
      <c r="N31" s="74">
        <f>+GETPIVOTDATA("XBG4",'binhgia (2016)'!$A$3,"MA_HT","DNL","MA_QH","RDD")</f>
        <v>0</v>
      </c>
      <c r="O31" s="74">
        <f>+GETPIVOTDATA("XBG4",'binhgia (2016)'!$A$3,"MA_HT","DNL","MA_QH","NTS")</f>
        <v>0</v>
      </c>
      <c r="P31" s="74">
        <f>+GETPIVOTDATA("XBG4",'binhgia (2016)'!$A$3,"MA_HT","DNL","MA_QH","LMU")</f>
        <v>0</v>
      </c>
      <c r="Q31" s="74">
        <f>+GETPIVOTDATA("XBG4",'binhgia (2016)'!$A$3,"MA_HT","DNL","MA_QH","NKH")</f>
        <v>0</v>
      </c>
      <c r="R31" s="72">
        <f t="shared" si="20"/>
        <v>0</v>
      </c>
      <c r="S31" s="74">
        <f>+GETPIVOTDATA("XBG4",'binhgia (2016)'!$A$3,"MA_HT","DNL","MA_QH","CQP")</f>
        <v>0</v>
      </c>
      <c r="T31" s="74">
        <f>+GETPIVOTDATA("XBG4",'binhgia (2016)'!$A$3,"MA_HT","DNL","MA_QH","CAN")</f>
        <v>0</v>
      </c>
      <c r="U31" s="74">
        <f>+GETPIVOTDATA("XBG4",'binhgia (2016)'!$A$3,"MA_HT","DNL","MA_QH","SKK")</f>
        <v>0</v>
      </c>
      <c r="V31" s="74">
        <f>+GETPIVOTDATA("XBG4",'binhgia (2016)'!$A$3,"MA_HT","DNL","MA_QH","SKT")</f>
        <v>0</v>
      </c>
      <c r="W31" s="74">
        <f>+GETPIVOTDATA("XBG4",'binhgia (2016)'!$A$3,"MA_HT","DNL","MA_QH","SKN")</f>
        <v>0</v>
      </c>
      <c r="X31" s="74">
        <f>+GETPIVOTDATA("XBG4",'binhgia (2016)'!$A$3,"MA_HT","DNL","MA_QH","TMD")</f>
        <v>0</v>
      </c>
      <c r="Y31" s="74">
        <f>+GETPIVOTDATA("XBG4",'binhgia (2016)'!$A$3,"MA_HT","DNL","MA_QH","SKC")</f>
        <v>0</v>
      </c>
      <c r="Z31" s="74">
        <f>+GETPIVOTDATA("XBG4",'binhgia (2016)'!$A$3,"MA_HT","DNL","MA_QH","SKS")</f>
        <v>0</v>
      </c>
      <c r="AA31" s="64">
        <f>+SUM(AB31:AC31,AE31:AM31)</f>
        <v>0</v>
      </c>
      <c r="AB31" s="74">
        <f>+GETPIVOTDATA("XBG4",'binhgia (2016)'!$A$3,"MA_HT","DNL","MA_QH","DGT")</f>
        <v>0</v>
      </c>
      <c r="AC31" s="74">
        <f>+GETPIVOTDATA("XBG4",'binhgia (2016)'!$A$3,"MA_HT","DNL","MA_QH","DTL")</f>
        <v>0</v>
      </c>
      <c r="AD31" s="100" t="e">
        <f>$D31-$BF31</f>
        <v>#REF!</v>
      </c>
      <c r="AE31" s="74">
        <f>+GETPIVOTDATA("XBG4",'binhgia (2016)'!$A$3,"MA_HT","DNL","MA_QH","DBV")</f>
        <v>0</v>
      </c>
      <c r="AF31" s="74">
        <f>+GETPIVOTDATA("XBG4",'binhgia (2016)'!$A$3,"MA_HT","DNL","MA_QH","DVH")</f>
        <v>0</v>
      </c>
      <c r="AG31" s="74">
        <f>+GETPIVOTDATA("XBG4",'binhgia (2016)'!$A$3,"MA_HT","DNL","MA_QH","DYT")</f>
        <v>0</v>
      </c>
      <c r="AH31" s="74">
        <f>+GETPIVOTDATA("XBG4",'binhgia (2016)'!$A$3,"MA_HT","DNL","MA_QH","DGD")</f>
        <v>0</v>
      </c>
      <c r="AI31" s="74">
        <f>+GETPIVOTDATA("XBG4",'binhgia (2016)'!$A$3,"MA_HT","DNL","MA_QH","DTT")</f>
        <v>0</v>
      </c>
      <c r="AJ31" s="74">
        <f>+GETPIVOTDATA("XBG4",'binhgia (2016)'!$A$3,"MA_HT","DNL","MA_QH","NCK")</f>
        <v>0</v>
      </c>
      <c r="AK31" s="74">
        <f>+GETPIVOTDATA("XBG4",'binhgia (2016)'!$A$3,"MA_HT","DNL","MA_QH","DXH")</f>
        <v>0</v>
      </c>
      <c r="AL31" s="74">
        <f>+GETPIVOTDATA("XBG4",'binhgia (2016)'!$A$3,"MA_HT","DNL","MA_QH","DCH")</f>
        <v>0</v>
      </c>
      <c r="AM31" s="74">
        <f>+GETPIVOTDATA("XBG4",'binhgia (2016)'!$A$3,"MA_HT","DNL","MA_QH","DKG")</f>
        <v>0</v>
      </c>
      <c r="AN31" s="74">
        <f>+GETPIVOTDATA("XBG4",'binhgia (2016)'!$A$3,"MA_HT","DNL","MA_QH","DDT")</f>
        <v>0</v>
      </c>
      <c r="AO31" s="74">
        <f>+GETPIVOTDATA("XBG4",'binhgia (2016)'!$A$3,"MA_HT","DNL","MA_QH","DDL")</f>
        <v>0</v>
      </c>
      <c r="AP31" s="74">
        <f>+GETPIVOTDATA("XBG4",'binhgia (2016)'!$A$3,"MA_HT","DNL","MA_QH","DRA")</f>
        <v>0</v>
      </c>
      <c r="AQ31" s="74">
        <f>+GETPIVOTDATA("XBG4",'binhgia (2016)'!$A$3,"MA_HT","DNL","MA_QH","ONT")</f>
        <v>0</v>
      </c>
      <c r="AR31" s="74">
        <f>+GETPIVOTDATA("XBG4",'binhgia (2016)'!$A$3,"MA_HT","DNL","MA_QH","ODT")</f>
        <v>0</v>
      </c>
      <c r="AS31" s="74">
        <f>+GETPIVOTDATA("XBG4",'binhgia (2016)'!$A$3,"MA_HT","DNL","MA_QH","TSC")</f>
        <v>0</v>
      </c>
      <c r="AT31" s="74">
        <f>+GETPIVOTDATA("XBG4",'binhgia (2016)'!$A$3,"MA_HT","DNL","MA_QH","DTS")</f>
        <v>0</v>
      </c>
      <c r="AU31" s="74">
        <f>+GETPIVOTDATA("XBG4",'binhgia (2016)'!$A$3,"MA_HT","DNL","MA_QH","DNG")</f>
        <v>0</v>
      </c>
      <c r="AV31" s="74">
        <f>+GETPIVOTDATA("XBG4",'binhgia (2016)'!$A$3,"MA_HT","DNL","MA_QH","TON")</f>
        <v>0</v>
      </c>
      <c r="AW31" s="74">
        <f>+GETPIVOTDATA("XBG4",'binhgia (2016)'!$A$3,"MA_HT","DNL","MA_QH","NTD")</f>
        <v>0</v>
      </c>
      <c r="AX31" s="74">
        <f>+GETPIVOTDATA("XBG4",'binhgia (2016)'!$A$3,"MA_HT","DNL","MA_QH","SKX")</f>
        <v>0</v>
      </c>
      <c r="AY31" s="74">
        <f>+GETPIVOTDATA("XBG4",'binhgia (2016)'!$A$3,"MA_HT","DNL","MA_QH","DSH")</f>
        <v>0</v>
      </c>
      <c r="AZ31" s="74">
        <f>+GETPIVOTDATA("XBG4",'binhgia (2016)'!$A$3,"MA_HT","DNL","MA_QH","DKV")</f>
        <v>0</v>
      </c>
      <c r="BA31" s="139">
        <f>+GETPIVOTDATA("XBG4",'binhgia (2016)'!$A$3,"MA_HT","DNL","MA_QH","TIN")</f>
        <v>0</v>
      </c>
      <c r="BB31" s="74">
        <f>+GETPIVOTDATA("XBG4",'binhgia (2016)'!$A$3,"MA_HT","DNL","MA_QH","SON")</f>
        <v>0</v>
      </c>
      <c r="BC31" s="74">
        <f>+GETPIVOTDATA("XBG4",'binhgia (2016)'!$A$3,"MA_HT","DNL","MA_QH","MNC")</f>
        <v>0</v>
      </c>
      <c r="BD31" s="74">
        <f>+GETPIVOTDATA("XBG4",'binhgia (2016)'!$A$3,"MA_HT","DNL","MA_QH","PNK")</f>
        <v>0</v>
      </c>
      <c r="BE31" s="102">
        <f>+GETPIVOTDATA("XBG4",'binhgia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+GETPIVOTDATA("XBG4",'binhgia (2016)'!$A$3,"MA_HT","DBV","MA_QH","LUC")</f>
        <v>0</v>
      </c>
      <c r="H32" s="74">
        <f>+GETPIVOTDATA("XBG4",'binhgia (2016)'!$A$3,"MA_HT","DBV","MA_QH","LUK")</f>
        <v>0</v>
      </c>
      <c r="I32" s="74">
        <f>+GETPIVOTDATA("XBG4",'binhgia (2016)'!$A$3,"MA_HT","DBV","MA_QH","LUN")</f>
        <v>0</v>
      </c>
      <c r="J32" s="74">
        <f>+GETPIVOTDATA("XBG4",'binhgia (2016)'!$A$3,"MA_HT","DBV","MA_QH","HNK")</f>
        <v>0</v>
      </c>
      <c r="K32" s="74">
        <f>+GETPIVOTDATA("XBG4",'binhgia (2016)'!$A$3,"MA_HT","DBV","MA_QH","CLN")</f>
        <v>0</v>
      </c>
      <c r="L32" s="74">
        <f>+GETPIVOTDATA("XBG4",'binhgia (2016)'!$A$3,"MA_HT","DBV","MA_QH","RSX")</f>
        <v>0</v>
      </c>
      <c r="M32" s="74">
        <f>+GETPIVOTDATA("XBG4",'binhgia (2016)'!$A$3,"MA_HT","DBV","MA_QH","RPH")</f>
        <v>0</v>
      </c>
      <c r="N32" s="74">
        <f>+GETPIVOTDATA("XBG4",'binhgia (2016)'!$A$3,"MA_HT","DBV","MA_QH","RDD")</f>
        <v>0</v>
      </c>
      <c r="O32" s="74">
        <f>+GETPIVOTDATA("XBG4",'binhgia (2016)'!$A$3,"MA_HT","DBV","MA_QH","NTS")</f>
        <v>0</v>
      </c>
      <c r="P32" s="74">
        <f>+GETPIVOTDATA("XBG4",'binhgia (2016)'!$A$3,"MA_HT","DBV","MA_QH","LMU")</f>
        <v>0</v>
      </c>
      <c r="Q32" s="74">
        <f>+GETPIVOTDATA("XBG4",'binhgia (2016)'!$A$3,"MA_HT","DBV","MA_QH","NKH")</f>
        <v>0</v>
      </c>
      <c r="R32" s="72">
        <f t="shared" si="20"/>
        <v>0</v>
      </c>
      <c r="S32" s="74">
        <f>+GETPIVOTDATA("XBG4",'binhgia (2016)'!$A$3,"MA_HT","DBV","MA_QH","CQP")</f>
        <v>0</v>
      </c>
      <c r="T32" s="74">
        <f>+GETPIVOTDATA("XBG4",'binhgia (2016)'!$A$3,"MA_HT","DBV","MA_QH","CAN")</f>
        <v>0</v>
      </c>
      <c r="U32" s="74">
        <f>+GETPIVOTDATA("XBG4",'binhgia (2016)'!$A$3,"MA_HT","DBV","MA_QH","SKK")</f>
        <v>0</v>
      </c>
      <c r="V32" s="74">
        <f>+GETPIVOTDATA("XBG4",'binhgia (2016)'!$A$3,"MA_HT","DBV","MA_QH","SKT")</f>
        <v>0</v>
      </c>
      <c r="W32" s="74">
        <f>+GETPIVOTDATA("XBG4",'binhgia (2016)'!$A$3,"MA_HT","DBV","MA_QH","SKN")</f>
        <v>0</v>
      </c>
      <c r="X32" s="74">
        <f>+GETPIVOTDATA("XBG4",'binhgia (2016)'!$A$3,"MA_HT","DBV","MA_QH","TMD")</f>
        <v>0</v>
      </c>
      <c r="Y32" s="74">
        <f>+GETPIVOTDATA("XBG4",'binhgia (2016)'!$A$3,"MA_HT","DBV","MA_QH","SKC")</f>
        <v>0</v>
      </c>
      <c r="Z32" s="74">
        <f>+GETPIVOTDATA("XBG4",'binhgia (2016)'!$A$3,"MA_HT","DBV","MA_QH","SKS")</f>
        <v>0</v>
      </c>
      <c r="AA32" s="64">
        <f>+SUM(AB32:AD32,AF32:AM32)</f>
        <v>0</v>
      </c>
      <c r="AB32" s="74">
        <f>+GETPIVOTDATA("XBG4",'binhgia (2016)'!$A$3,"MA_HT","DBV","MA_QH","DGT")</f>
        <v>0</v>
      </c>
      <c r="AC32" s="74">
        <f>+GETPIVOTDATA("XBG4",'binhgia (2016)'!$A$3,"MA_HT","DBV","MA_QH","DTL")</f>
        <v>0</v>
      </c>
      <c r="AD32" s="74">
        <f>+GETPIVOTDATA("XBG4",'binhgia (2016)'!$A$3,"MA_HT","DBV","MA_QH","DNL")</f>
        <v>0</v>
      </c>
      <c r="AE32" s="100" t="e">
        <f>$D32-$BF32</f>
        <v>#REF!</v>
      </c>
      <c r="AF32" s="74">
        <f>+GETPIVOTDATA("XBG4",'binhgia (2016)'!$A$3,"MA_HT","DBV","MA_QH","DVH")</f>
        <v>0</v>
      </c>
      <c r="AG32" s="74">
        <f>+GETPIVOTDATA("XBG4",'binhgia (2016)'!$A$3,"MA_HT","DBV","MA_QH","DYT")</f>
        <v>0</v>
      </c>
      <c r="AH32" s="74">
        <f>+GETPIVOTDATA("XBG4",'binhgia (2016)'!$A$3,"MA_HT","DBV","MA_QH","DGD")</f>
        <v>0</v>
      </c>
      <c r="AI32" s="74">
        <f>+GETPIVOTDATA("XBG4",'binhgia (2016)'!$A$3,"MA_HT","DBV","MA_QH","DTT")</f>
        <v>0</v>
      </c>
      <c r="AJ32" s="74">
        <f>+GETPIVOTDATA("XBG4",'binhgia (2016)'!$A$3,"MA_HT","DBV","MA_QH","NCK")</f>
        <v>0</v>
      </c>
      <c r="AK32" s="74">
        <f>+GETPIVOTDATA("XBG4",'binhgia (2016)'!$A$3,"MA_HT","DBV","MA_QH","DXH")</f>
        <v>0</v>
      </c>
      <c r="AL32" s="74">
        <f>+GETPIVOTDATA("XBG4",'binhgia (2016)'!$A$3,"MA_HT","DBV","MA_QH","DCH")</f>
        <v>0</v>
      </c>
      <c r="AM32" s="74">
        <f>+GETPIVOTDATA("XBG4",'binhgia (2016)'!$A$3,"MA_HT","DBV","MA_QH","DKG")</f>
        <v>0</v>
      </c>
      <c r="AN32" s="74">
        <f>+GETPIVOTDATA("XBG4",'binhgia (2016)'!$A$3,"MA_HT","DBV","MA_QH","DDT")</f>
        <v>0</v>
      </c>
      <c r="AO32" s="74">
        <f>+GETPIVOTDATA("XBG4",'binhgia (2016)'!$A$3,"MA_HT","DBV","MA_QH","DDL")</f>
        <v>0</v>
      </c>
      <c r="AP32" s="74">
        <f>+GETPIVOTDATA("XBG4",'binhgia (2016)'!$A$3,"MA_HT","DBV","MA_QH","DRA")</f>
        <v>0</v>
      </c>
      <c r="AQ32" s="74">
        <f>+GETPIVOTDATA("XBG4",'binhgia (2016)'!$A$3,"MA_HT","DBV","MA_QH","ONT")</f>
        <v>0</v>
      </c>
      <c r="AR32" s="74">
        <f>+GETPIVOTDATA("XBG4",'binhgia (2016)'!$A$3,"MA_HT","DBV","MA_QH","ODT")</f>
        <v>0</v>
      </c>
      <c r="AS32" s="74">
        <f>+GETPIVOTDATA("XBG4",'binhgia (2016)'!$A$3,"MA_HT","DBV","MA_QH","TSC")</f>
        <v>0</v>
      </c>
      <c r="AT32" s="74">
        <f>+GETPIVOTDATA("XBG4",'binhgia (2016)'!$A$3,"MA_HT","DBV","MA_QH","DTS")</f>
        <v>0</v>
      </c>
      <c r="AU32" s="74">
        <f>+GETPIVOTDATA("XBG4",'binhgia (2016)'!$A$3,"MA_HT","DBV","MA_QH","DNG")</f>
        <v>0</v>
      </c>
      <c r="AV32" s="74">
        <f>+GETPIVOTDATA("XBG4",'binhgia (2016)'!$A$3,"MA_HT","DBV","MA_QH","TON")</f>
        <v>0</v>
      </c>
      <c r="AW32" s="74">
        <f>+GETPIVOTDATA("XBG4",'binhgia (2016)'!$A$3,"MA_HT","DBV","MA_QH","NTD")</f>
        <v>0</v>
      </c>
      <c r="AX32" s="74">
        <f>+GETPIVOTDATA("XBG4",'binhgia (2016)'!$A$3,"MA_HT","DBV","MA_QH","SKX")</f>
        <v>0</v>
      </c>
      <c r="AY32" s="74">
        <f>+GETPIVOTDATA("XBG4",'binhgia (2016)'!$A$3,"MA_HT","DBV","MA_QH","DSH")</f>
        <v>0</v>
      </c>
      <c r="AZ32" s="74">
        <f>+GETPIVOTDATA("XBG4",'binhgia (2016)'!$A$3,"MA_HT","DBV","MA_QH","DKV")</f>
        <v>0</v>
      </c>
      <c r="BA32" s="139">
        <f>+GETPIVOTDATA("XBG4",'binhgia (2016)'!$A$3,"MA_HT","DBV","MA_QH","TIN")</f>
        <v>0</v>
      </c>
      <c r="BB32" s="74">
        <f>+GETPIVOTDATA("XBG4",'binhgia (2016)'!$A$3,"MA_HT","DBV","MA_QH","SON")</f>
        <v>0</v>
      </c>
      <c r="BC32" s="74">
        <f>+GETPIVOTDATA("XBG4",'binhgia (2016)'!$A$3,"MA_HT","DBV","MA_QH","MNC")</f>
        <v>0</v>
      </c>
      <c r="BD32" s="74">
        <f>+GETPIVOTDATA("XBG4",'binhgia (2016)'!$A$3,"MA_HT","DBV","MA_QH","PNK")</f>
        <v>0</v>
      </c>
      <c r="BE32" s="102">
        <f>+GETPIVOTDATA("XBG4",'binhgia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+GETPIVOTDATA("XBG4",'binhgia (2016)'!$A$3,"MA_HT","DVH","MA_QH","LUC")</f>
        <v>0</v>
      </c>
      <c r="H33" s="74">
        <f>+GETPIVOTDATA("XBG4",'binhgia (2016)'!$A$3,"MA_HT","DVH","MA_QH","LUK")</f>
        <v>0</v>
      </c>
      <c r="I33" s="74">
        <f>+GETPIVOTDATA("XBG4",'binhgia (2016)'!$A$3,"MA_HT","DVH","MA_QH","LUN")</f>
        <v>0</v>
      </c>
      <c r="J33" s="74">
        <f>+GETPIVOTDATA("XBG4",'binhgia (2016)'!$A$3,"MA_HT","DVH","MA_QH","HNK")</f>
        <v>0</v>
      </c>
      <c r="K33" s="74">
        <f>+GETPIVOTDATA("XBG4",'binhgia (2016)'!$A$3,"MA_HT","DVH","MA_QH","CLN")</f>
        <v>0</v>
      </c>
      <c r="L33" s="74">
        <f>+GETPIVOTDATA("XBG4",'binhgia (2016)'!$A$3,"MA_HT","DVH","MA_QH","RSX")</f>
        <v>0</v>
      </c>
      <c r="M33" s="74">
        <f>+GETPIVOTDATA("XBG4",'binhgia (2016)'!$A$3,"MA_HT","DVH","MA_QH","RPH")</f>
        <v>0</v>
      </c>
      <c r="N33" s="74">
        <f>+GETPIVOTDATA("XBG4",'binhgia (2016)'!$A$3,"MA_HT","DVH","MA_QH","RDD")</f>
        <v>0</v>
      </c>
      <c r="O33" s="74">
        <f>+GETPIVOTDATA("XBG4",'binhgia (2016)'!$A$3,"MA_HT","DVH","MA_QH","NTS")</f>
        <v>0</v>
      </c>
      <c r="P33" s="74">
        <f>+GETPIVOTDATA("XBG4",'binhgia (2016)'!$A$3,"MA_HT","DVH","MA_QH","LMU")</f>
        <v>0</v>
      </c>
      <c r="Q33" s="74">
        <f>+GETPIVOTDATA("XBG4",'binhgia (2016)'!$A$3,"MA_HT","DVH","MA_QH","NKH")</f>
        <v>0</v>
      </c>
      <c r="R33" s="72">
        <f t="shared" si="20"/>
        <v>0</v>
      </c>
      <c r="S33" s="74">
        <f>+GETPIVOTDATA("XBG4",'binhgia (2016)'!$A$3,"MA_HT","DVH","MA_QH","CQP")</f>
        <v>0</v>
      </c>
      <c r="T33" s="74">
        <f>+GETPIVOTDATA("XBG4",'binhgia (2016)'!$A$3,"MA_HT","DVH","MA_QH","CAN")</f>
        <v>0</v>
      </c>
      <c r="U33" s="74">
        <f>+GETPIVOTDATA("XBG4",'binhgia (2016)'!$A$3,"MA_HT","DVH","MA_QH","SKK")</f>
        <v>0</v>
      </c>
      <c r="V33" s="74">
        <f>+GETPIVOTDATA("XBG4",'binhgia (2016)'!$A$3,"MA_HT","DVH","MA_QH","SKT")</f>
        <v>0</v>
      </c>
      <c r="W33" s="74">
        <f>+GETPIVOTDATA("XBG4",'binhgia (2016)'!$A$3,"MA_HT","DVH","MA_QH","SKN")</f>
        <v>0</v>
      </c>
      <c r="X33" s="74">
        <f>+GETPIVOTDATA("XBG4",'binhgia (2016)'!$A$3,"MA_HT","DVH","MA_QH","TMD")</f>
        <v>0</v>
      </c>
      <c r="Y33" s="74">
        <f>+GETPIVOTDATA("XBG4",'binhgia (2016)'!$A$3,"MA_HT","DVH","MA_QH","SKC")</f>
        <v>0</v>
      </c>
      <c r="Z33" s="74">
        <f>+GETPIVOTDATA("XBG4",'binhgia (2016)'!$A$3,"MA_HT","DVH","MA_QH","SKS")</f>
        <v>0</v>
      </c>
      <c r="AA33" s="64">
        <f>+SUM(AB33:AE33,AG33:AM33)</f>
        <v>0</v>
      </c>
      <c r="AB33" s="74">
        <f>+GETPIVOTDATA("XBG4",'binhgia (2016)'!$A$3,"MA_HT","DVH","MA_QH","DGT")</f>
        <v>0</v>
      </c>
      <c r="AC33" s="74">
        <f>+GETPIVOTDATA("XBG4",'binhgia (2016)'!$A$3,"MA_HT","DVH","MA_QH","DTL")</f>
        <v>0</v>
      </c>
      <c r="AD33" s="74">
        <f>+GETPIVOTDATA("XBG4",'binhgia (2016)'!$A$3,"MA_HT","DVH","MA_QH","DNL")</f>
        <v>0</v>
      </c>
      <c r="AE33" s="74">
        <f>+GETPIVOTDATA("XBG4",'binhgia (2016)'!$A$3,"MA_HT","DVH","MA_QH","DBV")</f>
        <v>0</v>
      </c>
      <c r="AF33" s="100" t="e">
        <f>$D33-$BF33</f>
        <v>#REF!</v>
      </c>
      <c r="AG33" s="74">
        <f>+GETPIVOTDATA("XBG4",'binhgia (2016)'!$A$3,"MA_HT","DVH","MA_QH","DYT")</f>
        <v>0</v>
      </c>
      <c r="AH33" s="74">
        <f>+GETPIVOTDATA("XBG4",'binhgia (2016)'!$A$3,"MA_HT","DVH","MA_QH","DGD")</f>
        <v>0</v>
      </c>
      <c r="AI33" s="74">
        <f>+GETPIVOTDATA("XBG4",'binhgia (2016)'!$A$3,"MA_HT","DVH","MA_QH","DTT")</f>
        <v>0</v>
      </c>
      <c r="AJ33" s="74">
        <f>+GETPIVOTDATA("XBG4",'binhgia (2016)'!$A$3,"MA_HT","DVH","MA_QH","NCK")</f>
        <v>0</v>
      </c>
      <c r="AK33" s="74">
        <f>+GETPIVOTDATA("XBG4",'binhgia (2016)'!$A$3,"MA_HT","DVH","MA_QH","DXH")</f>
        <v>0</v>
      </c>
      <c r="AL33" s="74">
        <f>+GETPIVOTDATA("XBG4",'binhgia (2016)'!$A$3,"MA_HT","DVH","MA_QH","DCH")</f>
        <v>0</v>
      </c>
      <c r="AM33" s="74">
        <f>+GETPIVOTDATA("XBG4",'binhgia (2016)'!$A$3,"MA_HT","DVH","MA_QH","DKG")</f>
        <v>0</v>
      </c>
      <c r="AN33" s="74">
        <f>+GETPIVOTDATA("XBG4",'binhgia (2016)'!$A$3,"MA_HT","DVH","MA_QH","DDT")</f>
        <v>0</v>
      </c>
      <c r="AO33" s="74">
        <f>+GETPIVOTDATA("XBG4",'binhgia (2016)'!$A$3,"MA_HT","DVH","MA_QH","DDL")</f>
        <v>0</v>
      </c>
      <c r="AP33" s="74">
        <f>+GETPIVOTDATA("XBG4",'binhgia (2016)'!$A$3,"MA_HT","DVH","MA_QH","DRA")</f>
        <v>0</v>
      </c>
      <c r="AQ33" s="74">
        <f>+GETPIVOTDATA("XBG4",'binhgia (2016)'!$A$3,"MA_HT","DVH","MA_QH","ONT")</f>
        <v>0</v>
      </c>
      <c r="AR33" s="74">
        <f>+GETPIVOTDATA("XBG4",'binhgia (2016)'!$A$3,"MA_HT","DVH","MA_QH","ODT")</f>
        <v>0</v>
      </c>
      <c r="AS33" s="74">
        <f>+GETPIVOTDATA("XBG4",'binhgia (2016)'!$A$3,"MA_HT","DVH","MA_QH","TSC")</f>
        <v>0</v>
      </c>
      <c r="AT33" s="74">
        <f>+GETPIVOTDATA("XBG4",'binhgia (2016)'!$A$3,"MA_HT","DVH","MA_QH","DTS")</f>
        <v>0</v>
      </c>
      <c r="AU33" s="74">
        <f>+GETPIVOTDATA("XBG4",'binhgia (2016)'!$A$3,"MA_HT","DVH","MA_QH","DNG")</f>
        <v>0</v>
      </c>
      <c r="AV33" s="74">
        <f>+GETPIVOTDATA("XBG4",'binhgia (2016)'!$A$3,"MA_HT","DVH","MA_QH","TON")</f>
        <v>0</v>
      </c>
      <c r="AW33" s="74">
        <f>+GETPIVOTDATA("XBG4",'binhgia (2016)'!$A$3,"MA_HT","DVH","MA_QH","NTD")</f>
        <v>0</v>
      </c>
      <c r="AX33" s="74">
        <f>+GETPIVOTDATA("XBG4",'binhgia (2016)'!$A$3,"MA_HT","DVH","MA_QH","SKX")</f>
        <v>0</v>
      </c>
      <c r="AY33" s="74">
        <f>+GETPIVOTDATA("XBG4",'binhgia (2016)'!$A$3,"MA_HT","DVH","MA_QH","DSH")</f>
        <v>0</v>
      </c>
      <c r="AZ33" s="74">
        <f>+GETPIVOTDATA("XBG4",'binhgia (2016)'!$A$3,"MA_HT","DVH","MA_QH","DKV")</f>
        <v>0</v>
      </c>
      <c r="BA33" s="139">
        <f>+GETPIVOTDATA("XBG4",'binhgia (2016)'!$A$3,"MA_HT","DVH","MA_QH","TIN")</f>
        <v>0</v>
      </c>
      <c r="BB33" s="74">
        <f>+GETPIVOTDATA("XBG4",'binhgia (2016)'!$A$3,"MA_HT","DVH","MA_QH","SON")</f>
        <v>0</v>
      </c>
      <c r="BC33" s="74">
        <f>+GETPIVOTDATA("XBG4",'binhgia (2016)'!$A$3,"MA_HT","DVH","MA_QH","MNC")</f>
        <v>0</v>
      </c>
      <c r="BD33" s="74">
        <f>+GETPIVOTDATA("XBG4",'binhgia (2016)'!$A$3,"MA_HT","DVH","MA_QH","PNK")</f>
        <v>0</v>
      </c>
      <c r="BE33" s="102">
        <f>+GETPIVOTDATA("XBG4",'binhgia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+GETPIVOTDATA("XBG4",'binhgia (2016)'!$A$3,"MA_HT","DYT","MA_QH","LUC")</f>
        <v>0</v>
      </c>
      <c r="H34" s="74">
        <f>+GETPIVOTDATA("XBG4",'binhgia (2016)'!$A$3,"MA_HT","DYT","MA_QH","LUK")</f>
        <v>0</v>
      </c>
      <c r="I34" s="74">
        <f>+GETPIVOTDATA("XBG4",'binhgia (2016)'!$A$3,"MA_HT","DYT","MA_QH","LUN")</f>
        <v>0</v>
      </c>
      <c r="J34" s="74">
        <f>+GETPIVOTDATA("XBG4",'binhgia (2016)'!$A$3,"MA_HT","DYT","MA_QH","HNK")</f>
        <v>0</v>
      </c>
      <c r="K34" s="74">
        <f>+GETPIVOTDATA("XBG4",'binhgia (2016)'!$A$3,"MA_HT","DYT","MA_QH","CLN")</f>
        <v>0</v>
      </c>
      <c r="L34" s="74">
        <f>+GETPIVOTDATA("XBG4",'binhgia (2016)'!$A$3,"MA_HT","DYT","MA_QH","RSX")</f>
        <v>0</v>
      </c>
      <c r="M34" s="74">
        <f>+GETPIVOTDATA("XBG4",'binhgia (2016)'!$A$3,"MA_HT","DYT","MA_QH","RPH")</f>
        <v>0</v>
      </c>
      <c r="N34" s="74">
        <f>+GETPIVOTDATA("XBG4",'binhgia (2016)'!$A$3,"MA_HT","DYT","MA_QH","RDD")</f>
        <v>0</v>
      </c>
      <c r="O34" s="74">
        <f>+GETPIVOTDATA("XBG4",'binhgia (2016)'!$A$3,"MA_HT","DYT","MA_QH","NTS")</f>
        <v>0</v>
      </c>
      <c r="P34" s="74">
        <f>+GETPIVOTDATA("XBG4",'binhgia (2016)'!$A$3,"MA_HT","DYT","MA_QH","LMU")</f>
        <v>0</v>
      </c>
      <c r="Q34" s="74">
        <f>+GETPIVOTDATA("XBG4",'binhgia (2016)'!$A$3,"MA_HT","DYT","MA_QH","NKH")</f>
        <v>0</v>
      </c>
      <c r="R34" s="72">
        <f t="shared" si="20"/>
        <v>0</v>
      </c>
      <c r="S34" s="74">
        <f>+GETPIVOTDATA("XBG4",'binhgia (2016)'!$A$3,"MA_HT","DYT","MA_QH","CQP")</f>
        <v>0</v>
      </c>
      <c r="T34" s="74">
        <f>+GETPIVOTDATA("XBG4",'binhgia (2016)'!$A$3,"MA_HT","DYT","MA_QH","CAN")</f>
        <v>0</v>
      </c>
      <c r="U34" s="74">
        <f>+GETPIVOTDATA("XBG4",'binhgia (2016)'!$A$3,"MA_HT","DYT","MA_QH","SKK")</f>
        <v>0</v>
      </c>
      <c r="V34" s="74">
        <f>+GETPIVOTDATA("XBG4",'binhgia (2016)'!$A$3,"MA_HT","DYT","MA_QH","SKT")</f>
        <v>0</v>
      </c>
      <c r="W34" s="74">
        <f>+GETPIVOTDATA("XBG4",'binhgia (2016)'!$A$3,"MA_HT","DYT","MA_QH","SKN")</f>
        <v>0</v>
      </c>
      <c r="X34" s="74">
        <f>+GETPIVOTDATA("XBG4",'binhgia (2016)'!$A$3,"MA_HT","DYT","MA_QH","TMD")</f>
        <v>0</v>
      </c>
      <c r="Y34" s="74">
        <f>+GETPIVOTDATA("XBG4",'binhgia (2016)'!$A$3,"MA_HT","DYT","MA_QH","SKC")</f>
        <v>0</v>
      </c>
      <c r="Z34" s="74">
        <f>+GETPIVOTDATA("XBG4",'binhgia (2016)'!$A$3,"MA_HT","DYT","MA_QH","SKS")</f>
        <v>0</v>
      </c>
      <c r="AA34" s="64">
        <f>+SUM(AB34:AF34,AH34:AM34)</f>
        <v>0</v>
      </c>
      <c r="AB34" s="74">
        <f>+GETPIVOTDATA("XBG4",'binhgia (2016)'!$A$3,"MA_HT","DYT","MA_QH","DGT")</f>
        <v>0</v>
      </c>
      <c r="AC34" s="74">
        <f>+GETPIVOTDATA("XBG4",'binhgia (2016)'!$A$3,"MA_HT","DYT","MA_QH","DTL")</f>
        <v>0</v>
      </c>
      <c r="AD34" s="74">
        <f>+GETPIVOTDATA("XBG4",'binhgia (2016)'!$A$3,"MA_HT","DYT","MA_QH","DNL")</f>
        <v>0</v>
      </c>
      <c r="AE34" s="74">
        <f>+GETPIVOTDATA("XBG4",'binhgia (2016)'!$A$3,"MA_HT","DYT","MA_QH","DBV")</f>
        <v>0</v>
      </c>
      <c r="AF34" s="74">
        <f>+GETPIVOTDATA("XBG4",'binhgia (2016)'!$A$3,"MA_HT","DYT","MA_QH","DVH")</f>
        <v>0</v>
      </c>
      <c r="AG34" s="100" t="e">
        <f>$D34-$BF34</f>
        <v>#REF!</v>
      </c>
      <c r="AH34" s="74">
        <f>+GETPIVOTDATA("XBG4",'binhgia (2016)'!$A$3,"MA_HT","DYT","MA_QH","DGD")</f>
        <v>0</v>
      </c>
      <c r="AI34" s="74">
        <f>+GETPIVOTDATA("XBG4",'binhgia (2016)'!$A$3,"MA_HT","DYT","MA_QH","DTT")</f>
        <v>0</v>
      </c>
      <c r="AJ34" s="74">
        <f>+GETPIVOTDATA("XBG4",'binhgia (2016)'!$A$3,"MA_HT","DYT","MA_QH","NCK")</f>
        <v>0</v>
      </c>
      <c r="AK34" s="74">
        <f>+GETPIVOTDATA("XBG4",'binhgia (2016)'!$A$3,"MA_HT","DYT","MA_QH","DXH")</f>
        <v>0</v>
      </c>
      <c r="AL34" s="74">
        <f>+GETPIVOTDATA("XBG4",'binhgia (2016)'!$A$3,"MA_HT","DYT","MA_QH","DCH")</f>
        <v>0</v>
      </c>
      <c r="AM34" s="74">
        <f>+GETPIVOTDATA("XBG4",'binhgia (2016)'!$A$3,"MA_HT","DYT","MA_QH","DKG")</f>
        <v>0</v>
      </c>
      <c r="AN34" s="74">
        <f>+GETPIVOTDATA("XBG4",'binhgia (2016)'!$A$3,"MA_HT","DYT","MA_QH","DDT")</f>
        <v>0</v>
      </c>
      <c r="AO34" s="74">
        <f>+GETPIVOTDATA("XBG4",'binhgia (2016)'!$A$3,"MA_HT","DYT","MA_QH","DDL")</f>
        <v>0</v>
      </c>
      <c r="AP34" s="74">
        <f>+GETPIVOTDATA("XBG4",'binhgia (2016)'!$A$3,"MA_HT","DYT","MA_QH","DRA")</f>
        <v>0</v>
      </c>
      <c r="AQ34" s="74">
        <f>+GETPIVOTDATA("XBG4",'binhgia (2016)'!$A$3,"MA_HT","DYT","MA_QH","ONT")</f>
        <v>0</v>
      </c>
      <c r="AR34" s="74">
        <f>+GETPIVOTDATA("XBG4",'binhgia (2016)'!$A$3,"MA_HT","DYT","MA_QH","ODT")</f>
        <v>0</v>
      </c>
      <c r="AS34" s="74">
        <f>+GETPIVOTDATA("XBG4",'binhgia (2016)'!$A$3,"MA_HT","DYT","MA_QH","TSC")</f>
        <v>0</v>
      </c>
      <c r="AT34" s="74">
        <f>+GETPIVOTDATA("XBG4",'binhgia (2016)'!$A$3,"MA_HT","DYT","MA_QH","DTS")</f>
        <v>0</v>
      </c>
      <c r="AU34" s="74">
        <f>+GETPIVOTDATA("XBG4",'binhgia (2016)'!$A$3,"MA_HT","DYT","MA_QH","DNG")</f>
        <v>0</v>
      </c>
      <c r="AV34" s="74">
        <f>+GETPIVOTDATA("XBG4",'binhgia (2016)'!$A$3,"MA_HT","DYT","MA_QH","TON")</f>
        <v>0</v>
      </c>
      <c r="AW34" s="74">
        <f>+GETPIVOTDATA("XBG4",'binhgia (2016)'!$A$3,"MA_HT","DYT","MA_QH","NTD")</f>
        <v>0</v>
      </c>
      <c r="AX34" s="74">
        <f>+GETPIVOTDATA("XBG4",'binhgia (2016)'!$A$3,"MA_HT","DYT","MA_QH","SKX")</f>
        <v>0</v>
      </c>
      <c r="AY34" s="74">
        <f>+GETPIVOTDATA("XBG4",'binhgia (2016)'!$A$3,"MA_HT","DYT","MA_QH","DSH")</f>
        <v>0</v>
      </c>
      <c r="AZ34" s="74">
        <f>+GETPIVOTDATA("XBG4",'binhgia (2016)'!$A$3,"MA_HT","DYT","MA_QH","DKV")</f>
        <v>0</v>
      </c>
      <c r="BA34" s="139">
        <f>+GETPIVOTDATA("XBG4",'binhgia (2016)'!$A$3,"MA_HT","DYT","MA_QH","TIN")</f>
        <v>0</v>
      </c>
      <c r="BB34" s="74">
        <f>+GETPIVOTDATA("XBG4",'binhgia (2016)'!$A$3,"MA_HT","DYT","MA_QH","SON")</f>
        <v>0</v>
      </c>
      <c r="BC34" s="74">
        <f>+GETPIVOTDATA("XBG4",'binhgia (2016)'!$A$3,"MA_HT","DYT","MA_QH","MNC")</f>
        <v>0</v>
      </c>
      <c r="BD34" s="74">
        <f>+GETPIVOTDATA("XBG4",'binhgia (2016)'!$A$3,"MA_HT","DYT","MA_QH","PNK")</f>
        <v>0</v>
      </c>
      <c r="BE34" s="102">
        <f>+GETPIVOTDATA("XBG4",'binhgia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+GETPIVOTDATA("XBG4",'binhgia (2016)'!$A$3,"MA_HT","DGD","MA_QH","LUC")</f>
        <v>0</v>
      </c>
      <c r="H35" s="74">
        <f>+GETPIVOTDATA("XBG4",'binhgia (2016)'!$A$3,"MA_HT","DGD","MA_QH","LUK")</f>
        <v>0</v>
      </c>
      <c r="I35" s="74">
        <f>+GETPIVOTDATA("XBG4",'binhgia (2016)'!$A$3,"MA_HT","DGD","MA_QH","LUN")</f>
        <v>0</v>
      </c>
      <c r="J35" s="74">
        <f>+GETPIVOTDATA("XBG4",'binhgia (2016)'!$A$3,"MA_HT","DGD","MA_QH","HNK")</f>
        <v>0</v>
      </c>
      <c r="K35" s="74">
        <f>+GETPIVOTDATA("XBG4",'binhgia (2016)'!$A$3,"MA_HT","DGD","MA_QH","CLN")</f>
        <v>0</v>
      </c>
      <c r="L35" s="74">
        <f>+GETPIVOTDATA("XBG4",'binhgia (2016)'!$A$3,"MA_HT","DGD","MA_QH","RSX")</f>
        <v>0</v>
      </c>
      <c r="M35" s="74">
        <f>+GETPIVOTDATA("XBG4",'binhgia (2016)'!$A$3,"MA_HT","DGD","MA_QH","RPH")</f>
        <v>0</v>
      </c>
      <c r="N35" s="74">
        <f>+GETPIVOTDATA("XBG4",'binhgia (2016)'!$A$3,"MA_HT","DGD","MA_QH","RDD")</f>
        <v>0</v>
      </c>
      <c r="O35" s="74">
        <f>+GETPIVOTDATA("XBG4",'binhgia (2016)'!$A$3,"MA_HT","DGD","MA_QH","NTS")</f>
        <v>0</v>
      </c>
      <c r="P35" s="74">
        <f>+GETPIVOTDATA("XBG4",'binhgia (2016)'!$A$3,"MA_HT","DGD","MA_QH","LMU")</f>
        <v>0</v>
      </c>
      <c r="Q35" s="74">
        <f>+GETPIVOTDATA("XBG4",'binhgia (2016)'!$A$3,"MA_HT","DGD","MA_QH","NKH")</f>
        <v>0</v>
      </c>
      <c r="R35" s="72">
        <f t="shared" si="20"/>
        <v>0</v>
      </c>
      <c r="S35" s="74">
        <f>+GETPIVOTDATA("XBG4",'binhgia (2016)'!$A$3,"MA_HT","DGD","MA_QH","CQP")</f>
        <v>0</v>
      </c>
      <c r="T35" s="74">
        <f>+GETPIVOTDATA("XBG4",'binhgia (2016)'!$A$3,"MA_HT","DGD","MA_QH","CAN")</f>
        <v>0</v>
      </c>
      <c r="U35" s="74">
        <f>+GETPIVOTDATA("XBG4",'binhgia (2016)'!$A$3,"MA_HT","DGD","MA_QH","SKK")</f>
        <v>0</v>
      </c>
      <c r="V35" s="74">
        <f>+GETPIVOTDATA("XBG4",'binhgia (2016)'!$A$3,"MA_HT","DGD","MA_QH","SKT")</f>
        <v>0</v>
      </c>
      <c r="W35" s="74">
        <f>+GETPIVOTDATA("XBG4",'binhgia (2016)'!$A$3,"MA_HT","DGD","MA_QH","SKN")</f>
        <v>0</v>
      </c>
      <c r="X35" s="74">
        <f>+GETPIVOTDATA("XBG4",'binhgia (2016)'!$A$3,"MA_HT","DGD","MA_QH","TMD")</f>
        <v>0</v>
      </c>
      <c r="Y35" s="74">
        <f>+GETPIVOTDATA("XBG4",'binhgia (2016)'!$A$3,"MA_HT","DGD","MA_QH","SKC")</f>
        <v>0</v>
      </c>
      <c r="Z35" s="74">
        <f>+GETPIVOTDATA("XBG4",'binhgia (2016)'!$A$3,"MA_HT","DGD","MA_QH","SKS")</f>
        <v>0</v>
      </c>
      <c r="AA35" s="64">
        <f>+SUM(AB35:AG35,AI35:AM35)</f>
        <v>0</v>
      </c>
      <c r="AB35" s="74">
        <f>+GETPIVOTDATA("XBG4",'binhgia (2016)'!$A$3,"MA_HT","DGD","MA_QH","DGT")</f>
        <v>0</v>
      </c>
      <c r="AC35" s="74">
        <f>+GETPIVOTDATA("XBG4",'binhgia (2016)'!$A$3,"MA_HT","DGD","MA_QH","DTL")</f>
        <v>0</v>
      </c>
      <c r="AD35" s="74">
        <f>+GETPIVOTDATA("XBG4",'binhgia (2016)'!$A$3,"MA_HT","DGD","MA_QH","DNL")</f>
        <v>0</v>
      </c>
      <c r="AE35" s="74">
        <f>+GETPIVOTDATA("XBG4",'binhgia (2016)'!$A$3,"MA_HT","DGD","MA_QH","DBV")</f>
        <v>0</v>
      </c>
      <c r="AF35" s="74">
        <f>+GETPIVOTDATA("XBG4",'binhgia (2016)'!$A$3,"MA_HT","DGD","MA_QH","DVH")</f>
        <v>0</v>
      </c>
      <c r="AG35" s="74">
        <f>+GETPIVOTDATA("XBG4",'binhgia (2016)'!$A$3,"MA_HT","DGD","MA_QH","DYT")</f>
        <v>0</v>
      </c>
      <c r="AH35" s="100" t="e">
        <f>$D35-$BF35</f>
        <v>#REF!</v>
      </c>
      <c r="AI35" s="74">
        <f>+GETPIVOTDATA("XBG4",'binhgia (2016)'!$A$3,"MA_HT","DGD","MA_QH","DTT")</f>
        <v>0</v>
      </c>
      <c r="AJ35" s="74">
        <f>+GETPIVOTDATA("XBG4",'binhgia (2016)'!$A$3,"MA_HT","DGD","MA_QH","NCK")</f>
        <v>0</v>
      </c>
      <c r="AK35" s="74">
        <f>+GETPIVOTDATA("XBG4",'binhgia (2016)'!$A$3,"MA_HT","DGD","MA_QH","DXH")</f>
        <v>0</v>
      </c>
      <c r="AL35" s="74">
        <f>+GETPIVOTDATA("XBG4",'binhgia (2016)'!$A$3,"MA_HT","DGD","MA_QH","DCH")</f>
        <v>0</v>
      </c>
      <c r="AM35" s="74">
        <f>+GETPIVOTDATA("XBG4",'binhgia (2016)'!$A$3,"MA_HT","DGD","MA_QH","DKG")</f>
        <v>0</v>
      </c>
      <c r="AN35" s="74">
        <f>+GETPIVOTDATA("XBG4",'binhgia (2016)'!$A$3,"MA_HT","DGD","MA_QH","DDT")</f>
        <v>0</v>
      </c>
      <c r="AO35" s="74">
        <f>+GETPIVOTDATA("XBG4",'binhgia (2016)'!$A$3,"MA_HT","DGD","MA_QH","DDL")</f>
        <v>0</v>
      </c>
      <c r="AP35" s="74">
        <f>+GETPIVOTDATA("XBG4",'binhgia (2016)'!$A$3,"MA_HT","DGD","MA_QH","DRA")</f>
        <v>0</v>
      </c>
      <c r="AQ35" s="74">
        <f>+GETPIVOTDATA("XBG4",'binhgia (2016)'!$A$3,"MA_HT","DGD","MA_QH","ONT")</f>
        <v>0</v>
      </c>
      <c r="AR35" s="74">
        <f>+GETPIVOTDATA("XBG4",'binhgia (2016)'!$A$3,"MA_HT","DGD","MA_QH","ODT")</f>
        <v>0</v>
      </c>
      <c r="AS35" s="74">
        <f>+GETPIVOTDATA("XBG4",'binhgia (2016)'!$A$3,"MA_HT","DGD","MA_QH","TSC")</f>
        <v>0</v>
      </c>
      <c r="AT35" s="74">
        <f>+GETPIVOTDATA("XBG4",'binhgia (2016)'!$A$3,"MA_HT","DGD","MA_QH","DTS")</f>
        <v>0</v>
      </c>
      <c r="AU35" s="74">
        <f>+GETPIVOTDATA("XBG4",'binhgia (2016)'!$A$3,"MA_HT","DGD","MA_QH","DNG")</f>
        <v>0</v>
      </c>
      <c r="AV35" s="74">
        <f>+GETPIVOTDATA("XBG4",'binhgia (2016)'!$A$3,"MA_HT","DGD","MA_QH","TON")</f>
        <v>0</v>
      </c>
      <c r="AW35" s="74">
        <f>+GETPIVOTDATA("XBG4",'binhgia (2016)'!$A$3,"MA_HT","DGD","MA_QH","NTD")</f>
        <v>0</v>
      </c>
      <c r="AX35" s="74">
        <f>+GETPIVOTDATA("XBG4",'binhgia (2016)'!$A$3,"MA_HT","DGD","MA_QH","SKX")</f>
        <v>0</v>
      </c>
      <c r="AY35" s="74">
        <f>+GETPIVOTDATA("XBG4",'binhgia (2016)'!$A$3,"MA_HT","DGD","MA_QH","DSH")</f>
        <v>0</v>
      </c>
      <c r="AZ35" s="74">
        <f>+GETPIVOTDATA("XBG4",'binhgia (2016)'!$A$3,"MA_HT","DGD","MA_QH","DKV")</f>
        <v>0</v>
      </c>
      <c r="BA35" s="139">
        <f>+GETPIVOTDATA("XBG4",'binhgia (2016)'!$A$3,"MA_HT","DGD","MA_QH","TIN")</f>
        <v>0</v>
      </c>
      <c r="BB35" s="74">
        <f>+GETPIVOTDATA("XBG4",'binhgia (2016)'!$A$3,"MA_HT","DGD","MA_QH","SON")</f>
        <v>0</v>
      </c>
      <c r="BC35" s="74">
        <f>+GETPIVOTDATA("XBG4",'binhgia (2016)'!$A$3,"MA_HT","DGD","MA_QH","MNC")</f>
        <v>0</v>
      </c>
      <c r="BD35" s="74">
        <f>+GETPIVOTDATA("XBG4",'binhgia (2016)'!$A$3,"MA_HT","DGD","MA_QH","PNK")</f>
        <v>0</v>
      </c>
      <c r="BE35" s="102">
        <f>+GETPIVOTDATA("XBG4",'binhgia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+GETPIVOTDATA("XBG4",'binhgia (2016)'!$A$3,"MA_HT","DTT","MA_QH","LUC")</f>
        <v>0</v>
      </c>
      <c r="H36" s="74">
        <f>+GETPIVOTDATA("XBG4",'binhgia (2016)'!$A$3,"MA_HT","DTT","MA_QH","LUK")</f>
        <v>0</v>
      </c>
      <c r="I36" s="74">
        <f>+GETPIVOTDATA("XBG4",'binhgia (2016)'!$A$3,"MA_HT","DTT","MA_QH","LUN")</f>
        <v>0</v>
      </c>
      <c r="J36" s="74">
        <f>+GETPIVOTDATA("XBG4",'binhgia (2016)'!$A$3,"MA_HT","DTT","MA_QH","HNK")</f>
        <v>0</v>
      </c>
      <c r="K36" s="74">
        <f>+GETPIVOTDATA("XBG4",'binhgia (2016)'!$A$3,"MA_HT","DTT","MA_QH","CLN")</f>
        <v>0</v>
      </c>
      <c r="L36" s="74">
        <f>+GETPIVOTDATA("XBG4",'binhgia (2016)'!$A$3,"MA_HT","DTT","MA_QH","RSX")</f>
        <v>0</v>
      </c>
      <c r="M36" s="74">
        <f>+GETPIVOTDATA("XBG4",'binhgia (2016)'!$A$3,"MA_HT","DTT","MA_QH","RPH")</f>
        <v>0</v>
      </c>
      <c r="N36" s="74">
        <f>+GETPIVOTDATA("XBG4",'binhgia (2016)'!$A$3,"MA_HT","DTT","MA_QH","RDD")</f>
        <v>0</v>
      </c>
      <c r="O36" s="74">
        <f>+GETPIVOTDATA("XBG4",'binhgia (2016)'!$A$3,"MA_HT","DTT","MA_QH","NTS")</f>
        <v>0</v>
      </c>
      <c r="P36" s="74">
        <f>+GETPIVOTDATA("XBG4",'binhgia (2016)'!$A$3,"MA_HT","DTT","MA_QH","LMU")</f>
        <v>0</v>
      </c>
      <c r="Q36" s="74">
        <f>+GETPIVOTDATA("XBG4",'binhgia (2016)'!$A$3,"MA_HT","DTT","MA_QH","NKH")</f>
        <v>0</v>
      </c>
      <c r="R36" s="72">
        <f>SUM(S36:AA36,AN36:BD36)</f>
        <v>0</v>
      </c>
      <c r="S36" s="74">
        <f>+GETPIVOTDATA("XBG4",'binhgia (2016)'!$A$3,"MA_HT","DTT","MA_QH","CQP")</f>
        <v>0</v>
      </c>
      <c r="T36" s="74">
        <f>+GETPIVOTDATA("XBG4",'binhgia (2016)'!$A$3,"MA_HT","DTT","MA_QH","CAN")</f>
        <v>0</v>
      </c>
      <c r="U36" s="74">
        <f>+GETPIVOTDATA("XBG4",'binhgia (2016)'!$A$3,"MA_HT","DTT","MA_QH","SKK")</f>
        <v>0</v>
      </c>
      <c r="V36" s="74">
        <f>+GETPIVOTDATA("XBG4",'binhgia (2016)'!$A$3,"MA_HT","DTT","MA_QH","SKT")</f>
        <v>0</v>
      </c>
      <c r="W36" s="74">
        <f>+GETPIVOTDATA("XBG4",'binhgia (2016)'!$A$3,"MA_HT","DTT","MA_QH","SKN")</f>
        <v>0</v>
      </c>
      <c r="X36" s="74">
        <f>+GETPIVOTDATA("XBG4",'binhgia (2016)'!$A$3,"MA_HT","DTT","MA_QH","TMD")</f>
        <v>0</v>
      </c>
      <c r="Y36" s="74">
        <f>+GETPIVOTDATA("XBG4",'binhgia (2016)'!$A$3,"MA_HT","DTT","MA_QH","SKC")</f>
        <v>0</v>
      </c>
      <c r="Z36" s="74">
        <f>+GETPIVOTDATA("XBG4",'binhgia (2016)'!$A$3,"MA_HT","DTT","MA_QH","SKS")</f>
        <v>0</v>
      </c>
      <c r="AA36" s="64">
        <f>+SUM(AB36:AH36,AJ36:AM36)</f>
        <v>0</v>
      </c>
      <c r="AB36" s="74">
        <f>+GETPIVOTDATA("XBG4",'binhgia (2016)'!$A$3,"MA_HT","DTT","MA_QH","DGT")</f>
        <v>0</v>
      </c>
      <c r="AC36" s="74">
        <f>+GETPIVOTDATA("XBG4",'binhgia (2016)'!$A$3,"MA_HT","DTT","MA_QH","DTL")</f>
        <v>0</v>
      </c>
      <c r="AD36" s="74">
        <f>+GETPIVOTDATA("XBG4",'binhgia (2016)'!$A$3,"MA_HT","DTT","MA_QH","DNL")</f>
        <v>0</v>
      </c>
      <c r="AE36" s="74">
        <f>+GETPIVOTDATA("XBG4",'binhgia (2016)'!$A$3,"MA_HT","DTT","MA_QH","DBV")</f>
        <v>0</v>
      </c>
      <c r="AF36" s="74">
        <f>+GETPIVOTDATA("XBG4",'binhgia (2016)'!$A$3,"MA_HT","DTT","MA_QH","DVH")</f>
        <v>0</v>
      </c>
      <c r="AG36" s="74">
        <f>+GETPIVOTDATA("XBG4",'binhgia (2016)'!$A$3,"MA_HT","DTT","MA_QH","DYT")</f>
        <v>0</v>
      </c>
      <c r="AH36" s="74">
        <f>+GETPIVOTDATA("XBG4",'binhgia (2016)'!$A$3,"MA_HT","DTT","MA_QH","DGD")</f>
        <v>0</v>
      </c>
      <c r="AI36" s="100" t="e">
        <f>$D36-$BF36</f>
        <v>#REF!</v>
      </c>
      <c r="AJ36" s="74">
        <f>+GETPIVOTDATA("XBG4",'binhgia (2016)'!$A$3,"MA_HT","DTT","MA_QH","NCK")</f>
        <v>0</v>
      </c>
      <c r="AK36" s="74">
        <f>+GETPIVOTDATA("XBG4",'binhgia (2016)'!$A$3,"MA_HT","DTT","MA_QH","DXH")</f>
        <v>0</v>
      </c>
      <c r="AL36" s="74">
        <f>+GETPIVOTDATA("XBG4",'binhgia (2016)'!$A$3,"MA_HT","DTT","MA_QH","DCH")</f>
        <v>0</v>
      </c>
      <c r="AM36" s="74">
        <f>+GETPIVOTDATA("XBG4",'binhgia (2016)'!$A$3,"MA_HT","DTT","MA_QH","DKG")</f>
        <v>0</v>
      </c>
      <c r="AN36" s="74">
        <f>+GETPIVOTDATA("XBG4",'binhgia (2016)'!$A$3,"MA_HT","DTT","MA_QH","DDT")</f>
        <v>0</v>
      </c>
      <c r="AO36" s="74">
        <f>+GETPIVOTDATA("XBG4",'binhgia (2016)'!$A$3,"MA_HT","DTT","MA_QH","DDL")</f>
        <v>0</v>
      </c>
      <c r="AP36" s="74">
        <f>+GETPIVOTDATA("XBG4",'binhgia (2016)'!$A$3,"MA_HT","DTT","MA_QH","DRA")</f>
        <v>0</v>
      </c>
      <c r="AQ36" s="74">
        <f>+GETPIVOTDATA("XBG4",'binhgia (2016)'!$A$3,"MA_HT","DTT","MA_QH","ONT")</f>
        <v>0</v>
      </c>
      <c r="AR36" s="74">
        <f>+GETPIVOTDATA("XBG4",'binhgia (2016)'!$A$3,"MA_HT","DTT","MA_QH","ODT")</f>
        <v>0</v>
      </c>
      <c r="AS36" s="74">
        <f>+GETPIVOTDATA("XBG4",'binhgia (2016)'!$A$3,"MA_HT","DTT","MA_QH","TSC")</f>
        <v>0</v>
      </c>
      <c r="AT36" s="74">
        <f>+GETPIVOTDATA("XBG4",'binhgia (2016)'!$A$3,"MA_HT","DTT","MA_QH","DTS")</f>
        <v>0</v>
      </c>
      <c r="AU36" s="74">
        <f>+GETPIVOTDATA("XBG4",'binhgia (2016)'!$A$3,"MA_HT","DTT","MA_QH","DNG")</f>
        <v>0</v>
      </c>
      <c r="AV36" s="74">
        <f>+GETPIVOTDATA("XBG4",'binhgia (2016)'!$A$3,"MA_HT","DTT","MA_QH","TON")</f>
        <v>0</v>
      </c>
      <c r="AW36" s="74">
        <f>+GETPIVOTDATA("XBG4",'binhgia (2016)'!$A$3,"MA_HT","DTT","MA_QH","NTD")</f>
        <v>0</v>
      </c>
      <c r="AX36" s="74">
        <f>+GETPIVOTDATA("XBG4",'binhgia (2016)'!$A$3,"MA_HT","DTT","MA_QH","SKX")</f>
        <v>0</v>
      </c>
      <c r="AY36" s="74">
        <f>+GETPIVOTDATA("XBG4",'binhgia (2016)'!$A$3,"MA_HT","DTT","MA_QH","DSH")</f>
        <v>0</v>
      </c>
      <c r="AZ36" s="74">
        <f>+GETPIVOTDATA("XBG4",'binhgia (2016)'!$A$3,"MA_HT","DTT","MA_QH","DKV")</f>
        <v>0</v>
      </c>
      <c r="BA36" s="139">
        <f>+GETPIVOTDATA("XBG4",'binhgia (2016)'!$A$3,"MA_HT","DTT","MA_QH","TIN")</f>
        <v>0</v>
      </c>
      <c r="BB36" s="74">
        <f>+GETPIVOTDATA("XBG4",'binhgia (2016)'!$A$3,"MA_HT","DTT","MA_QH","SON")</f>
        <v>0</v>
      </c>
      <c r="BC36" s="74">
        <f>+GETPIVOTDATA("XBG4",'binhgia (2016)'!$A$3,"MA_HT","DTT","MA_QH","MNC")</f>
        <v>0</v>
      </c>
      <c r="BD36" s="74">
        <f>+GETPIVOTDATA("XBG4",'binhgia (2016)'!$A$3,"MA_HT","DTT","MA_QH","PNK")</f>
        <v>0</v>
      </c>
      <c r="BE36" s="102">
        <f>+GETPIVOTDATA("XBG4",'binhgia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+GETPIVOTDATA("XBG4",'binhgia (2016)'!$A$3,"MA_HT","NCK","MA_QH","LUC")</f>
        <v>0</v>
      </c>
      <c r="H37" s="74">
        <f>+GETPIVOTDATA("XBG4",'binhgia (2016)'!$A$3,"MA_HT","NCK","MA_QH","LUK")</f>
        <v>0</v>
      </c>
      <c r="I37" s="74">
        <f>+GETPIVOTDATA("XBG4",'binhgia (2016)'!$A$3,"MA_HT","NCK","MA_QH","LUN")</f>
        <v>0</v>
      </c>
      <c r="J37" s="74">
        <f>+GETPIVOTDATA("XBG4",'binhgia (2016)'!$A$3,"MA_HT","NCK","MA_QH","HNK")</f>
        <v>0</v>
      </c>
      <c r="K37" s="74">
        <f>+GETPIVOTDATA("XBG4",'binhgia (2016)'!$A$3,"MA_HT","NCK","MA_QH","CLN")</f>
        <v>0</v>
      </c>
      <c r="L37" s="74">
        <f>+GETPIVOTDATA("XBG4",'binhgia (2016)'!$A$3,"MA_HT","NCK","MA_QH","RSX")</f>
        <v>0</v>
      </c>
      <c r="M37" s="74">
        <f>+GETPIVOTDATA("XBG4",'binhgia (2016)'!$A$3,"MA_HT","NCK","MA_QH","RPH")</f>
        <v>0</v>
      </c>
      <c r="N37" s="74">
        <f>+GETPIVOTDATA("XBG4",'binhgia (2016)'!$A$3,"MA_HT","NCK","MA_QH","RDD")</f>
        <v>0</v>
      </c>
      <c r="O37" s="74">
        <f>+GETPIVOTDATA("XBG4",'binhgia (2016)'!$A$3,"MA_HT","NCK","MA_QH","NTS")</f>
        <v>0</v>
      </c>
      <c r="P37" s="74">
        <f>+GETPIVOTDATA("XBG4",'binhgia (2016)'!$A$3,"MA_HT","NCK","MA_QH","LMU")</f>
        <v>0</v>
      </c>
      <c r="Q37" s="74">
        <f>+GETPIVOTDATA("XBG4",'binhgia (2016)'!$A$3,"MA_HT","NCK","MA_QH","NKH")</f>
        <v>0</v>
      </c>
      <c r="R37" s="72">
        <f t="shared" si="20"/>
        <v>0</v>
      </c>
      <c r="S37" s="74">
        <f>+GETPIVOTDATA("XBG4",'binhgia (2016)'!$A$3,"MA_HT","NCK","MA_QH","CQP")</f>
        <v>0</v>
      </c>
      <c r="T37" s="74">
        <f>+GETPIVOTDATA("XBG4",'binhgia (2016)'!$A$3,"MA_HT","NCK","MA_QH","CAN")</f>
        <v>0</v>
      </c>
      <c r="U37" s="74">
        <f>+GETPIVOTDATA("XBG4",'binhgia (2016)'!$A$3,"MA_HT","NCK","MA_QH","SKK")</f>
        <v>0</v>
      </c>
      <c r="V37" s="74">
        <f>+GETPIVOTDATA("XBG4",'binhgia (2016)'!$A$3,"MA_HT","NCK","MA_QH","SKT")</f>
        <v>0</v>
      </c>
      <c r="W37" s="74">
        <f>+GETPIVOTDATA("XBG4",'binhgia (2016)'!$A$3,"MA_HT","NCK","MA_QH","SKN")</f>
        <v>0</v>
      </c>
      <c r="X37" s="74">
        <f>+GETPIVOTDATA("XBG4",'binhgia (2016)'!$A$3,"MA_HT","NCK","MA_QH","TMD")</f>
        <v>0</v>
      </c>
      <c r="Y37" s="74">
        <f>+GETPIVOTDATA("XBG4",'binhgia (2016)'!$A$3,"MA_HT","NCK","MA_QH","SKC")</f>
        <v>0</v>
      </c>
      <c r="Z37" s="74">
        <f>+GETPIVOTDATA("XBG4",'binhgia (2016)'!$A$3,"MA_HT","NCK","MA_QH","SKS")</f>
        <v>0</v>
      </c>
      <c r="AA37" s="64">
        <f>+SUM(AB37:AI37,AK37:AM37)</f>
        <v>0</v>
      </c>
      <c r="AB37" s="74">
        <f>+GETPIVOTDATA("XBG4",'binhgia (2016)'!$A$3,"MA_HT","NCK","MA_QH","DGT")</f>
        <v>0</v>
      </c>
      <c r="AC37" s="74">
        <f>+GETPIVOTDATA("XBG4",'binhgia (2016)'!$A$3,"MA_HT","NCK","MA_QH","DTL")</f>
        <v>0</v>
      </c>
      <c r="AD37" s="74">
        <f>+GETPIVOTDATA("XBG4",'binhgia (2016)'!$A$3,"MA_HT","NCK","MA_QH","DNL")</f>
        <v>0</v>
      </c>
      <c r="AE37" s="74">
        <f>+GETPIVOTDATA("XBG4",'binhgia (2016)'!$A$3,"MA_HT","NCK","MA_QH","DBV")</f>
        <v>0</v>
      </c>
      <c r="AF37" s="74">
        <f>+GETPIVOTDATA("XBG4",'binhgia (2016)'!$A$3,"MA_HT","NCK","MA_QH","DVH")</f>
        <v>0</v>
      </c>
      <c r="AG37" s="74">
        <f>+GETPIVOTDATA("XBG4",'binhgia (2016)'!$A$3,"MA_HT","NCK","MA_QH","DYT")</f>
        <v>0</v>
      </c>
      <c r="AH37" s="74">
        <f>+GETPIVOTDATA("XBG4",'binhgia (2016)'!$A$3,"MA_HT","NCK","MA_QH","DGD")</f>
        <v>0</v>
      </c>
      <c r="AI37" s="74">
        <f>+GETPIVOTDATA("XBG4",'binhgia (2016)'!$A$3,"MA_HT","NCK","MA_QH","DTT")</f>
        <v>0</v>
      </c>
      <c r="AJ37" s="100" t="e">
        <f>$D37-$BF37</f>
        <v>#REF!</v>
      </c>
      <c r="AK37" s="74">
        <f>+GETPIVOTDATA("XBG4",'binhgia (2016)'!$A$3,"MA_HT","NCK","MA_QH","DXH")</f>
        <v>0</v>
      </c>
      <c r="AL37" s="74">
        <f>+GETPIVOTDATA("XBG4",'binhgia (2016)'!$A$3,"MA_HT","NCK","MA_QH","DCH")</f>
        <v>0</v>
      </c>
      <c r="AM37" s="74">
        <f>+GETPIVOTDATA("XBG4",'binhgia (2016)'!$A$3,"MA_HT","NCK","MA_QH","DKG")</f>
        <v>0</v>
      </c>
      <c r="AN37" s="74">
        <f>+GETPIVOTDATA("XBG4",'binhgia (2016)'!$A$3,"MA_HT","NCK","MA_QH","DDT")</f>
        <v>0</v>
      </c>
      <c r="AO37" s="74">
        <f>+GETPIVOTDATA("XBG4",'binhgia (2016)'!$A$3,"MA_HT","NCK","MA_QH","DDL")</f>
        <v>0</v>
      </c>
      <c r="AP37" s="74">
        <f>+GETPIVOTDATA("XBG4",'binhgia (2016)'!$A$3,"MA_HT","NCK","MA_QH","DRA")</f>
        <v>0</v>
      </c>
      <c r="AQ37" s="74">
        <f>+GETPIVOTDATA("XBG4",'binhgia (2016)'!$A$3,"MA_HT","NCK","MA_QH","ONT")</f>
        <v>0</v>
      </c>
      <c r="AR37" s="74">
        <f>+GETPIVOTDATA("XBG4",'binhgia (2016)'!$A$3,"MA_HT","NCK","MA_QH","ODT")</f>
        <v>0</v>
      </c>
      <c r="AS37" s="74">
        <f>+GETPIVOTDATA("XBG4",'binhgia (2016)'!$A$3,"MA_HT","NCK","MA_QH","TSC")</f>
        <v>0</v>
      </c>
      <c r="AT37" s="74">
        <f>+GETPIVOTDATA("XBG4",'binhgia (2016)'!$A$3,"MA_HT","NCK","MA_QH","DTS")</f>
        <v>0</v>
      </c>
      <c r="AU37" s="74">
        <f>+GETPIVOTDATA("XBG4",'binhgia (2016)'!$A$3,"MA_HT","NCK","MA_QH","DNG")</f>
        <v>0</v>
      </c>
      <c r="AV37" s="74">
        <f>+GETPIVOTDATA("XBG4",'binhgia (2016)'!$A$3,"MA_HT","NCK","MA_QH","TON")</f>
        <v>0</v>
      </c>
      <c r="AW37" s="74">
        <f>+GETPIVOTDATA("XBG4",'binhgia (2016)'!$A$3,"MA_HT","NCK","MA_QH","NTD")</f>
        <v>0</v>
      </c>
      <c r="AX37" s="74">
        <f>+GETPIVOTDATA("XBG4",'binhgia (2016)'!$A$3,"MA_HT","NCK","MA_QH","SKX")</f>
        <v>0</v>
      </c>
      <c r="AY37" s="74">
        <f>+GETPIVOTDATA("XBG4",'binhgia (2016)'!$A$3,"MA_HT","NCK","MA_QH","DSH")</f>
        <v>0</v>
      </c>
      <c r="AZ37" s="74">
        <f>+GETPIVOTDATA("XBG4",'binhgia (2016)'!$A$3,"MA_HT","NCK","MA_QH","DKV")</f>
        <v>0</v>
      </c>
      <c r="BA37" s="139">
        <f>+GETPIVOTDATA("XBG4",'binhgia (2016)'!$A$3,"MA_HT","NCK","MA_QH","TIN")</f>
        <v>0</v>
      </c>
      <c r="BB37" s="74">
        <f>+GETPIVOTDATA("XBG4",'binhgia (2016)'!$A$3,"MA_HT","NCK","MA_QH","SON")</f>
        <v>0</v>
      </c>
      <c r="BC37" s="74">
        <f>+GETPIVOTDATA("XBG4",'binhgia (2016)'!$A$3,"MA_HT","NCK","MA_QH","MNC")</f>
        <v>0</v>
      </c>
      <c r="BD37" s="74">
        <f>+GETPIVOTDATA("XBG4",'binhgia (2016)'!$A$3,"MA_HT","NCK","MA_QH","PNK")</f>
        <v>0</v>
      </c>
      <c r="BE37" s="102">
        <f>+GETPIVOTDATA("XBG4",'binhgia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+GETPIVOTDATA("XBG4",'binhgia (2016)'!$A$3,"MA_HT","DXH","MA_QH","LUC")</f>
        <v>0</v>
      </c>
      <c r="H38" s="74">
        <f>+GETPIVOTDATA("XBG4",'binhgia (2016)'!$A$3,"MA_HT","DXH","MA_QH","LUK")</f>
        <v>0</v>
      </c>
      <c r="I38" s="74">
        <f>+GETPIVOTDATA("XBG4",'binhgia (2016)'!$A$3,"MA_HT","DXH","MA_QH","LUN")</f>
        <v>0</v>
      </c>
      <c r="J38" s="74">
        <f>+GETPIVOTDATA("XBG4",'binhgia (2016)'!$A$3,"MA_HT","DXH","MA_QH","HNK")</f>
        <v>0</v>
      </c>
      <c r="K38" s="74">
        <f>+GETPIVOTDATA("XBG4",'binhgia (2016)'!$A$3,"MA_HT","DXH","MA_QH","CLN")</f>
        <v>0</v>
      </c>
      <c r="L38" s="74">
        <f>+GETPIVOTDATA("XBG4",'binhgia (2016)'!$A$3,"MA_HT","DXH","MA_QH","RSX")</f>
        <v>0</v>
      </c>
      <c r="M38" s="74">
        <f>+GETPIVOTDATA("XBG4",'binhgia (2016)'!$A$3,"MA_HT","DXH","MA_QH","RPH")</f>
        <v>0</v>
      </c>
      <c r="N38" s="74">
        <f>+GETPIVOTDATA("XBG4",'binhgia (2016)'!$A$3,"MA_HT","DXH","MA_QH","RDD")</f>
        <v>0</v>
      </c>
      <c r="O38" s="74">
        <f>+GETPIVOTDATA("XBG4",'binhgia (2016)'!$A$3,"MA_HT","DXH","MA_QH","NTS")</f>
        <v>0</v>
      </c>
      <c r="P38" s="74">
        <f>+GETPIVOTDATA("XBG4",'binhgia (2016)'!$A$3,"MA_HT","DXH","MA_QH","LMU")</f>
        <v>0</v>
      </c>
      <c r="Q38" s="74">
        <f>+GETPIVOTDATA("XBG4",'binhgia (2016)'!$A$3,"MA_HT","DXH","MA_QH","NKH")</f>
        <v>0</v>
      </c>
      <c r="R38" s="72">
        <f t="shared" si="20"/>
        <v>0</v>
      </c>
      <c r="S38" s="74">
        <f>+GETPIVOTDATA("XBG4",'binhgia (2016)'!$A$3,"MA_HT","DXH","MA_QH","CQP")</f>
        <v>0</v>
      </c>
      <c r="T38" s="74">
        <f>+GETPIVOTDATA("XBG4",'binhgia (2016)'!$A$3,"MA_HT","DXH","MA_QH","CAN")</f>
        <v>0</v>
      </c>
      <c r="U38" s="74">
        <f>+GETPIVOTDATA("XBG4",'binhgia (2016)'!$A$3,"MA_HT","DXH","MA_QH","SKK")</f>
        <v>0</v>
      </c>
      <c r="V38" s="74">
        <f>+GETPIVOTDATA("XBG4",'binhgia (2016)'!$A$3,"MA_HT","DXH","MA_QH","SKT")</f>
        <v>0</v>
      </c>
      <c r="W38" s="74">
        <f>+GETPIVOTDATA("XBG4",'binhgia (2016)'!$A$3,"MA_HT","DXH","MA_QH","SKN")</f>
        <v>0</v>
      </c>
      <c r="X38" s="74">
        <f>+GETPIVOTDATA("XBG4",'binhgia (2016)'!$A$3,"MA_HT","DXH","MA_QH","TMD")</f>
        <v>0</v>
      </c>
      <c r="Y38" s="74">
        <f>+GETPIVOTDATA("XBG4",'binhgia (2016)'!$A$3,"MA_HT","DXH","MA_QH","SKC")</f>
        <v>0</v>
      </c>
      <c r="Z38" s="74">
        <f>+GETPIVOTDATA("XBG4",'binhgia (2016)'!$A$3,"MA_HT","DXH","MA_QH","SKS")</f>
        <v>0</v>
      </c>
      <c r="AA38" s="64">
        <f>+SUM(AB38:AJ38,AL38:AM38)</f>
        <v>0</v>
      </c>
      <c r="AB38" s="74">
        <f>+GETPIVOTDATA("XBG4",'binhgia (2016)'!$A$3,"MA_HT","DXH","MA_QH","DGT")</f>
        <v>0</v>
      </c>
      <c r="AC38" s="74">
        <f>+GETPIVOTDATA("XBG4",'binhgia (2016)'!$A$3,"MA_HT","DXH","MA_QH","DTL")</f>
        <v>0</v>
      </c>
      <c r="AD38" s="74">
        <f>+GETPIVOTDATA("XBG4",'binhgia (2016)'!$A$3,"MA_HT","DXH","MA_QH","DNL")</f>
        <v>0</v>
      </c>
      <c r="AE38" s="74">
        <f>+GETPIVOTDATA("XBG4",'binhgia (2016)'!$A$3,"MA_HT","DXH","MA_QH","DBV")</f>
        <v>0</v>
      </c>
      <c r="AF38" s="74">
        <f>+GETPIVOTDATA("XBG4",'binhgia (2016)'!$A$3,"MA_HT","DXH","MA_QH","DVH")</f>
        <v>0</v>
      </c>
      <c r="AG38" s="74">
        <f>+GETPIVOTDATA("XBG4",'binhgia (2016)'!$A$3,"MA_HT","DXH","MA_QH","DYT")</f>
        <v>0</v>
      </c>
      <c r="AH38" s="74">
        <f>+GETPIVOTDATA("XBG4",'binhgia (2016)'!$A$3,"MA_HT","DXH","MA_QH","DGD")</f>
        <v>0</v>
      </c>
      <c r="AI38" s="74">
        <f>+GETPIVOTDATA("XBG4",'binhgia (2016)'!$A$3,"MA_HT","DXH","MA_QH","DTT")</f>
        <v>0</v>
      </c>
      <c r="AJ38" s="74">
        <f>+GETPIVOTDATA("XBG4",'binhgia (2016)'!$A$3,"MA_HT","DXH","MA_QH","NCK")</f>
        <v>0</v>
      </c>
      <c r="AK38" s="100" t="e">
        <f>$D38-$BF38</f>
        <v>#REF!</v>
      </c>
      <c r="AL38" s="74">
        <f>+GETPIVOTDATA("XBG4",'binhgia (2016)'!$A$3,"MA_HT","DXH","MA_QH","DCH")</f>
        <v>0</v>
      </c>
      <c r="AM38" s="74">
        <f>+GETPIVOTDATA("XBG4",'binhgia (2016)'!$A$3,"MA_HT","DXH","MA_QH","DKG")</f>
        <v>0</v>
      </c>
      <c r="AN38" s="74">
        <f>+GETPIVOTDATA("XBG4",'binhgia (2016)'!$A$3,"MA_HT","DXH","MA_QH","DDT")</f>
        <v>0</v>
      </c>
      <c r="AO38" s="74">
        <f>+GETPIVOTDATA("XBG4",'binhgia (2016)'!$A$3,"MA_HT","DXH","MA_QH","DDL")</f>
        <v>0</v>
      </c>
      <c r="AP38" s="74">
        <f>+GETPIVOTDATA("XBG4",'binhgia (2016)'!$A$3,"MA_HT","DXH","MA_QH","DRA")</f>
        <v>0</v>
      </c>
      <c r="AQ38" s="74">
        <f>+GETPIVOTDATA("XBG4",'binhgia (2016)'!$A$3,"MA_HT","DXH","MA_QH","ONT")</f>
        <v>0</v>
      </c>
      <c r="AR38" s="74">
        <f>+GETPIVOTDATA("XBG4",'binhgia (2016)'!$A$3,"MA_HT","DXH","MA_QH","ODT")</f>
        <v>0</v>
      </c>
      <c r="AS38" s="74">
        <f>+GETPIVOTDATA("XBG4",'binhgia (2016)'!$A$3,"MA_HT","DXH","MA_QH","TSC")</f>
        <v>0</v>
      </c>
      <c r="AT38" s="74">
        <f>+GETPIVOTDATA("XBG4",'binhgia (2016)'!$A$3,"MA_HT","DXH","MA_QH","DTS")</f>
        <v>0</v>
      </c>
      <c r="AU38" s="74">
        <f>+GETPIVOTDATA("XBG4",'binhgia (2016)'!$A$3,"MA_HT","DXH","MA_QH","DNG")</f>
        <v>0</v>
      </c>
      <c r="AV38" s="74">
        <f>+GETPIVOTDATA("XBG4",'binhgia (2016)'!$A$3,"MA_HT","DXH","MA_QH","TON")</f>
        <v>0</v>
      </c>
      <c r="AW38" s="74">
        <f>+GETPIVOTDATA("XBG4",'binhgia (2016)'!$A$3,"MA_HT","DXH","MA_QH","NTD")</f>
        <v>0</v>
      </c>
      <c r="AX38" s="74">
        <f>+GETPIVOTDATA("XBG4",'binhgia (2016)'!$A$3,"MA_HT","DXH","MA_QH","SKX")</f>
        <v>0</v>
      </c>
      <c r="AY38" s="74">
        <f>+GETPIVOTDATA("XBG4",'binhgia (2016)'!$A$3,"MA_HT","DXH","MA_QH","DSH")</f>
        <v>0</v>
      </c>
      <c r="AZ38" s="74">
        <f>+GETPIVOTDATA("XBG4",'binhgia (2016)'!$A$3,"MA_HT","DXH","MA_QH","DKV")</f>
        <v>0</v>
      </c>
      <c r="BA38" s="139">
        <f>+GETPIVOTDATA("XBG4",'binhgia (2016)'!$A$3,"MA_HT","DXH","MA_QH","TIN")</f>
        <v>0</v>
      </c>
      <c r="BB38" s="74">
        <f>+GETPIVOTDATA("XBG4",'binhgia (2016)'!$A$3,"MA_HT","DXH","MA_QH","SON")</f>
        <v>0</v>
      </c>
      <c r="BC38" s="74">
        <f>+GETPIVOTDATA("XBG4",'binhgia (2016)'!$A$3,"MA_HT","DXH","MA_QH","MNC")</f>
        <v>0</v>
      </c>
      <c r="BD38" s="74">
        <f>+GETPIVOTDATA("XBG4",'binhgia (2016)'!$A$3,"MA_HT","DXH","MA_QH","PNK")</f>
        <v>0</v>
      </c>
      <c r="BE38" s="102">
        <f>+GETPIVOTDATA("XBG4",'binhgia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+GETPIVOTDATA("XBG4",'binhgia (2016)'!$A$3,"MA_HT","DCH","MA_QH","LUC")</f>
        <v>0</v>
      </c>
      <c r="H39" s="74">
        <f>+GETPIVOTDATA("XBG4",'binhgia (2016)'!$A$3,"MA_HT","DCH","MA_QH","LUK")</f>
        <v>0</v>
      </c>
      <c r="I39" s="74">
        <f>+GETPIVOTDATA("XBG4",'binhgia (2016)'!$A$3,"MA_HT","DCH","MA_QH","LUN")</f>
        <v>0</v>
      </c>
      <c r="J39" s="74">
        <f>+GETPIVOTDATA("XBG4",'binhgia (2016)'!$A$3,"MA_HT","DCH","MA_QH","HNK")</f>
        <v>0</v>
      </c>
      <c r="K39" s="74">
        <f>+GETPIVOTDATA("XBG4",'binhgia (2016)'!$A$3,"MA_HT","DCH","MA_QH","CLN")</f>
        <v>0</v>
      </c>
      <c r="L39" s="74">
        <f>+GETPIVOTDATA("XBG4",'binhgia (2016)'!$A$3,"MA_HT","DCH","MA_QH","RSX")</f>
        <v>0</v>
      </c>
      <c r="M39" s="74">
        <f>+GETPIVOTDATA("XBG4",'binhgia (2016)'!$A$3,"MA_HT","DCH","MA_QH","RPH")</f>
        <v>0</v>
      </c>
      <c r="N39" s="74">
        <f>+GETPIVOTDATA("XBG4",'binhgia (2016)'!$A$3,"MA_HT","DCH","MA_QH","RDD")</f>
        <v>0</v>
      </c>
      <c r="O39" s="74">
        <f>+GETPIVOTDATA("XBG4",'binhgia (2016)'!$A$3,"MA_HT","DCH","MA_QH","NTS")</f>
        <v>0</v>
      </c>
      <c r="P39" s="74">
        <f>+GETPIVOTDATA("XBG4",'binhgia (2016)'!$A$3,"MA_HT","DCH","MA_QH","LMU")</f>
        <v>0</v>
      </c>
      <c r="Q39" s="74">
        <f>+GETPIVOTDATA("XBG4",'binhgia (2016)'!$A$3,"MA_HT","DCH","MA_QH","NKH")</f>
        <v>0</v>
      </c>
      <c r="R39" s="72">
        <f t="shared" si="20"/>
        <v>0</v>
      </c>
      <c r="S39" s="74">
        <f>+GETPIVOTDATA("XBG4",'binhgia (2016)'!$A$3,"MA_HT","DCH","MA_QH","CQP")</f>
        <v>0</v>
      </c>
      <c r="T39" s="74">
        <f>+GETPIVOTDATA("XBG4",'binhgia (2016)'!$A$3,"MA_HT","DCH","MA_QH","CAN")</f>
        <v>0</v>
      </c>
      <c r="U39" s="74">
        <f>+GETPIVOTDATA("XBG4",'binhgia (2016)'!$A$3,"MA_HT","DCH","MA_QH","SKK")</f>
        <v>0</v>
      </c>
      <c r="V39" s="74">
        <f>+GETPIVOTDATA("XBG4",'binhgia (2016)'!$A$3,"MA_HT","DCH","MA_QH","SKT")</f>
        <v>0</v>
      </c>
      <c r="W39" s="74">
        <f>+GETPIVOTDATA("XBG4",'binhgia (2016)'!$A$3,"MA_HT","DCH","MA_QH","SKN")</f>
        <v>0</v>
      </c>
      <c r="X39" s="74">
        <f>+GETPIVOTDATA("XBG4",'binhgia (2016)'!$A$3,"MA_HT","DCH","MA_QH","TMD")</f>
        <v>0</v>
      </c>
      <c r="Y39" s="74">
        <f>+GETPIVOTDATA("XBG4",'binhgia (2016)'!$A$3,"MA_HT","DCH","MA_QH","SKC")</f>
        <v>0</v>
      </c>
      <c r="Z39" s="74">
        <f>+GETPIVOTDATA("XBG4",'binhgia (2016)'!$A$3,"MA_HT","DCH","MA_QH","SKS")</f>
        <v>0</v>
      </c>
      <c r="AA39" s="64">
        <f>+SUM(AB39:AK39,AM39)</f>
        <v>0</v>
      </c>
      <c r="AB39" s="74">
        <f>+GETPIVOTDATA("XBG4",'binhgia (2016)'!$A$3,"MA_HT","DCH","MA_QH","DGT")</f>
        <v>0</v>
      </c>
      <c r="AC39" s="74">
        <f>+GETPIVOTDATA("XBG4",'binhgia (2016)'!$A$3,"MA_HT","DCH","MA_QH","DTL")</f>
        <v>0</v>
      </c>
      <c r="AD39" s="74">
        <f>+GETPIVOTDATA("XBG4",'binhgia (2016)'!$A$3,"MA_HT","DCH","MA_QH","DNL")</f>
        <v>0</v>
      </c>
      <c r="AE39" s="74">
        <f>+GETPIVOTDATA("XBG4",'binhgia (2016)'!$A$3,"MA_HT","DCH","MA_QH","DBV")</f>
        <v>0</v>
      </c>
      <c r="AF39" s="74">
        <f>+GETPIVOTDATA("XBG4",'binhgia (2016)'!$A$3,"MA_HT","DCH","MA_QH","DVH")</f>
        <v>0</v>
      </c>
      <c r="AG39" s="74">
        <f>+GETPIVOTDATA("XBG4",'binhgia (2016)'!$A$3,"MA_HT","DCH","MA_QH","DYT")</f>
        <v>0</v>
      </c>
      <c r="AH39" s="74">
        <f>+GETPIVOTDATA("XBG4",'binhgia (2016)'!$A$3,"MA_HT","DCH","MA_QH","DGD")</f>
        <v>0</v>
      </c>
      <c r="AI39" s="74">
        <f>+GETPIVOTDATA("XBG4",'binhgia (2016)'!$A$3,"MA_HT","DCH","MA_QH","DTT")</f>
        <v>0</v>
      </c>
      <c r="AJ39" s="74">
        <f>+GETPIVOTDATA("XBG4",'binhgia (2016)'!$A$3,"MA_HT","DCH","MA_QH","NCK")</f>
        <v>0</v>
      </c>
      <c r="AK39" s="74">
        <f>+GETPIVOTDATA("XBG4",'binhgia (2016)'!$A$3,"MA_HT","DCH","MA_QH","DXH")</f>
        <v>0</v>
      </c>
      <c r="AL39" s="100" t="e">
        <f>$D39-$BF39</f>
        <v>#REF!</v>
      </c>
      <c r="AM39" s="74">
        <f>+GETPIVOTDATA("XBG4",'binhgia (2016)'!$A$3,"MA_HT","DXH","MA_QH","DKG")</f>
        <v>0</v>
      </c>
      <c r="AN39" s="74">
        <f>+GETPIVOTDATA("XBG4",'binhgia (2016)'!$A$3,"MA_HT","DCH","MA_QH","DDT")</f>
        <v>0</v>
      </c>
      <c r="AO39" s="74">
        <f>+GETPIVOTDATA("XBG4",'binhgia (2016)'!$A$3,"MA_HT","DCH","MA_QH","DDL")</f>
        <v>0</v>
      </c>
      <c r="AP39" s="74">
        <f>+GETPIVOTDATA("XBG4",'binhgia (2016)'!$A$3,"MA_HT","DCH","MA_QH","DRA")</f>
        <v>0</v>
      </c>
      <c r="AQ39" s="74">
        <f>+GETPIVOTDATA("XBG4",'binhgia (2016)'!$A$3,"MA_HT","DCH","MA_QH","ONT")</f>
        <v>0</v>
      </c>
      <c r="AR39" s="74">
        <f>+GETPIVOTDATA("XBG4",'binhgia (2016)'!$A$3,"MA_HT","DCH","MA_QH","ODT")</f>
        <v>0</v>
      </c>
      <c r="AS39" s="74">
        <f>+GETPIVOTDATA("XBG4",'binhgia (2016)'!$A$3,"MA_HT","DCH","MA_QH","TSC")</f>
        <v>0</v>
      </c>
      <c r="AT39" s="74">
        <f>+GETPIVOTDATA("XBG4",'binhgia (2016)'!$A$3,"MA_HT","DCH","MA_QH","DTS")</f>
        <v>0</v>
      </c>
      <c r="AU39" s="74">
        <f>+GETPIVOTDATA("XBG4",'binhgia (2016)'!$A$3,"MA_HT","DCH","MA_QH","DNG")</f>
        <v>0</v>
      </c>
      <c r="AV39" s="74">
        <f>+GETPIVOTDATA("XBG4",'binhgia (2016)'!$A$3,"MA_HT","DCH","MA_QH","TON")</f>
        <v>0</v>
      </c>
      <c r="AW39" s="74">
        <f>+GETPIVOTDATA("XBG4",'binhgia (2016)'!$A$3,"MA_HT","DCH","MA_QH","NTD")</f>
        <v>0</v>
      </c>
      <c r="AX39" s="74">
        <f>+GETPIVOTDATA("XBG4",'binhgia (2016)'!$A$3,"MA_HT","DCH","MA_QH","SKX")</f>
        <v>0</v>
      </c>
      <c r="AY39" s="74">
        <f>+GETPIVOTDATA("XBG4",'binhgia (2016)'!$A$3,"MA_HT","DCH","MA_QH","DSH")</f>
        <v>0</v>
      </c>
      <c r="AZ39" s="74">
        <f>+GETPIVOTDATA("XBG4",'binhgia (2016)'!$A$3,"MA_HT","DCH","MA_QH","DKV")</f>
        <v>0</v>
      </c>
      <c r="BA39" s="139">
        <f>+GETPIVOTDATA("XBG4",'binhgia (2016)'!$A$3,"MA_HT","DCH","MA_QH","TIN")</f>
        <v>0</v>
      </c>
      <c r="BB39" s="74">
        <f>+GETPIVOTDATA("XBG4",'binhgia (2016)'!$A$3,"MA_HT","DCH","MA_QH","SON")</f>
        <v>0</v>
      </c>
      <c r="BC39" s="74">
        <f>+GETPIVOTDATA("XBG4",'binhgia (2016)'!$A$3,"MA_HT","DCH","MA_QH","MNC")</f>
        <v>0</v>
      </c>
      <c r="BD39" s="74">
        <f>+GETPIVOTDATA("XBG4",'binhgia (2016)'!$A$3,"MA_HT","DCH","MA_QH","PNK")</f>
        <v>0</v>
      </c>
      <c r="BE39" s="102">
        <f>+GETPIVOTDATA("XBG4",'binhgia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+GETPIVOTDATA("XBG4",'binhgia (2016)'!$A$3,"MA_HT","DKG","MA_QH","LUC")</f>
        <v>0</v>
      </c>
      <c r="H40" s="74">
        <f>+GETPIVOTDATA("XBG4",'binhgia (2016)'!$A$3,"MA_HT","DKG","MA_QH","LUK")</f>
        <v>0</v>
      </c>
      <c r="I40" s="74">
        <f>+GETPIVOTDATA("XBG4",'binhgia (2016)'!$A$3,"MA_HT","DKG","MA_QH","LUN")</f>
        <v>0</v>
      </c>
      <c r="J40" s="74">
        <f>+GETPIVOTDATA("XBG4",'binhgia (2016)'!$A$3,"MA_HT","DKG","MA_QH","HNK")</f>
        <v>0</v>
      </c>
      <c r="K40" s="74">
        <f>+GETPIVOTDATA("XBG4",'binhgia (2016)'!$A$3,"MA_HT","DKG","MA_QH","CLN")</f>
        <v>0</v>
      </c>
      <c r="L40" s="74">
        <f>+GETPIVOTDATA("XBG4",'binhgia (2016)'!$A$3,"MA_HT","DKG","MA_QH","RSX")</f>
        <v>0</v>
      </c>
      <c r="M40" s="74">
        <f>+GETPIVOTDATA("XBG4",'binhgia (2016)'!$A$3,"MA_HT","DKG","MA_QH","RPH")</f>
        <v>0</v>
      </c>
      <c r="N40" s="74">
        <f>+GETPIVOTDATA("XBG4",'binhgia (2016)'!$A$3,"MA_HT","DKG","MA_QH","RDD")</f>
        <v>0</v>
      </c>
      <c r="O40" s="74">
        <f>+GETPIVOTDATA("XBG4",'binhgia (2016)'!$A$3,"MA_HT","DKG","MA_QH","NTS")</f>
        <v>0</v>
      </c>
      <c r="P40" s="74">
        <f>+GETPIVOTDATA("XBG4",'binhgia (2016)'!$A$3,"MA_HT","DKG","MA_QH","LMU")</f>
        <v>0</v>
      </c>
      <c r="Q40" s="74">
        <f>+GETPIVOTDATA("XBG4",'binhgia (2016)'!$A$3,"MA_HT","DKG","MA_QH","NKH")</f>
        <v>0</v>
      </c>
      <c r="R40" s="72">
        <f>SUM(S40:AA40,AN40:BD40)</f>
        <v>0</v>
      </c>
      <c r="S40" s="74">
        <f>+GETPIVOTDATA("XBG4",'binhgia (2016)'!$A$3,"MA_HT","DKG","MA_QH","CQP")</f>
        <v>0</v>
      </c>
      <c r="T40" s="74">
        <f>+GETPIVOTDATA("XBG4",'binhgia (2016)'!$A$3,"MA_HT","DKG","MA_QH","CAN")</f>
        <v>0</v>
      </c>
      <c r="U40" s="74">
        <f>+GETPIVOTDATA("XBG4",'binhgia (2016)'!$A$3,"MA_HT","DKG","MA_QH","SKK")</f>
        <v>0</v>
      </c>
      <c r="V40" s="74">
        <f>+GETPIVOTDATA("XBG4",'binhgia (2016)'!$A$3,"MA_HT","DKG","MA_QH","SKT")</f>
        <v>0</v>
      </c>
      <c r="W40" s="74">
        <f>+GETPIVOTDATA("XBG4",'binhgia (2016)'!$A$3,"MA_HT","DKG","MA_QH","SKN")</f>
        <v>0</v>
      </c>
      <c r="X40" s="74">
        <f>+GETPIVOTDATA("XBG4",'binhgia (2016)'!$A$3,"MA_HT","DKG","MA_QH","TMD")</f>
        <v>0</v>
      </c>
      <c r="Y40" s="74">
        <f>+GETPIVOTDATA("XBG4",'binhgia (2016)'!$A$3,"MA_HT","DKG","MA_QH","SKC")</f>
        <v>0</v>
      </c>
      <c r="Z40" s="74">
        <f>+GETPIVOTDATA("XBG4",'binhgia (2016)'!$A$3,"MA_HT","DKG","MA_QH","SKS")</f>
        <v>0</v>
      </c>
      <c r="AA40" s="64">
        <f>+SUM(AB40:AL40)</f>
        <v>0</v>
      </c>
      <c r="AB40" s="74">
        <f>+GETPIVOTDATA("XBG4",'binhgia (2016)'!$A$3,"MA_HT","DKG","MA_QH","DGT")</f>
        <v>0</v>
      </c>
      <c r="AC40" s="74">
        <f>+GETPIVOTDATA("XBG4",'binhgia (2016)'!$A$3,"MA_HT","DKG","MA_QH","DTL")</f>
        <v>0</v>
      </c>
      <c r="AD40" s="74">
        <f>+GETPIVOTDATA("XBG4",'binhgia (2016)'!$A$3,"MA_HT","DKG","MA_QH","DNL")</f>
        <v>0</v>
      </c>
      <c r="AE40" s="74">
        <f>+GETPIVOTDATA("XBG4",'binhgia (2016)'!$A$3,"MA_HT","DKG","MA_QH","DBV")</f>
        <v>0</v>
      </c>
      <c r="AF40" s="74">
        <f>+GETPIVOTDATA("XBG4",'binhgia (2016)'!$A$3,"MA_HT","DKG","MA_QH","DVH")</f>
        <v>0</v>
      </c>
      <c r="AG40" s="74">
        <f>+GETPIVOTDATA("XBG4",'binhgia (2016)'!$A$3,"MA_HT","DKG","MA_QH","DYT")</f>
        <v>0</v>
      </c>
      <c r="AH40" s="74">
        <f>+GETPIVOTDATA("XBG4",'binhgia (2016)'!$A$3,"MA_HT","DKG","MA_QH","DGD")</f>
        <v>0</v>
      </c>
      <c r="AI40" s="74">
        <f>+GETPIVOTDATA("XBG4",'binhgia (2016)'!$A$3,"MA_HT","DKG","MA_QH","DTT")</f>
        <v>0</v>
      </c>
      <c r="AJ40" s="74">
        <f>+GETPIVOTDATA("XBG4",'binhgia (2016)'!$A$3,"MA_HT","DKG","MA_QH","NCK")</f>
        <v>0</v>
      </c>
      <c r="AK40" s="74">
        <f>+GETPIVOTDATA("XBG4",'binhgia (2016)'!$A$3,"MA_HT","DKG","MA_QH","DXH")</f>
        <v>0</v>
      </c>
      <c r="AL40" s="122">
        <f>+GETPIVOTDATA("XBG4",'binhgia (2016)'!$A$3,"MA_HT","DDT","MA_QH","DKG")</f>
        <v>0</v>
      </c>
      <c r="AM40" s="100" t="e">
        <f>$D40-$BF40</f>
        <v>#REF!</v>
      </c>
      <c r="AN40" s="74">
        <f>+GETPIVOTDATA("XBG4",'binhgia (2016)'!$A$3,"MA_HT","DKG","MA_QH","DDT")</f>
        <v>0</v>
      </c>
      <c r="AO40" s="74">
        <f>+GETPIVOTDATA("XBG4",'binhgia (2016)'!$A$3,"MA_HT","DKG","MA_QH","DDL")</f>
        <v>0</v>
      </c>
      <c r="AP40" s="74">
        <f>+GETPIVOTDATA("XBG4",'binhgia (2016)'!$A$3,"MA_HT","DKG","MA_QH","DRA")</f>
        <v>0</v>
      </c>
      <c r="AQ40" s="74">
        <f>+GETPIVOTDATA("XBG4",'binhgia (2016)'!$A$3,"MA_HT","DKG","MA_QH","ONT")</f>
        <v>0</v>
      </c>
      <c r="AR40" s="74">
        <f>+GETPIVOTDATA("XBG4",'binhgia (2016)'!$A$3,"MA_HT","DKG","MA_QH","ODT")</f>
        <v>0</v>
      </c>
      <c r="AS40" s="74">
        <f>+GETPIVOTDATA("XBG4",'binhgia (2016)'!$A$3,"MA_HT","DKG","MA_QH","TSC")</f>
        <v>0</v>
      </c>
      <c r="AT40" s="74">
        <f>+GETPIVOTDATA("XBG4",'binhgia (2016)'!$A$3,"MA_HT","DKG","MA_QH","DTS")</f>
        <v>0</v>
      </c>
      <c r="AU40" s="74">
        <f>+GETPIVOTDATA("XBG4",'binhgia (2016)'!$A$3,"MA_HT","DKG","MA_QH","DNG")</f>
        <v>0</v>
      </c>
      <c r="AV40" s="74">
        <f>+GETPIVOTDATA("XBG4",'binhgia (2016)'!$A$3,"MA_HT","DKG","MA_QH","TON")</f>
        <v>0</v>
      </c>
      <c r="AW40" s="74">
        <f>+GETPIVOTDATA("XBG4",'binhgia (2016)'!$A$3,"MA_HT","DKG","MA_QH","NTD")</f>
        <v>0</v>
      </c>
      <c r="AX40" s="74">
        <f>+GETPIVOTDATA("XBG4",'binhgia (2016)'!$A$3,"MA_HT","DKG","MA_QH","SKX")</f>
        <v>0</v>
      </c>
      <c r="AY40" s="74">
        <f>+GETPIVOTDATA("XBG4",'binhgia (2016)'!$A$3,"MA_HT","DKG","MA_QH","DSH")</f>
        <v>0</v>
      </c>
      <c r="AZ40" s="74">
        <f>+GETPIVOTDATA("XBG4",'binhgia (2016)'!$A$3,"MA_HT","DKG","MA_QH","DKV")</f>
        <v>0</v>
      </c>
      <c r="BA40" s="139">
        <f>+GETPIVOTDATA("XBG4",'binhgia (2016)'!$A$3,"MA_HT","DKG","MA_QH","TIN")</f>
        <v>0</v>
      </c>
      <c r="BB40" s="74">
        <f>+GETPIVOTDATA("XBG4",'binhgia (2016)'!$A$3,"MA_HT","DKG","MA_QH","SON")</f>
        <v>0</v>
      </c>
      <c r="BC40" s="74">
        <f>+GETPIVOTDATA("XBG4",'binhgia (2016)'!$A$3,"MA_HT","DKG","MA_QH","MNC")</f>
        <v>0</v>
      </c>
      <c r="BD40" s="74">
        <f>+GETPIVOTDATA("XBG4",'binhgia (2016)'!$A$3,"MA_HT","DKG","MA_QH","PNK")</f>
        <v>0</v>
      </c>
      <c r="BE40" s="102">
        <f>+GETPIVOTDATA("XBG4",'binhgia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+GETPIVOTDATA("XBG4",'binhgia (2016)'!$A$3,"MA_HT","DDT","MA_QH","LUC")</f>
        <v>0</v>
      </c>
      <c r="H41" s="122">
        <f>+GETPIVOTDATA("XBG4",'binhgia (2016)'!$A$3,"MA_HT","DDT","MA_QH","LUK")</f>
        <v>0</v>
      </c>
      <c r="I41" s="122">
        <f>+GETPIVOTDATA("XBG4",'binhgia (2016)'!$A$3,"MA_HT","DDT","MA_QH","LUN")</f>
        <v>0</v>
      </c>
      <c r="J41" s="122">
        <f>+GETPIVOTDATA("XBG4",'binhgia (2016)'!$A$3,"MA_HT","DDT","MA_QH","HNK")</f>
        <v>0</v>
      </c>
      <c r="K41" s="122">
        <f>+GETPIVOTDATA("XBG4",'binhgia (2016)'!$A$3,"MA_HT","DDT","MA_QH","CLN")</f>
        <v>0</v>
      </c>
      <c r="L41" s="122">
        <f>+GETPIVOTDATA("XBG4",'binhgia (2016)'!$A$3,"MA_HT","DDT","MA_QH","RSX")</f>
        <v>0</v>
      </c>
      <c r="M41" s="122">
        <f>+GETPIVOTDATA("XBG4",'binhgia (2016)'!$A$3,"MA_HT","DDT","MA_QH","RPH")</f>
        <v>0</v>
      </c>
      <c r="N41" s="122">
        <f>+GETPIVOTDATA("XBG4",'binhgia (2016)'!$A$3,"MA_HT","DDT","MA_QH","RDD")</f>
        <v>0</v>
      </c>
      <c r="O41" s="122">
        <f>+GETPIVOTDATA("XBG4",'binhgia (2016)'!$A$3,"MA_HT","DDT","MA_QH","NTS")</f>
        <v>0</v>
      </c>
      <c r="P41" s="122">
        <f>+GETPIVOTDATA("XBG4",'binhgia (2016)'!$A$3,"MA_HT","DDT","MA_QH","LMU")</f>
        <v>0</v>
      </c>
      <c r="Q41" s="122">
        <f>+GETPIVOTDATA("XBG4",'binhgia (2016)'!$A$3,"MA_HT","DDT","MA_QH","NKH")</f>
        <v>0</v>
      </c>
      <c r="R41" s="123">
        <f>SUM(S41:AA41,AO41:BD41)</f>
        <v>0</v>
      </c>
      <c r="S41" s="122">
        <f>+GETPIVOTDATA("XBG4",'binhgia (2016)'!$A$3,"MA_HT","DDT","MA_QH","CQP")</f>
        <v>0</v>
      </c>
      <c r="T41" s="122">
        <f>+GETPIVOTDATA("XBG4",'binhgia (2016)'!$A$3,"MA_HT","DDT","MA_QH","CAN")</f>
        <v>0</v>
      </c>
      <c r="U41" s="122">
        <f>+GETPIVOTDATA("XBG4",'binhgia (2016)'!$A$3,"MA_HT","DDT","MA_QH","SKK")</f>
        <v>0</v>
      </c>
      <c r="V41" s="122">
        <f>+GETPIVOTDATA("XBG4",'binhgia (2016)'!$A$3,"MA_HT","DDT","MA_QH","SKT")</f>
        <v>0</v>
      </c>
      <c r="W41" s="122">
        <f>+GETPIVOTDATA("XBG4",'binhgia (2016)'!$A$3,"MA_HT","DDT","MA_QH","SKN")</f>
        <v>0</v>
      </c>
      <c r="X41" s="122">
        <f>+GETPIVOTDATA("XBG4",'binhgia (2016)'!$A$3,"MA_HT","DDT","MA_QH","TMD")</f>
        <v>0</v>
      </c>
      <c r="Y41" s="122">
        <f>+GETPIVOTDATA("XBG4",'binhgia (2016)'!$A$3,"MA_HT","DDT","MA_QH","SKC")</f>
        <v>0</v>
      </c>
      <c r="Z41" s="122">
        <f>+GETPIVOTDATA("XBG4",'binhgia (2016)'!$A$3,"MA_HT","DDT","MA_QH","SKS")</f>
        <v>0</v>
      </c>
      <c r="AA41" s="121">
        <f t="shared" ref="AA41:AA58" si="21">+SUM(AB41:AM41)</f>
        <v>0</v>
      </c>
      <c r="AB41" s="122">
        <f>+GETPIVOTDATA("XBG4",'binhgia (2016)'!$A$3,"MA_HT","DDT","MA_QH","DGT")</f>
        <v>0</v>
      </c>
      <c r="AC41" s="122">
        <f>+GETPIVOTDATA("XBG4",'binhgia (2016)'!$A$3,"MA_HT","DDT","MA_QH","DTL")</f>
        <v>0</v>
      </c>
      <c r="AD41" s="122">
        <f>+GETPIVOTDATA("XBG4",'binhgia (2016)'!$A$3,"MA_HT","DDT","MA_QH","DNL")</f>
        <v>0</v>
      </c>
      <c r="AE41" s="122">
        <f>+GETPIVOTDATA("XBG4",'binhgia (2016)'!$A$3,"MA_HT","DDT","MA_QH","DBV")</f>
        <v>0</v>
      </c>
      <c r="AF41" s="122">
        <f>+GETPIVOTDATA("XBG4",'binhgia (2016)'!$A$3,"MA_HT","DDT","MA_QH","DVH")</f>
        <v>0</v>
      </c>
      <c r="AG41" s="122">
        <f>+GETPIVOTDATA("XBG4",'binhgia (2016)'!$A$3,"MA_HT","DDT","MA_QH","DYT")</f>
        <v>0</v>
      </c>
      <c r="AH41" s="122">
        <f>+GETPIVOTDATA("XBG4",'binhgia (2016)'!$A$3,"MA_HT","DDT","MA_QH","DGD")</f>
        <v>0</v>
      </c>
      <c r="AI41" s="122">
        <f>+GETPIVOTDATA("XBG4",'binhgia (2016)'!$A$3,"MA_HT","DDT","MA_QH","DTT")</f>
        <v>0</v>
      </c>
      <c r="AJ41" s="122">
        <f>+GETPIVOTDATA("XBG4",'binhgia (2016)'!$A$3,"MA_HT","DDT","MA_QH","NCK")</f>
        <v>0</v>
      </c>
      <c r="AK41" s="122">
        <f>+GETPIVOTDATA("XBG4",'binhgia (2016)'!$A$3,"MA_HT","DDT","MA_QH","DXH")</f>
        <v>0</v>
      </c>
      <c r="AL41" s="122">
        <f>+GETPIVOTDATA("XBG4",'binhgia (2016)'!$A$3,"MA_HT","DDT","MA_QH","DCH")</f>
        <v>0</v>
      </c>
      <c r="AM41" s="122">
        <f>+GETPIVOTDATA("XBG4",'binhgia (2016)'!$A$3,"MA_HT","DDT","MA_QH","DKG")</f>
        <v>0</v>
      </c>
      <c r="AN41" s="124" t="e">
        <f>$D41-$BF41</f>
        <v>#REF!</v>
      </c>
      <c r="AO41" s="122">
        <f>+GETPIVOTDATA("XBG4",'binhgia (2016)'!$A$3,"MA_HT","DDT","MA_QH","DDL")</f>
        <v>0</v>
      </c>
      <c r="AP41" s="122">
        <f>+GETPIVOTDATA("XBG4",'binhgia (2016)'!$A$3,"MA_HT","DDT","MA_QH","DRA")</f>
        <v>0</v>
      </c>
      <c r="AQ41" s="122">
        <f>+GETPIVOTDATA("XBG4",'binhgia (2016)'!$A$3,"MA_HT","DDT","MA_QH","ONT")</f>
        <v>0</v>
      </c>
      <c r="AR41" s="122">
        <f>+GETPIVOTDATA("XBG4",'binhgia (2016)'!$A$3,"MA_HT","DDT","MA_QH","ODT")</f>
        <v>0</v>
      </c>
      <c r="AS41" s="122">
        <f>+GETPIVOTDATA("XBG4",'binhgia (2016)'!$A$3,"MA_HT","DDT","MA_QH","TSC")</f>
        <v>0</v>
      </c>
      <c r="AT41" s="122">
        <f>+GETPIVOTDATA("XBG4",'binhgia (2016)'!$A$3,"MA_HT","DDT","MA_QH","DTS")</f>
        <v>0</v>
      </c>
      <c r="AU41" s="122">
        <f>+GETPIVOTDATA("XBG4",'binhgia (2016)'!$A$3,"MA_HT","DDT","MA_QH","DNG")</f>
        <v>0</v>
      </c>
      <c r="AV41" s="122">
        <f>+GETPIVOTDATA("XBG4",'binhgia (2016)'!$A$3,"MA_HT","DDT","MA_QH","TON")</f>
        <v>0</v>
      </c>
      <c r="AW41" s="122">
        <f>+GETPIVOTDATA("XBG4",'binhgia (2016)'!$A$3,"MA_HT","DDT","MA_QH","NTD")</f>
        <v>0</v>
      </c>
      <c r="AX41" s="122">
        <f>+GETPIVOTDATA("XBG4",'binhgia (2016)'!$A$3,"MA_HT","DDT","MA_QH","SKX")</f>
        <v>0</v>
      </c>
      <c r="AY41" s="122">
        <f>+GETPIVOTDATA("XBG4",'binhgia (2016)'!$A$3,"MA_HT","DDT","MA_QH","DSH")</f>
        <v>0</v>
      </c>
      <c r="AZ41" s="122">
        <f>+GETPIVOTDATA("XBG4",'binhgia (2016)'!$A$3,"MA_HT","DDT","MA_QH","DKV")</f>
        <v>0</v>
      </c>
      <c r="BA41" s="141">
        <f>+GETPIVOTDATA("XBG4",'binhgia (2016)'!$A$3,"MA_HT","DDT","MA_QH","TIN")</f>
        <v>0</v>
      </c>
      <c r="BB41" s="125">
        <f>+GETPIVOTDATA("XBG4",'binhgia (2016)'!$A$3,"MA_HT","DDT","MA_QH","SON")</f>
        <v>0</v>
      </c>
      <c r="BC41" s="125">
        <f>+GETPIVOTDATA("XBG4",'binhgia (2016)'!$A$3,"MA_HT","DDT","MA_QH","MNC")</f>
        <v>0</v>
      </c>
      <c r="BD41" s="122">
        <f>+GETPIVOTDATA("XBG4",'binhgia (2016)'!$A$3,"MA_HT","DDT","MA_QH","PNK")</f>
        <v>0</v>
      </c>
      <c r="BE41" s="126">
        <f>+GETPIVOTDATA("XBG4",'binhgia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+GETPIVOTDATA("XBG4",'binhgia (2016)'!$A$3,"MA_HT","DDL","MA_QH","LUC")</f>
        <v>0</v>
      </c>
      <c r="H42" s="35">
        <f>+GETPIVOTDATA("XBG4",'binhgia (2016)'!$A$3,"MA_HT","DDL","MA_QH","LUK")</f>
        <v>0</v>
      </c>
      <c r="I42" s="35">
        <f>+GETPIVOTDATA("XBG4",'binhgia (2016)'!$A$3,"MA_HT","DDL","MA_QH","LUN")</f>
        <v>0</v>
      </c>
      <c r="J42" s="35">
        <f>+GETPIVOTDATA("XBG4",'binhgia (2016)'!$A$3,"MA_HT","DDL","MA_QH","HNK")</f>
        <v>0</v>
      </c>
      <c r="K42" s="35">
        <f>+GETPIVOTDATA("XBG4",'binhgia (2016)'!$A$3,"MA_HT","DDL","MA_QH","CLN")</f>
        <v>0</v>
      </c>
      <c r="L42" s="35">
        <f>+GETPIVOTDATA("XBG4",'binhgia (2016)'!$A$3,"MA_HT","DDL","MA_QH","RSX")</f>
        <v>0</v>
      </c>
      <c r="M42" s="35">
        <f>+GETPIVOTDATA("XBG4",'binhgia (2016)'!$A$3,"MA_HT","DDL","MA_QH","RPH")</f>
        <v>0</v>
      </c>
      <c r="N42" s="35">
        <f>+GETPIVOTDATA("XBG4",'binhgia (2016)'!$A$3,"MA_HT","DDL","MA_QH","RDD")</f>
        <v>0</v>
      </c>
      <c r="O42" s="35">
        <f>+GETPIVOTDATA("XBG4",'binhgia (2016)'!$A$3,"MA_HT","DDL","MA_QH","NTS")</f>
        <v>0</v>
      </c>
      <c r="P42" s="35">
        <f>+GETPIVOTDATA("XBG4",'binhgia (2016)'!$A$3,"MA_HT","DDL","MA_QH","LMU")</f>
        <v>0</v>
      </c>
      <c r="Q42" s="35">
        <f>+GETPIVOTDATA("XBG4",'binhgia (2016)'!$A$3,"MA_HT","DDL","MA_QH","NKH")</f>
        <v>0</v>
      </c>
      <c r="R42" s="106">
        <f>SUM(S42:AA42,AN42,AP42:BD42)</f>
        <v>0</v>
      </c>
      <c r="S42" s="35">
        <f>+GETPIVOTDATA("XBG4",'binhgia (2016)'!$A$3,"MA_HT","DDL","MA_QH","CQP")</f>
        <v>0</v>
      </c>
      <c r="T42" s="35">
        <f>+GETPIVOTDATA("XBG4",'binhgia (2016)'!$A$3,"MA_HT","DDL","MA_QH","CAN")</f>
        <v>0</v>
      </c>
      <c r="U42" s="35">
        <f>+GETPIVOTDATA("XBG4",'binhgia (2016)'!$A$3,"MA_HT","DDL","MA_QH","SKK")</f>
        <v>0</v>
      </c>
      <c r="V42" s="35">
        <f>+GETPIVOTDATA("XBG4",'binhgia (2016)'!$A$3,"MA_HT","DDL","MA_QH","SKT")</f>
        <v>0</v>
      </c>
      <c r="W42" s="35">
        <f>+GETPIVOTDATA("XBG4",'binhgia (2016)'!$A$3,"MA_HT","DDL","MA_QH","SKN")</f>
        <v>0</v>
      </c>
      <c r="X42" s="35">
        <f>+GETPIVOTDATA("XBG4",'binhgia (2016)'!$A$3,"MA_HT","DDL","MA_QH","TMD")</f>
        <v>0</v>
      </c>
      <c r="Y42" s="35">
        <f>+GETPIVOTDATA("XBG4",'binhgia (2016)'!$A$3,"MA_HT","DDL","MA_QH","SKC")</f>
        <v>0</v>
      </c>
      <c r="Z42" s="35">
        <f>+GETPIVOTDATA("XBG4",'binhgia (2016)'!$A$3,"MA_HT","DDL","MA_QH","SKS")</f>
        <v>0</v>
      </c>
      <c r="AA42" s="64">
        <f t="shared" si="21"/>
        <v>0</v>
      </c>
      <c r="AB42" s="35">
        <f>+GETPIVOTDATA("XBG4",'binhgia (2016)'!$A$3,"MA_HT","DDL","MA_QH","DGT")</f>
        <v>0</v>
      </c>
      <c r="AC42" s="35">
        <f>+GETPIVOTDATA("XBG4",'binhgia (2016)'!$A$3,"MA_HT","DDL","MA_QH","DTL")</f>
        <v>0</v>
      </c>
      <c r="AD42" s="35">
        <f>+GETPIVOTDATA("XBG4",'binhgia (2016)'!$A$3,"MA_HT","DDL","MA_QH","DNL")</f>
        <v>0</v>
      </c>
      <c r="AE42" s="35">
        <f>+GETPIVOTDATA("XBG4",'binhgia (2016)'!$A$3,"MA_HT","DDL","MA_QH","DBV")</f>
        <v>0</v>
      </c>
      <c r="AF42" s="35">
        <f>+GETPIVOTDATA("XBG4",'binhgia (2016)'!$A$3,"MA_HT","DDL","MA_QH","DVH")</f>
        <v>0</v>
      </c>
      <c r="AG42" s="35">
        <f>+GETPIVOTDATA("XBG4",'binhgia (2016)'!$A$3,"MA_HT","DDL","MA_QH","DYT")</f>
        <v>0</v>
      </c>
      <c r="AH42" s="35">
        <f>+GETPIVOTDATA("XBG4",'binhgia (2016)'!$A$3,"MA_HT","DDL","MA_QH","DGD")</f>
        <v>0</v>
      </c>
      <c r="AI42" s="35">
        <f>+GETPIVOTDATA("XBG4",'binhgia (2016)'!$A$3,"MA_HT","DDL","MA_QH","DTT")</f>
        <v>0</v>
      </c>
      <c r="AJ42" s="35">
        <f>+GETPIVOTDATA("XBG4",'binhgia (2016)'!$A$3,"MA_HT","DDL","MA_QH","NCK")</f>
        <v>0</v>
      </c>
      <c r="AK42" s="35">
        <f>+GETPIVOTDATA("XBG4",'binhgia (2016)'!$A$3,"MA_HT","DDL","MA_QH","DXH")</f>
        <v>0</v>
      </c>
      <c r="AL42" s="35">
        <f>+GETPIVOTDATA("XBG4",'binhgia (2016)'!$A$3,"MA_HT","DDL","MA_QH","DCH")</f>
        <v>0</v>
      </c>
      <c r="AM42" s="35">
        <f>+GETPIVOTDATA("XBG4",'binhgia (2016)'!$A$3,"MA_HT","DDL","MA_QH","DKG")</f>
        <v>0</v>
      </c>
      <c r="AN42" s="35">
        <f>+GETPIVOTDATA("XBG4",'binhgia (2016)'!$A$3,"MA_HT","DDL","MA_QH","DDT")</f>
        <v>0</v>
      </c>
      <c r="AO42" s="99" t="e">
        <f>$D42-$BF42</f>
        <v>#REF!</v>
      </c>
      <c r="AP42" s="35">
        <f>+GETPIVOTDATA("XBG4",'binhgia (2016)'!$A$3,"MA_HT","DDL","MA_QH","DRA")</f>
        <v>0</v>
      </c>
      <c r="AQ42" s="35">
        <f>+GETPIVOTDATA("XBG4",'binhgia (2016)'!$A$3,"MA_HT","DDL","MA_QH","ONT")</f>
        <v>0</v>
      </c>
      <c r="AR42" s="35">
        <f>+GETPIVOTDATA("XBG4",'binhgia (2016)'!$A$3,"MA_HT","DDL","MA_QH","ODT")</f>
        <v>0</v>
      </c>
      <c r="AS42" s="35">
        <f>+GETPIVOTDATA("XBG4",'binhgia (2016)'!$A$3,"MA_HT","DDL","MA_QH","TSC")</f>
        <v>0</v>
      </c>
      <c r="AT42" s="35">
        <f>+GETPIVOTDATA("XBG4",'binhgia (2016)'!$A$3,"MA_HT","DDL","MA_QH","DTS")</f>
        <v>0</v>
      </c>
      <c r="AU42" s="35">
        <f>+GETPIVOTDATA("XBG4",'binhgia (2016)'!$A$3,"MA_HT","DDL","MA_QH","DNG")</f>
        <v>0</v>
      </c>
      <c r="AV42" s="35">
        <f>+GETPIVOTDATA("XBG4",'binhgia (2016)'!$A$3,"MA_HT","DDL","MA_QH","TON")</f>
        <v>0</v>
      </c>
      <c r="AW42" s="35">
        <f>+GETPIVOTDATA("XBG4",'binhgia (2016)'!$A$3,"MA_HT","DDL","MA_QH","NTD")</f>
        <v>0</v>
      </c>
      <c r="AX42" s="35">
        <f>+GETPIVOTDATA("XBG4",'binhgia (2016)'!$A$3,"MA_HT","DDL","MA_QH","SKX")</f>
        <v>0</v>
      </c>
      <c r="AY42" s="35">
        <f>+GETPIVOTDATA("XBG4",'binhgia (2016)'!$A$3,"MA_HT","DDL","MA_QH","DSH")</f>
        <v>0</v>
      </c>
      <c r="AZ42" s="35">
        <f>+GETPIVOTDATA("XBG4",'binhgia (2016)'!$A$3,"MA_HT","DDL","MA_QH","DKV")</f>
        <v>0</v>
      </c>
      <c r="BA42" s="140">
        <f>+GETPIVOTDATA("XBG4",'binhgia (2016)'!$A$3,"MA_HT","DDL","MA_QH","TIN")</f>
        <v>0</v>
      </c>
      <c r="BB42" s="74">
        <f>+GETPIVOTDATA("XBG4",'binhgia (2016)'!$A$3,"MA_HT","DDL","MA_QH","SON")</f>
        <v>0</v>
      </c>
      <c r="BC42" s="74">
        <f>+GETPIVOTDATA("XBG4",'binhgia (2016)'!$A$3,"MA_HT","DDL","MA_QH","MNC")</f>
        <v>0</v>
      </c>
      <c r="BD42" s="35">
        <f>+GETPIVOTDATA("XBG4",'binhgia (2016)'!$A$3,"MA_HT","DDL","MA_QH","PNK")</f>
        <v>0</v>
      </c>
      <c r="BE42" s="58">
        <f>+GETPIVOTDATA("XBG4",'binhgia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+GETPIVOTDATA("XBG4",'binhgia (2016)'!$A$3,"MA_HT","DRA","MA_QH","LUC")</f>
        <v>0</v>
      </c>
      <c r="H43" s="35">
        <f>+GETPIVOTDATA("XBG4",'binhgia (2016)'!$A$3,"MA_HT","DRA","MA_QH","LUK")</f>
        <v>0</v>
      </c>
      <c r="I43" s="35">
        <f>+GETPIVOTDATA("XBG4",'binhgia (2016)'!$A$3,"MA_HT","DRA","MA_QH","LUN")</f>
        <v>0</v>
      </c>
      <c r="J43" s="35">
        <f>+GETPIVOTDATA("XBG4",'binhgia (2016)'!$A$3,"MA_HT","DRA","MA_QH","HNK")</f>
        <v>0</v>
      </c>
      <c r="K43" s="35">
        <f>+GETPIVOTDATA("XBG4",'binhgia (2016)'!$A$3,"MA_HT","DRA","MA_QH","CLN")</f>
        <v>0</v>
      </c>
      <c r="L43" s="35">
        <f>+GETPIVOTDATA("XBG4",'binhgia (2016)'!$A$3,"MA_HT","DRA","MA_QH","RSX")</f>
        <v>0</v>
      </c>
      <c r="M43" s="35">
        <f>+GETPIVOTDATA("XBG4",'binhgia (2016)'!$A$3,"MA_HT","DRA","MA_QH","RPH")</f>
        <v>0</v>
      </c>
      <c r="N43" s="35">
        <f>+GETPIVOTDATA("XBG4",'binhgia (2016)'!$A$3,"MA_HT","DRA","MA_QH","RDD")</f>
        <v>0</v>
      </c>
      <c r="O43" s="35">
        <f>+GETPIVOTDATA("XBG4",'binhgia (2016)'!$A$3,"MA_HT","DRA","MA_QH","NTS")</f>
        <v>0</v>
      </c>
      <c r="P43" s="35">
        <f>+GETPIVOTDATA("XBG4",'binhgia (2016)'!$A$3,"MA_HT","DRA","MA_QH","LMU")</f>
        <v>0</v>
      </c>
      <c r="Q43" s="35">
        <f>+GETPIVOTDATA("XBG4",'binhgia (2016)'!$A$3,"MA_HT","DRA","MA_QH","NKH")</f>
        <v>0</v>
      </c>
      <c r="R43" s="106">
        <f>SUM(S43:AA43,AN43:AO43,AQ43:BD43)</f>
        <v>0</v>
      </c>
      <c r="S43" s="35">
        <f>+GETPIVOTDATA("XBG4",'binhgia (2016)'!$A$3,"MA_HT","DRA","MA_QH","CQP")</f>
        <v>0</v>
      </c>
      <c r="T43" s="35">
        <f>+GETPIVOTDATA("XBG4",'binhgia (2016)'!$A$3,"MA_HT","DRA","MA_QH","CAN")</f>
        <v>0</v>
      </c>
      <c r="U43" s="35">
        <f>+GETPIVOTDATA("XBG4",'binhgia (2016)'!$A$3,"MA_HT","DRA","MA_QH","SKK")</f>
        <v>0</v>
      </c>
      <c r="V43" s="35">
        <f>+GETPIVOTDATA("XBG4",'binhgia (2016)'!$A$3,"MA_HT","DRA","MA_QH","SKT")</f>
        <v>0</v>
      </c>
      <c r="W43" s="35">
        <f>+GETPIVOTDATA("XBG4",'binhgia (2016)'!$A$3,"MA_HT","DRA","MA_QH","SKN")</f>
        <v>0</v>
      </c>
      <c r="X43" s="35">
        <f>+GETPIVOTDATA("XBG4",'binhgia (2016)'!$A$3,"MA_HT","DRA","MA_QH","TMD")</f>
        <v>0</v>
      </c>
      <c r="Y43" s="35">
        <f>+GETPIVOTDATA("XBG4",'binhgia (2016)'!$A$3,"MA_HT","DRA","MA_QH","SKC")</f>
        <v>0</v>
      </c>
      <c r="Z43" s="35">
        <f>+GETPIVOTDATA("XBG4",'binhgia (2016)'!$A$3,"MA_HT","DRA","MA_QH","SKS")</f>
        <v>0</v>
      </c>
      <c r="AA43" s="64">
        <f t="shared" si="21"/>
        <v>0</v>
      </c>
      <c r="AB43" s="35">
        <f>+GETPIVOTDATA("XBG4",'binhgia (2016)'!$A$3,"MA_HT","DRA","MA_QH","DGT")</f>
        <v>0</v>
      </c>
      <c r="AC43" s="35">
        <f>+GETPIVOTDATA("XBG4",'binhgia (2016)'!$A$3,"MA_HT","DRA","MA_QH","DTL")</f>
        <v>0</v>
      </c>
      <c r="AD43" s="35">
        <f>+GETPIVOTDATA("XBG4",'binhgia (2016)'!$A$3,"MA_HT","DRA","MA_QH","DNL")</f>
        <v>0</v>
      </c>
      <c r="AE43" s="35">
        <f>+GETPIVOTDATA("XBG4",'binhgia (2016)'!$A$3,"MA_HT","DRA","MA_QH","DBV")</f>
        <v>0</v>
      </c>
      <c r="AF43" s="35">
        <f>+GETPIVOTDATA("XBG4",'binhgia (2016)'!$A$3,"MA_HT","DRA","MA_QH","DVH")</f>
        <v>0</v>
      </c>
      <c r="AG43" s="35">
        <f>+GETPIVOTDATA("XBG4",'binhgia (2016)'!$A$3,"MA_HT","DRA","MA_QH","DYT")</f>
        <v>0</v>
      </c>
      <c r="AH43" s="35">
        <f>+GETPIVOTDATA("XBG4",'binhgia (2016)'!$A$3,"MA_HT","DRA","MA_QH","DGD")</f>
        <v>0</v>
      </c>
      <c r="AI43" s="35">
        <f>+GETPIVOTDATA("XBG4",'binhgia (2016)'!$A$3,"MA_HT","DRA","MA_QH","DTT")</f>
        <v>0</v>
      </c>
      <c r="AJ43" s="35">
        <f>+GETPIVOTDATA("XBG4",'binhgia (2016)'!$A$3,"MA_HT","DRA","MA_QH","NCK")</f>
        <v>0</v>
      </c>
      <c r="AK43" s="35">
        <f>+GETPIVOTDATA("XBG4",'binhgia (2016)'!$A$3,"MA_HT","DRA","MA_QH","DXH")</f>
        <v>0</v>
      </c>
      <c r="AL43" s="35">
        <f>+GETPIVOTDATA("XBG4",'binhgia (2016)'!$A$3,"MA_HT","DRA","MA_QH","DCH")</f>
        <v>0</v>
      </c>
      <c r="AM43" s="35">
        <f>+GETPIVOTDATA("XBG4",'binhgia (2016)'!$A$3,"MA_HT","DRA","MA_QH","DKG")</f>
        <v>0</v>
      </c>
      <c r="AN43" s="35">
        <f>+GETPIVOTDATA("XBG4",'binhgia (2016)'!$A$3,"MA_HT","DRA","MA_QH","DDT")</f>
        <v>0</v>
      </c>
      <c r="AO43" s="35">
        <f>+GETPIVOTDATA("XBG4",'binhgia (2016)'!$A$3,"MA_HT","DRA","MA_QH","DDL")</f>
        <v>0</v>
      </c>
      <c r="AP43" s="99" t="e">
        <f>$D43-$BF43</f>
        <v>#REF!</v>
      </c>
      <c r="AQ43" s="35">
        <f>+GETPIVOTDATA("XBG4",'binhgia (2016)'!$A$3,"MA_HT","DRA","MA_QH","ONT")</f>
        <v>0</v>
      </c>
      <c r="AR43" s="35">
        <f>+GETPIVOTDATA("XBG4",'binhgia (2016)'!$A$3,"MA_HT","DRA","MA_QH","ODT")</f>
        <v>0</v>
      </c>
      <c r="AS43" s="35">
        <f>+GETPIVOTDATA("XBG4",'binhgia (2016)'!$A$3,"MA_HT","DRA","MA_QH","TSC")</f>
        <v>0</v>
      </c>
      <c r="AT43" s="35">
        <f>+GETPIVOTDATA("XBG4",'binhgia (2016)'!$A$3,"MA_HT","DRA","MA_QH","DTS")</f>
        <v>0</v>
      </c>
      <c r="AU43" s="35">
        <f>+GETPIVOTDATA("XBG4",'binhgia (2016)'!$A$3,"MA_HT","DRA","MA_QH","DNG")</f>
        <v>0</v>
      </c>
      <c r="AV43" s="35">
        <f>+GETPIVOTDATA("XBG4",'binhgia (2016)'!$A$3,"MA_HT","DRA","MA_QH","TON")</f>
        <v>0</v>
      </c>
      <c r="AW43" s="35">
        <f>+GETPIVOTDATA("XBG4",'binhgia (2016)'!$A$3,"MA_HT","DRA","MA_QH","NTD")</f>
        <v>0</v>
      </c>
      <c r="AX43" s="35">
        <f>+GETPIVOTDATA("XBG4",'binhgia (2016)'!$A$3,"MA_HT","DRA","MA_QH","SKX")</f>
        <v>0</v>
      </c>
      <c r="AY43" s="35">
        <f>+GETPIVOTDATA("XBG4",'binhgia (2016)'!$A$3,"MA_HT","DRA","MA_QH","DSH")</f>
        <v>0</v>
      </c>
      <c r="AZ43" s="35">
        <f>+GETPIVOTDATA("XBG4",'binhgia (2016)'!$A$3,"MA_HT","DRA","MA_QH","DKV")</f>
        <v>0</v>
      </c>
      <c r="BA43" s="140">
        <f>+GETPIVOTDATA("XBG4",'binhgia (2016)'!$A$3,"MA_HT","DRA","MA_QH","TIN")</f>
        <v>0</v>
      </c>
      <c r="BB43" s="74">
        <f>+GETPIVOTDATA("XBG4",'binhgia (2016)'!$A$3,"MA_HT","DRA","MA_QH","SON")</f>
        <v>0</v>
      </c>
      <c r="BC43" s="74">
        <f>+GETPIVOTDATA("XBG4",'binhgia (2016)'!$A$3,"MA_HT","DRA","MA_QH","MNC")</f>
        <v>0</v>
      </c>
      <c r="BD43" s="35">
        <f>+GETPIVOTDATA("XBG4",'binhgia (2016)'!$A$3,"MA_HT","DRA","MA_QH","PNK")</f>
        <v>0</v>
      </c>
      <c r="BE43" s="58">
        <f>+GETPIVOTDATA("XBG4",'binhgia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+GETPIVOTDATA("XBG4",'binhgia (2016)'!$A$3,"MA_HT","ONT","MA_QH","LUC")</f>
        <v>0</v>
      </c>
      <c r="H44" s="35">
        <f>+GETPIVOTDATA("XBG4",'binhgia (2016)'!$A$3,"MA_HT","ONT","MA_QH","LUK")</f>
        <v>0</v>
      </c>
      <c r="I44" s="35">
        <f>+GETPIVOTDATA("XBG4",'binhgia (2016)'!$A$3,"MA_HT","ONT","MA_QH","LUN")</f>
        <v>0</v>
      </c>
      <c r="J44" s="35">
        <f>+GETPIVOTDATA("XBG4",'binhgia (2016)'!$A$3,"MA_HT","ONT","MA_QH","HNK")</f>
        <v>0</v>
      </c>
      <c r="K44" s="35">
        <f>+GETPIVOTDATA("XBG4",'binhgia (2016)'!$A$3,"MA_HT","ONT","MA_QH","CLN")</f>
        <v>0</v>
      </c>
      <c r="L44" s="35">
        <f>+GETPIVOTDATA("XBG4",'binhgia (2016)'!$A$3,"MA_HT","ONT","MA_QH","RSX")</f>
        <v>0</v>
      </c>
      <c r="M44" s="35">
        <f>+GETPIVOTDATA("XBG4",'binhgia (2016)'!$A$3,"MA_HT","ONT","MA_QH","RPH")</f>
        <v>0</v>
      </c>
      <c r="N44" s="35">
        <f>+GETPIVOTDATA("XBG4",'binhgia (2016)'!$A$3,"MA_HT","ONT","MA_QH","RDD")</f>
        <v>0</v>
      </c>
      <c r="O44" s="35">
        <f>+GETPIVOTDATA("XBG4",'binhgia (2016)'!$A$3,"MA_HT","ONT","MA_QH","NTS")</f>
        <v>0</v>
      </c>
      <c r="P44" s="35">
        <f>+GETPIVOTDATA("XBG4",'binhgia (2016)'!$A$3,"MA_HT","ONT","MA_QH","LMU")</f>
        <v>0</v>
      </c>
      <c r="Q44" s="35">
        <f>+GETPIVOTDATA("XBG4",'binhgia (2016)'!$A$3,"MA_HT","ONT","MA_QH","NKH")</f>
        <v>0</v>
      </c>
      <c r="R44" s="106">
        <f>SUM(S44:AA44,AN44:AP44,AR44:BD44)</f>
        <v>0</v>
      </c>
      <c r="S44" s="35">
        <f>+GETPIVOTDATA("XBG4",'binhgia (2016)'!$A$3,"MA_HT","ONT","MA_QH","CQP")</f>
        <v>0</v>
      </c>
      <c r="T44" s="35">
        <f>+GETPIVOTDATA("XBG4",'binhgia (2016)'!$A$3,"MA_HT","ONT","MA_QH","CAN")</f>
        <v>0</v>
      </c>
      <c r="U44" s="35">
        <f>+GETPIVOTDATA("XBG4",'binhgia (2016)'!$A$3,"MA_HT","ONT","MA_QH","SKK")</f>
        <v>0</v>
      </c>
      <c r="V44" s="35">
        <f>+GETPIVOTDATA("XBG4",'binhgia (2016)'!$A$3,"MA_HT","ONT","MA_QH","SKT")</f>
        <v>0</v>
      </c>
      <c r="W44" s="35">
        <f>+GETPIVOTDATA("XBG4",'binhgia (2016)'!$A$3,"MA_HT","ONT","MA_QH","SKN")</f>
        <v>0</v>
      </c>
      <c r="X44" s="35">
        <f>+GETPIVOTDATA("XBG4",'binhgia (2016)'!$A$3,"MA_HT","ONT","MA_QH","TMD")</f>
        <v>0</v>
      </c>
      <c r="Y44" s="35">
        <f>+GETPIVOTDATA("XBG4",'binhgia (2016)'!$A$3,"MA_HT","ONT","MA_QH","SKC")</f>
        <v>0</v>
      </c>
      <c r="Z44" s="35">
        <f>+GETPIVOTDATA("XBG4",'binhgia (2016)'!$A$3,"MA_HT","ONT","MA_QH","SKS")</f>
        <v>0</v>
      </c>
      <c r="AA44" s="64">
        <f t="shared" si="21"/>
        <v>0</v>
      </c>
      <c r="AB44" s="35">
        <f>+GETPIVOTDATA("XBG4",'binhgia (2016)'!$A$3,"MA_HT","ONT","MA_QH","DGT")</f>
        <v>0</v>
      </c>
      <c r="AC44" s="35">
        <f>+GETPIVOTDATA("XBG4",'binhgia (2016)'!$A$3,"MA_HT","ONT","MA_QH","DTL")</f>
        <v>0</v>
      </c>
      <c r="AD44" s="35">
        <f>+GETPIVOTDATA("XBG4",'binhgia (2016)'!$A$3,"MA_HT","ONT","MA_QH","DNL")</f>
        <v>0</v>
      </c>
      <c r="AE44" s="35">
        <f>+GETPIVOTDATA("XBG4",'binhgia (2016)'!$A$3,"MA_HT","ONT","MA_QH","DBV")</f>
        <v>0</v>
      </c>
      <c r="AF44" s="35">
        <f>+GETPIVOTDATA("XBG4",'binhgia (2016)'!$A$3,"MA_HT","ONT","MA_QH","DVH")</f>
        <v>0</v>
      </c>
      <c r="AG44" s="35">
        <f>+GETPIVOTDATA("XBG4",'binhgia (2016)'!$A$3,"MA_HT","ONT","MA_QH","DYT")</f>
        <v>0</v>
      </c>
      <c r="AH44" s="35">
        <f>+GETPIVOTDATA("XBG4",'binhgia (2016)'!$A$3,"MA_HT","ONT","MA_QH","DGD")</f>
        <v>0</v>
      </c>
      <c r="AI44" s="35">
        <f>+GETPIVOTDATA("XBG4",'binhgia (2016)'!$A$3,"MA_HT","ONT","MA_QH","DTT")</f>
        <v>0</v>
      </c>
      <c r="AJ44" s="35">
        <f>+GETPIVOTDATA("XBG4",'binhgia (2016)'!$A$3,"MA_HT","ONT","MA_QH","NCK")</f>
        <v>0</v>
      </c>
      <c r="AK44" s="35">
        <f>+GETPIVOTDATA("XBG4",'binhgia (2016)'!$A$3,"MA_HT","ONT","MA_QH","DXH")</f>
        <v>0</v>
      </c>
      <c r="AL44" s="35">
        <f>+GETPIVOTDATA("XBG4",'binhgia (2016)'!$A$3,"MA_HT","ONT","MA_QH","DCH")</f>
        <v>0</v>
      </c>
      <c r="AM44" s="35">
        <f>+GETPIVOTDATA("XBG4",'binhgia (2016)'!$A$3,"MA_HT","ONT","MA_QH","DKG")</f>
        <v>0</v>
      </c>
      <c r="AN44" s="35">
        <f>+GETPIVOTDATA("XBG4",'binhgia (2016)'!$A$3,"MA_HT","ONT","MA_QH","DDT")</f>
        <v>0</v>
      </c>
      <c r="AO44" s="35">
        <f>+GETPIVOTDATA("XBG4",'binhgia (2016)'!$A$3,"MA_HT","ONT","MA_QH","DDL")</f>
        <v>0</v>
      </c>
      <c r="AP44" s="35">
        <f>+GETPIVOTDATA("XBG4",'binhgia (2016)'!$A$3,"MA_HT","ONT","MA_QH","DRA")</f>
        <v>0</v>
      </c>
      <c r="AQ44" s="99" t="e">
        <f>$D44-$BF44</f>
        <v>#REF!</v>
      </c>
      <c r="AR44" s="35">
        <f>+GETPIVOTDATA("XBG4",'binhgia (2016)'!$A$3,"MA_HT","ONT","MA_QH","ODT")</f>
        <v>0</v>
      </c>
      <c r="AS44" s="35">
        <f>+GETPIVOTDATA("XBG4",'binhgia (2016)'!$A$3,"MA_HT","ONT","MA_QH","TSC")</f>
        <v>0</v>
      </c>
      <c r="AT44" s="35">
        <f>+GETPIVOTDATA("XBG4",'binhgia (2016)'!$A$3,"MA_HT","ONT","MA_QH","DTS")</f>
        <v>0</v>
      </c>
      <c r="AU44" s="35">
        <f>+GETPIVOTDATA("XBG4",'binhgia (2016)'!$A$3,"MA_HT","ONT","MA_QH","DNG")</f>
        <v>0</v>
      </c>
      <c r="AV44" s="35">
        <f>+GETPIVOTDATA("XBG4",'binhgia (2016)'!$A$3,"MA_HT","ONT","MA_QH","TON")</f>
        <v>0</v>
      </c>
      <c r="AW44" s="35">
        <f>+GETPIVOTDATA("XBG4",'binhgia (2016)'!$A$3,"MA_HT","ONT","MA_QH","NTD")</f>
        <v>0</v>
      </c>
      <c r="AX44" s="35">
        <f>+GETPIVOTDATA("XBG4",'binhgia (2016)'!$A$3,"MA_HT","ONT","MA_QH","SKX")</f>
        <v>0</v>
      </c>
      <c r="AY44" s="35">
        <f>+GETPIVOTDATA("XBG4",'binhgia (2016)'!$A$3,"MA_HT","ONT","MA_QH","DSH")</f>
        <v>0</v>
      </c>
      <c r="AZ44" s="35">
        <f>+GETPIVOTDATA("XBG4",'binhgia (2016)'!$A$3,"MA_HT","ONT","MA_QH","DKV")</f>
        <v>0</v>
      </c>
      <c r="BA44" s="140">
        <f>+GETPIVOTDATA("XBG4",'binhgia (2016)'!$A$3,"MA_HT","ONT","MA_QH","TIN")</f>
        <v>0</v>
      </c>
      <c r="BB44" s="74">
        <f>+GETPIVOTDATA("XBG4",'binhgia (2016)'!$A$3,"MA_HT","ONT","MA_QH","SON")</f>
        <v>0</v>
      </c>
      <c r="BC44" s="74">
        <f>+GETPIVOTDATA("XBG4",'binhgia (2016)'!$A$3,"MA_HT","ONT","MA_QH","MNC")</f>
        <v>0</v>
      </c>
      <c r="BD44" s="35">
        <f>+GETPIVOTDATA("XBG4",'binhgia (2016)'!$A$3,"MA_HT","ONT","MA_QH","PNK")</f>
        <v>0</v>
      </c>
      <c r="BE44" s="58">
        <f>+GETPIVOTDATA("XBG4",'binhgia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+GETPIVOTDATA("XBG4",'binhgia (2016)'!$A$3,"MA_HT","ODT","MA_QH","LUC")</f>
        <v>0</v>
      </c>
      <c r="H45" s="111">
        <f>+GETPIVOTDATA("XBG4",'binhgia (2016)'!$A$3,"MA_HT","ODT","MA_QH","LUK")</f>
        <v>0</v>
      </c>
      <c r="I45" s="111">
        <f>+GETPIVOTDATA("XBG4",'binhgia (2016)'!$A$3,"MA_HT","ODT","MA_QH","LUN")</f>
        <v>0</v>
      </c>
      <c r="J45" s="111">
        <f>+GETPIVOTDATA("XBG4",'binhgia (2016)'!$A$3,"MA_HT","ODT","MA_QH","HNK")</f>
        <v>0</v>
      </c>
      <c r="K45" s="111">
        <f>+GETPIVOTDATA("XBG4",'binhgia (2016)'!$A$3,"MA_HT","ODT","MA_QH","CLN")</f>
        <v>0</v>
      </c>
      <c r="L45" s="111">
        <f>+GETPIVOTDATA("XBG4",'binhgia (2016)'!$A$3,"MA_HT","ODT","MA_QH","RSX")</f>
        <v>0</v>
      </c>
      <c r="M45" s="111">
        <f>+GETPIVOTDATA("XBG4",'binhgia (2016)'!$A$3,"MA_HT","ODT","MA_QH","RPH")</f>
        <v>0</v>
      </c>
      <c r="N45" s="111">
        <f>+GETPIVOTDATA("XBG4",'binhgia (2016)'!$A$3,"MA_HT","ODT","MA_QH","RDD")</f>
        <v>0</v>
      </c>
      <c r="O45" s="111">
        <f>+GETPIVOTDATA("XBG4",'binhgia (2016)'!$A$3,"MA_HT","ODT","MA_QH","NTS")</f>
        <v>0</v>
      </c>
      <c r="P45" s="111">
        <f>+GETPIVOTDATA("XBG4",'binhgia (2016)'!$A$3,"MA_HT","ODT","MA_QH","LMU")</f>
        <v>0</v>
      </c>
      <c r="Q45" s="111">
        <f>+GETPIVOTDATA("XBG4",'binhgia (2016)'!$A$3,"MA_HT","ODT","MA_QH","NKH")</f>
        <v>0</v>
      </c>
      <c r="R45" s="106">
        <f>SUM(S45:AA45,AN45:AQ45,AS45:BD45)</f>
        <v>0</v>
      </c>
      <c r="S45" s="111">
        <f>+GETPIVOTDATA("XBG4",'binhgia (2016)'!$A$3,"MA_HT","ODT","MA_QH","CQP")</f>
        <v>0</v>
      </c>
      <c r="T45" s="111">
        <f>+GETPIVOTDATA("XBG4",'binhgia (2016)'!$A$3,"MA_HT","ODT","MA_QH","CAN")</f>
        <v>0</v>
      </c>
      <c r="U45" s="111">
        <f>+GETPIVOTDATA("XBG4",'binhgia (2016)'!$A$3,"MA_HT","ODT","MA_QH","SKK")</f>
        <v>0</v>
      </c>
      <c r="V45" s="111">
        <f>+GETPIVOTDATA("XBG4",'binhgia (2016)'!$A$3,"MA_HT","ODT","MA_QH","SKT")</f>
        <v>0</v>
      </c>
      <c r="W45" s="111">
        <f>+GETPIVOTDATA("XBG4",'binhgia (2016)'!$A$3,"MA_HT","ODT","MA_QH","SKN")</f>
        <v>0</v>
      </c>
      <c r="X45" s="111">
        <f>+GETPIVOTDATA("XBG4",'binhgia (2016)'!$A$3,"MA_HT","ODT","MA_QH","TMD")</f>
        <v>0</v>
      </c>
      <c r="Y45" s="111">
        <f>+GETPIVOTDATA("XBG4",'binhgia (2016)'!$A$3,"MA_HT","ODT","MA_QH","SKC")</f>
        <v>0</v>
      </c>
      <c r="Z45" s="111">
        <f>+GETPIVOTDATA("XBG4",'binhgia (2016)'!$A$3,"MA_HT","ODT","MA_QH","SKS")</f>
        <v>0</v>
      </c>
      <c r="AA45" s="104">
        <f t="shared" si="21"/>
        <v>0</v>
      </c>
      <c r="AB45" s="111">
        <f>+GETPIVOTDATA("XBG4",'binhgia (2016)'!$A$3,"MA_HT","ODT","MA_QH","DGT")</f>
        <v>0</v>
      </c>
      <c r="AC45" s="111">
        <f>+GETPIVOTDATA("XBG4",'binhgia (2016)'!$A$3,"MA_HT","ODT","MA_QH","DTL")</f>
        <v>0</v>
      </c>
      <c r="AD45" s="111">
        <f>+GETPIVOTDATA("XBG4",'binhgia (2016)'!$A$3,"MA_HT","ODT","MA_QH","DNL")</f>
        <v>0</v>
      </c>
      <c r="AE45" s="111">
        <f>+GETPIVOTDATA("XBG4",'binhgia (2016)'!$A$3,"MA_HT","ODT","MA_QH","DBV")</f>
        <v>0</v>
      </c>
      <c r="AF45" s="111">
        <f>+GETPIVOTDATA("XBG4",'binhgia (2016)'!$A$3,"MA_HT","ODT","MA_QH","DVH")</f>
        <v>0</v>
      </c>
      <c r="AG45" s="111">
        <f>+GETPIVOTDATA("XBG4",'binhgia (2016)'!$A$3,"MA_HT","ODT","MA_QH","DYT")</f>
        <v>0</v>
      </c>
      <c r="AH45" s="111">
        <f>+GETPIVOTDATA("XBG4",'binhgia (2016)'!$A$3,"MA_HT","ODT","MA_QH","DGD")</f>
        <v>0</v>
      </c>
      <c r="AI45" s="111">
        <f>+GETPIVOTDATA("XBG4",'binhgia (2016)'!$A$3,"MA_HT","ODT","MA_QH","DTT")</f>
        <v>0</v>
      </c>
      <c r="AJ45" s="111">
        <f>+GETPIVOTDATA("XBG4",'binhgia (2016)'!$A$3,"MA_HT","ODT","MA_QH","NCK")</f>
        <v>0</v>
      </c>
      <c r="AK45" s="111">
        <f>+GETPIVOTDATA("XBG4",'binhgia (2016)'!$A$3,"MA_HT","ODT","MA_QH","DXH")</f>
        <v>0</v>
      </c>
      <c r="AL45" s="111">
        <f>+GETPIVOTDATA("XBG4",'binhgia (2016)'!$A$3,"MA_HT","ODT","MA_QH","DCH")</f>
        <v>0</v>
      </c>
      <c r="AM45" s="111">
        <f>+GETPIVOTDATA("XBG4",'binhgia (2016)'!$A$3,"MA_HT","ODT","MA_QH","DKG")</f>
        <v>0</v>
      </c>
      <c r="AN45" s="111">
        <f>+GETPIVOTDATA("XBG4",'binhgia (2016)'!$A$3,"MA_HT","ODT","MA_QH","DDT")</f>
        <v>0</v>
      </c>
      <c r="AO45" s="111">
        <f>+GETPIVOTDATA("XBG4",'binhgia (2016)'!$A$3,"MA_HT","ODT","MA_QH","DDL")</f>
        <v>0</v>
      </c>
      <c r="AP45" s="111">
        <f>+GETPIVOTDATA("XBG4",'binhgia (2016)'!$A$3,"MA_HT","ODT","MA_QH","DRA")</f>
        <v>0</v>
      </c>
      <c r="AQ45" s="111">
        <f>+GETPIVOTDATA("XBG4",'binhgia (2016)'!$A$3,"MA_HT","ODT","MA_QH","ONT")</f>
        <v>0</v>
      </c>
      <c r="AR45" s="112" t="e">
        <f>$D45-$BF45</f>
        <v>#REF!</v>
      </c>
      <c r="AS45" s="111">
        <f>+GETPIVOTDATA("XBG4",'binhgia (2016)'!$A$3,"MA_HT","ODT","MA_QH","TSC")</f>
        <v>0</v>
      </c>
      <c r="AT45" s="111">
        <f>+GETPIVOTDATA("XBG4",'binhgia (2016)'!$A$3,"MA_HT","ODT","MA_QH","DTS")</f>
        <v>0</v>
      </c>
      <c r="AU45" s="111">
        <f>+GETPIVOTDATA("XBG4",'binhgia (2016)'!$A$3,"MA_HT","ODT","MA_QH","DNG")</f>
        <v>0</v>
      </c>
      <c r="AV45" s="111">
        <f>+GETPIVOTDATA("XBG4",'binhgia (2016)'!$A$3,"MA_HT","ODT","MA_QH","TON")</f>
        <v>0</v>
      </c>
      <c r="AW45" s="111">
        <f>+GETPIVOTDATA("XBG4",'binhgia (2016)'!$A$3,"MA_HT","ODT","MA_QH","NTD")</f>
        <v>0</v>
      </c>
      <c r="AX45" s="111">
        <f>+GETPIVOTDATA("XBG4",'binhgia (2016)'!$A$3,"MA_HT","ODT","MA_QH","SKX")</f>
        <v>0</v>
      </c>
      <c r="AY45" s="111">
        <f>+GETPIVOTDATA("XBG4",'binhgia (2016)'!$A$3,"MA_HT","ODT","MA_QH","DSH")</f>
        <v>0</v>
      </c>
      <c r="AZ45" s="111">
        <f>+GETPIVOTDATA("XBG4",'binhgia (2016)'!$A$3,"MA_HT","ODT","MA_QH","DKV")</f>
        <v>0</v>
      </c>
      <c r="BA45" s="142">
        <f>+GETPIVOTDATA("XBG4",'binhgia (2016)'!$A$3,"MA_HT","ODT","MA_QH","TIN")</f>
        <v>0</v>
      </c>
      <c r="BB45" s="105">
        <f>+GETPIVOTDATA("XBG4",'binhgia (2016)'!$A$3,"MA_HT","ODT","MA_QH","SON")</f>
        <v>0</v>
      </c>
      <c r="BC45" s="105">
        <f>+GETPIVOTDATA("XBG4",'binhgia (2016)'!$A$3,"MA_HT","ODT","MA_QH","MNC")</f>
        <v>0</v>
      </c>
      <c r="BD45" s="111">
        <f>+GETPIVOTDATA("XBG4",'binhgia (2016)'!$A$3,"MA_HT","ODT","MA_QH","PNK")</f>
        <v>0</v>
      </c>
      <c r="BE45" s="113">
        <f>+GETPIVOTDATA("XBG4",'binhgia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+GETPIVOTDATA("XBG4",'binhgia (2016)'!$A$3,"MA_HT","TSC","MA_QH","LUC")</f>
        <v>0</v>
      </c>
      <c r="H46" s="35">
        <f>+GETPIVOTDATA("XBG4",'binhgia (2016)'!$A$3,"MA_HT","TSC","MA_QH","LUK")</f>
        <v>0</v>
      </c>
      <c r="I46" s="35">
        <f>+GETPIVOTDATA("XBG4",'binhgia (2016)'!$A$3,"MA_HT","TSC","MA_QH","LUN")</f>
        <v>0</v>
      </c>
      <c r="J46" s="35">
        <f>+GETPIVOTDATA("XBG4",'binhgia (2016)'!$A$3,"MA_HT","TSC","MA_QH","HNK")</f>
        <v>0</v>
      </c>
      <c r="K46" s="35">
        <f>+GETPIVOTDATA("XBG4",'binhgia (2016)'!$A$3,"MA_HT","TSC","MA_QH","CLN")</f>
        <v>0</v>
      </c>
      <c r="L46" s="35">
        <f>+GETPIVOTDATA("XBG4",'binhgia (2016)'!$A$3,"MA_HT","TSC","MA_QH","RSX")</f>
        <v>0</v>
      </c>
      <c r="M46" s="35">
        <f>+GETPIVOTDATA("XBG4",'binhgia (2016)'!$A$3,"MA_HT","TSC","MA_QH","RPH")</f>
        <v>0</v>
      </c>
      <c r="N46" s="35">
        <f>+GETPIVOTDATA("XBG4",'binhgia (2016)'!$A$3,"MA_HT","TSC","MA_QH","RDD")</f>
        <v>0</v>
      </c>
      <c r="O46" s="35">
        <f>+GETPIVOTDATA("XBG4",'binhgia (2016)'!$A$3,"MA_HT","TSC","MA_QH","NTS")</f>
        <v>0</v>
      </c>
      <c r="P46" s="35">
        <f>+GETPIVOTDATA("XBG4",'binhgia (2016)'!$A$3,"MA_HT","TSC","MA_QH","LMU")</f>
        <v>0</v>
      </c>
      <c r="Q46" s="35">
        <f>+GETPIVOTDATA("XBG4",'binhgia (2016)'!$A$3,"MA_HT","TSC","MA_QH","NKH")</f>
        <v>0</v>
      </c>
      <c r="R46" s="72">
        <f>SUM(S46:AA46,AN46:AR46,AT46:BD46)</f>
        <v>0</v>
      </c>
      <c r="S46" s="35">
        <f>+GETPIVOTDATA("XBG4",'binhgia (2016)'!$A$3,"MA_HT","TSC","MA_QH","CQP")</f>
        <v>0</v>
      </c>
      <c r="T46" s="35">
        <f>+GETPIVOTDATA("XBG4",'binhgia (2016)'!$A$3,"MA_HT","TSC","MA_QH","CAN")</f>
        <v>0</v>
      </c>
      <c r="U46" s="35">
        <f>+GETPIVOTDATA("XBG4",'binhgia (2016)'!$A$3,"MA_HT","TSC","MA_QH","SKK")</f>
        <v>0</v>
      </c>
      <c r="V46" s="35">
        <f>+GETPIVOTDATA("XBG4",'binhgia (2016)'!$A$3,"MA_HT","TSC","MA_QH","SKT")</f>
        <v>0</v>
      </c>
      <c r="W46" s="35">
        <f>+GETPIVOTDATA("XBG4",'binhgia (2016)'!$A$3,"MA_HT","TSC","MA_QH","SKN")</f>
        <v>0</v>
      </c>
      <c r="X46" s="35">
        <f>+GETPIVOTDATA("XBG4",'binhgia (2016)'!$A$3,"MA_HT","TSC","MA_QH","TMD")</f>
        <v>0</v>
      </c>
      <c r="Y46" s="35">
        <f>+GETPIVOTDATA("XBG4",'binhgia (2016)'!$A$3,"MA_HT","TSC","MA_QH","SKC")</f>
        <v>0</v>
      </c>
      <c r="Z46" s="35">
        <f>+GETPIVOTDATA("XBG4",'binhgia (2016)'!$A$3,"MA_HT","TSC","MA_QH","SKS")</f>
        <v>0</v>
      </c>
      <c r="AA46" s="64">
        <f t="shared" si="21"/>
        <v>0</v>
      </c>
      <c r="AB46" s="35">
        <f>+GETPIVOTDATA("XBG4",'binhgia (2016)'!$A$3,"MA_HT","TSC","MA_QH","DGT")</f>
        <v>0</v>
      </c>
      <c r="AC46" s="35">
        <f>+GETPIVOTDATA("XBG4",'binhgia (2016)'!$A$3,"MA_HT","TSC","MA_QH","DTL")</f>
        <v>0</v>
      </c>
      <c r="AD46" s="35">
        <f>+GETPIVOTDATA("XBG4",'binhgia (2016)'!$A$3,"MA_HT","TSC","MA_QH","DNL")</f>
        <v>0</v>
      </c>
      <c r="AE46" s="35">
        <f>+GETPIVOTDATA("XBG4",'binhgia (2016)'!$A$3,"MA_HT","TSC","MA_QH","DBV")</f>
        <v>0</v>
      </c>
      <c r="AF46" s="35">
        <f>+GETPIVOTDATA("XBG4",'binhgia (2016)'!$A$3,"MA_HT","TSC","MA_QH","DVH")</f>
        <v>0</v>
      </c>
      <c r="AG46" s="35">
        <f>+GETPIVOTDATA("XBG4",'binhgia (2016)'!$A$3,"MA_HT","TSC","MA_QH","DYT")</f>
        <v>0</v>
      </c>
      <c r="AH46" s="35">
        <f>+GETPIVOTDATA("XBG4",'binhgia (2016)'!$A$3,"MA_HT","TSC","MA_QH","DGD")</f>
        <v>0</v>
      </c>
      <c r="AI46" s="35">
        <f>+GETPIVOTDATA("XBG4",'binhgia (2016)'!$A$3,"MA_HT","TSC","MA_QH","DTT")</f>
        <v>0</v>
      </c>
      <c r="AJ46" s="35">
        <f>+GETPIVOTDATA("XBG4",'binhgia (2016)'!$A$3,"MA_HT","TSC","MA_QH","NCK")</f>
        <v>0</v>
      </c>
      <c r="AK46" s="35">
        <f>+GETPIVOTDATA("XBG4",'binhgia (2016)'!$A$3,"MA_HT","TSC","MA_QH","DXH")</f>
        <v>0</v>
      </c>
      <c r="AL46" s="35">
        <f>+GETPIVOTDATA("XBG4",'binhgia (2016)'!$A$3,"MA_HT","TSC","MA_QH","DCH")</f>
        <v>0</v>
      </c>
      <c r="AM46" s="35">
        <f>+GETPIVOTDATA("XBG4",'binhgia (2016)'!$A$3,"MA_HT","TSC","MA_QH","DKG")</f>
        <v>0</v>
      </c>
      <c r="AN46" s="35">
        <f>+GETPIVOTDATA("XBG4",'binhgia (2016)'!$A$3,"MA_HT","TSC","MA_QH","DDT")</f>
        <v>0</v>
      </c>
      <c r="AO46" s="35">
        <f>+GETPIVOTDATA("XBG4",'binhgia (2016)'!$A$3,"MA_HT","TSC","MA_QH","DDL")</f>
        <v>0</v>
      </c>
      <c r="AP46" s="35">
        <f>+GETPIVOTDATA("XBG4",'binhgia (2016)'!$A$3,"MA_HT","TSC","MA_QH","DRA")</f>
        <v>0</v>
      </c>
      <c r="AQ46" s="35">
        <f>+GETPIVOTDATA("XBG4",'binhgia (2016)'!$A$3,"MA_HT","TSC","MA_QH","ONT")</f>
        <v>0</v>
      </c>
      <c r="AR46" s="35">
        <f>+GETPIVOTDATA("XBG4",'binhgia (2016)'!$A$3,"MA_HT","TSC","MA_QH","ODT")</f>
        <v>0</v>
      </c>
      <c r="AS46" s="99" t="e">
        <f>$D46-$BF46</f>
        <v>#REF!</v>
      </c>
      <c r="AT46" s="35">
        <f>+GETPIVOTDATA("XBG4",'binhgia (2016)'!$A$3,"MA_HT","TSC","MA_QH","DTS")</f>
        <v>0</v>
      </c>
      <c r="AU46" s="35">
        <f>+GETPIVOTDATA("XBG4",'binhgia (2016)'!$A$3,"MA_HT","TSC","MA_QH","DNG")</f>
        <v>0</v>
      </c>
      <c r="AV46" s="35">
        <f>+GETPIVOTDATA("XBG4",'binhgia (2016)'!$A$3,"MA_HT","TSC","MA_QH","TON")</f>
        <v>0</v>
      </c>
      <c r="AW46" s="35">
        <f>+GETPIVOTDATA("XBG4",'binhgia (2016)'!$A$3,"MA_HT","TSC","MA_QH","NTD")</f>
        <v>0</v>
      </c>
      <c r="AX46" s="35">
        <f>+GETPIVOTDATA("XBG4",'binhgia (2016)'!$A$3,"MA_HT","TSC","MA_QH","SKX")</f>
        <v>0</v>
      </c>
      <c r="AY46" s="35">
        <f>+GETPIVOTDATA("XBG4",'binhgia (2016)'!$A$3,"MA_HT","TSC","MA_QH","DSH")</f>
        <v>0</v>
      </c>
      <c r="AZ46" s="35">
        <f>+GETPIVOTDATA("XBG4",'binhgia (2016)'!$A$3,"MA_HT","TSC","MA_QH","DKV")</f>
        <v>0</v>
      </c>
      <c r="BA46" s="140">
        <f>+GETPIVOTDATA("XBG4",'binhgia (2016)'!$A$3,"MA_HT","TSC","MA_QH","TIN")</f>
        <v>0</v>
      </c>
      <c r="BB46" s="74">
        <f>+GETPIVOTDATA("XBG4",'binhgia (2016)'!$A$3,"MA_HT","TSC","MA_QH","SON")</f>
        <v>0</v>
      </c>
      <c r="BC46" s="74">
        <f>+GETPIVOTDATA("XBG4",'binhgia (2016)'!$A$3,"MA_HT","TSC","MA_QH","MNC")</f>
        <v>0</v>
      </c>
      <c r="BD46" s="35">
        <f>+GETPIVOTDATA("XBG4",'binhgia (2016)'!$A$3,"MA_HT","TSC","MA_QH","PNK")</f>
        <v>0</v>
      </c>
      <c r="BE46" s="58">
        <f>+GETPIVOTDATA("XBG4",'binhgia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+GETPIVOTDATA("XBG4",'binhgia (2016)'!$A$3,"MA_HT","DTS","MA_QH","LUC")</f>
        <v>0</v>
      </c>
      <c r="H47" s="122">
        <f>+GETPIVOTDATA("XBG4",'binhgia (2016)'!$A$3,"MA_HT","DTS","MA_QH","LUK")</f>
        <v>0</v>
      </c>
      <c r="I47" s="122">
        <f>+GETPIVOTDATA("XBG4",'binhgia (2016)'!$A$3,"MA_HT","DTS","MA_QH","LUN")</f>
        <v>0</v>
      </c>
      <c r="J47" s="122">
        <f>+GETPIVOTDATA("XBG4",'binhgia (2016)'!$A$3,"MA_HT","DTS","MA_QH","HNK")</f>
        <v>0</v>
      </c>
      <c r="K47" s="122">
        <f>+GETPIVOTDATA("XBG4",'binhgia (2016)'!$A$3,"MA_HT","DTS","MA_QH","CLN")</f>
        <v>0</v>
      </c>
      <c r="L47" s="122">
        <f>+GETPIVOTDATA("XBG4",'binhgia (2016)'!$A$3,"MA_HT","DTS","MA_QH","RSX")</f>
        <v>0</v>
      </c>
      <c r="M47" s="122">
        <f>+GETPIVOTDATA("XBG4",'binhgia (2016)'!$A$3,"MA_HT","DTS","MA_QH","RPH")</f>
        <v>0</v>
      </c>
      <c r="N47" s="122">
        <f>+GETPIVOTDATA("XBG4",'binhgia (2016)'!$A$3,"MA_HT","DTS","MA_QH","RDD")</f>
        <v>0</v>
      </c>
      <c r="O47" s="122">
        <f>+GETPIVOTDATA("XBG4",'binhgia (2016)'!$A$3,"MA_HT","DTS","MA_QH","NTS")</f>
        <v>0</v>
      </c>
      <c r="P47" s="122">
        <f>+GETPIVOTDATA("XBG4",'binhgia (2016)'!$A$3,"MA_HT","DTS","MA_QH","LMU")</f>
        <v>0</v>
      </c>
      <c r="Q47" s="122">
        <f>+GETPIVOTDATA("XBG4",'binhgia (2016)'!$A$3,"MA_HT","DTS","MA_QH","NKH")</f>
        <v>0</v>
      </c>
      <c r="R47" s="123">
        <f>SUM(S47:AA47,AN47:AS47,AU47:BD47)</f>
        <v>0</v>
      </c>
      <c r="S47" s="122">
        <f>+GETPIVOTDATA("XBG4",'binhgia (2016)'!$A$3,"MA_HT","DTS","MA_QH","CQP")</f>
        <v>0</v>
      </c>
      <c r="T47" s="122">
        <f>+GETPIVOTDATA("XBG4",'binhgia (2016)'!$A$3,"MA_HT","DTS","MA_QH","CAN")</f>
        <v>0</v>
      </c>
      <c r="U47" s="122">
        <f>+GETPIVOTDATA("XBG4",'binhgia (2016)'!$A$3,"MA_HT","DTS","MA_QH","SKK")</f>
        <v>0</v>
      </c>
      <c r="V47" s="122">
        <f>+GETPIVOTDATA("XBG4",'binhgia (2016)'!$A$3,"MA_HT","DTS","MA_QH","SKT")</f>
        <v>0</v>
      </c>
      <c r="W47" s="122">
        <f>+GETPIVOTDATA("XBG4",'binhgia (2016)'!$A$3,"MA_HT","DTS","MA_QH","SKN")</f>
        <v>0</v>
      </c>
      <c r="X47" s="122">
        <f>+GETPIVOTDATA("XBG4",'binhgia (2016)'!$A$3,"MA_HT","DTS","MA_QH","TMD")</f>
        <v>0</v>
      </c>
      <c r="Y47" s="122">
        <f>+GETPIVOTDATA("XBG4",'binhgia (2016)'!$A$3,"MA_HT","DTS","MA_QH","SKC")</f>
        <v>0</v>
      </c>
      <c r="Z47" s="122">
        <f>+GETPIVOTDATA("XBG4",'binhgia (2016)'!$A$3,"MA_HT","DTS","MA_QH","SKS")</f>
        <v>0</v>
      </c>
      <c r="AA47" s="121">
        <f t="shared" si="21"/>
        <v>0</v>
      </c>
      <c r="AB47" s="122">
        <f>+GETPIVOTDATA("XBG4",'binhgia (2016)'!$A$3,"MA_HT","DTS","MA_QH","DGT")</f>
        <v>0</v>
      </c>
      <c r="AC47" s="122">
        <f>+GETPIVOTDATA("XBG4",'binhgia (2016)'!$A$3,"MA_HT","DTS","MA_QH","DTL")</f>
        <v>0</v>
      </c>
      <c r="AD47" s="122">
        <f>+GETPIVOTDATA("XBG4",'binhgia (2016)'!$A$3,"MA_HT","DTS","MA_QH","DNL")</f>
        <v>0</v>
      </c>
      <c r="AE47" s="122">
        <f>+GETPIVOTDATA("XBG4",'binhgia (2016)'!$A$3,"MA_HT","DTS","MA_QH","DBV")</f>
        <v>0</v>
      </c>
      <c r="AF47" s="122">
        <f>+GETPIVOTDATA("XBG4",'binhgia (2016)'!$A$3,"MA_HT","DTS","MA_QH","DVH")</f>
        <v>0</v>
      </c>
      <c r="AG47" s="122">
        <f>+GETPIVOTDATA("XBG4",'binhgia (2016)'!$A$3,"MA_HT","DTS","MA_QH","DYT")</f>
        <v>0</v>
      </c>
      <c r="AH47" s="122">
        <f>+GETPIVOTDATA("XBG4",'binhgia (2016)'!$A$3,"MA_HT","DTS","MA_QH","DGD")</f>
        <v>0</v>
      </c>
      <c r="AI47" s="122">
        <f>+GETPIVOTDATA("XBG4",'binhgia (2016)'!$A$3,"MA_HT","DTS","MA_QH","DTT")</f>
        <v>0</v>
      </c>
      <c r="AJ47" s="122">
        <f>+GETPIVOTDATA("XBG4",'binhgia (2016)'!$A$3,"MA_HT","DTS","MA_QH","NCK")</f>
        <v>0</v>
      </c>
      <c r="AK47" s="122">
        <f>+GETPIVOTDATA("XBG4",'binhgia (2016)'!$A$3,"MA_HT","DTS","MA_QH","DXH")</f>
        <v>0</v>
      </c>
      <c r="AL47" s="122">
        <f>+GETPIVOTDATA("XBG4",'binhgia (2016)'!$A$3,"MA_HT","DTS","MA_QH","DCH")</f>
        <v>0</v>
      </c>
      <c r="AM47" s="122">
        <f>+GETPIVOTDATA("XBG4",'binhgia (2016)'!$A$3,"MA_HT","DTS","MA_QH","DKG")</f>
        <v>0</v>
      </c>
      <c r="AN47" s="122">
        <f>+GETPIVOTDATA("XBG4",'binhgia (2016)'!$A$3,"MA_HT","DTS","MA_QH","DDT")</f>
        <v>0</v>
      </c>
      <c r="AO47" s="122">
        <f>+GETPIVOTDATA("XBG4",'binhgia (2016)'!$A$3,"MA_HT","DTS","MA_QH","DDL")</f>
        <v>0</v>
      </c>
      <c r="AP47" s="122">
        <f>+GETPIVOTDATA("XBG4",'binhgia (2016)'!$A$3,"MA_HT","DTS","MA_QH","DRA")</f>
        <v>0</v>
      </c>
      <c r="AQ47" s="122">
        <f>+GETPIVOTDATA("XBG4",'binhgia (2016)'!$A$3,"MA_HT","DTS","MA_QH","ONT")</f>
        <v>0</v>
      </c>
      <c r="AR47" s="122">
        <f>+GETPIVOTDATA("XBG4",'binhgia (2016)'!$A$3,"MA_HT","DTS","MA_QH","ODT")</f>
        <v>0</v>
      </c>
      <c r="AS47" s="122">
        <f>+GETPIVOTDATA("XBG4",'binhgia (2016)'!$A$3,"MA_HT","DTS","MA_QH","TSC")</f>
        <v>0</v>
      </c>
      <c r="AT47" s="124" t="e">
        <f>$D47-$BF47</f>
        <v>#REF!</v>
      </c>
      <c r="AU47" s="122">
        <f>+GETPIVOTDATA("XBG4",'binhgia (2016)'!$A$3,"MA_HT","DTS","MA_QH","DNG")</f>
        <v>0</v>
      </c>
      <c r="AV47" s="122">
        <f>+GETPIVOTDATA("XBG4",'binhgia (2016)'!$A$3,"MA_HT","DTS","MA_QH","TON")</f>
        <v>0</v>
      </c>
      <c r="AW47" s="122">
        <f>+GETPIVOTDATA("XBG4",'binhgia (2016)'!$A$3,"MA_HT","DTS","MA_QH","NTD")</f>
        <v>0</v>
      </c>
      <c r="AX47" s="122">
        <f>+GETPIVOTDATA("XBG4",'binhgia (2016)'!$A$3,"MA_HT","DTS","MA_QH","SKX")</f>
        <v>0</v>
      </c>
      <c r="AY47" s="122">
        <f>+GETPIVOTDATA("XBG4",'binhgia (2016)'!$A$3,"MA_HT","DTS","MA_QH","DSH")</f>
        <v>0</v>
      </c>
      <c r="AZ47" s="122">
        <f>+GETPIVOTDATA("XBG4",'binhgia (2016)'!$A$3,"MA_HT","DTS","MA_QH","DKV")</f>
        <v>0</v>
      </c>
      <c r="BA47" s="141">
        <f>+GETPIVOTDATA("XBG4",'binhgia (2016)'!$A$3,"MA_HT","DTS","MA_QH","TIN")</f>
        <v>0</v>
      </c>
      <c r="BB47" s="125">
        <f>+GETPIVOTDATA("XBG4",'binhgia (2016)'!$A$3,"MA_HT","DTS","MA_QH","SON")</f>
        <v>0</v>
      </c>
      <c r="BC47" s="125">
        <f>+GETPIVOTDATA("XBG4",'binhgia (2016)'!$A$3,"MA_HT","DTS","MA_QH","MNC")</f>
        <v>0</v>
      </c>
      <c r="BD47" s="122">
        <f>+GETPIVOTDATA("XBG4",'binhgia (2016)'!$A$3,"MA_HT","DTS","MA_QH","PNK")</f>
        <v>0</v>
      </c>
      <c r="BE47" s="126">
        <f>+GETPIVOTDATA("XBG4",'binhgia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+GETPIVOTDATA("XBG4",'binhgia (2016)'!$A$3,"MA_HT","DNG","MA_QH","LUC")</f>
        <v>0</v>
      </c>
      <c r="H48" s="35">
        <f>+GETPIVOTDATA("XBG4",'binhgia (2016)'!$A$3,"MA_HT","DNG","MA_QH","LUK")</f>
        <v>0</v>
      </c>
      <c r="I48" s="35">
        <f>+GETPIVOTDATA("XBG4",'binhgia (2016)'!$A$3,"MA_HT","DNG","MA_QH","LUN")</f>
        <v>0</v>
      </c>
      <c r="J48" s="35">
        <f>+GETPIVOTDATA("XBG4",'binhgia (2016)'!$A$3,"MA_HT","DNG","MA_QH","HNK")</f>
        <v>0</v>
      </c>
      <c r="K48" s="35">
        <f>+GETPIVOTDATA("XBG4",'binhgia (2016)'!$A$3,"MA_HT","DNG","MA_QH","CLN")</f>
        <v>0</v>
      </c>
      <c r="L48" s="35">
        <f>+GETPIVOTDATA("XBG4",'binhgia (2016)'!$A$3,"MA_HT","DNG","MA_QH","RSX")</f>
        <v>0</v>
      </c>
      <c r="M48" s="35">
        <f>+GETPIVOTDATA("XBG4",'binhgia (2016)'!$A$3,"MA_HT","DNG","MA_QH","RPH")</f>
        <v>0</v>
      </c>
      <c r="N48" s="35">
        <f>+GETPIVOTDATA("XBG4",'binhgia (2016)'!$A$3,"MA_HT","DNG","MA_QH","RDD")</f>
        <v>0</v>
      </c>
      <c r="O48" s="35">
        <f>+GETPIVOTDATA("XBG4",'binhgia (2016)'!$A$3,"MA_HT","DNG","MA_QH","NTS")</f>
        <v>0</v>
      </c>
      <c r="P48" s="35">
        <f>+GETPIVOTDATA("XBG4",'binhgia (2016)'!$A$3,"MA_HT","DNG","MA_QH","LMU")</f>
        <v>0</v>
      </c>
      <c r="Q48" s="35">
        <f>+GETPIVOTDATA("XBG4",'binhgia (2016)'!$A$3,"MA_HT","DNG","MA_QH","NKH")</f>
        <v>0</v>
      </c>
      <c r="R48" s="106">
        <f>SUM(S48:AA48,AN48:AT48,AV48:BD48)</f>
        <v>0</v>
      </c>
      <c r="S48" s="35">
        <f>+GETPIVOTDATA("XBG4",'binhgia (2016)'!$A$3,"MA_HT","DNG","MA_QH","CQP")</f>
        <v>0</v>
      </c>
      <c r="T48" s="35">
        <f>+GETPIVOTDATA("XBG4",'binhgia (2016)'!$A$3,"MA_HT","DNG","MA_QH","CAN")</f>
        <v>0</v>
      </c>
      <c r="U48" s="35">
        <f>+GETPIVOTDATA("XBG4",'binhgia (2016)'!$A$3,"MA_HT","DNG","MA_QH","SKK")</f>
        <v>0</v>
      </c>
      <c r="V48" s="35">
        <f>+GETPIVOTDATA("XBG4",'binhgia (2016)'!$A$3,"MA_HT","DNG","MA_QH","SKT")</f>
        <v>0</v>
      </c>
      <c r="W48" s="35">
        <f>+GETPIVOTDATA("XBG4",'binhgia (2016)'!$A$3,"MA_HT","DNG","MA_QH","SKN")</f>
        <v>0</v>
      </c>
      <c r="X48" s="35">
        <f>+GETPIVOTDATA("XBG4",'binhgia (2016)'!$A$3,"MA_HT","DNG","MA_QH","TMD")</f>
        <v>0</v>
      </c>
      <c r="Y48" s="35">
        <f>+GETPIVOTDATA("XBG4",'binhgia (2016)'!$A$3,"MA_HT","DNG","MA_QH","SKC")</f>
        <v>0</v>
      </c>
      <c r="Z48" s="35">
        <f>+GETPIVOTDATA("XBG4",'binhgia (2016)'!$A$3,"MA_HT","DNG","MA_QH","SKS")</f>
        <v>0</v>
      </c>
      <c r="AA48" s="64">
        <f t="shared" si="21"/>
        <v>0</v>
      </c>
      <c r="AB48" s="35">
        <f>+GETPIVOTDATA("XBG4",'binhgia (2016)'!$A$3,"MA_HT","DNG","MA_QH","DGT")</f>
        <v>0</v>
      </c>
      <c r="AC48" s="35">
        <f>+GETPIVOTDATA("XBG4",'binhgia (2016)'!$A$3,"MA_HT","DNG","MA_QH","DTL")</f>
        <v>0</v>
      </c>
      <c r="AD48" s="35">
        <f>+GETPIVOTDATA("XBG4",'binhgia (2016)'!$A$3,"MA_HT","DNG","MA_QH","DNL")</f>
        <v>0</v>
      </c>
      <c r="AE48" s="35">
        <f>+GETPIVOTDATA("XBG4",'binhgia (2016)'!$A$3,"MA_HT","DNG","MA_QH","DBV")</f>
        <v>0</v>
      </c>
      <c r="AF48" s="35">
        <f>+GETPIVOTDATA("XBG4",'binhgia (2016)'!$A$3,"MA_HT","DNG","MA_QH","DVH")</f>
        <v>0</v>
      </c>
      <c r="AG48" s="35">
        <f>+GETPIVOTDATA("XBG4",'binhgia (2016)'!$A$3,"MA_HT","DNG","MA_QH","DYT")</f>
        <v>0</v>
      </c>
      <c r="AH48" s="35">
        <f>+GETPIVOTDATA("XBG4",'binhgia (2016)'!$A$3,"MA_HT","DNG","MA_QH","DGD")</f>
        <v>0</v>
      </c>
      <c r="AI48" s="35">
        <f>+GETPIVOTDATA("XBG4",'binhgia (2016)'!$A$3,"MA_HT","DNG","MA_QH","DTT")</f>
        <v>0</v>
      </c>
      <c r="AJ48" s="35">
        <f>+GETPIVOTDATA("XBG4",'binhgia (2016)'!$A$3,"MA_HT","DNG","MA_QH","NCK")</f>
        <v>0</v>
      </c>
      <c r="AK48" s="35">
        <f>+GETPIVOTDATA("XBG4",'binhgia (2016)'!$A$3,"MA_HT","DNG","MA_QH","DXH")</f>
        <v>0</v>
      </c>
      <c r="AL48" s="35">
        <f>+GETPIVOTDATA("XBG4",'binhgia (2016)'!$A$3,"MA_HT","DNG","MA_QH","DCH")</f>
        <v>0</v>
      </c>
      <c r="AM48" s="35">
        <f>+GETPIVOTDATA("XBG4",'binhgia (2016)'!$A$3,"MA_HT","DNG","MA_QH","DKG")</f>
        <v>0</v>
      </c>
      <c r="AN48" s="35">
        <f>+GETPIVOTDATA("XBG4",'binhgia (2016)'!$A$3,"MA_HT","DNG","MA_QH","DDT")</f>
        <v>0</v>
      </c>
      <c r="AO48" s="35">
        <f>+GETPIVOTDATA("XBG4",'binhgia (2016)'!$A$3,"MA_HT","DNG","MA_QH","DDL")</f>
        <v>0</v>
      </c>
      <c r="AP48" s="35">
        <f>+GETPIVOTDATA("XBG4",'binhgia (2016)'!$A$3,"MA_HT","DNG","MA_QH","DRA")</f>
        <v>0</v>
      </c>
      <c r="AQ48" s="35">
        <f>+GETPIVOTDATA("XBG4",'binhgia (2016)'!$A$3,"MA_HT","DNG","MA_QH","ONT")</f>
        <v>0</v>
      </c>
      <c r="AR48" s="35">
        <f>+GETPIVOTDATA("XBG4",'binhgia (2016)'!$A$3,"MA_HT","DNG","MA_QH","ODT")</f>
        <v>0</v>
      </c>
      <c r="AS48" s="35">
        <f>+GETPIVOTDATA("XBG4",'binhgia (2016)'!$A$3,"MA_HT","DNG","MA_QH","TSC")</f>
        <v>0</v>
      </c>
      <c r="AT48" s="35">
        <f>+GETPIVOTDATA("XBG4",'binhgia (2016)'!$A$3,"MA_HT","DNG","MA_QH","DTS")</f>
        <v>0</v>
      </c>
      <c r="AU48" s="99" t="e">
        <f>$D48-$BF48</f>
        <v>#REF!</v>
      </c>
      <c r="AV48" s="35">
        <f>+GETPIVOTDATA("XBG4",'binhgia (2016)'!$A$3,"MA_HT","DNG","MA_QH","TON")</f>
        <v>0</v>
      </c>
      <c r="AW48" s="35">
        <f>+GETPIVOTDATA("XBG4",'binhgia (2016)'!$A$3,"MA_HT","DNG","MA_QH","NTD")</f>
        <v>0</v>
      </c>
      <c r="AX48" s="35">
        <f>+GETPIVOTDATA("XBG4",'binhgia (2016)'!$A$3,"MA_HT","DNG","MA_QH","SKX")</f>
        <v>0</v>
      </c>
      <c r="AY48" s="35">
        <f>+GETPIVOTDATA("XBG4",'binhgia (2016)'!$A$3,"MA_HT","DNG","MA_QH","DSH")</f>
        <v>0</v>
      </c>
      <c r="AZ48" s="35">
        <f>+GETPIVOTDATA("XBG4",'binhgia (2016)'!$A$3,"MA_HT","DNG","MA_QH","DKV")</f>
        <v>0</v>
      </c>
      <c r="BA48" s="140">
        <f>+GETPIVOTDATA("XBG4",'binhgia (2016)'!$A$3,"MA_HT","DNG","MA_QH","TIN")</f>
        <v>0</v>
      </c>
      <c r="BB48" s="74">
        <f>+GETPIVOTDATA("XBG4",'binhgia (2016)'!$A$3,"MA_HT","DNG","MA_QH","SON")</f>
        <v>0</v>
      </c>
      <c r="BC48" s="74">
        <f>+GETPIVOTDATA("XBG4",'binhgia (2016)'!$A$3,"MA_HT","DNG","MA_QH","MNC")</f>
        <v>0</v>
      </c>
      <c r="BD48" s="35">
        <f>+GETPIVOTDATA("XBG4",'binhgia (2016)'!$A$3,"MA_HT","DNG","MA_QH","PNK")</f>
        <v>0</v>
      </c>
      <c r="BE48" s="58">
        <f>+GETPIVOTDATA("XBG4",'binhgia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+GETPIVOTDATA("XBG4",'binhgia (2016)'!$A$3,"MA_HT","TON","MA_QH","LUC")</f>
        <v>0</v>
      </c>
      <c r="H49" s="35">
        <f>+GETPIVOTDATA("XBG4",'binhgia (2016)'!$A$3,"MA_HT","TON","MA_QH","LUK")</f>
        <v>0</v>
      </c>
      <c r="I49" s="35">
        <f>+GETPIVOTDATA("XBG4",'binhgia (2016)'!$A$3,"MA_HT","TON","MA_QH","LUN")</f>
        <v>0</v>
      </c>
      <c r="J49" s="35">
        <f>+GETPIVOTDATA("XBG4",'binhgia (2016)'!$A$3,"MA_HT","TON","MA_QH","HNK")</f>
        <v>0</v>
      </c>
      <c r="K49" s="35">
        <f>+GETPIVOTDATA("XBG4",'binhgia (2016)'!$A$3,"MA_HT","TON","MA_QH","CLN")</f>
        <v>0</v>
      </c>
      <c r="L49" s="35">
        <f>+GETPIVOTDATA("XBG4",'binhgia (2016)'!$A$3,"MA_HT","TON","MA_QH","RSX")</f>
        <v>0</v>
      </c>
      <c r="M49" s="35">
        <f>+GETPIVOTDATA("XBG4",'binhgia (2016)'!$A$3,"MA_HT","TON","MA_QH","RPH")</f>
        <v>0</v>
      </c>
      <c r="N49" s="35">
        <f>+GETPIVOTDATA("XBG4",'binhgia (2016)'!$A$3,"MA_HT","TON","MA_QH","RDD")</f>
        <v>0</v>
      </c>
      <c r="O49" s="35">
        <f>+GETPIVOTDATA("XBG4",'binhgia (2016)'!$A$3,"MA_HT","TON","MA_QH","NTS")</f>
        <v>0</v>
      </c>
      <c r="P49" s="35">
        <f>+GETPIVOTDATA("XBG4",'binhgia (2016)'!$A$3,"MA_HT","TON","MA_QH","LMU")</f>
        <v>0</v>
      </c>
      <c r="Q49" s="35">
        <f>+GETPIVOTDATA("XBG4",'binhgia (2016)'!$A$3,"MA_HT","TON","MA_QH","NKH")</f>
        <v>0</v>
      </c>
      <c r="R49" s="106">
        <f>SUM(S49:AA49,AN49:AU49,AW49:BD49)</f>
        <v>0</v>
      </c>
      <c r="S49" s="35">
        <f>+GETPIVOTDATA("XBG4",'binhgia (2016)'!$A$3,"MA_HT","TON","MA_QH","CQP")</f>
        <v>0</v>
      </c>
      <c r="T49" s="35">
        <f>+GETPIVOTDATA("XBG4",'binhgia (2016)'!$A$3,"MA_HT","TON","MA_QH","CAN")</f>
        <v>0</v>
      </c>
      <c r="U49" s="35">
        <f>+GETPIVOTDATA("XBG4",'binhgia (2016)'!$A$3,"MA_HT","TON","MA_QH","SKK")</f>
        <v>0</v>
      </c>
      <c r="V49" s="35">
        <f>+GETPIVOTDATA("XBG4",'binhgia (2016)'!$A$3,"MA_HT","TON","MA_QH","SKT")</f>
        <v>0</v>
      </c>
      <c r="W49" s="35">
        <f>+GETPIVOTDATA("XBG4",'binhgia (2016)'!$A$3,"MA_HT","TON","MA_QH","SKN")</f>
        <v>0</v>
      </c>
      <c r="X49" s="35">
        <f>+GETPIVOTDATA("XBG4",'binhgia (2016)'!$A$3,"MA_HT","TON","MA_QH","TMD")</f>
        <v>0</v>
      </c>
      <c r="Y49" s="35">
        <f>+GETPIVOTDATA("XBG4",'binhgia (2016)'!$A$3,"MA_HT","TON","MA_QH","SKC")</f>
        <v>0</v>
      </c>
      <c r="Z49" s="35">
        <f>+GETPIVOTDATA("XBG4",'binhgia (2016)'!$A$3,"MA_HT","TON","MA_QH","SKS")</f>
        <v>0</v>
      </c>
      <c r="AA49" s="64">
        <f t="shared" si="21"/>
        <v>0</v>
      </c>
      <c r="AB49" s="35">
        <f>+GETPIVOTDATA("XBG4",'binhgia (2016)'!$A$3,"MA_HT","TON","MA_QH","DGT")</f>
        <v>0</v>
      </c>
      <c r="AC49" s="35">
        <f>+GETPIVOTDATA("XBG4",'binhgia (2016)'!$A$3,"MA_HT","TON","MA_QH","DTL")</f>
        <v>0</v>
      </c>
      <c r="AD49" s="35">
        <f>+GETPIVOTDATA("XBG4",'binhgia (2016)'!$A$3,"MA_HT","TON","MA_QH","DNL")</f>
        <v>0</v>
      </c>
      <c r="AE49" s="35">
        <f>+GETPIVOTDATA("XBG4",'binhgia (2016)'!$A$3,"MA_HT","TON","MA_QH","DBV")</f>
        <v>0</v>
      </c>
      <c r="AF49" s="35">
        <f>+GETPIVOTDATA("XBG4",'binhgia (2016)'!$A$3,"MA_HT","TON","MA_QH","DVH")</f>
        <v>0</v>
      </c>
      <c r="AG49" s="35">
        <f>+GETPIVOTDATA("XBG4",'binhgia (2016)'!$A$3,"MA_HT","TON","MA_QH","DYT")</f>
        <v>0</v>
      </c>
      <c r="AH49" s="35">
        <f>+GETPIVOTDATA("XBG4",'binhgia (2016)'!$A$3,"MA_HT","TON","MA_QH","DGD")</f>
        <v>0</v>
      </c>
      <c r="AI49" s="35">
        <f>+GETPIVOTDATA("XBG4",'binhgia (2016)'!$A$3,"MA_HT","TON","MA_QH","DTT")</f>
        <v>0</v>
      </c>
      <c r="AJ49" s="35">
        <f>+GETPIVOTDATA("XBG4",'binhgia (2016)'!$A$3,"MA_HT","TON","MA_QH","NCK")</f>
        <v>0</v>
      </c>
      <c r="AK49" s="35">
        <f>+GETPIVOTDATA("XBG4",'binhgia (2016)'!$A$3,"MA_HT","TON","MA_QH","DXH")</f>
        <v>0</v>
      </c>
      <c r="AL49" s="35">
        <f>+GETPIVOTDATA("XBG4",'binhgia (2016)'!$A$3,"MA_HT","TON","MA_QH","DCH")</f>
        <v>0</v>
      </c>
      <c r="AM49" s="35">
        <f>+GETPIVOTDATA("XBG4",'binhgia (2016)'!$A$3,"MA_HT","TON","MA_QH","DKG")</f>
        <v>0</v>
      </c>
      <c r="AN49" s="35">
        <f>+GETPIVOTDATA("XBG4",'binhgia (2016)'!$A$3,"MA_HT","TON","MA_QH","DDT")</f>
        <v>0</v>
      </c>
      <c r="AO49" s="35">
        <f>+GETPIVOTDATA("XBG4",'binhgia (2016)'!$A$3,"MA_HT","TON","MA_QH","DDL")</f>
        <v>0</v>
      </c>
      <c r="AP49" s="35">
        <f>+GETPIVOTDATA("XBG4",'binhgia (2016)'!$A$3,"MA_HT","TON","MA_QH","DRA")</f>
        <v>0</v>
      </c>
      <c r="AQ49" s="35">
        <f>+GETPIVOTDATA("XBG4",'binhgia (2016)'!$A$3,"MA_HT","TON","MA_QH","ONT")</f>
        <v>0</v>
      </c>
      <c r="AR49" s="35">
        <f>+GETPIVOTDATA("XBG4",'binhgia (2016)'!$A$3,"MA_HT","TON","MA_QH","ODT")</f>
        <v>0</v>
      </c>
      <c r="AS49" s="35">
        <f>+GETPIVOTDATA("XBG4",'binhgia (2016)'!$A$3,"MA_HT","TON","MA_QH","TSC")</f>
        <v>0</v>
      </c>
      <c r="AT49" s="35">
        <f>+GETPIVOTDATA("XBG4",'binhgia (2016)'!$A$3,"MA_HT","TON","MA_QH","DTS")</f>
        <v>0</v>
      </c>
      <c r="AU49" s="35">
        <f>+GETPIVOTDATA("XBG4",'binhgia (2016)'!$A$3,"MA_HT","TON","MA_QH","DNG")</f>
        <v>0</v>
      </c>
      <c r="AV49" s="99" t="e">
        <f>$D49-$BF49</f>
        <v>#REF!</v>
      </c>
      <c r="AW49" s="35">
        <f>+GETPIVOTDATA("XBG4",'binhgia (2016)'!$A$3,"MA_HT","TON","MA_QH","NTD")</f>
        <v>0</v>
      </c>
      <c r="AX49" s="35">
        <f>+GETPIVOTDATA("XBG4",'binhgia (2016)'!$A$3,"MA_HT","TON","MA_QH","SKX")</f>
        <v>0</v>
      </c>
      <c r="AY49" s="35">
        <f>+GETPIVOTDATA("XBG4",'binhgia (2016)'!$A$3,"MA_HT","TON","MA_QH","DSH")</f>
        <v>0</v>
      </c>
      <c r="AZ49" s="35">
        <f>+GETPIVOTDATA("XBG4",'binhgia (2016)'!$A$3,"MA_HT","TON","MA_QH","DKV")</f>
        <v>0</v>
      </c>
      <c r="BA49" s="140">
        <f>+GETPIVOTDATA("XBG4",'binhgia (2016)'!$A$3,"MA_HT","TON","MA_QH","TIN")</f>
        <v>0</v>
      </c>
      <c r="BB49" s="74">
        <f>+GETPIVOTDATA("XBG4",'binhgia (2016)'!$A$3,"MA_HT","TON","MA_QH","SON")</f>
        <v>0</v>
      </c>
      <c r="BC49" s="74">
        <f>+GETPIVOTDATA("XBG4",'binhgia (2016)'!$A$3,"MA_HT","TON","MA_QH","MNC")</f>
        <v>0</v>
      </c>
      <c r="BD49" s="35">
        <f>+GETPIVOTDATA("XBG4",'binhgia (2016)'!$A$3,"MA_HT","TON","MA_QH","PNK")</f>
        <v>0</v>
      </c>
      <c r="BE49" s="58">
        <f>+GETPIVOTDATA("XBG4",'binhgia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+GETPIVOTDATA("XBG4",'binhgia (2016)'!$A$3,"MA_HT","NTD","MA_QH","LUC")</f>
        <v>0</v>
      </c>
      <c r="H50" s="35">
        <f>+GETPIVOTDATA("XBG4",'binhgia (2016)'!$A$3,"MA_HT","NTD","MA_QH","LUK")</f>
        <v>0</v>
      </c>
      <c r="I50" s="35">
        <f>+GETPIVOTDATA("XBG4",'binhgia (2016)'!$A$3,"MA_HT","NTD","MA_QH","LUN")</f>
        <v>0</v>
      </c>
      <c r="J50" s="35">
        <f>+GETPIVOTDATA("XBG4",'binhgia (2016)'!$A$3,"MA_HT","NTD","MA_QH","HNK")</f>
        <v>0</v>
      </c>
      <c r="K50" s="35">
        <f>+GETPIVOTDATA("XBG4",'binhgia (2016)'!$A$3,"MA_HT","NTD","MA_QH","CLN")</f>
        <v>0</v>
      </c>
      <c r="L50" s="35">
        <f>+GETPIVOTDATA("XBG4",'binhgia (2016)'!$A$3,"MA_HT","NTD","MA_QH","RSX")</f>
        <v>0</v>
      </c>
      <c r="M50" s="35">
        <f>+GETPIVOTDATA("XBG4",'binhgia (2016)'!$A$3,"MA_HT","NTD","MA_QH","RPH")</f>
        <v>0</v>
      </c>
      <c r="N50" s="35">
        <f>+GETPIVOTDATA("XBG4",'binhgia (2016)'!$A$3,"MA_HT","NTD","MA_QH","RDD")</f>
        <v>0</v>
      </c>
      <c r="O50" s="35">
        <f>+GETPIVOTDATA("XBG4",'binhgia (2016)'!$A$3,"MA_HT","NTD","MA_QH","NTS")</f>
        <v>0</v>
      </c>
      <c r="P50" s="35">
        <f>+GETPIVOTDATA("XBG4",'binhgia (2016)'!$A$3,"MA_HT","NTD","MA_QH","LMU")</f>
        <v>0</v>
      </c>
      <c r="Q50" s="35">
        <f>+GETPIVOTDATA("XBG4",'binhgia (2016)'!$A$3,"MA_HT","NTD","MA_QH","NKH")</f>
        <v>0</v>
      </c>
      <c r="R50" s="106">
        <f>SUM(S50:AA50,AN50:AV50,AX50:BD50)</f>
        <v>0</v>
      </c>
      <c r="S50" s="35">
        <f>+GETPIVOTDATA("XBG4",'binhgia (2016)'!$A$3,"MA_HT","NTD","MA_QH","CQP")</f>
        <v>0</v>
      </c>
      <c r="T50" s="35">
        <f>+GETPIVOTDATA("XBG4",'binhgia (2016)'!$A$3,"MA_HT","NTD","MA_QH","CAN")</f>
        <v>0</v>
      </c>
      <c r="U50" s="35">
        <f>+GETPIVOTDATA("XBG4",'binhgia (2016)'!$A$3,"MA_HT","NTD","MA_QH","SKK")</f>
        <v>0</v>
      </c>
      <c r="V50" s="35">
        <f>+GETPIVOTDATA("XBG4",'binhgia (2016)'!$A$3,"MA_HT","NTD","MA_QH","SKT")</f>
        <v>0</v>
      </c>
      <c r="W50" s="35">
        <f>+GETPIVOTDATA("XBG4",'binhgia (2016)'!$A$3,"MA_HT","NTD","MA_QH","SKN")</f>
        <v>0</v>
      </c>
      <c r="X50" s="35">
        <f>+GETPIVOTDATA("XBG4",'binhgia (2016)'!$A$3,"MA_HT","NTD","MA_QH","TMD")</f>
        <v>0</v>
      </c>
      <c r="Y50" s="35">
        <f>+GETPIVOTDATA("XBG4",'binhgia (2016)'!$A$3,"MA_HT","NTD","MA_QH","SKC")</f>
        <v>0</v>
      </c>
      <c r="Z50" s="35">
        <f>+GETPIVOTDATA("XBG4",'binhgia (2016)'!$A$3,"MA_HT","NTD","MA_QH","SKS")</f>
        <v>0</v>
      </c>
      <c r="AA50" s="64">
        <f t="shared" si="21"/>
        <v>0</v>
      </c>
      <c r="AB50" s="35">
        <f>+GETPIVOTDATA("XBG4",'binhgia (2016)'!$A$3,"MA_HT","NTD","MA_QH","DGT")</f>
        <v>0</v>
      </c>
      <c r="AC50" s="35">
        <f>+GETPIVOTDATA("XBG4",'binhgia (2016)'!$A$3,"MA_HT","NTD","MA_QH","DTL")</f>
        <v>0</v>
      </c>
      <c r="AD50" s="35">
        <f>+GETPIVOTDATA("XBG4",'binhgia (2016)'!$A$3,"MA_HT","NTD","MA_QH","DNL")</f>
        <v>0</v>
      </c>
      <c r="AE50" s="35">
        <f>+GETPIVOTDATA("XBG4",'binhgia (2016)'!$A$3,"MA_HT","NTD","MA_QH","DBV")</f>
        <v>0</v>
      </c>
      <c r="AF50" s="35">
        <f>+GETPIVOTDATA("XBG4",'binhgia (2016)'!$A$3,"MA_HT","NTD","MA_QH","DVH")</f>
        <v>0</v>
      </c>
      <c r="AG50" s="35">
        <f>+GETPIVOTDATA("XBG4",'binhgia (2016)'!$A$3,"MA_HT","NTD","MA_QH","DYT")</f>
        <v>0</v>
      </c>
      <c r="AH50" s="35">
        <f>+GETPIVOTDATA("XBG4",'binhgia (2016)'!$A$3,"MA_HT","NTD","MA_QH","DGD")</f>
        <v>0</v>
      </c>
      <c r="AI50" s="35">
        <f>+GETPIVOTDATA("XBG4",'binhgia (2016)'!$A$3,"MA_HT","NTD","MA_QH","DTT")</f>
        <v>0</v>
      </c>
      <c r="AJ50" s="35">
        <f>+GETPIVOTDATA("XBG4",'binhgia (2016)'!$A$3,"MA_HT","NTD","MA_QH","NCK")</f>
        <v>0</v>
      </c>
      <c r="AK50" s="35">
        <f>+GETPIVOTDATA("XBG4",'binhgia (2016)'!$A$3,"MA_HT","NTD","MA_QH","DXH")</f>
        <v>0</v>
      </c>
      <c r="AL50" s="35">
        <f>+GETPIVOTDATA("XBG4",'binhgia (2016)'!$A$3,"MA_HT","NTD","MA_QH","DCH")</f>
        <v>0</v>
      </c>
      <c r="AM50" s="35">
        <f>+GETPIVOTDATA("XBG4",'binhgia (2016)'!$A$3,"MA_HT","NTD","MA_QH","DKG")</f>
        <v>0</v>
      </c>
      <c r="AN50" s="35">
        <f>+GETPIVOTDATA("XBG4",'binhgia (2016)'!$A$3,"MA_HT","NTD","MA_QH","DDT")</f>
        <v>0</v>
      </c>
      <c r="AO50" s="35">
        <f>+GETPIVOTDATA("XBG4",'binhgia (2016)'!$A$3,"MA_HT","NTD","MA_QH","DDL")</f>
        <v>0</v>
      </c>
      <c r="AP50" s="35">
        <f>+GETPIVOTDATA("XBG4",'binhgia (2016)'!$A$3,"MA_HT","NTD","MA_QH","DRA")</f>
        <v>0</v>
      </c>
      <c r="AQ50" s="35">
        <f>+GETPIVOTDATA("XBG4",'binhgia (2016)'!$A$3,"MA_HT","NTD","MA_QH","ONT")</f>
        <v>0</v>
      </c>
      <c r="AR50" s="35">
        <f>+GETPIVOTDATA("XBG4",'binhgia (2016)'!$A$3,"MA_HT","NTD","MA_QH","ODT")</f>
        <v>0</v>
      </c>
      <c r="AS50" s="35">
        <f>+GETPIVOTDATA("XBG4",'binhgia (2016)'!$A$3,"MA_HT","NTD","MA_QH","TSC")</f>
        <v>0</v>
      </c>
      <c r="AT50" s="35">
        <f>+GETPIVOTDATA("XBG4",'binhgia (2016)'!$A$3,"MA_HT","NTD","MA_QH","DTS")</f>
        <v>0</v>
      </c>
      <c r="AU50" s="35">
        <f>+GETPIVOTDATA("XBG4",'binhgia (2016)'!$A$3,"MA_HT","NTD","MA_QH","DNG")</f>
        <v>0</v>
      </c>
      <c r="AV50" s="35">
        <f>+GETPIVOTDATA("XBG4",'binhgia (2016)'!$A$3,"MA_HT","NTD","MA_QH","TON")</f>
        <v>0</v>
      </c>
      <c r="AW50" s="99" t="e">
        <f>$D50-$BF50</f>
        <v>#REF!</v>
      </c>
      <c r="AX50" s="35">
        <f>+GETPIVOTDATA("XBG4",'binhgia (2016)'!$A$3,"MA_HT","NTD","MA_QH","SKX")</f>
        <v>0</v>
      </c>
      <c r="AY50" s="35">
        <f>+GETPIVOTDATA("XBG4",'binhgia (2016)'!$A$3,"MA_HT","NTD","MA_QH","DSH")</f>
        <v>0</v>
      </c>
      <c r="AZ50" s="35">
        <f>+GETPIVOTDATA("XBG4",'binhgia (2016)'!$A$3,"MA_HT","NTD","MA_QH","DKV")</f>
        <v>0</v>
      </c>
      <c r="BA50" s="140">
        <f>+GETPIVOTDATA("XBG4",'binhgia (2016)'!$A$3,"MA_HT","NTD","MA_QH","TIN")</f>
        <v>0</v>
      </c>
      <c r="BB50" s="74">
        <f>+GETPIVOTDATA("XBG4",'binhgia (2016)'!$A$3,"MA_HT","NTD","MA_QH","SON")</f>
        <v>0</v>
      </c>
      <c r="BC50" s="74">
        <f>+GETPIVOTDATA("XBG4",'binhgia (2016)'!$A$3,"MA_HT","NTD","MA_QH","MNC")</f>
        <v>0</v>
      </c>
      <c r="BD50" s="35">
        <f>+GETPIVOTDATA("XBG4",'binhgia (2016)'!$A$3,"MA_HT","NTD","MA_QH","PNK")</f>
        <v>0</v>
      </c>
      <c r="BE50" s="58">
        <f>+GETPIVOTDATA("XBG4",'binhgia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+GETPIVOTDATA("XBG4",'binhgia (2016)'!$A$3,"MA_HT","SKX","MA_QH","LUC")</f>
        <v>0</v>
      </c>
      <c r="H51" s="35">
        <f>+GETPIVOTDATA("XBG4",'binhgia (2016)'!$A$3,"MA_HT","SKX","MA_QH","LUK")</f>
        <v>0</v>
      </c>
      <c r="I51" s="35">
        <f>+GETPIVOTDATA("XBG4",'binhgia (2016)'!$A$3,"MA_HT","SKX","MA_QH","LUN")</f>
        <v>0</v>
      </c>
      <c r="J51" s="35">
        <f>+GETPIVOTDATA("XBG4",'binhgia (2016)'!$A$3,"MA_HT","SKX","MA_QH","HNK")</f>
        <v>0</v>
      </c>
      <c r="K51" s="35">
        <f>+GETPIVOTDATA("XBG4",'binhgia (2016)'!$A$3,"MA_HT","SKX","MA_QH","CLN")</f>
        <v>0</v>
      </c>
      <c r="L51" s="35">
        <f>+GETPIVOTDATA("XBG4",'binhgia (2016)'!$A$3,"MA_HT","SKX","MA_QH","RSX")</f>
        <v>0</v>
      </c>
      <c r="M51" s="35">
        <f>+GETPIVOTDATA("XBG4",'binhgia (2016)'!$A$3,"MA_HT","SKX","MA_QH","RPH")</f>
        <v>0</v>
      </c>
      <c r="N51" s="35">
        <f>+GETPIVOTDATA("XBG4",'binhgia (2016)'!$A$3,"MA_HT","SKX","MA_QH","RDD")</f>
        <v>0</v>
      </c>
      <c r="O51" s="35">
        <f>+GETPIVOTDATA("XBG4",'binhgia (2016)'!$A$3,"MA_HT","SKX","MA_QH","NTS")</f>
        <v>0</v>
      </c>
      <c r="P51" s="35">
        <f>+GETPIVOTDATA("XBG4",'binhgia (2016)'!$A$3,"MA_HT","SKX","MA_QH","LMU")</f>
        <v>0</v>
      </c>
      <c r="Q51" s="35">
        <f>+GETPIVOTDATA("XBG4",'binhgia (2016)'!$A$3,"MA_HT","SKX","MA_QH","NKH")</f>
        <v>0</v>
      </c>
      <c r="R51" s="106">
        <f>SUM(S51:AA51,AN51:AW51,AY51:BD51)</f>
        <v>0</v>
      </c>
      <c r="S51" s="35">
        <f>+GETPIVOTDATA("XBG4",'binhgia (2016)'!$A$3,"MA_HT","SKX","MA_QH","CQP")</f>
        <v>0</v>
      </c>
      <c r="T51" s="35">
        <f>+GETPIVOTDATA("XBG4",'binhgia (2016)'!$A$3,"MA_HT","SKX","MA_QH","CAN")</f>
        <v>0</v>
      </c>
      <c r="U51" s="35">
        <f>+GETPIVOTDATA("XBG4",'binhgia (2016)'!$A$3,"MA_HT","SKX","MA_QH","SKK")</f>
        <v>0</v>
      </c>
      <c r="V51" s="35">
        <f>+GETPIVOTDATA("XBG4",'binhgia (2016)'!$A$3,"MA_HT","SKX","MA_QH","SKT")</f>
        <v>0</v>
      </c>
      <c r="W51" s="35">
        <f>+GETPIVOTDATA("XBG4",'binhgia (2016)'!$A$3,"MA_HT","SKX","MA_QH","SKN")</f>
        <v>0</v>
      </c>
      <c r="X51" s="35">
        <f>+GETPIVOTDATA("XBG4",'binhgia (2016)'!$A$3,"MA_HT","SKX","MA_QH","TMD")</f>
        <v>0</v>
      </c>
      <c r="Y51" s="35">
        <f>+GETPIVOTDATA("XBG4",'binhgia (2016)'!$A$3,"MA_HT","SKX","MA_QH","SKC")</f>
        <v>0</v>
      </c>
      <c r="Z51" s="35">
        <f>+GETPIVOTDATA("XBG4",'binhgia (2016)'!$A$3,"MA_HT","SKX","MA_QH","SKS")</f>
        <v>0</v>
      </c>
      <c r="AA51" s="64">
        <f t="shared" si="21"/>
        <v>0</v>
      </c>
      <c r="AB51" s="35">
        <f>+GETPIVOTDATA("XBG4",'binhgia (2016)'!$A$3,"MA_HT","SKX","MA_QH","DGT")</f>
        <v>0</v>
      </c>
      <c r="AC51" s="35">
        <f>+GETPIVOTDATA("XBG4",'binhgia (2016)'!$A$3,"MA_HT","SKX","MA_QH","DTL")</f>
        <v>0</v>
      </c>
      <c r="AD51" s="35">
        <f>+GETPIVOTDATA("XBG4",'binhgia (2016)'!$A$3,"MA_HT","SKX","MA_QH","DNL")</f>
        <v>0</v>
      </c>
      <c r="AE51" s="35">
        <f>+GETPIVOTDATA("XBG4",'binhgia (2016)'!$A$3,"MA_HT","SKX","MA_QH","DBV")</f>
        <v>0</v>
      </c>
      <c r="AF51" s="35">
        <f>+GETPIVOTDATA("XBG4",'binhgia (2016)'!$A$3,"MA_HT","SKX","MA_QH","DVH")</f>
        <v>0</v>
      </c>
      <c r="AG51" s="35">
        <f>+GETPIVOTDATA("XBG4",'binhgia (2016)'!$A$3,"MA_HT","SKX","MA_QH","DYT")</f>
        <v>0</v>
      </c>
      <c r="AH51" s="35">
        <f>+GETPIVOTDATA("XBG4",'binhgia (2016)'!$A$3,"MA_HT","SKX","MA_QH","DGD")</f>
        <v>0</v>
      </c>
      <c r="AI51" s="35">
        <f>+GETPIVOTDATA("XBG4",'binhgia (2016)'!$A$3,"MA_HT","SKX","MA_QH","DTT")</f>
        <v>0</v>
      </c>
      <c r="AJ51" s="35">
        <f>+GETPIVOTDATA("XBG4",'binhgia (2016)'!$A$3,"MA_HT","SKX","MA_QH","NCK")</f>
        <v>0</v>
      </c>
      <c r="AK51" s="35">
        <f>+GETPIVOTDATA("XBG4",'binhgia (2016)'!$A$3,"MA_HT","SKX","MA_QH","DXH")</f>
        <v>0</v>
      </c>
      <c r="AL51" s="35">
        <f>+GETPIVOTDATA("XBG4",'binhgia (2016)'!$A$3,"MA_HT","SKX","MA_QH","DCH")</f>
        <v>0</v>
      </c>
      <c r="AM51" s="35">
        <f>+GETPIVOTDATA("XBG4",'binhgia (2016)'!$A$3,"MA_HT","SKX","MA_QH","DKG")</f>
        <v>0</v>
      </c>
      <c r="AN51" s="35">
        <f>+GETPIVOTDATA("XBG4",'binhgia (2016)'!$A$3,"MA_HT","SKX","MA_QH","DDT")</f>
        <v>0</v>
      </c>
      <c r="AO51" s="35">
        <f>+GETPIVOTDATA("XBG4",'binhgia (2016)'!$A$3,"MA_HT","SKX","MA_QH","DDL")</f>
        <v>0</v>
      </c>
      <c r="AP51" s="35">
        <f>+GETPIVOTDATA("XBG4",'binhgia (2016)'!$A$3,"MA_HT","SKX","MA_QH","DRA")</f>
        <v>0</v>
      </c>
      <c r="AQ51" s="35">
        <f>+GETPIVOTDATA("XBG4",'binhgia (2016)'!$A$3,"MA_HT","SKX","MA_QH","ONT")</f>
        <v>0</v>
      </c>
      <c r="AR51" s="35">
        <f>+GETPIVOTDATA("XBG4",'binhgia (2016)'!$A$3,"MA_HT","SKX","MA_QH","ODT")</f>
        <v>0</v>
      </c>
      <c r="AS51" s="35">
        <f>+GETPIVOTDATA("XBG4",'binhgia (2016)'!$A$3,"MA_HT","SKX","MA_QH","TSC")</f>
        <v>0</v>
      </c>
      <c r="AT51" s="35">
        <f>+GETPIVOTDATA("XBG4",'binhgia (2016)'!$A$3,"MA_HT","SKX","MA_QH","DTS")</f>
        <v>0</v>
      </c>
      <c r="AU51" s="35">
        <f>+GETPIVOTDATA("XBG4",'binhgia (2016)'!$A$3,"MA_HT","SKX","MA_QH","DNG")</f>
        <v>0</v>
      </c>
      <c r="AV51" s="35">
        <f>+GETPIVOTDATA("XBG4",'binhgia (2016)'!$A$3,"MA_HT","SKX","MA_QH","TON")</f>
        <v>0</v>
      </c>
      <c r="AW51" s="35">
        <f>+GETPIVOTDATA("XBG4",'binhgia (2016)'!$A$3,"MA_HT","SKX","MA_QH","NTD")</f>
        <v>0</v>
      </c>
      <c r="AX51" s="99" t="e">
        <f>$D51-$BF51</f>
        <v>#REF!</v>
      </c>
      <c r="AY51" s="35">
        <f>+GETPIVOTDATA("XBG4",'binhgia (2016)'!$A$3,"MA_HT","SKX","MA_QH","DSH")</f>
        <v>0</v>
      </c>
      <c r="AZ51" s="35">
        <f>+GETPIVOTDATA("XBG4",'binhgia (2016)'!$A$3,"MA_HT","SKX","MA_QH","DKV")</f>
        <v>0</v>
      </c>
      <c r="BA51" s="140">
        <f>+GETPIVOTDATA("XBG4",'binhgia (2016)'!$A$3,"MA_HT","SKX","MA_QH","TIN")</f>
        <v>0</v>
      </c>
      <c r="BB51" s="74">
        <f>+GETPIVOTDATA("XBG4",'binhgia (2016)'!$A$3,"MA_HT","SKX","MA_QH","SON")</f>
        <v>0</v>
      </c>
      <c r="BC51" s="74">
        <f>+GETPIVOTDATA("XBG4",'binhgia (2016)'!$A$3,"MA_HT","SKX","MA_QH","MNC")</f>
        <v>0</v>
      </c>
      <c r="BD51" s="35">
        <f>+GETPIVOTDATA("XBG4",'binhgia (2016)'!$A$3,"MA_HT","SKX","MA_QH","PNK")</f>
        <v>0</v>
      </c>
      <c r="BE51" s="58">
        <f>+GETPIVOTDATA("XBG4",'binhgia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+GETPIVOTDATA("XBG4",'binhgia (2016)'!$A$3,"MA_HT","DSH","MA_QH","LUC")</f>
        <v>0</v>
      </c>
      <c r="H52" s="35">
        <f>+GETPIVOTDATA("XBG4",'binhgia (2016)'!$A$3,"MA_HT","DSH","MA_QH","LUK")</f>
        <v>0</v>
      </c>
      <c r="I52" s="35">
        <f>+GETPIVOTDATA("XBG4",'binhgia (2016)'!$A$3,"MA_HT","DSH","MA_QH","LUN")</f>
        <v>0</v>
      </c>
      <c r="J52" s="35">
        <f>+GETPIVOTDATA("XBG4",'binhgia (2016)'!$A$3,"MA_HT","DSH","MA_QH","HNK")</f>
        <v>0</v>
      </c>
      <c r="K52" s="35">
        <f>+GETPIVOTDATA("XBG4",'binhgia (2016)'!$A$3,"MA_HT","DSH","MA_QH","CLN")</f>
        <v>0</v>
      </c>
      <c r="L52" s="35">
        <f>+GETPIVOTDATA("XBG4",'binhgia (2016)'!$A$3,"MA_HT","DSH","MA_QH","RSX")</f>
        <v>0</v>
      </c>
      <c r="M52" s="35">
        <f>+GETPIVOTDATA("XBG4",'binhgia (2016)'!$A$3,"MA_HT","DSH","MA_QH","RPH")</f>
        <v>0</v>
      </c>
      <c r="N52" s="35">
        <f>+GETPIVOTDATA("XBG4",'binhgia (2016)'!$A$3,"MA_HT","DSH","MA_QH","RDD")</f>
        <v>0</v>
      </c>
      <c r="O52" s="35">
        <f>+GETPIVOTDATA("XBG4",'binhgia (2016)'!$A$3,"MA_HT","DSH","MA_QH","NTS")</f>
        <v>0</v>
      </c>
      <c r="P52" s="35">
        <f>+GETPIVOTDATA("XBG4",'binhgia (2016)'!$A$3,"MA_HT","DSH","MA_QH","LMU")</f>
        <v>0</v>
      </c>
      <c r="Q52" s="35">
        <f>+GETPIVOTDATA("XBG4",'binhgia (2016)'!$A$3,"MA_HT","DSH","MA_QH","NKH")</f>
        <v>0</v>
      </c>
      <c r="R52" s="106">
        <f>SUM(S52:AA52,AN52:AX52,AZ52:BD52)</f>
        <v>0</v>
      </c>
      <c r="S52" s="35">
        <f>+GETPIVOTDATA("XBG4",'binhgia (2016)'!$A$3,"MA_HT","DSH","MA_QH","CQP")</f>
        <v>0</v>
      </c>
      <c r="T52" s="35">
        <f>+GETPIVOTDATA("XBG4",'binhgia (2016)'!$A$3,"MA_HT","DSH","MA_QH","CAN")</f>
        <v>0</v>
      </c>
      <c r="U52" s="35">
        <f>+GETPIVOTDATA("XBG4",'binhgia (2016)'!$A$3,"MA_HT","DSH","MA_QH","SKK")</f>
        <v>0</v>
      </c>
      <c r="V52" s="35">
        <f>+GETPIVOTDATA("XBG4",'binhgia (2016)'!$A$3,"MA_HT","DSH","MA_QH","SKT")</f>
        <v>0</v>
      </c>
      <c r="W52" s="35">
        <f>+GETPIVOTDATA("XBG4",'binhgia (2016)'!$A$3,"MA_HT","DSH","MA_QH","SKN")</f>
        <v>0</v>
      </c>
      <c r="X52" s="35">
        <f>+GETPIVOTDATA("XBG4",'binhgia (2016)'!$A$3,"MA_HT","DSH","MA_QH","TMD")</f>
        <v>0</v>
      </c>
      <c r="Y52" s="35">
        <f>+GETPIVOTDATA("XBG4",'binhgia (2016)'!$A$3,"MA_HT","DSH","MA_QH","SKC")</f>
        <v>0</v>
      </c>
      <c r="Z52" s="35">
        <f>+GETPIVOTDATA("XBG4",'binhgia (2016)'!$A$3,"MA_HT","DSH","MA_QH","SKS")</f>
        <v>0</v>
      </c>
      <c r="AA52" s="64">
        <f t="shared" si="21"/>
        <v>0</v>
      </c>
      <c r="AB52" s="35">
        <f>+GETPIVOTDATA("XBG4",'binhgia (2016)'!$A$3,"MA_HT","DSH","MA_QH","DGT")</f>
        <v>0</v>
      </c>
      <c r="AC52" s="35">
        <f>+GETPIVOTDATA("XBG4",'binhgia (2016)'!$A$3,"MA_HT","DSH","MA_QH","DTL")</f>
        <v>0</v>
      </c>
      <c r="AD52" s="35">
        <f>+GETPIVOTDATA("XBG4",'binhgia (2016)'!$A$3,"MA_HT","DSH","MA_QH","DNL")</f>
        <v>0</v>
      </c>
      <c r="AE52" s="35">
        <f>+GETPIVOTDATA("XBG4",'binhgia (2016)'!$A$3,"MA_HT","DSH","MA_QH","DBV")</f>
        <v>0</v>
      </c>
      <c r="AF52" s="35">
        <f>+GETPIVOTDATA("XBG4",'binhgia (2016)'!$A$3,"MA_HT","DSH","MA_QH","DVH")</f>
        <v>0</v>
      </c>
      <c r="AG52" s="35">
        <f>+GETPIVOTDATA("XBG4",'binhgia (2016)'!$A$3,"MA_HT","DSH","MA_QH","DYT")</f>
        <v>0</v>
      </c>
      <c r="AH52" s="35">
        <f>+GETPIVOTDATA("XBG4",'binhgia (2016)'!$A$3,"MA_HT","DSH","MA_QH","DGD")</f>
        <v>0</v>
      </c>
      <c r="AI52" s="35">
        <f>+GETPIVOTDATA("XBG4",'binhgia (2016)'!$A$3,"MA_HT","DSH","MA_QH","DTT")</f>
        <v>0</v>
      </c>
      <c r="AJ52" s="35">
        <f>+GETPIVOTDATA("XBG4",'binhgia (2016)'!$A$3,"MA_HT","DSH","MA_QH","NCK")</f>
        <v>0</v>
      </c>
      <c r="AK52" s="35">
        <f>+GETPIVOTDATA("XBG4",'binhgia (2016)'!$A$3,"MA_HT","DSH","MA_QH","DXH")</f>
        <v>0</v>
      </c>
      <c r="AL52" s="35">
        <f>+GETPIVOTDATA("XBG4",'binhgia (2016)'!$A$3,"MA_HT","DSH","MA_QH","DCH")</f>
        <v>0</v>
      </c>
      <c r="AM52" s="35">
        <f>+GETPIVOTDATA("XBG4",'binhgia (2016)'!$A$3,"MA_HT","DSH","MA_QH","DKG")</f>
        <v>0</v>
      </c>
      <c r="AN52" s="35">
        <f>+GETPIVOTDATA("XBG4",'binhgia (2016)'!$A$3,"MA_HT","DSH","MA_QH","DDT")</f>
        <v>0</v>
      </c>
      <c r="AO52" s="35">
        <f>+GETPIVOTDATA("XBG4",'binhgia (2016)'!$A$3,"MA_HT","DSH","MA_QH","DDL")</f>
        <v>0</v>
      </c>
      <c r="AP52" s="35">
        <f>+GETPIVOTDATA("XBG4",'binhgia (2016)'!$A$3,"MA_HT","DSH","MA_QH","DRA")</f>
        <v>0</v>
      </c>
      <c r="AQ52" s="35">
        <f>+GETPIVOTDATA("XBG4",'binhgia (2016)'!$A$3,"MA_HT","DSH","MA_QH","ONT")</f>
        <v>0</v>
      </c>
      <c r="AR52" s="35">
        <f>+GETPIVOTDATA("XBG4",'binhgia (2016)'!$A$3,"MA_HT","DSH","MA_QH","ODT")</f>
        <v>0</v>
      </c>
      <c r="AS52" s="35">
        <f>+GETPIVOTDATA("XBG4",'binhgia (2016)'!$A$3,"MA_HT","DSH","MA_QH","TSC")</f>
        <v>0</v>
      </c>
      <c r="AT52" s="35">
        <f>+GETPIVOTDATA("XBG4",'binhgia (2016)'!$A$3,"MA_HT","DSH","MA_QH","DTS")</f>
        <v>0</v>
      </c>
      <c r="AU52" s="35">
        <f>+GETPIVOTDATA("XBG4",'binhgia (2016)'!$A$3,"MA_HT","DSH","MA_QH","DNG")</f>
        <v>0</v>
      </c>
      <c r="AV52" s="35">
        <f>+GETPIVOTDATA("XBG4",'binhgia (2016)'!$A$3,"MA_HT","DSH","MA_QH","TON")</f>
        <v>0</v>
      </c>
      <c r="AW52" s="35">
        <f>+GETPIVOTDATA("XBG4",'binhgia (2016)'!$A$3,"MA_HT","DSH","MA_QH","NTD")</f>
        <v>0</v>
      </c>
      <c r="AX52" s="35">
        <f>+GETPIVOTDATA("XBG4",'binhgia (2016)'!$A$3,"MA_HT","DSH","MA_QH","SKX")</f>
        <v>0</v>
      </c>
      <c r="AY52" s="99" t="e">
        <f>$D52-$BF52</f>
        <v>#REF!</v>
      </c>
      <c r="AZ52" s="35">
        <f>+GETPIVOTDATA("XBG4",'binhgia (2016)'!$A$3,"MA_HT","DSH","MA_QH","DKV")</f>
        <v>0</v>
      </c>
      <c r="BA52" s="140">
        <f>+GETPIVOTDATA("XBG4",'binhgia (2016)'!$A$3,"MA_HT","DSH","MA_QH","TIN")</f>
        <v>0</v>
      </c>
      <c r="BB52" s="74">
        <f>+GETPIVOTDATA("XBG4",'binhgia (2016)'!$A$3,"MA_HT","DSH","MA_QH","SON")</f>
        <v>0</v>
      </c>
      <c r="BC52" s="74">
        <f>+GETPIVOTDATA("XBG4",'binhgia (2016)'!$A$3,"MA_HT","DSH","MA_QH","MNC")</f>
        <v>0</v>
      </c>
      <c r="BD52" s="35">
        <f>+GETPIVOTDATA("XBG4",'binhgia (2016)'!$A$3,"MA_HT","DSH","MA_QH","PNK")</f>
        <v>0</v>
      </c>
      <c r="BE52" s="58">
        <f>+GETPIVOTDATA("XBG4",'binhgia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+GETPIVOTDATA("XBG4",'binhgia (2016)'!$A$3,"MA_HT","DKV","MA_QH","LUC")</f>
        <v>0</v>
      </c>
      <c r="H53" s="35">
        <f>+GETPIVOTDATA("XBG4",'binhgia (2016)'!$A$3,"MA_HT","DKV","MA_QH","LUK")</f>
        <v>0</v>
      </c>
      <c r="I53" s="35">
        <f>+GETPIVOTDATA("XBG4",'binhgia (2016)'!$A$3,"MA_HT","DKV","MA_QH","LUN")</f>
        <v>0</v>
      </c>
      <c r="J53" s="35">
        <f>+GETPIVOTDATA("XBG4",'binhgia (2016)'!$A$3,"MA_HT","DKV","MA_QH","HNK")</f>
        <v>0</v>
      </c>
      <c r="K53" s="35">
        <f>+GETPIVOTDATA("XBG4",'binhgia (2016)'!$A$3,"MA_HT","DKV","MA_QH","CLN")</f>
        <v>0</v>
      </c>
      <c r="L53" s="35">
        <f>+GETPIVOTDATA("XBG4",'binhgia (2016)'!$A$3,"MA_HT","DKV","MA_QH","RSX")</f>
        <v>0</v>
      </c>
      <c r="M53" s="35">
        <f>+GETPIVOTDATA("XBG4",'binhgia (2016)'!$A$3,"MA_HT","DKV","MA_QH","RPH")</f>
        <v>0</v>
      </c>
      <c r="N53" s="35">
        <f>+GETPIVOTDATA("XBG4",'binhgia (2016)'!$A$3,"MA_HT","DKV","MA_QH","RDD")</f>
        <v>0</v>
      </c>
      <c r="O53" s="35">
        <f>+GETPIVOTDATA("XBG4",'binhgia (2016)'!$A$3,"MA_HT","DKV","MA_QH","NTS")</f>
        <v>0</v>
      </c>
      <c r="P53" s="35">
        <f>+GETPIVOTDATA("XBG4",'binhgia (2016)'!$A$3,"MA_HT","DKV","MA_QH","LMU")</f>
        <v>0</v>
      </c>
      <c r="Q53" s="35">
        <f>+GETPIVOTDATA("XBG4",'binhgia (2016)'!$A$3,"MA_HT","DKV","MA_QH","NKH")</f>
        <v>0</v>
      </c>
      <c r="R53" s="106">
        <f>SUM(S53:AA53,AN53:AY53,BB53:BD53)</f>
        <v>0</v>
      </c>
      <c r="S53" s="35">
        <f>+GETPIVOTDATA("XBG4",'binhgia (2016)'!$A$3,"MA_HT","DKV","MA_QH","CQP")</f>
        <v>0</v>
      </c>
      <c r="T53" s="35">
        <f>+GETPIVOTDATA("XBG4",'binhgia (2016)'!$A$3,"MA_HT","DKV","MA_QH","CAN")</f>
        <v>0</v>
      </c>
      <c r="U53" s="35">
        <f>+GETPIVOTDATA("XBG4",'binhgia (2016)'!$A$3,"MA_HT","DKV","MA_QH","SKK")</f>
        <v>0</v>
      </c>
      <c r="V53" s="35">
        <f>+GETPIVOTDATA("XBG4",'binhgia (2016)'!$A$3,"MA_HT","DKV","MA_QH","SKT")</f>
        <v>0</v>
      </c>
      <c r="W53" s="35">
        <f>+GETPIVOTDATA("XBG4",'binhgia (2016)'!$A$3,"MA_HT","DKV","MA_QH","SKN")</f>
        <v>0</v>
      </c>
      <c r="X53" s="35">
        <f>+GETPIVOTDATA("XBG4",'binhgia (2016)'!$A$3,"MA_HT","DKV","MA_QH","TMD")</f>
        <v>0</v>
      </c>
      <c r="Y53" s="35">
        <f>+GETPIVOTDATA("XBG4",'binhgia (2016)'!$A$3,"MA_HT","DKV","MA_QH","SKC")</f>
        <v>0</v>
      </c>
      <c r="Z53" s="35">
        <f>+GETPIVOTDATA("XBG4",'binhgia (2016)'!$A$3,"MA_HT","DKV","MA_QH","SKS")</f>
        <v>0</v>
      </c>
      <c r="AA53" s="64">
        <f t="shared" si="21"/>
        <v>0</v>
      </c>
      <c r="AB53" s="35">
        <f>+GETPIVOTDATA("XBG4",'binhgia (2016)'!$A$3,"MA_HT","DKV","MA_QH","DGT")</f>
        <v>0</v>
      </c>
      <c r="AC53" s="35">
        <f>+GETPIVOTDATA("XBG4",'binhgia (2016)'!$A$3,"MA_HT","DKV","MA_QH","DTL")</f>
        <v>0</v>
      </c>
      <c r="AD53" s="35">
        <f>+GETPIVOTDATA("XBG4",'binhgia (2016)'!$A$3,"MA_HT","DKV","MA_QH","DNL")</f>
        <v>0</v>
      </c>
      <c r="AE53" s="35">
        <f>+GETPIVOTDATA("XBG4",'binhgia (2016)'!$A$3,"MA_HT","DKV","MA_QH","DBV")</f>
        <v>0</v>
      </c>
      <c r="AF53" s="35">
        <f>+GETPIVOTDATA("XBG4",'binhgia (2016)'!$A$3,"MA_HT","DKV","MA_QH","DVH")</f>
        <v>0</v>
      </c>
      <c r="AG53" s="35">
        <f>+GETPIVOTDATA("XBG4",'binhgia (2016)'!$A$3,"MA_HT","DKV","MA_QH","DYT")</f>
        <v>0</v>
      </c>
      <c r="AH53" s="35">
        <f>+GETPIVOTDATA("XBG4",'binhgia (2016)'!$A$3,"MA_HT","DKV","MA_QH","DGD")</f>
        <v>0</v>
      </c>
      <c r="AI53" s="35">
        <f>+GETPIVOTDATA("XBG4",'binhgia (2016)'!$A$3,"MA_HT","DKV","MA_QH","DTT")</f>
        <v>0</v>
      </c>
      <c r="AJ53" s="35">
        <f>+GETPIVOTDATA("XBG4",'binhgia (2016)'!$A$3,"MA_HT","DKV","MA_QH","NCK")</f>
        <v>0</v>
      </c>
      <c r="AK53" s="35">
        <f>+GETPIVOTDATA("XBG4",'binhgia (2016)'!$A$3,"MA_HT","DKV","MA_QH","DXH")</f>
        <v>0</v>
      </c>
      <c r="AL53" s="35">
        <f>+GETPIVOTDATA("XBG4",'binhgia (2016)'!$A$3,"MA_HT","DKV","MA_QH","DCH")</f>
        <v>0</v>
      </c>
      <c r="AM53" s="35">
        <f>+GETPIVOTDATA("XBG4",'binhgia (2016)'!$A$3,"MA_HT","DKV","MA_QH","DKG")</f>
        <v>0</v>
      </c>
      <c r="AN53" s="35">
        <f>+GETPIVOTDATA("XBG4",'binhgia (2016)'!$A$3,"MA_HT","DKV","MA_QH","DDT")</f>
        <v>0</v>
      </c>
      <c r="AO53" s="35">
        <f>+GETPIVOTDATA("XBG4",'binhgia (2016)'!$A$3,"MA_HT","DKV","MA_QH","DDL")</f>
        <v>0</v>
      </c>
      <c r="AP53" s="35">
        <f>+GETPIVOTDATA("XBG4",'binhgia (2016)'!$A$3,"MA_HT","DKV","MA_QH","DRA")</f>
        <v>0</v>
      </c>
      <c r="AQ53" s="35">
        <f>+GETPIVOTDATA("XBG4",'binhgia (2016)'!$A$3,"MA_HT","DKV","MA_QH","ONT")</f>
        <v>0</v>
      </c>
      <c r="AR53" s="35">
        <f>+GETPIVOTDATA("XBG4",'binhgia (2016)'!$A$3,"MA_HT","DKV","MA_QH","ODT")</f>
        <v>0</v>
      </c>
      <c r="AS53" s="35">
        <f>+GETPIVOTDATA("XBG4",'binhgia (2016)'!$A$3,"MA_HT","DKV","MA_QH","TSC")</f>
        <v>0</v>
      </c>
      <c r="AT53" s="35">
        <f>+GETPIVOTDATA("XBG4",'binhgia (2016)'!$A$3,"MA_HT","DKV","MA_QH","DTS")</f>
        <v>0</v>
      </c>
      <c r="AU53" s="35">
        <f>+GETPIVOTDATA("XBG4",'binhgia (2016)'!$A$3,"MA_HT","DKV","MA_QH","DNG")</f>
        <v>0</v>
      </c>
      <c r="AV53" s="35">
        <f>+GETPIVOTDATA("XBG4",'binhgia (2016)'!$A$3,"MA_HT","DKV","MA_QH","TON")</f>
        <v>0</v>
      </c>
      <c r="AW53" s="35">
        <f>+GETPIVOTDATA("XBG4",'binhgia (2016)'!$A$3,"MA_HT","DKV","MA_QH","NTD")</f>
        <v>0</v>
      </c>
      <c r="AX53" s="35">
        <f>+GETPIVOTDATA("XBG4",'binhgia (2016)'!$A$3,"MA_HT","DKV","MA_QH","SKX")</f>
        <v>0</v>
      </c>
      <c r="AY53" s="35">
        <f>+GETPIVOTDATA("XBG4",'binhgia (2016)'!$A$3,"MA_HT","DKV","MA_QH","DSH")</f>
        <v>0</v>
      </c>
      <c r="AZ53" s="99" t="e">
        <f>$D53-$BF53</f>
        <v>#REF!</v>
      </c>
      <c r="BA53" s="140">
        <f>+GETPIVOTDATA("XBG4",'binhgia (2016)'!$A$3,"MA_HT","DKV","MA_QH","TIN")</f>
        <v>0</v>
      </c>
      <c r="BB53" s="74">
        <f>+GETPIVOTDATA("XBG4",'binhgia (2016)'!$A$3,"MA_HT","DKV","MA_QH","SON")</f>
        <v>0</v>
      </c>
      <c r="BC53" s="74">
        <f>+GETPIVOTDATA("XBG4",'binhgia (2016)'!$A$3,"MA_HT","DKV","MA_QH","MNC")</f>
        <v>0</v>
      </c>
      <c r="BD53" s="35">
        <f>+GETPIVOTDATA("XBG4",'binhgia (2016)'!$A$3,"MA_HT","DKV","MA_QH","PNK")</f>
        <v>0</v>
      </c>
      <c r="BE53" s="58">
        <f>+GETPIVOTDATA("XBG4",'binhgia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+GETPIVOTDATA("XBG4",'binhgia (2016)'!$A$3,"MA_HT","TIN","MA_QH","LUC")</f>
        <v>0</v>
      </c>
      <c r="H54" s="35">
        <f>+GETPIVOTDATA("XBG4",'binhgia (2016)'!$A$3,"MA_HT","TIN","MA_QH","LUK")</f>
        <v>0</v>
      </c>
      <c r="I54" s="35">
        <f>+GETPIVOTDATA("XBG4",'binhgia (2016)'!$A$3,"MA_HT","TIN","MA_QH","LUN")</f>
        <v>0</v>
      </c>
      <c r="J54" s="35">
        <f>+GETPIVOTDATA("XBG4",'binhgia (2016)'!$A$3,"MA_HT","TIN","MA_QH","HNK")</f>
        <v>0</v>
      </c>
      <c r="K54" s="35">
        <f>+GETPIVOTDATA("XBG4",'binhgia (2016)'!$A$3,"MA_HT","TIN","MA_QH","CLN")</f>
        <v>0</v>
      </c>
      <c r="L54" s="35">
        <f>+GETPIVOTDATA("XBG4",'binhgia (2016)'!$A$3,"MA_HT","TIN","MA_QH","RSX")</f>
        <v>0</v>
      </c>
      <c r="M54" s="35">
        <f>+GETPIVOTDATA("XBG4",'binhgia (2016)'!$A$3,"MA_HT","TIN","MA_QH","RPH")</f>
        <v>0</v>
      </c>
      <c r="N54" s="35">
        <f>+GETPIVOTDATA("XBG4",'binhgia (2016)'!$A$3,"MA_HT","TIN","MA_QH","RDD")</f>
        <v>0</v>
      </c>
      <c r="O54" s="35">
        <f>+GETPIVOTDATA("XBG4",'binhgia (2016)'!$A$3,"MA_HT","TIN","MA_QH","NTS")</f>
        <v>0</v>
      </c>
      <c r="P54" s="35">
        <f>+GETPIVOTDATA("XBG4",'binhgia (2016)'!$A$3,"MA_HT","TIN","MA_QH","LMU")</f>
        <v>0</v>
      </c>
      <c r="Q54" s="35">
        <f>+GETPIVOTDATA("XBG4",'binhgia (2016)'!$A$3,"MA_HT","TIN","MA_QH","NKH")</f>
        <v>0</v>
      </c>
      <c r="R54" s="106">
        <f>SUM(S54:AA54,AN54:AZ54,BB54:BD54)</f>
        <v>0</v>
      </c>
      <c r="S54" s="35">
        <f>+GETPIVOTDATA("XBG4",'binhgia (2016)'!$A$3,"MA_HT","TIN","MA_QH","CQP")</f>
        <v>0</v>
      </c>
      <c r="T54" s="35">
        <f>+GETPIVOTDATA("XBG4",'binhgia (2016)'!$A$3,"MA_HT","TIN","MA_QH","CAN")</f>
        <v>0</v>
      </c>
      <c r="U54" s="35">
        <f>+GETPIVOTDATA("XBG4",'binhgia (2016)'!$A$3,"MA_HT","TIN","MA_QH","SKK")</f>
        <v>0</v>
      </c>
      <c r="V54" s="35">
        <f>+GETPIVOTDATA("XBG4",'binhgia (2016)'!$A$3,"MA_HT","TIN","MA_QH","SKT")</f>
        <v>0</v>
      </c>
      <c r="W54" s="35">
        <f>+GETPIVOTDATA("XBG4",'binhgia (2016)'!$A$3,"MA_HT","TIN","MA_QH","SKN")</f>
        <v>0</v>
      </c>
      <c r="X54" s="35">
        <f>+GETPIVOTDATA("XBG4",'binhgia (2016)'!$A$3,"MA_HT","TIN","MA_QH","TMD")</f>
        <v>0</v>
      </c>
      <c r="Y54" s="35">
        <f>+GETPIVOTDATA("XBG4",'binhgia (2016)'!$A$3,"MA_HT","TIN","MA_QH","SKC")</f>
        <v>0</v>
      </c>
      <c r="Z54" s="35">
        <f>+GETPIVOTDATA("XBG4",'binhgia (2016)'!$A$3,"MA_HT","TIN","MA_QH","SKS")</f>
        <v>0</v>
      </c>
      <c r="AA54" s="64">
        <f t="shared" si="21"/>
        <v>0</v>
      </c>
      <c r="AB54" s="35">
        <f>+GETPIVOTDATA("XBG4",'binhgia (2016)'!$A$3,"MA_HT","TIN","MA_QH","DGT")</f>
        <v>0</v>
      </c>
      <c r="AC54" s="35">
        <f>+GETPIVOTDATA("XBG4",'binhgia (2016)'!$A$3,"MA_HT","TIN","MA_QH","DTL")</f>
        <v>0</v>
      </c>
      <c r="AD54" s="35">
        <f>+GETPIVOTDATA("XBG4",'binhgia (2016)'!$A$3,"MA_HT","TIN","MA_QH","DNL")</f>
        <v>0</v>
      </c>
      <c r="AE54" s="35">
        <f>+GETPIVOTDATA("XBG4",'binhgia (2016)'!$A$3,"MA_HT","TIN","MA_QH","DBV")</f>
        <v>0</v>
      </c>
      <c r="AF54" s="35">
        <f>+GETPIVOTDATA("XBG4",'binhgia (2016)'!$A$3,"MA_HT","TIN","MA_QH","DVH")</f>
        <v>0</v>
      </c>
      <c r="AG54" s="35">
        <f>+GETPIVOTDATA("XBG4",'binhgia (2016)'!$A$3,"MA_HT","TIN","MA_QH","DYT")</f>
        <v>0</v>
      </c>
      <c r="AH54" s="35">
        <f>+GETPIVOTDATA("XBG4",'binhgia (2016)'!$A$3,"MA_HT","TIN","MA_QH","DGD")</f>
        <v>0</v>
      </c>
      <c r="AI54" s="35">
        <f>+GETPIVOTDATA("XBG4",'binhgia (2016)'!$A$3,"MA_HT","TIN","MA_QH","DTT")</f>
        <v>0</v>
      </c>
      <c r="AJ54" s="35">
        <f>+GETPIVOTDATA("XBG4",'binhgia (2016)'!$A$3,"MA_HT","TIN","MA_QH","NCK")</f>
        <v>0</v>
      </c>
      <c r="AK54" s="35">
        <f>+GETPIVOTDATA("XBG4",'binhgia (2016)'!$A$3,"MA_HT","TIN","MA_QH","DXH")</f>
        <v>0</v>
      </c>
      <c r="AL54" s="35">
        <f>+GETPIVOTDATA("XBG4",'binhgia (2016)'!$A$3,"MA_HT","TIN","MA_QH","DCH")</f>
        <v>0</v>
      </c>
      <c r="AM54" s="35">
        <f>+GETPIVOTDATA("XBG4",'binhgia (2016)'!$A$3,"MA_HT","TIN","MA_QH","DKG")</f>
        <v>0</v>
      </c>
      <c r="AN54" s="35">
        <f>+GETPIVOTDATA("XBG4",'binhgia (2016)'!$A$3,"MA_HT","TIN","MA_QH","DDT")</f>
        <v>0</v>
      </c>
      <c r="AO54" s="35">
        <f>+GETPIVOTDATA("XBG4",'binhgia (2016)'!$A$3,"MA_HT","TIN","MA_QH","DDL")</f>
        <v>0</v>
      </c>
      <c r="AP54" s="35">
        <f>+GETPIVOTDATA("XBG4",'binhgia (2016)'!$A$3,"MA_HT","TIN","MA_QH","DRA")</f>
        <v>0</v>
      </c>
      <c r="AQ54" s="35">
        <f>+GETPIVOTDATA("XBG4",'binhgia (2016)'!$A$3,"MA_HT","TIN","MA_QH","ONT")</f>
        <v>0</v>
      </c>
      <c r="AR54" s="35">
        <f>+GETPIVOTDATA("XBG4",'binhgia (2016)'!$A$3,"MA_HT","TIN","MA_QH","ODT")</f>
        <v>0</v>
      </c>
      <c r="AS54" s="35">
        <f>+GETPIVOTDATA("XBG4",'binhgia (2016)'!$A$3,"MA_HT","TIN","MA_QH","TSC")</f>
        <v>0</v>
      </c>
      <c r="AT54" s="35">
        <f>+GETPIVOTDATA("XBG4",'binhgia (2016)'!$A$3,"MA_HT","TIN","MA_QH","DTS")</f>
        <v>0</v>
      </c>
      <c r="AU54" s="35">
        <f>+GETPIVOTDATA("XBG4",'binhgia (2016)'!$A$3,"MA_HT","TIN","MA_QH","DNG")</f>
        <v>0</v>
      </c>
      <c r="AV54" s="35">
        <f>+GETPIVOTDATA("XBG4",'binhgia (2016)'!$A$3,"MA_HT","TIN","MA_QH","TON")</f>
        <v>0</v>
      </c>
      <c r="AW54" s="35">
        <f>+GETPIVOTDATA("XBG4",'binhgia (2016)'!$A$3,"MA_HT","TIN","MA_QH","NTD")</f>
        <v>0</v>
      </c>
      <c r="AX54" s="35">
        <f>+GETPIVOTDATA("XBG4",'binhgia (2016)'!$A$3,"MA_HT","TIN","MA_QH","SKX")</f>
        <v>0</v>
      </c>
      <c r="AY54" s="35">
        <f>+GETPIVOTDATA("XBG4",'binhgia (2016)'!$A$3,"MA_HT","TIN","MA_QH","DSH")</f>
        <v>0</v>
      </c>
      <c r="AZ54" s="35">
        <f>+GETPIVOTDATA("XBG4",'binhgia (2016)'!$A$3,"MA_HT","TIN","MA_QH","DKV")</f>
        <v>0</v>
      </c>
      <c r="BA54" s="99" t="e">
        <f>$D54-$BF54</f>
        <v>#REF!</v>
      </c>
      <c r="BB54" s="35">
        <f>+GETPIVOTDATA("XBG4",'binhgia (2016)'!$A$3,"MA_HT","TIN","MA_QH","SON")</f>
        <v>0</v>
      </c>
      <c r="BC54" s="35">
        <f>+GETPIVOTDATA("XBG4",'binhgia (2016)'!$A$3,"MA_HT","TIN","MA_QH","MNC")</f>
        <v>0</v>
      </c>
      <c r="BD54" s="35">
        <f>+GETPIVOTDATA("XBG4",'binhgia (2016)'!$A$3,"MA_HT","TIN","MA_QH","PNK")</f>
        <v>0</v>
      </c>
      <c r="BE54" s="58">
        <f>+GETPIVOTDATA("XBG4",'binhgia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+GETPIVOTDATA("XBG4",'binhgia (2016)'!$A$3,"MA_HT","SON","MA_QH","LUC")</f>
        <v>0</v>
      </c>
      <c r="H55" s="35">
        <f>+GETPIVOTDATA("XBG4",'binhgia (2016)'!$A$3,"MA_HT","SON","MA_QH","LUK")</f>
        <v>0</v>
      </c>
      <c r="I55" s="35">
        <f>+GETPIVOTDATA("XBG4",'binhgia (2016)'!$A$3,"MA_HT","SON","MA_QH","LUN")</f>
        <v>0</v>
      </c>
      <c r="J55" s="35">
        <f>+GETPIVOTDATA("XBG4",'binhgia (2016)'!$A$3,"MA_HT","SON","MA_QH","HNK")</f>
        <v>0</v>
      </c>
      <c r="K55" s="35">
        <f>+GETPIVOTDATA("XBG4",'binhgia (2016)'!$A$3,"MA_HT","SON","MA_QH","CLN")</f>
        <v>0</v>
      </c>
      <c r="L55" s="35">
        <f>+GETPIVOTDATA("XBG4",'binhgia (2016)'!$A$3,"MA_HT","SON","MA_QH","RSX")</f>
        <v>0</v>
      </c>
      <c r="M55" s="35">
        <f>+GETPIVOTDATA("XBG4",'binhgia (2016)'!$A$3,"MA_HT","SON","MA_QH","RPH")</f>
        <v>0</v>
      </c>
      <c r="N55" s="35">
        <f>+GETPIVOTDATA("XBG4",'binhgia (2016)'!$A$3,"MA_HT","SON","MA_QH","RDD")</f>
        <v>0</v>
      </c>
      <c r="O55" s="35">
        <f>+GETPIVOTDATA("XBG4",'binhgia (2016)'!$A$3,"MA_HT","SON","MA_QH","NTS")</f>
        <v>0</v>
      </c>
      <c r="P55" s="35">
        <f>+GETPIVOTDATA("XBG4",'binhgia (2016)'!$A$3,"MA_HT","SON","MA_QH","LMU")</f>
        <v>0</v>
      </c>
      <c r="Q55" s="35">
        <f>+GETPIVOTDATA("XBG4",'binhgia (2016)'!$A$3,"MA_HT","SON","MA_QH","NKH")</f>
        <v>0</v>
      </c>
      <c r="R55" s="106">
        <f>SUM(S55:AA55,AN55:AZ55,BC55:BD55)</f>
        <v>0</v>
      </c>
      <c r="S55" s="35">
        <f>+GETPIVOTDATA("XBG4",'binhgia (2016)'!$A$3,"MA_HT","SON","MA_QH","CQP")</f>
        <v>0</v>
      </c>
      <c r="T55" s="35">
        <f>+GETPIVOTDATA("XBG4",'binhgia (2016)'!$A$3,"MA_HT","SON","MA_QH","CAN")</f>
        <v>0</v>
      </c>
      <c r="U55" s="35">
        <f>+GETPIVOTDATA("XBG4",'binhgia (2016)'!$A$3,"MA_HT","SON","MA_QH","SKK")</f>
        <v>0</v>
      </c>
      <c r="V55" s="35">
        <f>+GETPIVOTDATA("XBG4",'binhgia (2016)'!$A$3,"MA_HT","SON","MA_QH","SKT")</f>
        <v>0</v>
      </c>
      <c r="W55" s="35">
        <f>+GETPIVOTDATA("XBG4",'binhgia (2016)'!$A$3,"MA_HT","SON","MA_QH","SKN")</f>
        <v>0</v>
      </c>
      <c r="X55" s="35">
        <f>+GETPIVOTDATA("XBG4",'binhgia (2016)'!$A$3,"MA_HT","SON","MA_QH","TMD")</f>
        <v>0</v>
      </c>
      <c r="Y55" s="35">
        <f>+GETPIVOTDATA("XBG4",'binhgia (2016)'!$A$3,"MA_HT","SON","MA_QH","SKC")</f>
        <v>0</v>
      </c>
      <c r="Z55" s="35">
        <f>+GETPIVOTDATA("XBG4",'binhgia (2016)'!$A$3,"MA_HT","SON","MA_QH","SKS")</f>
        <v>0</v>
      </c>
      <c r="AA55" s="64">
        <f t="shared" si="21"/>
        <v>0</v>
      </c>
      <c r="AB55" s="35">
        <f>+GETPIVOTDATA("XBG4",'binhgia (2016)'!$A$3,"MA_HT","SON","MA_QH","DGT")</f>
        <v>0</v>
      </c>
      <c r="AC55" s="35">
        <f>+GETPIVOTDATA("XBG4",'binhgia (2016)'!$A$3,"MA_HT","SON","MA_QH","DTL")</f>
        <v>0</v>
      </c>
      <c r="AD55" s="35">
        <f>+GETPIVOTDATA("XBG4",'binhgia (2016)'!$A$3,"MA_HT","SON","MA_QH","DNL")</f>
        <v>0</v>
      </c>
      <c r="AE55" s="35">
        <f>+GETPIVOTDATA("XBG4",'binhgia (2016)'!$A$3,"MA_HT","SON","MA_QH","DBV")</f>
        <v>0</v>
      </c>
      <c r="AF55" s="35">
        <f>+GETPIVOTDATA("XBG4",'binhgia (2016)'!$A$3,"MA_HT","SON","MA_QH","DVH")</f>
        <v>0</v>
      </c>
      <c r="AG55" s="35">
        <f>+GETPIVOTDATA("XBG4",'binhgia (2016)'!$A$3,"MA_HT","SON","MA_QH","DYT")</f>
        <v>0</v>
      </c>
      <c r="AH55" s="35">
        <f>+GETPIVOTDATA("XBG4",'binhgia (2016)'!$A$3,"MA_HT","SON","MA_QH","DGD")</f>
        <v>0</v>
      </c>
      <c r="AI55" s="35">
        <f>+GETPIVOTDATA("XBG4",'binhgia (2016)'!$A$3,"MA_HT","SON","MA_QH","DTT")</f>
        <v>0</v>
      </c>
      <c r="AJ55" s="35">
        <f>+GETPIVOTDATA("XBG4",'binhgia (2016)'!$A$3,"MA_HT","SON","MA_QH","NCK")</f>
        <v>0</v>
      </c>
      <c r="AK55" s="35">
        <f>+GETPIVOTDATA("XBG4",'binhgia (2016)'!$A$3,"MA_HT","SON","MA_QH","DXH")</f>
        <v>0</v>
      </c>
      <c r="AL55" s="35">
        <f>+GETPIVOTDATA("XBG4",'binhgia (2016)'!$A$3,"MA_HT","SON","MA_QH","DCH")</f>
        <v>0</v>
      </c>
      <c r="AM55" s="35">
        <f>+GETPIVOTDATA("XBG4",'binhgia (2016)'!$A$3,"MA_HT","SON","MA_QH","DKG")</f>
        <v>0</v>
      </c>
      <c r="AN55" s="35">
        <f>+GETPIVOTDATA("XBG4",'binhgia (2016)'!$A$3,"MA_HT","SON","MA_QH","DDT")</f>
        <v>0</v>
      </c>
      <c r="AO55" s="35">
        <f>+GETPIVOTDATA("XBG4",'binhgia (2016)'!$A$3,"MA_HT","SON","MA_QH","DDL")</f>
        <v>0</v>
      </c>
      <c r="AP55" s="35">
        <f>+GETPIVOTDATA("XBG4",'binhgia (2016)'!$A$3,"MA_HT","SON","MA_QH","DRA")</f>
        <v>0</v>
      </c>
      <c r="AQ55" s="35">
        <f>+GETPIVOTDATA("XBG4",'binhgia (2016)'!$A$3,"MA_HT","SON","MA_QH","ONT")</f>
        <v>0</v>
      </c>
      <c r="AR55" s="35">
        <f>+GETPIVOTDATA("XBG4",'binhgia (2016)'!$A$3,"MA_HT","SON","MA_QH","ODT")</f>
        <v>0</v>
      </c>
      <c r="AS55" s="35">
        <f>+GETPIVOTDATA("XBG4",'binhgia (2016)'!$A$3,"MA_HT","SON","MA_QH","TSC")</f>
        <v>0</v>
      </c>
      <c r="AT55" s="35">
        <f>+GETPIVOTDATA("XBG4",'binhgia (2016)'!$A$3,"MA_HT","SON","MA_QH","DTS")</f>
        <v>0</v>
      </c>
      <c r="AU55" s="35">
        <f>+GETPIVOTDATA("XBG4",'binhgia (2016)'!$A$3,"MA_HT","SON","MA_QH","DNG")</f>
        <v>0</v>
      </c>
      <c r="AV55" s="35">
        <f>+GETPIVOTDATA("XBG4",'binhgia (2016)'!$A$3,"MA_HT","SON","MA_QH","TON")</f>
        <v>0</v>
      </c>
      <c r="AW55" s="35">
        <f>+GETPIVOTDATA("XBG4",'binhgia (2016)'!$A$3,"MA_HT","SON","MA_QH","NTD")</f>
        <v>0</v>
      </c>
      <c r="AX55" s="35">
        <f>+GETPIVOTDATA("XBG4",'binhgia (2016)'!$A$3,"MA_HT","SON","MA_QH","SKX")</f>
        <v>0</v>
      </c>
      <c r="AY55" s="35">
        <f>+GETPIVOTDATA("XBG4",'binhgia (2016)'!$A$3,"MA_HT","SON","MA_QH","DSH")</f>
        <v>0</v>
      </c>
      <c r="AZ55" s="35">
        <f>+GETPIVOTDATA("XBG4",'binhgia (2016)'!$A$3,"MA_HT","SON","MA_QH","DKV")</f>
        <v>0</v>
      </c>
      <c r="BA55" s="140">
        <f>+GETPIVOTDATA("XBG4",'binhgia (2016)'!$A$3,"MA_HT","SON","MA_QH","TIN")</f>
        <v>0</v>
      </c>
      <c r="BB55" s="99" t="e">
        <f>$D55-$BF55</f>
        <v>#REF!</v>
      </c>
      <c r="BC55" s="74">
        <f>+GETPIVOTDATA("XBG4",'binhgia (2016)'!$A$3,"MA_HT","SON","MA_QH","MNC")</f>
        <v>0</v>
      </c>
      <c r="BD55" s="35">
        <f>+GETPIVOTDATA("XBG4",'binhgia (2016)'!$A$3,"MA_HT","SON","MA_QH","PNK")</f>
        <v>0</v>
      </c>
      <c r="BE55" s="58">
        <f>+GETPIVOTDATA("XBG4",'binhgia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+GETPIVOTDATA("XBG4",'binhgia (2016)'!$A$3,"MA_HT","MNC","MA_QH","LUC")</f>
        <v>0</v>
      </c>
      <c r="H56" s="35">
        <f>+GETPIVOTDATA("XBG4",'binhgia (2016)'!$A$3,"MA_HT","MNC","MA_QH","LUK")</f>
        <v>0</v>
      </c>
      <c r="I56" s="35">
        <f>+GETPIVOTDATA("XBG4",'binhgia (2016)'!$A$3,"MA_HT","MNC","MA_QH","LUN")</f>
        <v>0</v>
      </c>
      <c r="J56" s="35">
        <f>+GETPIVOTDATA("XBG4",'binhgia (2016)'!$A$3,"MA_HT","MNC","MA_QH","HNK")</f>
        <v>0</v>
      </c>
      <c r="K56" s="35">
        <f>+GETPIVOTDATA("XBG4",'binhgia (2016)'!$A$3,"MA_HT","MNC","MA_QH","CLN")</f>
        <v>0</v>
      </c>
      <c r="L56" s="35">
        <f>+GETPIVOTDATA("XBG4",'binhgia (2016)'!$A$3,"MA_HT","MNC","MA_QH","RSX")</f>
        <v>0</v>
      </c>
      <c r="M56" s="35">
        <f>+GETPIVOTDATA("XBG4",'binhgia (2016)'!$A$3,"MA_HT","MNC","MA_QH","RPH")</f>
        <v>0</v>
      </c>
      <c r="N56" s="35">
        <f>+GETPIVOTDATA("XBG4",'binhgia (2016)'!$A$3,"MA_HT","MNC","MA_QH","RDD")</f>
        <v>0</v>
      </c>
      <c r="O56" s="35">
        <f>+GETPIVOTDATA("XBG4",'binhgia (2016)'!$A$3,"MA_HT","MNC","MA_QH","NTS")</f>
        <v>0</v>
      </c>
      <c r="P56" s="35">
        <f>+GETPIVOTDATA("XBG4",'binhgia (2016)'!$A$3,"MA_HT","MNC","MA_QH","LMU")</f>
        <v>0</v>
      </c>
      <c r="Q56" s="35">
        <f>+GETPIVOTDATA("XBG4",'binhgia (2016)'!$A$3,"MA_HT","MNC","MA_QH","NKH")</f>
        <v>0</v>
      </c>
      <c r="R56" s="106">
        <f>SUM(S56:AA56,AN56:BB56,BD56)</f>
        <v>0</v>
      </c>
      <c r="S56" s="35">
        <f>+GETPIVOTDATA("XBG4",'binhgia (2016)'!$A$3,"MA_HT","MNC","MA_QH","CQP")</f>
        <v>0</v>
      </c>
      <c r="T56" s="35">
        <f>+GETPIVOTDATA("XBG4",'binhgia (2016)'!$A$3,"MA_HT","MNC","MA_QH","CAN")</f>
        <v>0</v>
      </c>
      <c r="U56" s="35">
        <f>+GETPIVOTDATA("XBG4",'binhgia (2016)'!$A$3,"MA_HT","MNC","MA_QH","SKK")</f>
        <v>0</v>
      </c>
      <c r="V56" s="35">
        <f>+GETPIVOTDATA("XBG4",'binhgia (2016)'!$A$3,"MA_HT","MNC","MA_QH","SKT")</f>
        <v>0</v>
      </c>
      <c r="W56" s="35">
        <f>+GETPIVOTDATA("XBG4",'binhgia (2016)'!$A$3,"MA_HT","MNC","MA_QH","SKN")</f>
        <v>0</v>
      </c>
      <c r="X56" s="35">
        <f>+GETPIVOTDATA("XBG4",'binhgia (2016)'!$A$3,"MA_HT","MNC","MA_QH","TMD")</f>
        <v>0</v>
      </c>
      <c r="Y56" s="35">
        <f>+GETPIVOTDATA("XBG4",'binhgia (2016)'!$A$3,"MA_HT","MNC","MA_QH","SKC")</f>
        <v>0</v>
      </c>
      <c r="Z56" s="35">
        <f>+GETPIVOTDATA("XBG4",'binhgia (2016)'!$A$3,"MA_HT","MNC","MA_QH","SKS")</f>
        <v>0</v>
      </c>
      <c r="AA56" s="64">
        <f t="shared" si="21"/>
        <v>0</v>
      </c>
      <c r="AB56" s="35">
        <f>+GETPIVOTDATA("XBG4",'binhgia (2016)'!$A$3,"MA_HT","MNC","MA_QH","DGT")</f>
        <v>0</v>
      </c>
      <c r="AC56" s="35">
        <f>+GETPIVOTDATA("XBG4",'binhgia (2016)'!$A$3,"MA_HT","MNC","MA_QH","DTL")</f>
        <v>0</v>
      </c>
      <c r="AD56" s="35">
        <f>+GETPIVOTDATA("XBG4",'binhgia (2016)'!$A$3,"MA_HT","MNC","MA_QH","DNL")</f>
        <v>0</v>
      </c>
      <c r="AE56" s="35">
        <f>+GETPIVOTDATA("XBG4",'binhgia (2016)'!$A$3,"MA_HT","MNC","MA_QH","DBV")</f>
        <v>0</v>
      </c>
      <c r="AF56" s="35">
        <f>+GETPIVOTDATA("XBG4",'binhgia (2016)'!$A$3,"MA_HT","MNC","MA_QH","DVH")</f>
        <v>0</v>
      </c>
      <c r="AG56" s="35">
        <f>+GETPIVOTDATA("XBG4",'binhgia (2016)'!$A$3,"MA_HT","MNC","MA_QH","DYT")</f>
        <v>0</v>
      </c>
      <c r="AH56" s="35">
        <f>+GETPIVOTDATA("XBG4",'binhgia (2016)'!$A$3,"MA_HT","MNC","MA_QH","DGD")</f>
        <v>0</v>
      </c>
      <c r="AI56" s="35">
        <f>+GETPIVOTDATA("XBG4",'binhgia (2016)'!$A$3,"MA_HT","MNC","MA_QH","DTT")</f>
        <v>0</v>
      </c>
      <c r="AJ56" s="35">
        <f>+GETPIVOTDATA("XBG4",'binhgia (2016)'!$A$3,"MA_HT","MNC","MA_QH","NCK")</f>
        <v>0</v>
      </c>
      <c r="AK56" s="35">
        <f>+GETPIVOTDATA("XBG4",'binhgia (2016)'!$A$3,"MA_HT","MNC","MA_QH","DXH")</f>
        <v>0</v>
      </c>
      <c r="AL56" s="35">
        <f>+GETPIVOTDATA("XBG4",'binhgia (2016)'!$A$3,"MA_HT","MNC","MA_QH","DCH")</f>
        <v>0</v>
      </c>
      <c r="AM56" s="35">
        <f>+GETPIVOTDATA("XBG4",'binhgia (2016)'!$A$3,"MA_HT","MNC","MA_QH","DKG")</f>
        <v>0</v>
      </c>
      <c r="AN56" s="35">
        <f>+GETPIVOTDATA("XBG4",'binhgia (2016)'!$A$3,"MA_HT","MNC","MA_QH","DDT")</f>
        <v>0</v>
      </c>
      <c r="AO56" s="35">
        <f>+GETPIVOTDATA("XBG4",'binhgia (2016)'!$A$3,"MA_HT","MNC","MA_QH","DDL")</f>
        <v>0</v>
      </c>
      <c r="AP56" s="35">
        <f>+GETPIVOTDATA("XBG4",'binhgia (2016)'!$A$3,"MA_HT","MNC","MA_QH","DRA")</f>
        <v>0</v>
      </c>
      <c r="AQ56" s="35">
        <f>+GETPIVOTDATA("XBG4",'binhgia (2016)'!$A$3,"MA_HT","MNC","MA_QH","ONT")</f>
        <v>0</v>
      </c>
      <c r="AR56" s="35">
        <f>+GETPIVOTDATA("XBG4",'binhgia (2016)'!$A$3,"MA_HT","MNC","MA_QH","ODT")</f>
        <v>0</v>
      </c>
      <c r="AS56" s="35">
        <f>+GETPIVOTDATA("XBG4",'binhgia (2016)'!$A$3,"MA_HT","MNC","MA_QH","TSC")</f>
        <v>0</v>
      </c>
      <c r="AT56" s="35">
        <f>+GETPIVOTDATA("XBG4",'binhgia (2016)'!$A$3,"MA_HT","MNC","MA_QH","DTS")</f>
        <v>0</v>
      </c>
      <c r="AU56" s="35">
        <f>+GETPIVOTDATA("XBG4",'binhgia (2016)'!$A$3,"MA_HT","MNC","MA_QH","DNG")</f>
        <v>0</v>
      </c>
      <c r="AV56" s="35">
        <f>+GETPIVOTDATA("XBG4",'binhgia (2016)'!$A$3,"MA_HT","MNC","MA_QH","TON")</f>
        <v>0</v>
      </c>
      <c r="AW56" s="35">
        <f>+GETPIVOTDATA("XBG4",'binhgia (2016)'!$A$3,"MA_HT","MNC","MA_QH","NTD")</f>
        <v>0</v>
      </c>
      <c r="AX56" s="35">
        <f>+GETPIVOTDATA("XBG4",'binhgia (2016)'!$A$3,"MA_HT","MNC","MA_QH","SKX")</f>
        <v>0</v>
      </c>
      <c r="AY56" s="35">
        <f>+GETPIVOTDATA("XBG4",'binhgia (2016)'!$A$3,"MA_HT","MNC","MA_QH","DSH")</f>
        <v>0</v>
      </c>
      <c r="AZ56" s="35">
        <f>+GETPIVOTDATA("XBG4",'binhgia (2016)'!$A$3,"MA_HT","MNC","MA_QH","DKV")</f>
        <v>0</v>
      </c>
      <c r="BA56" s="140">
        <f>+GETPIVOTDATA("XBG4",'binhgia (2016)'!$A$3,"MA_HT","MNC","MA_QH","TIN")</f>
        <v>0</v>
      </c>
      <c r="BB56" s="74">
        <f>+GETPIVOTDATA("XBG4",'binhgia (2016)'!$A$3,"MA_HT","MNC","MA_QH","SON")</f>
        <v>0</v>
      </c>
      <c r="BC56" s="99" t="e">
        <f>$D56-$BF56</f>
        <v>#REF!</v>
      </c>
      <c r="BD56" s="35">
        <f>+GETPIVOTDATA("XBG4",'binhgia (2016)'!$A$3,"MA_HT","MNC","MA_QH","PNK")</f>
        <v>0</v>
      </c>
      <c r="BE56" s="58">
        <f>+GETPIVOTDATA("XBG4",'binhgia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+GETPIVOTDATA("XBG4",'binhgia (2016)'!$A$3,"MA_HT","PNK","MA_QH","LUC")</f>
        <v>0</v>
      </c>
      <c r="H57" s="35">
        <f>+GETPIVOTDATA("XBG4",'binhgia (2016)'!$A$3,"MA_HT","PNK","MA_QH","LUK")</f>
        <v>0</v>
      </c>
      <c r="I57" s="35">
        <f>+GETPIVOTDATA("XBG4",'binhgia (2016)'!$A$3,"MA_HT","PNK","MA_QH","LUN")</f>
        <v>0</v>
      </c>
      <c r="J57" s="35">
        <f>+GETPIVOTDATA("XBG4",'binhgia (2016)'!$A$3,"MA_HT","PNK","MA_QH","HNK")</f>
        <v>0</v>
      </c>
      <c r="K57" s="35">
        <f>+GETPIVOTDATA("XBG4",'binhgia (2016)'!$A$3,"MA_HT","PNK","MA_QH","CLN")</f>
        <v>0</v>
      </c>
      <c r="L57" s="35">
        <f>+GETPIVOTDATA("XBG4",'binhgia (2016)'!$A$3,"MA_HT","PNK","MA_QH","RSX")</f>
        <v>0</v>
      </c>
      <c r="M57" s="35">
        <f>+GETPIVOTDATA("XBG4",'binhgia (2016)'!$A$3,"MA_HT","PNK","MA_QH","RPH")</f>
        <v>0</v>
      </c>
      <c r="N57" s="35">
        <f>+GETPIVOTDATA("XBG4",'binhgia (2016)'!$A$3,"MA_HT","PNK","MA_QH","RDD")</f>
        <v>0</v>
      </c>
      <c r="O57" s="35">
        <f>+GETPIVOTDATA("XBG4",'binhgia (2016)'!$A$3,"MA_HT","PNK","MA_QH","NTS")</f>
        <v>0</v>
      </c>
      <c r="P57" s="35">
        <f>+GETPIVOTDATA("XBG4",'binhgia (2016)'!$A$3,"MA_HT","PNK","MA_QH","LMU")</f>
        <v>0</v>
      </c>
      <c r="Q57" s="35">
        <f>+GETPIVOTDATA("XBG4",'binhgia (2016)'!$A$3,"MA_HT","PNK","MA_QH","NKH")</f>
        <v>0</v>
      </c>
      <c r="R57" s="106">
        <f>SUM(S57:AA57,AN57:BC57)</f>
        <v>0</v>
      </c>
      <c r="S57" s="35">
        <f>+GETPIVOTDATA("XBG4",'binhgia (2016)'!$A$3,"MA_HT","PNK","MA_QH","CQP")</f>
        <v>0</v>
      </c>
      <c r="T57" s="35">
        <f>+GETPIVOTDATA("XBG4",'binhgia (2016)'!$A$3,"MA_HT","PNK","MA_QH","CAN")</f>
        <v>0</v>
      </c>
      <c r="U57" s="35">
        <f>+GETPIVOTDATA("XBG4",'binhgia (2016)'!$A$3,"MA_HT","PNK","MA_QH","SKK")</f>
        <v>0</v>
      </c>
      <c r="V57" s="35">
        <f>+GETPIVOTDATA("XBG4",'binhgia (2016)'!$A$3,"MA_HT","PNK","MA_QH","SKT")</f>
        <v>0</v>
      </c>
      <c r="W57" s="35">
        <f>+GETPIVOTDATA("XBG4",'binhgia (2016)'!$A$3,"MA_HT","PNK","MA_QH","SKN")</f>
        <v>0</v>
      </c>
      <c r="X57" s="35">
        <f>+GETPIVOTDATA("XBG4",'binhgia (2016)'!$A$3,"MA_HT","PNK","MA_QH","TMD")</f>
        <v>0</v>
      </c>
      <c r="Y57" s="35">
        <f>+GETPIVOTDATA("XBG4",'binhgia (2016)'!$A$3,"MA_HT","PNK","MA_QH","SKC")</f>
        <v>0</v>
      </c>
      <c r="Z57" s="35">
        <f>+GETPIVOTDATA("XBG4",'binhgia (2016)'!$A$3,"MA_HT","PNK","MA_QH","SKS")</f>
        <v>0</v>
      </c>
      <c r="AA57" s="64">
        <f t="shared" si="21"/>
        <v>0</v>
      </c>
      <c r="AB57" s="35">
        <f>+GETPIVOTDATA("XBG4",'binhgia (2016)'!$A$3,"MA_HT","PNK","MA_QH","DGT")</f>
        <v>0</v>
      </c>
      <c r="AC57" s="35">
        <f>+GETPIVOTDATA("XBG4",'binhgia (2016)'!$A$3,"MA_HT","PNK","MA_QH","DTL")</f>
        <v>0</v>
      </c>
      <c r="AD57" s="35">
        <f>+GETPIVOTDATA("XBG4",'binhgia (2016)'!$A$3,"MA_HT","PNK","MA_QH","DNL")</f>
        <v>0</v>
      </c>
      <c r="AE57" s="35">
        <f>+GETPIVOTDATA("XBG4",'binhgia (2016)'!$A$3,"MA_HT","PNK","MA_QH","DBV")</f>
        <v>0</v>
      </c>
      <c r="AF57" s="35">
        <f>+GETPIVOTDATA("XBG4",'binhgia (2016)'!$A$3,"MA_HT","PNK","MA_QH","DVH")</f>
        <v>0</v>
      </c>
      <c r="AG57" s="35">
        <f>+GETPIVOTDATA("XBG4",'binhgia (2016)'!$A$3,"MA_HT","PNK","MA_QH","DYT")</f>
        <v>0</v>
      </c>
      <c r="AH57" s="35">
        <f>+GETPIVOTDATA("XBG4",'binhgia (2016)'!$A$3,"MA_HT","PNK","MA_QH","DGD")</f>
        <v>0</v>
      </c>
      <c r="AI57" s="35">
        <f>+GETPIVOTDATA("XBG4",'binhgia (2016)'!$A$3,"MA_HT","PNK","MA_QH","DTT")</f>
        <v>0</v>
      </c>
      <c r="AJ57" s="35">
        <f>+GETPIVOTDATA("XBG4",'binhgia (2016)'!$A$3,"MA_HT","PNK","MA_QH","NCK")</f>
        <v>0</v>
      </c>
      <c r="AK57" s="35">
        <f>+GETPIVOTDATA("XBG4",'binhgia (2016)'!$A$3,"MA_HT","PNK","MA_QH","DXH")</f>
        <v>0</v>
      </c>
      <c r="AL57" s="35">
        <f>+GETPIVOTDATA("XBG4",'binhgia (2016)'!$A$3,"MA_HT","PNK","MA_QH","DCH")</f>
        <v>0</v>
      </c>
      <c r="AM57" s="35">
        <f>+GETPIVOTDATA("XBG4",'binhgia (2016)'!$A$3,"MA_HT","PNK","MA_QH","DKG")</f>
        <v>0</v>
      </c>
      <c r="AN57" s="35">
        <f>+GETPIVOTDATA("XBG4",'binhgia (2016)'!$A$3,"MA_HT","PNK","MA_QH","DDT")</f>
        <v>0</v>
      </c>
      <c r="AO57" s="35">
        <f>+GETPIVOTDATA("XBG4",'binhgia (2016)'!$A$3,"MA_HT","PNK","MA_QH","DDL")</f>
        <v>0</v>
      </c>
      <c r="AP57" s="35">
        <f>+GETPIVOTDATA("XBG4",'binhgia (2016)'!$A$3,"MA_HT","PNK","MA_QH","DRA")</f>
        <v>0</v>
      </c>
      <c r="AQ57" s="35">
        <f>+GETPIVOTDATA("XBG4",'binhgia (2016)'!$A$3,"MA_HT","PNK","MA_QH","ONT")</f>
        <v>0</v>
      </c>
      <c r="AR57" s="35">
        <f>+GETPIVOTDATA("XBG4",'binhgia (2016)'!$A$3,"MA_HT","PNK","MA_QH","ODT")</f>
        <v>0</v>
      </c>
      <c r="AS57" s="35">
        <f>+GETPIVOTDATA("XBG4",'binhgia (2016)'!$A$3,"MA_HT","PNK","MA_QH","TSC")</f>
        <v>0</v>
      </c>
      <c r="AT57" s="35">
        <f>+GETPIVOTDATA("XBG4",'binhgia (2016)'!$A$3,"MA_HT","PNK","MA_QH","DTS")</f>
        <v>0</v>
      </c>
      <c r="AU57" s="35">
        <f>+GETPIVOTDATA("XBG4",'binhgia (2016)'!$A$3,"MA_HT","PNK","MA_QH","DNG")</f>
        <v>0</v>
      </c>
      <c r="AV57" s="35">
        <f>+GETPIVOTDATA("XBG4",'binhgia (2016)'!$A$3,"MA_HT","PNK","MA_QH","TON")</f>
        <v>0</v>
      </c>
      <c r="AW57" s="35">
        <f>+GETPIVOTDATA("XBG4",'binhgia (2016)'!$A$3,"MA_HT","PNK","MA_QH","NTD")</f>
        <v>0</v>
      </c>
      <c r="AX57" s="35">
        <f>+GETPIVOTDATA("XBG4",'binhgia (2016)'!$A$3,"MA_HT","PNK","MA_QH","SKX")</f>
        <v>0</v>
      </c>
      <c r="AY57" s="35">
        <f>+GETPIVOTDATA("XBG4",'binhgia (2016)'!$A$3,"MA_HT","PNK","MA_QH","DSH")</f>
        <v>0</v>
      </c>
      <c r="AZ57" s="35">
        <f>+GETPIVOTDATA("XBG4",'binhgia (2016)'!$A$3,"MA_HT","PNK","MA_QH","DKV")</f>
        <v>0</v>
      </c>
      <c r="BA57" s="140">
        <f>+GETPIVOTDATA("XBG4",'binhgia (2016)'!$A$3,"MA_HT","PNK","MA_QH","TIN")</f>
        <v>0</v>
      </c>
      <c r="BB57" s="74">
        <f>+GETPIVOTDATA("XBG4",'binhgia (2016)'!$A$3,"MA_HT","PNK","MA_QH","SON")</f>
        <v>0</v>
      </c>
      <c r="BC57" s="74">
        <f>+GETPIVOTDATA("XBG4",'binhgia (2016)'!$A$3,"MA_HT","PNK","MA_QH","MNC")</f>
        <v>0</v>
      </c>
      <c r="BD57" s="99" t="e">
        <f>$D57-$BF57</f>
        <v>#REF!</v>
      </c>
      <c r="BE57" s="58">
        <f>+GETPIVOTDATA("XBG4",'binhgia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+GETPIVOTDATA("XBG4",'binhgia (2016)'!$A$3,"MA_HT","CSD","MA_QH","LUC")</f>
        <v>0</v>
      </c>
      <c r="H58" s="58">
        <f>+GETPIVOTDATA("XBG4",'binhgia (2016)'!$A$3,"MA_HT","CSD","MA_QH","LUK")</f>
        <v>0</v>
      </c>
      <c r="I58" s="58">
        <f>+GETPIVOTDATA("XBG4",'binhgia (2016)'!$A$3,"MA_HT","CSD","MA_QH","LUN")</f>
        <v>0</v>
      </c>
      <c r="J58" s="58">
        <f>+GETPIVOTDATA("XBG4",'binhgia (2016)'!$A$3,"MA_HT","CSD","MA_QH","HNK")</f>
        <v>0</v>
      </c>
      <c r="K58" s="58">
        <f>+GETPIVOTDATA("XBG4",'binhgia (2016)'!$A$3,"MA_HT","CSD","MA_QH","CLN")</f>
        <v>0</v>
      </c>
      <c r="L58" s="58">
        <f>+GETPIVOTDATA("XBG4",'binhgia (2016)'!$A$3,"MA_HT","CSD","MA_QH","RSX")</f>
        <v>0</v>
      </c>
      <c r="M58" s="58">
        <f>+GETPIVOTDATA("XBG4",'binhgia (2016)'!$A$3,"MA_HT","CSD","MA_QH","RPH")</f>
        <v>0</v>
      </c>
      <c r="N58" s="58">
        <f>+GETPIVOTDATA("XBG4",'binhgia (2016)'!$A$3,"MA_HT","CSD","MA_QH","RDD")</f>
        <v>0</v>
      </c>
      <c r="O58" s="58">
        <f>+GETPIVOTDATA("XBG4",'binhgia (2016)'!$A$3,"MA_HT","CSD","MA_QH","NTS")</f>
        <v>0</v>
      </c>
      <c r="P58" s="58">
        <f>+GETPIVOTDATA("XBG4",'binhgia (2016)'!$A$3,"MA_HT","CSD","MA_QH","LMU")</f>
        <v>0</v>
      </c>
      <c r="Q58" s="58">
        <f>+GETPIVOTDATA("XBG4",'binhgia (2016)'!$A$3,"MA_HT","CSD","MA_QH","NKH")</f>
        <v>0</v>
      </c>
      <c r="R58" s="106">
        <f>SUM(S58:AA58,AN58:BD58)</f>
        <v>0</v>
      </c>
      <c r="S58" s="102">
        <f>+GETPIVOTDATA("XBG4",'binhgia (2016)'!$A$3,"MA_HT","CSD","MA_QH","CQP")</f>
        <v>0</v>
      </c>
      <c r="T58" s="102">
        <f>+GETPIVOTDATA("XBG4",'binhgia (2016)'!$A$3,"MA_HT","CSD","MA_QH","CAN")</f>
        <v>0</v>
      </c>
      <c r="U58" s="58">
        <f>+GETPIVOTDATA("XBG4",'binhgia (2016)'!$A$3,"MA_HT","CSD","MA_QH","SKK")</f>
        <v>0</v>
      </c>
      <c r="V58" s="58">
        <f>+GETPIVOTDATA("XBG4",'binhgia (2016)'!$A$3,"MA_HT","CSD","MA_QH","SKT")</f>
        <v>0</v>
      </c>
      <c r="W58" s="58">
        <f>+GETPIVOTDATA("XBG4",'binhgia (2016)'!$A$3,"MA_HT","CSD","MA_QH","SKN")</f>
        <v>0</v>
      </c>
      <c r="X58" s="58">
        <f>+GETPIVOTDATA("XBG4",'binhgia (2016)'!$A$3,"MA_HT","CSD","MA_QH","TMD")</f>
        <v>0</v>
      </c>
      <c r="Y58" s="58">
        <f>+GETPIVOTDATA("XBG4",'binhgia (2016)'!$A$3,"MA_HT","CSD","MA_QH","SKC")</f>
        <v>0</v>
      </c>
      <c r="Z58" s="58">
        <f>+GETPIVOTDATA("XBG4",'binhgia (2016)'!$A$3,"MA_HT","CSD","MA_QH","SKS")</f>
        <v>0</v>
      </c>
      <c r="AA58" s="64">
        <f t="shared" si="21"/>
        <v>0</v>
      </c>
      <c r="AB58" s="102">
        <f>+GETPIVOTDATA("XBG4",'binhgia (2016)'!$A$3,"MA_HT","CSD","MA_QH","DGT")</f>
        <v>0</v>
      </c>
      <c r="AC58" s="102">
        <f>+GETPIVOTDATA("XBG4",'binhgia (2016)'!$A$3,"MA_HT","CSD","MA_QH","DTL")</f>
        <v>0</v>
      </c>
      <c r="AD58" s="102">
        <f>+GETPIVOTDATA("XBG4",'binhgia (2016)'!$A$3,"MA_HT","CSD","MA_QH","DNL")</f>
        <v>0</v>
      </c>
      <c r="AE58" s="102">
        <f>+GETPIVOTDATA("XBG4",'binhgia (2016)'!$A$3,"MA_HT","CSD","MA_QH","DBV")</f>
        <v>0</v>
      </c>
      <c r="AF58" s="102">
        <f>+GETPIVOTDATA("XBG4",'binhgia (2016)'!$A$3,"MA_HT","CSD","MA_QH","DVH")</f>
        <v>0</v>
      </c>
      <c r="AG58" s="102">
        <f>+GETPIVOTDATA("XBG4",'binhgia (2016)'!$A$3,"MA_HT","CSD","MA_QH","DYT")</f>
        <v>0</v>
      </c>
      <c r="AH58" s="102">
        <f>+GETPIVOTDATA("XBG4",'binhgia (2016)'!$A$3,"MA_HT","CSD","MA_QH","DGD")</f>
        <v>0</v>
      </c>
      <c r="AI58" s="102">
        <f>+GETPIVOTDATA("XBG4",'binhgia (2016)'!$A$3,"MA_HT","CSD","MA_QH","DTT")</f>
        <v>0</v>
      </c>
      <c r="AJ58" s="102">
        <f>+GETPIVOTDATA("XBG4",'binhgia (2016)'!$A$3,"MA_HT","CSD","MA_QH","NCK")</f>
        <v>0</v>
      </c>
      <c r="AK58" s="102">
        <f>+GETPIVOTDATA("XBG4",'binhgia (2016)'!$A$3,"MA_HT","CSD","MA_QH","DXH")</f>
        <v>0</v>
      </c>
      <c r="AL58" s="102">
        <f>+GETPIVOTDATA("XBG4",'binhgia (2016)'!$A$3,"MA_HT","CSD","MA_QH","DCH")</f>
        <v>0</v>
      </c>
      <c r="AM58" s="102">
        <f>+GETPIVOTDATA("XBG4",'binhgia (2016)'!$A$3,"MA_HT","CSD","MA_QH","DKG")</f>
        <v>0</v>
      </c>
      <c r="AN58" s="58">
        <f>+GETPIVOTDATA("XBG4",'binhgia (2016)'!$A$3,"MA_HT","CSD","MA_QH","DDT")</f>
        <v>0</v>
      </c>
      <c r="AO58" s="58">
        <f>+GETPIVOTDATA("XBG4",'binhgia (2016)'!$A$3,"MA_HT","CSD","MA_QH","DDL")</f>
        <v>0</v>
      </c>
      <c r="AP58" s="58">
        <f>+GETPIVOTDATA("XBG4",'binhgia (2016)'!$A$3,"MA_HT","CSD","MA_QH","DRA")</f>
        <v>0</v>
      </c>
      <c r="AQ58" s="58">
        <f>+GETPIVOTDATA("XBG4",'binhgia (2016)'!$A$3,"MA_HT","CSD","MA_QH","ONT")</f>
        <v>0</v>
      </c>
      <c r="AR58" s="58">
        <f>+GETPIVOTDATA("XBG4",'binhgia (2016)'!$A$3,"MA_HT","CSD","MA_QH","ODT")</f>
        <v>0</v>
      </c>
      <c r="AS58" s="58">
        <f>+GETPIVOTDATA("XBG4",'binhgia (2016)'!$A$3,"MA_HT","CSD","MA_QH","TSC")</f>
        <v>0</v>
      </c>
      <c r="AT58" s="58">
        <f>+GETPIVOTDATA("XBG4",'binhgia (2016)'!$A$3,"MA_HT","CSD","MA_QH","DTS")</f>
        <v>0</v>
      </c>
      <c r="AU58" s="58">
        <f>+GETPIVOTDATA("XBG4",'binhgia (2016)'!$A$3,"MA_HT","CSD","MA_QH","DNG")</f>
        <v>0</v>
      </c>
      <c r="AV58" s="58">
        <f>+GETPIVOTDATA("XBG4",'binhgia (2016)'!$A$3,"MA_HT","CSD","MA_QH","TON")</f>
        <v>0</v>
      </c>
      <c r="AW58" s="58">
        <f>+GETPIVOTDATA("XBG4",'binhgia (2016)'!$A$3,"MA_HT","CSD","MA_QH","NTD")</f>
        <v>0</v>
      </c>
      <c r="AX58" s="58">
        <f>+GETPIVOTDATA("XBG4",'binhgia (2016)'!$A$3,"MA_HT","CSD","MA_QH","SKX")</f>
        <v>0</v>
      </c>
      <c r="AY58" s="58">
        <f>+GETPIVOTDATA("XBG4",'binhgia (2016)'!$A$3,"MA_HT","CSD","MA_QH","DSH")</f>
        <v>0</v>
      </c>
      <c r="AZ58" s="58">
        <f>+GETPIVOTDATA("XBG4",'binhgia (2016)'!$A$3,"MA_HT","CSD","MA_QH","DKV")</f>
        <v>0</v>
      </c>
      <c r="BA58" s="140">
        <f>+GETPIVOTDATA("XBG4",'binhgia (2016)'!$A$3,"MA_HT","CSD","MA_QH","TIN")</f>
        <v>0</v>
      </c>
      <c r="BB58" s="102">
        <f>+GETPIVOTDATA("XBG4",'binhgia (2016)'!$A$3,"MA_HT","CSD","MA_QH","SON")</f>
        <v>0</v>
      </c>
      <c r="BC58" s="102">
        <f>+GETPIVOTDATA("XBG4",'binhgia (2016)'!$A$3,"MA_HT","CSD","MA_QH","MNC")</f>
        <v>0</v>
      </c>
      <c r="BD58" s="58">
        <f>+GETPIVOTDATA("XBG4",'binhgia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3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+GETPIVOTDATA("XBT4",'binhtrung (2016)'!$A$3,"MA_HT","LUC","MA_QH","LUK")</f>
        <v>0</v>
      </c>
      <c r="I8" s="74">
        <f>+GETPIVOTDATA("XBT4",'binhtrung (2016)'!$A$3,"MA_HT","LUC","MA_QH","LUN")</f>
        <v>0</v>
      </c>
      <c r="J8" s="74">
        <f>+GETPIVOTDATA("XBT4",'binhtrung (2016)'!$A$3,"MA_HT","LUC","MA_QH","HNK")</f>
        <v>0</v>
      </c>
      <c r="K8" s="74">
        <f>+GETPIVOTDATA("XBT4",'binhtrung (2016)'!$A$3,"MA_HT","LUC","MA_QH","CLN")</f>
        <v>0</v>
      </c>
      <c r="L8" s="74">
        <f>+GETPIVOTDATA("XBT4",'binhtrung (2016)'!$A$3,"MA_HT","LUC","MA_QH","RSX")</f>
        <v>0</v>
      </c>
      <c r="M8" s="74">
        <f>+GETPIVOTDATA("XBT4",'binhtrung (2016)'!$A$3,"MA_HT","LUC","MA_QH","RPH")</f>
        <v>0</v>
      </c>
      <c r="N8" s="74">
        <f>+GETPIVOTDATA("XBT4",'binhtrung (2016)'!$A$3,"MA_HT","LUC","MA_QH","RDD")</f>
        <v>0</v>
      </c>
      <c r="O8" s="74">
        <f>+GETPIVOTDATA("XBT4",'binhtrung (2016)'!$A$3,"MA_HT","LUC","MA_QH","NTS")</f>
        <v>0</v>
      </c>
      <c r="P8" s="74">
        <f>+GETPIVOTDATA("XBT4",'binhtrung (2016)'!$A$3,"MA_HT","LUC","MA_QH","LMU")</f>
        <v>0</v>
      </c>
      <c r="Q8" s="74">
        <f>+GETPIVOTDATA("XBT4",'binhtrung (2016)'!$A$3,"MA_HT","LUC","MA_QH","NKH")</f>
        <v>0</v>
      </c>
      <c r="R8" s="72">
        <f>SUM(S8:AA8,AN8:BD8)</f>
        <v>0</v>
      </c>
      <c r="S8" s="74">
        <f>+GETPIVOTDATA("XBT4",'binhtrung (2016)'!$A$3,"MA_HT","LUC","MA_QH","CQP")</f>
        <v>0</v>
      </c>
      <c r="T8" s="74">
        <f>+GETPIVOTDATA("XBT4",'binhtrung (2016)'!$A$3,"MA_HT","LUC","MA_QH","CAN")</f>
        <v>0</v>
      </c>
      <c r="U8" s="74">
        <f>+GETPIVOTDATA("XBT4",'binhtrung (2016)'!$A$3,"MA_HT","LUC","MA_QH","SKK")</f>
        <v>0</v>
      </c>
      <c r="V8" s="74">
        <f>+GETPIVOTDATA("XBT4",'binhtrung (2016)'!$A$3,"MA_HT","LUC","MA_QH","SKT")</f>
        <v>0</v>
      </c>
      <c r="W8" s="74">
        <f>+GETPIVOTDATA("XBT4",'binhtrung (2016)'!$A$3,"MA_HT","LUC","MA_QH","SKN")</f>
        <v>0</v>
      </c>
      <c r="X8" s="74">
        <f>+GETPIVOTDATA("XBT4",'binhtrung (2016)'!$A$3,"MA_HT","LUC","MA_QH","TMD")</f>
        <v>0</v>
      </c>
      <c r="Y8" s="74">
        <f>+GETPIVOTDATA("XBT4",'binhtrung (2016)'!$A$3,"MA_HT","LUC","MA_QH","SKC")</f>
        <v>0</v>
      </c>
      <c r="Z8" s="74">
        <f>+GETPIVOTDATA("XBT4",'binhtrung (2016)'!$A$3,"MA_HT","LUC","MA_QH","SKS")</f>
        <v>0</v>
      </c>
      <c r="AA8" s="64">
        <f t="shared" si="4"/>
        <v>0</v>
      </c>
      <c r="AB8" s="74">
        <f>+GETPIVOTDATA("XBT4",'binhtrung (2016)'!$A$3,"MA_HT","LUC","MA_QH","DGT")</f>
        <v>0</v>
      </c>
      <c r="AC8" s="74">
        <f>+GETPIVOTDATA("XBT4",'binhtrung (2016)'!$A$3,"MA_HT","LUC","MA_QH","DTL")</f>
        <v>0</v>
      </c>
      <c r="AD8" s="74">
        <f>+GETPIVOTDATA("XBT4",'binhtrung (2016)'!$A$3,"MA_HT","LUC","MA_QH","DNL")</f>
        <v>0</v>
      </c>
      <c r="AE8" s="74">
        <f>+GETPIVOTDATA("XBT4",'binhtrung (2016)'!$A$3,"MA_HT","LUC","MA_QH","DBV")</f>
        <v>0</v>
      </c>
      <c r="AF8" s="74">
        <f>+GETPIVOTDATA("XBT4",'binhtrung (2016)'!$A$3,"MA_HT","LUC","MA_QH","DVH")</f>
        <v>0</v>
      </c>
      <c r="AG8" s="74">
        <f>+GETPIVOTDATA("XBT4",'binhtrung (2016)'!$A$3,"MA_HT","LUC","MA_QH","DYT")</f>
        <v>0</v>
      </c>
      <c r="AH8" s="74">
        <f>+GETPIVOTDATA("XBT4",'binhtrung (2016)'!$A$3,"MA_HT","LUC","MA_QH","DGD")</f>
        <v>0</v>
      </c>
      <c r="AI8" s="74">
        <f>+GETPIVOTDATA("XBT4",'binhtrung (2016)'!$A$3,"MA_HT","LUC","MA_QH","DTT")</f>
        <v>0</v>
      </c>
      <c r="AJ8" s="74">
        <f>+GETPIVOTDATA("XBT4",'binhtrung (2016)'!$A$3,"MA_HT","LUC","MA_QH","NCK")</f>
        <v>0</v>
      </c>
      <c r="AK8" s="74">
        <f>+GETPIVOTDATA("XBT4",'binhtrung (2016)'!$A$3,"MA_HT","LUC","MA_QH","DXH")</f>
        <v>0</v>
      </c>
      <c r="AL8" s="74">
        <f>+GETPIVOTDATA("XBT4",'binhtrung (2016)'!$A$3,"MA_HT","LUC","MA_QH","DCH")</f>
        <v>0</v>
      </c>
      <c r="AM8" s="74">
        <f>+GETPIVOTDATA("XBT4",'binhtrung (2016)'!$A$3,"MA_HT","LUC","MA_QH","DKG")</f>
        <v>0</v>
      </c>
      <c r="AN8" s="74">
        <f>+GETPIVOTDATA("XBT4",'binhtrung (2016)'!$A$3,"MA_HT","LUC","MA_QH","DDT")</f>
        <v>0</v>
      </c>
      <c r="AO8" s="74">
        <f>+GETPIVOTDATA("XBT4",'binhtrung (2016)'!$A$3,"MA_HT","LUC","MA_QH","DDL")</f>
        <v>0</v>
      </c>
      <c r="AP8" s="74">
        <f>+GETPIVOTDATA("XBT4",'binhtrung (2016)'!$A$3,"MA_HT","LUC","MA_QH","DRA")</f>
        <v>0</v>
      </c>
      <c r="AQ8" s="74">
        <f>+GETPIVOTDATA("XBT4",'binhtrung (2016)'!$A$3,"MA_HT","LUC","MA_QH","ONT")</f>
        <v>0</v>
      </c>
      <c r="AR8" s="74">
        <f>+GETPIVOTDATA("XBT4",'binhtrung (2016)'!$A$3,"MA_HT","LUC","MA_QH","ODT")</f>
        <v>0</v>
      </c>
      <c r="AS8" s="74">
        <f>+GETPIVOTDATA("XBT4",'binhtrung (2016)'!$A$3,"MA_HT","LUC","MA_QH","TSC")</f>
        <v>0</v>
      </c>
      <c r="AT8" s="74">
        <f>+GETPIVOTDATA("XBT4",'binhtrung (2016)'!$A$3,"MA_HT","LUC","MA_QH","DTS")</f>
        <v>0</v>
      </c>
      <c r="AU8" s="74">
        <f>+GETPIVOTDATA("XBT4",'binhtrung (2016)'!$A$3,"MA_HT","LUC","MA_QH","DNG")</f>
        <v>0</v>
      </c>
      <c r="AV8" s="74">
        <f>+GETPIVOTDATA("XBT4",'binhtrung (2016)'!$A$3,"MA_HT","LUC","MA_QH","TON")</f>
        <v>0</v>
      </c>
      <c r="AW8" s="74">
        <f>+GETPIVOTDATA("XBT4",'binhtrung (2016)'!$A$3,"MA_HT","LUC","MA_QH","NTD")</f>
        <v>0</v>
      </c>
      <c r="AX8" s="74">
        <f>+GETPIVOTDATA("XBT4",'binhtrung (2016)'!$A$3,"MA_HT","LUC","MA_QH","SKX")</f>
        <v>0</v>
      </c>
      <c r="AY8" s="74">
        <f>+GETPIVOTDATA("XBT4",'binhtrung (2016)'!$A$3,"MA_HT","LUC","MA_QH","DSH")</f>
        <v>0</v>
      </c>
      <c r="AZ8" s="74">
        <f>+GETPIVOTDATA("XBT4",'binhtrung (2016)'!$A$3,"MA_HT","LUC","MA_QH","DKV")</f>
        <v>0</v>
      </c>
      <c r="BA8" s="139">
        <f>+GETPIVOTDATA("XBT4",'binhtrung (2016)'!$A$3,"MA_HT","LUC","MA_QH","TIN")</f>
        <v>0</v>
      </c>
      <c r="BB8" s="74">
        <f>+GETPIVOTDATA("XBT4",'binhtrung (2016)'!$A$3,"MA_HT","LUC","MA_QH","SON")</f>
        <v>0</v>
      </c>
      <c r="BC8" s="74">
        <f>+GETPIVOTDATA("XBT4",'binhtrung (2016)'!$A$3,"MA_HT","LUC","MA_QH","MNC")</f>
        <v>0</v>
      </c>
      <c r="BD8" s="74">
        <f>+GETPIVOTDATA("XBT4",'binhtrung (2016)'!$A$3,"MA_HT","LUC","MA_QH","PNK")</f>
        <v>0</v>
      </c>
      <c r="BE8" s="102">
        <f>+GETPIVOTDATA("XBT4",'binhtrung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+GETPIVOTDATA("XBT4",'binhtrung (2016)'!$A$3,"MA_HT","LUK","MA_QH","LUC")</f>
        <v>0</v>
      </c>
      <c r="H9" s="100" t="e">
        <f>$D9-$BF9</f>
        <v>#REF!</v>
      </c>
      <c r="I9" s="74">
        <f>+GETPIVOTDATA("XBT4",'binhtrung (2016)'!$A$3,"MA_HT","LUK","MA_QH","LUN")</f>
        <v>0</v>
      </c>
      <c r="J9" s="74">
        <f>+GETPIVOTDATA("XBT4",'binhtrung (2016)'!$A$3,"MA_HT","LUK","MA_QH","HNK")</f>
        <v>0</v>
      </c>
      <c r="K9" s="74">
        <f>+GETPIVOTDATA("XBT4",'binhtrung (2016)'!$A$3,"MA_HT","LUK","MA_QH","CLN")</f>
        <v>0</v>
      </c>
      <c r="L9" s="74">
        <f>+GETPIVOTDATA("XBT4",'binhtrung (2016)'!$A$3,"MA_HT","LUK","MA_QH","RSX")</f>
        <v>0</v>
      </c>
      <c r="M9" s="74">
        <f>+GETPIVOTDATA("XBT4",'binhtrung (2016)'!$A$3,"MA_HT","LUK","MA_QH","RPH")</f>
        <v>0</v>
      </c>
      <c r="N9" s="74">
        <f>+GETPIVOTDATA("XBT4",'binhtrung (2016)'!$A$3,"MA_HT","LUK","MA_QH","RDD")</f>
        <v>0</v>
      </c>
      <c r="O9" s="74">
        <f>+GETPIVOTDATA("XBT4",'binhtrung (2016)'!$A$3,"MA_HT","LUK","MA_QH","NTS")</f>
        <v>0</v>
      </c>
      <c r="P9" s="74">
        <f>+GETPIVOTDATA("XBT4",'binhtrung (2016)'!$A$3,"MA_HT","LUK","MA_QH","LMU")</f>
        <v>0</v>
      </c>
      <c r="Q9" s="74">
        <f>+GETPIVOTDATA("XBT4",'binhtrung (2016)'!$A$3,"MA_HT","LUK","MA_QH","NKH")</f>
        <v>0</v>
      </c>
      <c r="R9" s="72">
        <f t="shared" si="2"/>
        <v>0</v>
      </c>
      <c r="S9" s="74">
        <f>+GETPIVOTDATA("XBT4",'binhtrung (2016)'!$A$3,"MA_HT","LUK","MA_QH","CQP")</f>
        <v>0</v>
      </c>
      <c r="T9" s="74">
        <f>+GETPIVOTDATA("XBT4",'binhtrung (2016)'!$A$3,"MA_HT","LUK","MA_QH","CAN")</f>
        <v>0</v>
      </c>
      <c r="U9" s="74">
        <f>+GETPIVOTDATA("XBT4",'binhtrung (2016)'!$A$3,"MA_HT","LUK","MA_QH","SKK")</f>
        <v>0</v>
      </c>
      <c r="V9" s="74">
        <f>+GETPIVOTDATA("XBT4",'binhtrung (2016)'!$A$3,"MA_HT","LUK","MA_QH","SKT")</f>
        <v>0</v>
      </c>
      <c r="W9" s="74">
        <f>+GETPIVOTDATA("XBT4",'binhtrung (2016)'!$A$3,"MA_HT","LUK","MA_QH","SKN")</f>
        <v>0</v>
      </c>
      <c r="X9" s="74">
        <f>+GETPIVOTDATA("XBT4",'binhtrung (2016)'!$A$3,"MA_HT","LUK","MA_QH","TMD")</f>
        <v>0</v>
      </c>
      <c r="Y9" s="74">
        <f>+GETPIVOTDATA("XBT4",'binhtrung (2016)'!$A$3,"MA_HT","LUK","MA_QH","SKC")</f>
        <v>0</v>
      </c>
      <c r="Z9" s="74">
        <f>+GETPIVOTDATA("XBT4",'binhtrung (2016)'!$A$3,"MA_HT","LUK","MA_QH","SKS")</f>
        <v>0</v>
      </c>
      <c r="AA9" s="64">
        <f t="shared" si="4"/>
        <v>0</v>
      </c>
      <c r="AB9" s="74">
        <f>+GETPIVOTDATA("XBT4",'binhtrung (2016)'!$A$3,"MA_HT","LUK","MA_QH","DGT")</f>
        <v>0</v>
      </c>
      <c r="AC9" s="74">
        <f>+GETPIVOTDATA("XBT4",'binhtrung (2016)'!$A$3,"MA_HT","LUK","MA_QH","DTL")</f>
        <v>0</v>
      </c>
      <c r="AD9" s="74">
        <f>+GETPIVOTDATA("XBT4",'binhtrung (2016)'!$A$3,"MA_HT","LUK","MA_QH","DNL")</f>
        <v>0</v>
      </c>
      <c r="AE9" s="74">
        <f>+GETPIVOTDATA("XBT4",'binhtrung (2016)'!$A$3,"MA_HT","LUK","MA_QH","DBV")</f>
        <v>0</v>
      </c>
      <c r="AF9" s="74">
        <f>+GETPIVOTDATA("XBT4",'binhtrung (2016)'!$A$3,"MA_HT","LUK","MA_QH","DVH")</f>
        <v>0</v>
      </c>
      <c r="AG9" s="74">
        <f>+GETPIVOTDATA("XBT4",'binhtrung (2016)'!$A$3,"MA_HT","LUK","MA_QH","DYT")</f>
        <v>0</v>
      </c>
      <c r="AH9" s="74">
        <f>+GETPIVOTDATA("XBT4",'binhtrung (2016)'!$A$3,"MA_HT","LUK","MA_QH","DGD")</f>
        <v>0</v>
      </c>
      <c r="AI9" s="74">
        <f>+GETPIVOTDATA("XBT4",'binhtrung (2016)'!$A$3,"MA_HT","LUK","MA_QH","DTT")</f>
        <v>0</v>
      </c>
      <c r="AJ9" s="74">
        <f>+GETPIVOTDATA("XBT4",'binhtrung (2016)'!$A$3,"MA_HT","LUK","MA_QH","NCK")</f>
        <v>0</v>
      </c>
      <c r="AK9" s="74">
        <f>+GETPIVOTDATA("XBT4",'binhtrung (2016)'!$A$3,"MA_HT","LUK","MA_QH","DXH")</f>
        <v>0</v>
      </c>
      <c r="AL9" s="74">
        <f>+GETPIVOTDATA("XBT4",'binhtrung (2016)'!$A$3,"MA_HT","LUK","MA_QH","DCH")</f>
        <v>0</v>
      </c>
      <c r="AM9" s="74">
        <f>+GETPIVOTDATA("XBT4",'binhtrung (2016)'!$A$3,"MA_HT","LUK","MA_QH","DKG")</f>
        <v>0</v>
      </c>
      <c r="AN9" s="74">
        <f>+GETPIVOTDATA("XBT4",'binhtrung (2016)'!$A$3,"MA_HT","LUK","MA_QH","DDT")</f>
        <v>0</v>
      </c>
      <c r="AO9" s="74">
        <f>+GETPIVOTDATA("XBT4",'binhtrung (2016)'!$A$3,"MA_HT","LUK","MA_QH","DDL")</f>
        <v>0</v>
      </c>
      <c r="AP9" s="74">
        <f>+GETPIVOTDATA("XBT4",'binhtrung (2016)'!$A$3,"MA_HT","LUK","MA_QH","DRA")</f>
        <v>0</v>
      </c>
      <c r="AQ9" s="74">
        <f>+GETPIVOTDATA("XBT4",'binhtrung (2016)'!$A$3,"MA_HT","LUK","MA_QH","ONT")</f>
        <v>0</v>
      </c>
      <c r="AR9" s="74">
        <f>+GETPIVOTDATA("XBT4",'binhtrung (2016)'!$A$3,"MA_HT","LUK","MA_QH","ODT")</f>
        <v>0</v>
      </c>
      <c r="AS9" s="74">
        <f>+GETPIVOTDATA("XBT4",'binhtrung (2016)'!$A$3,"MA_HT","LUK","MA_QH","TSC")</f>
        <v>0</v>
      </c>
      <c r="AT9" s="74">
        <f>+GETPIVOTDATA("XBT4",'binhtrung (2016)'!$A$3,"MA_HT","LUK","MA_QH","DTS")</f>
        <v>0</v>
      </c>
      <c r="AU9" s="74">
        <f>+GETPIVOTDATA("XBT4",'binhtrung (2016)'!$A$3,"MA_HT","LUK","MA_QH","DNG")</f>
        <v>0</v>
      </c>
      <c r="AV9" s="74">
        <f>+GETPIVOTDATA("XBT4",'binhtrung (2016)'!$A$3,"MA_HT","LUK","MA_QH","TON")</f>
        <v>0</v>
      </c>
      <c r="AW9" s="74">
        <f>+GETPIVOTDATA("XBT4",'binhtrung (2016)'!$A$3,"MA_HT","LUK","MA_QH","NTD")</f>
        <v>0</v>
      </c>
      <c r="AX9" s="74">
        <f>+GETPIVOTDATA("XBT4",'binhtrung (2016)'!$A$3,"MA_HT","LUK","MA_QH","SKX")</f>
        <v>0</v>
      </c>
      <c r="AY9" s="74">
        <f>+GETPIVOTDATA("XBT4",'binhtrung (2016)'!$A$3,"MA_HT","LUK","MA_QH","DSH")</f>
        <v>0</v>
      </c>
      <c r="AZ9" s="74">
        <f>+GETPIVOTDATA("XBT4",'binhtrung (2016)'!$A$3,"MA_HT","LUK","MA_QH","DKV")</f>
        <v>0</v>
      </c>
      <c r="BA9" s="139">
        <f>+GETPIVOTDATA("XBT4",'binhtrung (2016)'!$A$3,"MA_HT","LUK","MA_QH","TIN")</f>
        <v>0</v>
      </c>
      <c r="BB9" s="74">
        <f>+GETPIVOTDATA("XBT4",'binhtrung (2016)'!$A$3,"MA_HT","LUK","MA_QH","SON")</f>
        <v>0</v>
      </c>
      <c r="BC9" s="74">
        <f>+GETPIVOTDATA("XBT4",'binhtrung (2016)'!$A$3,"MA_HT","LUK","MA_QH","MNC")</f>
        <v>0</v>
      </c>
      <c r="BD9" s="74">
        <f>+GETPIVOTDATA("XBT4",'binhtrung (2016)'!$A$3,"MA_HT","LUK","MA_QH","PNK")</f>
        <v>0</v>
      </c>
      <c r="BE9" s="102">
        <f>+GETPIVOTDATA("XBT4",'binhtrung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+GETPIVOTDATA("XBT4",'binhtrung (2016)'!$A$3,"MA_HT","LUN","MA_QH","LUC")</f>
        <v>0</v>
      </c>
      <c r="H10" s="74">
        <f>+GETPIVOTDATA("XBT4",'binhtrung (2016)'!$A$3,"MA_HT","LUN","MA_QH","LUK")</f>
        <v>0</v>
      </c>
      <c r="I10" s="100" t="e">
        <f>$D10-$BF10</f>
        <v>#REF!</v>
      </c>
      <c r="J10" s="74">
        <f>+GETPIVOTDATA("XBT4",'binhtrung (2016)'!$A$3,"MA_HT","LUN","MA_QH","HNK")</f>
        <v>0</v>
      </c>
      <c r="K10" s="74">
        <f>+GETPIVOTDATA("XBT4",'binhtrung (2016)'!$A$3,"MA_HT","LUN","MA_QH","CLN")</f>
        <v>0</v>
      </c>
      <c r="L10" s="74">
        <f>+GETPIVOTDATA("XBT4",'binhtrung (2016)'!$A$3,"MA_HT","LUN","MA_QH","RSX")</f>
        <v>0</v>
      </c>
      <c r="M10" s="74">
        <f>+GETPIVOTDATA("XBT4",'binhtrung (2016)'!$A$3,"MA_HT","LUN","MA_QH","RPH")</f>
        <v>0</v>
      </c>
      <c r="N10" s="74">
        <f>+GETPIVOTDATA("XBT4",'binhtrung (2016)'!$A$3,"MA_HT","LUN","MA_QH","RDD")</f>
        <v>0</v>
      </c>
      <c r="O10" s="74">
        <f>+GETPIVOTDATA("XBT4",'binhtrung (2016)'!$A$3,"MA_HT","LUN","MA_QH","NTS")</f>
        <v>0</v>
      </c>
      <c r="P10" s="74">
        <f>+GETPIVOTDATA("XBT4",'binhtrung (2016)'!$A$3,"MA_HT","LUN","MA_QH","LMU")</f>
        <v>0</v>
      </c>
      <c r="Q10" s="74">
        <f>+GETPIVOTDATA("XBT4",'binhtrung (2016)'!$A$3,"MA_HT","LUN","MA_QH","NKH")</f>
        <v>0</v>
      </c>
      <c r="R10" s="72">
        <f t="shared" si="2"/>
        <v>0</v>
      </c>
      <c r="S10" s="74">
        <f>+GETPIVOTDATA("XBT4",'binhtrung (2016)'!$A$3,"MA_HT","LUN","MA_QH","CQP")</f>
        <v>0</v>
      </c>
      <c r="T10" s="74">
        <f>+GETPIVOTDATA("XBT4",'binhtrung (2016)'!$A$3,"MA_HT","LUN","MA_QH","CAN")</f>
        <v>0</v>
      </c>
      <c r="U10" s="74">
        <f>+GETPIVOTDATA("XBT4",'binhtrung (2016)'!$A$3,"MA_HT","LUN","MA_QH","SKK")</f>
        <v>0</v>
      </c>
      <c r="V10" s="74">
        <f>+GETPIVOTDATA("XBT4",'binhtrung (2016)'!$A$3,"MA_HT","LUN","MA_QH","SKT")</f>
        <v>0</v>
      </c>
      <c r="W10" s="74">
        <f>+GETPIVOTDATA("XBT4",'binhtrung (2016)'!$A$3,"MA_HT","LUN","MA_QH","SKN")</f>
        <v>0</v>
      </c>
      <c r="X10" s="74">
        <f>+GETPIVOTDATA("XBT4",'binhtrung (2016)'!$A$3,"MA_HT","LUN","MA_QH","TMD")</f>
        <v>0</v>
      </c>
      <c r="Y10" s="74">
        <f>+GETPIVOTDATA("XBT4",'binhtrung (2016)'!$A$3,"MA_HT","LUN","MA_QH","SKC")</f>
        <v>0</v>
      </c>
      <c r="Z10" s="74">
        <f>+GETPIVOTDATA("XBT4",'binhtrung (2016)'!$A$3,"MA_HT","LUN","MA_QH","SKS")</f>
        <v>0</v>
      </c>
      <c r="AA10" s="64">
        <f t="shared" si="4"/>
        <v>0</v>
      </c>
      <c r="AB10" s="74">
        <f>+GETPIVOTDATA("XBT4",'binhtrung (2016)'!$A$3,"MA_HT","LUN","MA_QH","DGT")</f>
        <v>0</v>
      </c>
      <c r="AC10" s="74">
        <f>+GETPIVOTDATA("XBT4",'binhtrung (2016)'!$A$3,"MA_HT","LUN","MA_QH","DTL")</f>
        <v>0</v>
      </c>
      <c r="AD10" s="74">
        <f>+GETPIVOTDATA("XBT4",'binhtrung (2016)'!$A$3,"MA_HT","LUN","MA_QH","DNL")</f>
        <v>0</v>
      </c>
      <c r="AE10" s="74">
        <f>+GETPIVOTDATA("XBT4",'binhtrung (2016)'!$A$3,"MA_HT","LUN","MA_QH","DBV")</f>
        <v>0</v>
      </c>
      <c r="AF10" s="74">
        <f>+GETPIVOTDATA("XBT4",'binhtrung (2016)'!$A$3,"MA_HT","LUN","MA_QH","DVH")</f>
        <v>0</v>
      </c>
      <c r="AG10" s="74">
        <f>+GETPIVOTDATA("XBT4",'binhtrung (2016)'!$A$3,"MA_HT","LUN","MA_QH","DYT")</f>
        <v>0</v>
      </c>
      <c r="AH10" s="74">
        <f>+GETPIVOTDATA("XBT4",'binhtrung (2016)'!$A$3,"MA_HT","LUN","MA_QH","DGD")</f>
        <v>0</v>
      </c>
      <c r="AI10" s="74">
        <f>+GETPIVOTDATA("XBT4",'binhtrung (2016)'!$A$3,"MA_HT","LUN","MA_QH","DTT")</f>
        <v>0</v>
      </c>
      <c r="AJ10" s="74">
        <f>+GETPIVOTDATA("XBT4",'binhtrung (2016)'!$A$3,"MA_HT","LUN","MA_QH","NCK")</f>
        <v>0</v>
      </c>
      <c r="AK10" s="74">
        <f>+GETPIVOTDATA("XBT4",'binhtrung (2016)'!$A$3,"MA_HT","LUN","MA_QH","DXH")</f>
        <v>0</v>
      </c>
      <c r="AL10" s="74">
        <f>+GETPIVOTDATA("XBT4",'binhtrung (2016)'!$A$3,"MA_HT","LUN","MA_QH","DCH")</f>
        <v>0</v>
      </c>
      <c r="AM10" s="74">
        <f>+GETPIVOTDATA("XBT4",'binhtrung (2016)'!$A$3,"MA_HT","LUN","MA_QH","DKG")</f>
        <v>0</v>
      </c>
      <c r="AN10" s="74">
        <f>+GETPIVOTDATA("XBT4",'binhtrung (2016)'!$A$3,"MA_HT","LUN","MA_QH","DDT")</f>
        <v>0</v>
      </c>
      <c r="AO10" s="74">
        <f>+GETPIVOTDATA("XBT4",'binhtrung (2016)'!$A$3,"MA_HT","LUN","MA_QH","DDL")</f>
        <v>0</v>
      </c>
      <c r="AP10" s="74">
        <f>+GETPIVOTDATA("XBT4",'binhtrung (2016)'!$A$3,"MA_HT","LUN","MA_QH","DRA")</f>
        <v>0</v>
      </c>
      <c r="AQ10" s="74">
        <f>+GETPIVOTDATA("XBT4",'binhtrung (2016)'!$A$3,"MA_HT","LUN","MA_QH","ONT")</f>
        <v>0</v>
      </c>
      <c r="AR10" s="74">
        <f>+GETPIVOTDATA("XBT4",'binhtrung (2016)'!$A$3,"MA_HT","LUN","MA_QH","ODT")</f>
        <v>0</v>
      </c>
      <c r="AS10" s="74">
        <f>+GETPIVOTDATA("XBT4",'binhtrung (2016)'!$A$3,"MA_HT","LUN","MA_QH","TSC")</f>
        <v>0</v>
      </c>
      <c r="AT10" s="74">
        <f>+GETPIVOTDATA("XBT4",'binhtrung (2016)'!$A$3,"MA_HT","LUN","MA_QH","DTS")</f>
        <v>0</v>
      </c>
      <c r="AU10" s="74">
        <f>+GETPIVOTDATA("XBT4",'binhtrung (2016)'!$A$3,"MA_HT","LUN","MA_QH","DNG")</f>
        <v>0</v>
      </c>
      <c r="AV10" s="74">
        <f>+GETPIVOTDATA("XBT4",'binhtrung (2016)'!$A$3,"MA_HT","LUN","MA_QH","TON")</f>
        <v>0</v>
      </c>
      <c r="AW10" s="74">
        <f>+GETPIVOTDATA("XBT4",'binhtrung (2016)'!$A$3,"MA_HT","LUN","MA_QH","NTD")</f>
        <v>0</v>
      </c>
      <c r="AX10" s="74">
        <f>+GETPIVOTDATA("XBT4",'binhtrung (2016)'!$A$3,"MA_HT","LUN","MA_QH","SKX")</f>
        <v>0</v>
      </c>
      <c r="AY10" s="74">
        <f>+GETPIVOTDATA("XBT4",'binhtrung (2016)'!$A$3,"MA_HT","LUN","MA_QH","DSH")</f>
        <v>0</v>
      </c>
      <c r="AZ10" s="74">
        <f>+GETPIVOTDATA("XBT4",'binhtrung (2016)'!$A$3,"MA_HT","LUN","MA_QH","DKV")</f>
        <v>0</v>
      </c>
      <c r="BA10" s="139">
        <f>+GETPIVOTDATA("XBT4",'binhtrung (2016)'!$A$3,"MA_HT","LUN","MA_QH","TIN")</f>
        <v>0</v>
      </c>
      <c r="BB10" s="74">
        <f>+GETPIVOTDATA("XBT4",'binhtrung (2016)'!$A$3,"MA_HT","LUN","MA_QH","SON")</f>
        <v>0</v>
      </c>
      <c r="BC10" s="74">
        <f>+GETPIVOTDATA("XBT4",'binhtrung (2016)'!$A$3,"MA_HT","LUN","MA_QH","MNC")</f>
        <v>0</v>
      </c>
      <c r="BD10" s="74">
        <f>+GETPIVOTDATA("XBT4",'binhtrung (2016)'!$A$3,"MA_HT","LUN","MA_QH","PNK")</f>
        <v>0</v>
      </c>
      <c r="BE10" s="102">
        <f>+GETPIVOTDATA("XBT4",'binhtrung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+GETPIVOTDATA("XBT4",'binhtrung (2016)'!$A$3,"MA_HT","HNK","MA_QH","LUC")</f>
        <v>0</v>
      </c>
      <c r="H11" s="35">
        <f>+GETPIVOTDATA("XBT4",'binhtrung (2016)'!$A$3,"MA_HT","HNK","MA_QH","LUK")</f>
        <v>0</v>
      </c>
      <c r="I11" s="35">
        <f>+GETPIVOTDATA("XBT4",'binhtrung (2016)'!$A$3,"MA_HT","HNK","MA_QH","LUN")</f>
        <v>0</v>
      </c>
      <c r="J11" s="99" t="e">
        <f>$D11-$BF11</f>
        <v>#REF!</v>
      </c>
      <c r="K11" s="35">
        <f>+GETPIVOTDATA("XBT4",'binhtrung (2016)'!$A$3,"MA_HT","HNK","MA_QH","CLN")</f>
        <v>0</v>
      </c>
      <c r="L11" s="35">
        <f>+GETPIVOTDATA("XBT4",'binhtrung (2016)'!$A$3,"MA_HT","HNK","MA_QH","RSX")</f>
        <v>0</v>
      </c>
      <c r="M11" s="35">
        <f>+GETPIVOTDATA("XBT4",'binhtrung (2016)'!$A$3,"MA_HT","HNK","MA_QH","RPH")</f>
        <v>0</v>
      </c>
      <c r="N11" s="35">
        <f>+GETPIVOTDATA("XBT4",'binhtrung (2016)'!$A$3,"MA_HT","HNK","MA_QH","RDD")</f>
        <v>0</v>
      </c>
      <c r="O11" s="35">
        <f>+GETPIVOTDATA("XBT4",'binhtrung (2016)'!$A$3,"MA_HT","HNK","MA_QH","NTS")</f>
        <v>0</v>
      </c>
      <c r="P11" s="35">
        <f>+GETPIVOTDATA("XBT4",'binhtrung (2016)'!$A$3,"MA_HT","HNK","MA_QH","LMU")</f>
        <v>0</v>
      </c>
      <c r="Q11" s="35">
        <f>+GETPIVOTDATA("XBT4",'binhtrung (2016)'!$A$3,"MA_HT","HNK","MA_QH","NKH")</f>
        <v>0</v>
      </c>
      <c r="R11" s="63">
        <f t="shared" si="2"/>
        <v>0</v>
      </c>
      <c r="S11" s="35">
        <f>+GETPIVOTDATA("XBT4",'binhtrung (2016)'!$A$3,"MA_HT","HNK","MA_QH","CQP")</f>
        <v>0</v>
      </c>
      <c r="T11" s="35">
        <f>+GETPIVOTDATA("XBT4",'binhtrung (2016)'!$A$3,"MA_HT","HNK","MA_QH","CAN")</f>
        <v>0</v>
      </c>
      <c r="U11" s="35">
        <f>+GETPIVOTDATA("XBT4",'binhtrung (2016)'!$A$3,"MA_HT","HNK","MA_QH","SKK")</f>
        <v>0</v>
      </c>
      <c r="V11" s="35">
        <f>+GETPIVOTDATA("XBT4",'binhtrung (2016)'!$A$3,"MA_HT","HNK","MA_QH","SKT")</f>
        <v>0</v>
      </c>
      <c r="W11" s="35">
        <f>+GETPIVOTDATA("XBT4",'binhtrung (2016)'!$A$3,"MA_HT","HNK","MA_QH","SKN")</f>
        <v>0</v>
      </c>
      <c r="X11" s="35">
        <f>+GETPIVOTDATA("XBT4",'binhtrung (2016)'!$A$3,"MA_HT","HNK","MA_QH","TMD")</f>
        <v>0</v>
      </c>
      <c r="Y11" s="35">
        <f>+GETPIVOTDATA("XBT4",'binhtrung (2016)'!$A$3,"MA_HT","HNK","MA_QH","SKC")</f>
        <v>0</v>
      </c>
      <c r="Z11" s="35">
        <f>+GETPIVOTDATA("XBT4",'binhtrung (2016)'!$A$3,"MA_HT","HNK","MA_QH","SKS")</f>
        <v>0</v>
      </c>
      <c r="AA11" s="64">
        <f t="shared" si="4"/>
        <v>0</v>
      </c>
      <c r="AB11" s="35">
        <f>+GETPIVOTDATA("XBT4",'binhtrung (2016)'!$A$3,"MA_HT","HNK","MA_QH","DGT")</f>
        <v>0</v>
      </c>
      <c r="AC11" s="35">
        <f>+GETPIVOTDATA("XBT4",'binhtrung (2016)'!$A$3,"MA_HT","HNK","MA_QH","DTL")</f>
        <v>0</v>
      </c>
      <c r="AD11" s="35">
        <f>+GETPIVOTDATA("XBT4",'binhtrung (2016)'!$A$3,"MA_HT","HNK","MA_QH","DNL")</f>
        <v>0</v>
      </c>
      <c r="AE11" s="35">
        <f>+GETPIVOTDATA("XBT4",'binhtrung (2016)'!$A$3,"MA_HT","HNK","MA_QH","DBV")</f>
        <v>0</v>
      </c>
      <c r="AF11" s="35">
        <f>+GETPIVOTDATA("XBT4",'binhtrung (2016)'!$A$3,"MA_HT","HNK","MA_QH","DVH")</f>
        <v>0</v>
      </c>
      <c r="AG11" s="35">
        <f>+GETPIVOTDATA("XBT4",'binhtrung (2016)'!$A$3,"MA_HT","HNK","MA_QH","DYT")</f>
        <v>0</v>
      </c>
      <c r="AH11" s="35">
        <f>+GETPIVOTDATA("XBT4",'binhtrung (2016)'!$A$3,"MA_HT","HNK","MA_QH","DGD")</f>
        <v>0</v>
      </c>
      <c r="AI11" s="35">
        <f>+GETPIVOTDATA("XBT4",'binhtrung (2016)'!$A$3,"MA_HT","HNK","MA_QH","DTT")</f>
        <v>0</v>
      </c>
      <c r="AJ11" s="35">
        <f>+GETPIVOTDATA("XBT4",'binhtrung (2016)'!$A$3,"MA_HT","HNK","MA_QH","NCK")</f>
        <v>0</v>
      </c>
      <c r="AK11" s="35">
        <f>+GETPIVOTDATA("XBT4",'binhtrung (2016)'!$A$3,"MA_HT","HNK","MA_QH","DXH")</f>
        <v>0</v>
      </c>
      <c r="AL11" s="35">
        <f>+GETPIVOTDATA("XBT4",'binhtrung (2016)'!$A$3,"MA_HT","HNK","MA_QH","DCH")</f>
        <v>0</v>
      </c>
      <c r="AM11" s="35">
        <f>+GETPIVOTDATA("XBT4",'binhtrung (2016)'!$A$3,"MA_HT","HNK","MA_QH","DKG")</f>
        <v>0</v>
      </c>
      <c r="AN11" s="35">
        <f>+GETPIVOTDATA("XBT4",'binhtrung (2016)'!$A$3,"MA_HT","HNK","MA_QH","DDT")</f>
        <v>0</v>
      </c>
      <c r="AO11" s="35">
        <f>+GETPIVOTDATA("XBT4",'binhtrung (2016)'!$A$3,"MA_HT","HNK","MA_QH","DDL")</f>
        <v>0</v>
      </c>
      <c r="AP11" s="35">
        <f>+GETPIVOTDATA("XBT4",'binhtrung (2016)'!$A$3,"MA_HT","HNK","MA_QH","DRA")</f>
        <v>0</v>
      </c>
      <c r="AQ11" s="35">
        <f>+GETPIVOTDATA("XBT4",'binhtrung (2016)'!$A$3,"MA_HT","HNK","MA_QH","ONT")</f>
        <v>0</v>
      </c>
      <c r="AR11" s="35">
        <f>+GETPIVOTDATA("XBT4",'binhtrung (2016)'!$A$3,"MA_HT","HNK","MA_QH","ODT")</f>
        <v>0</v>
      </c>
      <c r="AS11" s="35">
        <f>+GETPIVOTDATA("XBT4",'binhtrung (2016)'!$A$3,"MA_HT","HNK","MA_QH","TSC")</f>
        <v>0</v>
      </c>
      <c r="AT11" s="35">
        <f>+GETPIVOTDATA("XBT4",'binhtrung (2016)'!$A$3,"MA_HT","HNK","MA_QH","DTS")</f>
        <v>0</v>
      </c>
      <c r="AU11" s="35">
        <f>+GETPIVOTDATA("XBT4",'binhtrung (2016)'!$A$3,"MA_HT","HNK","MA_QH","DNG")</f>
        <v>0</v>
      </c>
      <c r="AV11" s="35">
        <f>+GETPIVOTDATA("XBT4",'binhtrung (2016)'!$A$3,"MA_HT","HNK","MA_QH","TON")</f>
        <v>0</v>
      </c>
      <c r="AW11" s="35">
        <f>+GETPIVOTDATA("XBT4",'binhtrung (2016)'!$A$3,"MA_HT","HNK","MA_QH","NTD")</f>
        <v>0</v>
      </c>
      <c r="AX11" s="35">
        <f>+GETPIVOTDATA("XBT4",'binhtrung (2016)'!$A$3,"MA_HT","HNK","MA_QH","SKX")</f>
        <v>0</v>
      </c>
      <c r="AY11" s="35">
        <f>+GETPIVOTDATA("XBT4",'binhtrung (2016)'!$A$3,"MA_HT","HNK","MA_QH","DSH")</f>
        <v>0</v>
      </c>
      <c r="AZ11" s="35">
        <f>+GETPIVOTDATA("XBT4",'binhtrung (2016)'!$A$3,"MA_HT","HNK","MA_QH","DKV")</f>
        <v>0</v>
      </c>
      <c r="BA11" s="140">
        <f>+GETPIVOTDATA("XBT4",'binhtrung (2016)'!$A$3,"MA_HT","HNK","MA_QH","TIN")</f>
        <v>0</v>
      </c>
      <c r="BB11" s="74">
        <f>+GETPIVOTDATA("XBT4",'binhtrung (2016)'!$A$3,"MA_HT","HNK","MA_QH","SON")</f>
        <v>0</v>
      </c>
      <c r="BC11" s="74">
        <f>+GETPIVOTDATA("XBT4",'binhtrung (2016)'!$A$3,"MA_HT","HNK","MA_QH","MNC")</f>
        <v>0</v>
      </c>
      <c r="BD11" s="35">
        <f>+GETPIVOTDATA("XBT4",'binhtrung (2016)'!$A$3,"MA_HT","HNK","MA_QH","PNK")</f>
        <v>0</v>
      </c>
      <c r="BE11" s="58">
        <f>+GETPIVOTDATA("XBT4",'binhtrung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+GETPIVOTDATA("XBT4",'binhtrung (2016)'!$A$3,"MA_HT","CLN","MA_QH","LUC")</f>
        <v>0</v>
      </c>
      <c r="H12" s="35">
        <f>+GETPIVOTDATA("XBT4",'binhtrung (2016)'!$A$3,"MA_HT","CLN","MA_QH","LUK")</f>
        <v>0</v>
      </c>
      <c r="I12" s="35">
        <f>+GETPIVOTDATA("XBT4",'binhtrung (2016)'!$A$3,"MA_HT","CLN","MA_QH","LUN")</f>
        <v>0</v>
      </c>
      <c r="J12" s="35">
        <f>+GETPIVOTDATA("XBT4",'binhtrung (2016)'!$A$3,"MA_HT","CLN","MA_QH","HNK")</f>
        <v>0</v>
      </c>
      <c r="K12" s="99" t="e">
        <f>$D12-$BF12</f>
        <v>#REF!</v>
      </c>
      <c r="L12" s="35">
        <f>+GETPIVOTDATA("XBT4",'binhtrung (2016)'!$A$3,"MA_HT","CLN","MA_QH","RSX")</f>
        <v>0</v>
      </c>
      <c r="M12" s="35">
        <f>+GETPIVOTDATA("XBT4",'binhtrung (2016)'!$A$3,"MA_HT","CLN","MA_QH","RPH")</f>
        <v>0</v>
      </c>
      <c r="N12" s="35">
        <f>+GETPIVOTDATA("XBT4",'binhtrung (2016)'!$A$3,"MA_HT","CLN","MA_QH","RDD")</f>
        <v>0</v>
      </c>
      <c r="O12" s="35">
        <f>+GETPIVOTDATA("XBT4",'binhtrung (2016)'!$A$3,"MA_HT","CLN","MA_QH","NTS")</f>
        <v>0</v>
      </c>
      <c r="P12" s="35">
        <f>+GETPIVOTDATA("XBT4",'binhtrung (2016)'!$A$3,"MA_HT","CLN","MA_QH","LMU")</f>
        <v>0</v>
      </c>
      <c r="Q12" s="35">
        <f>+GETPIVOTDATA("XBT4",'binhtrung (2016)'!$A$3,"MA_HT","CLN","MA_QH","NKH")</f>
        <v>0</v>
      </c>
      <c r="R12" s="63">
        <f t="shared" si="2"/>
        <v>0</v>
      </c>
      <c r="S12" s="35">
        <f>+GETPIVOTDATA("XBT4",'binhtrung (2016)'!$A$3,"MA_HT","CLN","MA_QH","CQP")</f>
        <v>0</v>
      </c>
      <c r="T12" s="35">
        <f>+GETPIVOTDATA("XBT4",'binhtrung (2016)'!$A$3,"MA_HT","CLN","MA_QH","CAN")</f>
        <v>0</v>
      </c>
      <c r="U12" s="35">
        <f>+GETPIVOTDATA("XBT4",'binhtrung (2016)'!$A$3,"MA_HT","CLN","MA_QH","SKK")</f>
        <v>0</v>
      </c>
      <c r="V12" s="35">
        <f>+GETPIVOTDATA("XBT4",'binhtrung (2016)'!$A$3,"MA_HT","CLN","MA_QH","SKT")</f>
        <v>0</v>
      </c>
      <c r="W12" s="35">
        <f>+GETPIVOTDATA("XBT4",'binhtrung (2016)'!$A$3,"MA_HT","CLN","MA_QH","SKN")</f>
        <v>0</v>
      </c>
      <c r="X12" s="35">
        <f>+GETPIVOTDATA("XBT4",'binhtrung (2016)'!$A$3,"MA_HT","CLN","MA_QH","TMD")</f>
        <v>0</v>
      </c>
      <c r="Y12" s="35">
        <f>+GETPIVOTDATA("XBT4",'binhtrung (2016)'!$A$3,"MA_HT","CLN","MA_QH","SKC")</f>
        <v>0</v>
      </c>
      <c r="Z12" s="35">
        <f>+GETPIVOTDATA("XBT4",'binhtrung (2016)'!$A$3,"MA_HT","CLN","MA_QH","SKS")</f>
        <v>0</v>
      </c>
      <c r="AA12" s="64">
        <f t="shared" si="4"/>
        <v>0</v>
      </c>
      <c r="AB12" s="35">
        <f>+GETPIVOTDATA("XBT4",'binhtrung (2016)'!$A$3,"MA_HT","CLN","MA_QH","DGT")</f>
        <v>0</v>
      </c>
      <c r="AC12" s="35">
        <f>+GETPIVOTDATA("XBT4",'binhtrung (2016)'!$A$3,"MA_HT","CLN","MA_QH","DTL")</f>
        <v>0</v>
      </c>
      <c r="AD12" s="35">
        <f>+GETPIVOTDATA("XBT4",'binhtrung (2016)'!$A$3,"MA_HT","CLN","MA_QH","DNL")</f>
        <v>0</v>
      </c>
      <c r="AE12" s="35">
        <f>+GETPIVOTDATA("XBT4",'binhtrung (2016)'!$A$3,"MA_HT","CLN","MA_QH","DBV")</f>
        <v>0</v>
      </c>
      <c r="AF12" s="35">
        <f>+GETPIVOTDATA("XBT4",'binhtrung (2016)'!$A$3,"MA_HT","CLN","MA_QH","DVH")</f>
        <v>0</v>
      </c>
      <c r="AG12" s="35">
        <f>+GETPIVOTDATA("XBT4",'binhtrung (2016)'!$A$3,"MA_HT","CLN","MA_QH","DYT")</f>
        <v>0</v>
      </c>
      <c r="AH12" s="35">
        <f>+GETPIVOTDATA("XBT4",'binhtrung (2016)'!$A$3,"MA_HT","CLN","MA_QH","DGD")</f>
        <v>0</v>
      </c>
      <c r="AI12" s="35">
        <f>+GETPIVOTDATA("XBT4",'binhtrung (2016)'!$A$3,"MA_HT","CLN","MA_QH","DTT")</f>
        <v>0</v>
      </c>
      <c r="AJ12" s="35">
        <f>+GETPIVOTDATA("XBT4",'binhtrung (2016)'!$A$3,"MA_HT","CLN","MA_QH","NCK")</f>
        <v>0</v>
      </c>
      <c r="AK12" s="35">
        <f>+GETPIVOTDATA("XBT4",'binhtrung (2016)'!$A$3,"MA_HT","CLN","MA_QH","DXH")</f>
        <v>0</v>
      </c>
      <c r="AL12" s="35">
        <f>+GETPIVOTDATA("XBT4",'binhtrung (2016)'!$A$3,"MA_HT","CLN","MA_QH","DCH")</f>
        <v>0</v>
      </c>
      <c r="AM12" s="35">
        <f>+GETPIVOTDATA("XBT4",'binhtrung (2016)'!$A$3,"MA_HT","CLN","MA_QH","DKG")</f>
        <v>0</v>
      </c>
      <c r="AN12" s="35">
        <f>+GETPIVOTDATA("XBT4",'binhtrung (2016)'!$A$3,"MA_HT","CLN","MA_QH","DDT")</f>
        <v>0</v>
      </c>
      <c r="AO12" s="35">
        <f>+GETPIVOTDATA("XBT4",'binhtrung (2016)'!$A$3,"MA_HT","CLN","MA_QH","DDL")</f>
        <v>0</v>
      </c>
      <c r="AP12" s="35">
        <f>+GETPIVOTDATA("XBT4",'binhtrung (2016)'!$A$3,"MA_HT","CLN","MA_QH","DRA")</f>
        <v>0</v>
      </c>
      <c r="AQ12" s="35">
        <f>+GETPIVOTDATA("XBT4",'binhtrung (2016)'!$A$3,"MA_HT","CLN","MA_QH","ONT")</f>
        <v>0</v>
      </c>
      <c r="AR12" s="35">
        <f>+GETPIVOTDATA("XBT4",'binhtrung (2016)'!$A$3,"MA_HT","CLN","MA_QH","ODT")</f>
        <v>0</v>
      </c>
      <c r="AS12" s="35">
        <f>+GETPIVOTDATA("XBT4",'binhtrung (2016)'!$A$3,"MA_HT","CLN","MA_QH","TSC")</f>
        <v>0</v>
      </c>
      <c r="AT12" s="35">
        <f>+GETPIVOTDATA("XBT4",'binhtrung (2016)'!$A$3,"MA_HT","CLN","MA_QH","DTS")</f>
        <v>0</v>
      </c>
      <c r="AU12" s="35">
        <f>+GETPIVOTDATA("XBT4",'binhtrung (2016)'!$A$3,"MA_HT","CLN","MA_QH","DNG")</f>
        <v>0</v>
      </c>
      <c r="AV12" s="35">
        <f>+GETPIVOTDATA("XBT4",'binhtrung (2016)'!$A$3,"MA_HT","CLN","MA_QH","TON")</f>
        <v>0</v>
      </c>
      <c r="AW12" s="35">
        <f>+GETPIVOTDATA("XBT4",'binhtrung (2016)'!$A$3,"MA_HT","CLN","MA_QH","NTD")</f>
        <v>0</v>
      </c>
      <c r="AX12" s="35">
        <f>+GETPIVOTDATA("XBT4",'binhtrung (2016)'!$A$3,"MA_HT","CLN","MA_QH","SKX")</f>
        <v>0</v>
      </c>
      <c r="AY12" s="35">
        <f>+GETPIVOTDATA("XBT4",'binhtrung (2016)'!$A$3,"MA_HT","CLN","MA_QH","DSH")</f>
        <v>0</v>
      </c>
      <c r="AZ12" s="35">
        <f>+GETPIVOTDATA("XBT4",'binhtrung (2016)'!$A$3,"MA_HT","CLN","MA_QH","DKV")</f>
        <v>0</v>
      </c>
      <c r="BA12" s="140">
        <f>+GETPIVOTDATA("XBT4",'binhtrung (2016)'!$A$3,"MA_HT","CLN","MA_QH","TIN")</f>
        <v>0</v>
      </c>
      <c r="BB12" s="74">
        <f>+GETPIVOTDATA("XBT4",'binhtrung (2016)'!$A$3,"MA_HT","CLN","MA_QH","SON")</f>
        <v>0</v>
      </c>
      <c r="BC12" s="74">
        <f>+GETPIVOTDATA("XBT4",'binhtrung (2016)'!$A$3,"MA_HT","CLN","MA_QH","MNC")</f>
        <v>0</v>
      </c>
      <c r="BD12" s="35">
        <f>+GETPIVOTDATA("XBT4",'binhtrung (2016)'!$A$3,"MA_HT","CLN","MA_QH","PNK")</f>
        <v>0</v>
      </c>
      <c r="BE12" s="58">
        <f>+GETPIVOTDATA("XBT4",'binhtrung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+GETPIVOTDATA("XBT4",'binhtrung (2016)'!$A$3,"MA_HT","RSX","MA_QH","LUC")</f>
        <v>0</v>
      </c>
      <c r="H13" s="35">
        <f>+GETPIVOTDATA("XBT4",'binhtrung (2016)'!$A$3,"MA_HT","RSX","MA_QH","LUK")</f>
        <v>0</v>
      </c>
      <c r="I13" s="35">
        <f>+GETPIVOTDATA("XBT4",'binhtrung (2016)'!$A$3,"MA_HT","RSX","MA_QH","LUN")</f>
        <v>0</v>
      </c>
      <c r="J13" s="35">
        <f>+GETPIVOTDATA("XBT4",'binhtrung (2016)'!$A$3,"MA_HT","RSX","MA_QH","HNK")</f>
        <v>0</v>
      </c>
      <c r="K13" s="35">
        <f>+GETPIVOTDATA("XBT4",'binhtrung (2016)'!$A$3,"MA_HT","RSX","MA_QH","CLN")</f>
        <v>0</v>
      </c>
      <c r="L13" s="99" t="e">
        <f>$D13-$BF13</f>
        <v>#REF!</v>
      </c>
      <c r="M13" s="35">
        <f>+GETPIVOTDATA("XBT4",'binhtrung (2016)'!$A$3,"MA_HT","RSX","MA_QH","RPH")</f>
        <v>0</v>
      </c>
      <c r="N13" s="35">
        <f>+GETPIVOTDATA("XBT4",'binhtrung (2016)'!$A$3,"MA_HT","RSX","MA_QH","RDD")</f>
        <v>0</v>
      </c>
      <c r="O13" s="35">
        <f>+GETPIVOTDATA("XBT4",'binhtrung (2016)'!$A$3,"MA_HT","RSX","MA_QH","NTS")</f>
        <v>0</v>
      </c>
      <c r="P13" s="35">
        <f>+GETPIVOTDATA("XBT4",'binhtrung (2016)'!$A$3,"MA_HT","RSX","MA_QH","LMU")</f>
        <v>0</v>
      </c>
      <c r="Q13" s="35">
        <f>+GETPIVOTDATA("XBT4",'binhtrung (2016)'!$A$3,"MA_HT","RSX","MA_QH","NKH")</f>
        <v>0</v>
      </c>
      <c r="R13" s="63">
        <f t="shared" si="2"/>
        <v>0</v>
      </c>
      <c r="S13" s="35">
        <f>+GETPIVOTDATA("XBT4",'binhtrung (2016)'!$A$3,"MA_HT","RSX","MA_QH","CQP")</f>
        <v>0</v>
      </c>
      <c r="T13" s="35">
        <f>+GETPIVOTDATA("XBT4",'binhtrung (2016)'!$A$3,"MA_HT","RSX","MA_QH","CAN")</f>
        <v>0</v>
      </c>
      <c r="U13" s="35">
        <f>+GETPIVOTDATA("XBT4",'binhtrung (2016)'!$A$3,"MA_HT","RSX","MA_QH","SKK")</f>
        <v>0</v>
      </c>
      <c r="V13" s="35">
        <f>+GETPIVOTDATA("XBT4",'binhtrung (2016)'!$A$3,"MA_HT","RSX","MA_QH","SKT")</f>
        <v>0</v>
      </c>
      <c r="W13" s="35">
        <f>+GETPIVOTDATA("XBT4",'binhtrung (2016)'!$A$3,"MA_HT","RSX","MA_QH","SKN")</f>
        <v>0</v>
      </c>
      <c r="X13" s="35">
        <f>+GETPIVOTDATA("XBT4",'binhtrung (2016)'!$A$3,"MA_HT","RSX","MA_QH","TMD")</f>
        <v>0</v>
      </c>
      <c r="Y13" s="35">
        <f>+GETPIVOTDATA("XBT4",'binhtrung (2016)'!$A$3,"MA_HT","RSX","MA_QH","SKC")</f>
        <v>0</v>
      </c>
      <c r="Z13" s="35">
        <f>+GETPIVOTDATA("XBT4",'binhtrung (2016)'!$A$3,"MA_HT","RSX","MA_QH","SKS")</f>
        <v>0</v>
      </c>
      <c r="AA13" s="64">
        <f t="shared" si="4"/>
        <v>0</v>
      </c>
      <c r="AB13" s="35">
        <f>+GETPIVOTDATA("XBT4",'binhtrung (2016)'!$A$3,"MA_HT","RSX","MA_QH","DGT")</f>
        <v>0</v>
      </c>
      <c r="AC13" s="35">
        <f>+GETPIVOTDATA("XBT4",'binhtrung (2016)'!$A$3,"MA_HT","RSX","MA_QH","DTL")</f>
        <v>0</v>
      </c>
      <c r="AD13" s="35">
        <f>+GETPIVOTDATA("XBT4",'binhtrung (2016)'!$A$3,"MA_HT","RSX","MA_QH","DNL")</f>
        <v>0</v>
      </c>
      <c r="AE13" s="35">
        <f>+GETPIVOTDATA("XBT4",'binhtrung (2016)'!$A$3,"MA_HT","RSX","MA_QH","DBV")</f>
        <v>0</v>
      </c>
      <c r="AF13" s="35">
        <f>+GETPIVOTDATA("XBT4",'binhtrung (2016)'!$A$3,"MA_HT","RSX","MA_QH","DVH")</f>
        <v>0</v>
      </c>
      <c r="AG13" s="35">
        <f>+GETPIVOTDATA("XBT4",'binhtrung (2016)'!$A$3,"MA_HT","RSX","MA_QH","DYT")</f>
        <v>0</v>
      </c>
      <c r="AH13" s="35">
        <f>+GETPIVOTDATA("XBT4",'binhtrung (2016)'!$A$3,"MA_HT","RSX","MA_QH","DGD")</f>
        <v>0</v>
      </c>
      <c r="AI13" s="35">
        <f>+GETPIVOTDATA("XBT4",'binhtrung (2016)'!$A$3,"MA_HT","RSX","MA_QH","DTT")</f>
        <v>0</v>
      </c>
      <c r="AJ13" s="35">
        <f>+GETPIVOTDATA("XBT4",'binhtrung (2016)'!$A$3,"MA_HT","RSX","MA_QH","NCK")</f>
        <v>0</v>
      </c>
      <c r="AK13" s="35">
        <f>+GETPIVOTDATA("XBT4",'binhtrung (2016)'!$A$3,"MA_HT","RSX","MA_QH","DXH")</f>
        <v>0</v>
      </c>
      <c r="AL13" s="35">
        <f>+GETPIVOTDATA("XBT4",'binhtrung (2016)'!$A$3,"MA_HT","RSX","MA_QH","DCH")</f>
        <v>0</v>
      </c>
      <c r="AM13" s="35">
        <f>+GETPIVOTDATA("XBT4",'binhtrung (2016)'!$A$3,"MA_HT","RSX","MA_QH","DKG")</f>
        <v>0</v>
      </c>
      <c r="AN13" s="35">
        <f>+GETPIVOTDATA("XBT4",'binhtrung (2016)'!$A$3,"MA_HT","RSX","MA_QH","DDT")</f>
        <v>0</v>
      </c>
      <c r="AO13" s="35">
        <f>+GETPIVOTDATA("XBT4",'binhtrung (2016)'!$A$3,"MA_HT","RSX","MA_QH","DDL")</f>
        <v>0</v>
      </c>
      <c r="AP13" s="35">
        <f>+GETPIVOTDATA("XBT4",'binhtrung (2016)'!$A$3,"MA_HT","RSX","MA_QH","DRA")</f>
        <v>0</v>
      </c>
      <c r="AQ13" s="35">
        <f>+GETPIVOTDATA("XBT4",'binhtrung (2016)'!$A$3,"MA_HT","RSX","MA_QH","ONT")</f>
        <v>0</v>
      </c>
      <c r="AR13" s="35">
        <f>+GETPIVOTDATA("XBT4",'binhtrung (2016)'!$A$3,"MA_HT","RSX","MA_QH","ODT")</f>
        <v>0</v>
      </c>
      <c r="AS13" s="35">
        <f>+GETPIVOTDATA("XBT4",'binhtrung (2016)'!$A$3,"MA_HT","RSX","MA_QH","TSC")</f>
        <v>0</v>
      </c>
      <c r="AT13" s="35">
        <f>+GETPIVOTDATA("XBT4",'binhtrung (2016)'!$A$3,"MA_HT","RSX","MA_QH","DTS")</f>
        <v>0</v>
      </c>
      <c r="AU13" s="35">
        <f>+GETPIVOTDATA("XBT4",'binhtrung (2016)'!$A$3,"MA_HT","RSX","MA_QH","DNG")</f>
        <v>0</v>
      </c>
      <c r="AV13" s="35">
        <f>+GETPIVOTDATA("XBT4",'binhtrung (2016)'!$A$3,"MA_HT","RSX","MA_QH","TON")</f>
        <v>0</v>
      </c>
      <c r="AW13" s="35">
        <f>+GETPIVOTDATA("XBT4",'binhtrung (2016)'!$A$3,"MA_HT","RSX","MA_QH","NTD")</f>
        <v>0</v>
      </c>
      <c r="AX13" s="35">
        <f>+GETPIVOTDATA("XBT4",'binhtrung (2016)'!$A$3,"MA_HT","RSX","MA_QH","SKX")</f>
        <v>0</v>
      </c>
      <c r="AY13" s="35">
        <f>+GETPIVOTDATA("XBT4",'binhtrung (2016)'!$A$3,"MA_HT","RSX","MA_QH","DSH")</f>
        <v>0</v>
      </c>
      <c r="AZ13" s="35">
        <f>+GETPIVOTDATA("XBT4",'binhtrung (2016)'!$A$3,"MA_HT","RSX","MA_QH","DKV")</f>
        <v>0</v>
      </c>
      <c r="BA13" s="140">
        <f>+GETPIVOTDATA("XBT4",'binhtrung (2016)'!$A$3,"MA_HT","RSX","MA_QH","TIN")</f>
        <v>0</v>
      </c>
      <c r="BB13" s="74">
        <f>+GETPIVOTDATA("XBT4",'binhtrung (2016)'!$A$3,"MA_HT","RSX","MA_QH","SON")</f>
        <v>0</v>
      </c>
      <c r="BC13" s="74">
        <f>+GETPIVOTDATA("XBT4",'binhtrung (2016)'!$A$3,"MA_HT","RSX","MA_QH","MNC")</f>
        <v>0</v>
      </c>
      <c r="BD13" s="35">
        <f>+GETPIVOTDATA("XBT4",'binhtrung (2016)'!$A$3,"MA_HT","RSX","MA_QH","PNK")</f>
        <v>0</v>
      </c>
      <c r="BE13" s="58">
        <f>+GETPIVOTDATA("XBT4",'binhtrung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+GETPIVOTDATA("XBT4",'binhtrung (2016)'!$A$3,"MA_HT","RPH","MA_QH","LUC")</f>
        <v>0</v>
      </c>
      <c r="H14" s="35">
        <f>+GETPIVOTDATA("XBT4",'binhtrung (2016)'!$A$3,"MA_HT","RPH","MA_QH","LUK")</f>
        <v>0</v>
      </c>
      <c r="I14" s="35">
        <f>+GETPIVOTDATA("XBT4",'binhtrung (2016)'!$A$3,"MA_HT","RPH","MA_QH","LUN")</f>
        <v>0</v>
      </c>
      <c r="J14" s="35">
        <f>+GETPIVOTDATA("XBT4",'binhtrung (2016)'!$A$3,"MA_HT","RPH","MA_QH","HNK")</f>
        <v>0</v>
      </c>
      <c r="K14" s="35">
        <f>+GETPIVOTDATA("XBT4",'binhtrung (2016)'!$A$3,"MA_HT","RPH","MA_QH","CLN")</f>
        <v>0</v>
      </c>
      <c r="L14" s="35">
        <f>+GETPIVOTDATA("XBT4",'binhtrung (2016)'!$A$3,"MA_HT","RPH","MA_QH","RSX")</f>
        <v>0</v>
      </c>
      <c r="M14" s="99" t="e">
        <f>$D14-$BF14</f>
        <v>#REF!</v>
      </c>
      <c r="N14" s="35">
        <f>+GETPIVOTDATA("XBT4",'binhtrung (2016)'!$A$3,"MA_HT","RPH","MA_QH","RDD")</f>
        <v>0</v>
      </c>
      <c r="O14" s="35">
        <f>+GETPIVOTDATA("XBT4",'binhtrung (2016)'!$A$3,"MA_HT","RPH","MA_QH","NTS")</f>
        <v>0</v>
      </c>
      <c r="P14" s="35">
        <f>+GETPIVOTDATA("XBT4",'binhtrung (2016)'!$A$3,"MA_HT","RPH","MA_QH","LMU")</f>
        <v>0</v>
      </c>
      <c r="Q14" s="35">
        <f>+GETPIVOTDATA("XBT4",'binhtrung (2016)'!$A$3,"MA_HT","RPH","MA_QH","NKH")</f>
        <v>0</v>
      </c>
      <c r="R14" s="63">
        <f t="shared" si="2"/>
        <v>0</v>
      </c>
      <c r="S14" s="35">
        <f>+GETPIVOTDATA("XBT4",'binhtrung (2016)'!$A$3,"MA_HT","RPH","MA_QH","CQP")</f>
        <v>0</v>
      </c>
      <c r="T14" s="35">
        <f>+GETPIVOTDATA("XBT4",'binhtrung (2016)'!$A$3,"MA_HT","RPH","MA_QH","CAN")</f>
        <v>0</v>
      </c>
      <c r="U14" s="35">
        <f>+GETPIVOTDATA("XBT4",'binhtrung (2016)'!$A$3,"MA_HT","RPH","MA_QH","SKK")</f>
        <v>0</v>
      </c>
      <c r="V14" s="35">
        <f>+GETPIVOTDATA("XBT4",'binhtrung (2016)'!$A$3,"MA_HT","RPH","MA_QH","SKT")</f>
        <v>0</v>
      </c>
      <c r="W14" s="35">
        <f>+GETPIVOTDATA("XBT4",'binhtrung (2016)'!$A$3,"MA_HT","RPH","MA_QH","SKN")</f>
        <v>0</v>
      </c>
      <c r="X14" s="35">
        <f>+GETPIVOTDATA("XBT4",'binhtrung (2016)'!$A$3,"MA_HT","RPH","MA_QH","TMD")</f>
        <v>0</v>
      </c>
      <c r="Y14" s="35">
        <f>+GETPIVOTDATA("XBT4",'binhtrung (2016)'!$A$3,"MA_HT","RPH","MA_QH","SKC")</f>
        <v>0</v>
      </c>
      <c r="Z14" s="35">
        <f>+GETPIVOTDATA("XBT4",'binhtrung (2016)'!$A$3,"MA_HT","RPH","MA_QH","SKS")</f>
        <v>0</v>
      </c>
      <c r="AA14" s="64">
        <f t="shared" si="4"/>
        <v>0</v>
      </c>
      <c r="AB14" s="35">
        <f>+GETPIVOTDATA("XBT4",'binhtrung (2016)'!$A$3,"MA_HT","RPH","MA_QH","DGT")</f>
        <v>0</v>
      </c>
      <c r="AC14" s="35">
        <f>+GETPIVOTDATA("XBT4",'binhtrung (2016)'!$A$3,"MA_HT","RPH","MA_QH","DTL")</f>
        <v>0</v>
      </c>
      <c r="AD14" s="35">
        <f>+GETPIVOTDATA("XBT4",'binhtrung (2016)'!$A$3,"MA_HT","RPH","MA_QH","DNL")</f>
        <v>0</v>
      </c>
      <c r="AE14" s="35">
        <f>+GETPIVOTDATA("XBT4",'binhtrung (2016)'!$A$3,"MA_HT","RPH","MA_QH","DBV")</f>
        <v>0</v>
      </c>
      <c r="AF14" s="35">
        <f>+GETPIVOTDATA("XBT4",'binhtrung (2016)'!$A$3,"MA_HT","RPH","MA_QH","DVH")</f>
        <v>0</v>
      </c>
      <c r="AG14" s="35">
        <f>+GETPIVOTDATA("XBT4",'binhtrung (2016)'!$A$3,"MA_HT","RPH","MA_QH","DYT")</f>
        <v>0</v>
      </c>
      <c r="AH14" s="35">
        <f>+GETPIVOTDATA("XBT4",'binhtrung (2016)'!$A$3,"MA_HT","RPH","MA_QH","DGD")</f>
        <v>0</v>
      </c>
      <c r="AI14" s="35">
        <f>+GETPIVOTDATA("XBT4",'binhtrung (2016)'!$A$3,"MA_HT","RPH","MA_QH","DTT")</f>
        <v>0</v>
      </c>
      <c r="AJ14" s="35">
        <f>+GETPIVOTDATA("XBT4",'binhtrung (2016)'!$A$3,"MA_HT","RPH","MA_QH","NCK")</f>
        <v>0</v>
      </c>
      <c r="AK14" s="35">
        <f>+GETPIVOTDATA("XBT4",'binhtrung (2016)'!$A$3,"MA_HT","RPH","MA_QH","DXH")</f>
        <v>0</v>
      </c>
      <c r="AL14" s="35">
        <f>+GETPIVOTDATA("XBT4",'binhtrung (2016)'!$A$3,"MA_HT","RPH","MA_QH","DCH")</f>
        <v>0</v>
      </c>
      <c r="AM14" s="35">
        <f>+GETPIVOTDATA("XBT4",'binhtrung (2016)'!$A$3,"MA_HT","RPH","MA_QH","DKG")</f>
        <v>0</v>
      </c>
      <c r="AN14" s="35">
        <f>+GETPIVOTDATA("XBT4",'binhtrung (2016)'!$A$3,"MA_HT","RPH","MA_QH","DDT")</f>
        <v>0</v>
      </c>
      <c r="AO14" s="35">
        <f>+GETPIVOTDATA("XBT4",'binhtrung (2016)'!$A$3,"MA_HT","RPH","MA_QH","DDL")</f>
        <v>0</v>
      </c>
      <c r="AP14" s="35">
        <f>+GETPIVOTDATA("XBT4",'binhtrung (2016)'!$A$3,"MA_HT","RPH","MA_QH","DRA")</f>
        <v>0</v>
      </c>
      <c r="AQ14" s="35">
        <f>+GETPIVOTDATA("XBT4",'binhtrung (2016)'!$A$3,"MA_HT","RPH","MA_QH","ONT")</f>
        <v>0</v>
      </c>
      <c r="AR14" s="35">
        <f>+GETPIVOTDATA("XBT4",'binhtrung (2016)'!$A$3,"MA_HT","RPH","MA_QH","ODT")</f>
        <v>0</v>
      </c>
      <c r="AS14" s="35">
        <f>+GETPIVOTDATA("XBT4",'binhtrung (2016)'!$A$3,"MA_HT","RPH","MA_QH","TSC")</f>
        <v>0</v>
      </c>
      <c r="AT14" s="35">
        <f>+GETPIVOTDATA("XBT4",'binhtrung (2016)'!$A$3,"MA_HT","RPH","MA_QH","DTS")</f>
        <v>0</v>
      </c>
      <c r="AU14" s="35">
        <f>+GETPIVOTDATA("XBT4",'binhtrung (2016)'!$A$3,"MA_HT","RPH","MA_QH","DNG")</f>
        <v>0</v>
      </c>
      <c r="AV14" s="35">
        <f>+GETPIVOTDATA("XBT4",'binhtrung (2016)'!$A$3,"MA_HT","RPH","MA_QH","TON")</f>
        <v>0</v>
      </c>
      <c r="AW14" s="35">
        <f>+GETPIVOTDATA("XBT4",'binhtrung (2016)'!$A$3,"MA_HT","RPH","MA_QH","NTD")</f>
        <v>0</v>
      </c>
      <c r="AX14" s="35">
        <f>+GETPIVOTDATA("XBT4",'binhtrung (2016)'!$A$3,"MA_HT","RPH","MA_QH","SKX")</f>
        <v>0</v>
      </c>
      <c r="AY14" s="35">
        <f>+GETPIVOTDATA("XBT4",'binhtrung (2016)'!$A$3,"MA_HT","RPH","MA_QH","DSH")</f>
        <v>0</v>
      </c>
      <c r="AZ14" s="35">
        <f>+GETPIVOTDATA("XBT4",'binhtrung (2016)'!$A$3,"MA_HT","RPH","MA_QH","DKV")</f>
        <v>0</v>
      </c>
      <c r="BA14" s="140">
        <f>+GETPIVOTDATA("XBT4",'binhtrung (2016)'!$A$3,"MA_HT","RPH","MA_QH","TIN")</f>
        <v>0</v>
      </c>
      <c r="BB14" s="74">
        <f>+GETPIVOTDATA("XBT4",'binhtrung (2016)'!$A$3,"MA_HT","RPH","MA_QH","SON")</f>
        <v>0</v>
      </c>
      <c r="BC14" s="74">
        <f>+GETPIVOTDATA("XBT4",'binhtrung (2016)'!$A$3,"MA_HT","RPH","MA_QH","MNC")</f>
        <v>0</v>
      </c>
      <c r="BD14" s="35">
        <f>+GETPIVOTDATA("XBT4",'binhtrung (2016)'!$A$3,"MA_HT","RPH","MA_QH","PNK")</f>
        <v>0</v>
      </c>
      <c r="BE14" s="58">
        <f>+GETPIVOTDATA("XBT4",'binhtrung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+GETPIVOTDATA("XBT4",'binhtrung (2016)'!$A$3,"MA_HT","RDD","MA_QH","LUC")</f>
        <v>0</v>
      </c>
      <c r="H15" s="35">
        <f>+GETPIVOTDATA("XBT4",'binhtrung (2016)'!$A$3,"MA_HT","RDD","MA_QH","LUK")</f>
        <v>0</v>
      </c>
      <c r="I15" s="35">
        <f>+GETPIVOTDATA("XBT4",'binhtrung (2016)'!$A$3,"MA_HT","RDD","MA_QH","LUN")</f>
        <v>0</v>
      </c>
      <c r="J15" s="35">
        <f>+GETPIVOTDATA("XBT4",'binhtrung (2016)'!$A$3,"MA_HT","RDD","MA_QH","HNK")</f>
        <v>0</v>
      </c>
      <c r="K15" s="35">
        <f>+GETPIVOTDATA("XBT4",'binhtrung (2016)'!$A$3,"MA_HT","RDD","MA_QH","CLN")</f>
        <v>0</v>
      </c>
      <c r="L15" s="35">
        <f>+GETPIVOTDATA("XBT4",'binhtrung (2016)'!$A$3,"MA_HT","RDD","MA_QH","RSX")</f>
        <v>0</v>
      </c>
      <c r="M15" s="35">
        <f>+GETPIVOTDATA("XBT4",'binhtrung (2016)'!$A$3,"MA_HT","RDD","MA_QH","RPH")</f>
        <v>0</v>
      </c>
      <c r="N15" s="99" t="e">
        <f>$D15-$BF15</f>
        <v>#REF!</v>
      </c>
      <c r="O15" s="35">
        <f>+GETPIVOTDATA("XBT4",'binhtrung (2016)'!$A$3,"MA_HT","RDD","MA_QH","NTS")</f>
        <v>0</v>
      </c>
      <c r="P15" s="35">
        <f>+GETPIVOTDATA("XBT4",'binhtrung (2016)'!$A$3,"MA_HT","RDD","MA_QH","LMU")</f>
        <v>0</v>
      </c>
      <c r="Q15" s="35">
        <f>+GETPIVOTDATA("XBT4",'binhtrung (2016)'!$A$3,"MA_HT","RDD","MA_QH","NKH")</f>
        <v>0</v>
      </c>
      <c r="R15" s="63">
        <f t="shared" si="2"/>
        <v>0</v>
      </c>
      <c r="S15" s="35">
        <f>+GETPIVOTDATA("XBT4",'binhtrung (2016)'!$A$3,"MA_HT","RDD","MA_QH","CQP")</f>
        <v>0</v>
      </c>
      <c r="T15" s="35">
        <f>+GETPIVOTDATA("XBT4",'binhtrung (2016)'!$A$3,"MA_HT","RDD","MA_QH","CAN")</f>
        <v>0</v>
      </c>
      <c r="U15" s="35">
        <f>+GETPIVOTDATA("XBT4",'binhtrung (2016)'!$A$3,"MA_HT","RDD","MA_QH","SKK")</f>
        <v>0</v>
      </c>
      <c r="V15" s="35">
        <f>+GETPIVOTDATA("XBT4",'binhtrung (2016)'!$A$3,"MA_HT","RDD","MA_QH","SKT")</f>
        <v>0</v>
      </c>
      <c r="W15" s="35">
        <f>+GETPIVOTDATA("XBT4",'binhtrung (2016)'!$A$3,"MA_HT","RDD","MA_QH","SKN")</f>
        <v>0</v>
      </c>
      <c r="X15" s="35">
        <f>+GETPIVOTDATA("XBT4",'binhtrung (2016)'!$A$3,"MA_HT","RDD","MA_QH","TMD")</f>
        <v>0</v>
      </c>
      <c r="Y15" s="35">
        <f>+GETPIVOTDATA("XBT4",'binhtrung (2016)'!$A$3,"MA_HT","RDD","MA_QH","SKC")</f>
        <v>0</v>
      </c>
      <c r="Z15" s="35">
        <f>+GETPIVOTDATA("XBT4",'binhtrung (2016)'!$A$3,"MA_HT","RDD","MA_QH","SKS")</f>
        <v>0</v>
      </c>
      <c r="AA15" s="64">
        <f t="shared" si="4"/>
        <v>0</v>
      </c>
      <c r="AB15" s="35">
        <f>+GETPIVOTDATA("XBT4",'binhtrung (2016)'!$A$3,"MA_HT","RDD","MA_QH","DGT")</f>
        <v>0</v>
      </c>
      <c r="AC15" s="35">
        <f>+GETPIVOTDATA("XBT4",'binhtrung (2016)'!$A$3,"MA_HT","RDD","MA_QH","DTL")</f>
        <v>0</v>
      </c>
      <c r="AD15" s="35">
        <f>+GETPIVOTDATA("XBT4",'binhtrung (2016)'!$A$3,"MA_HT","RDD","MA_QH","DNL")</f>
        <v>0</v>
      </c>
      <c r="AE15" s="35">
        <f>+GETPIVOTDATA("XBT4",'binhtrung (2016)'!$A$3,"MA_HT","RDD","MA_QH","DBV")</f>
        <v>0</v>
      </c>
      <c r="AF15" s="35">
        <f>+GETPIVOTDATA("XBT4",'binhtrung (2016)'!$A$3,"MA_HT","RDD","MA_QH","DVH")</f>
        <v>0</v>
      </c>
      <c r="AG15" s="35">
        <f>+GETPIVOTDATA("XBT4",'binhtrung (2016)'!$A$3,"MA_HT","RDD","MA_QH","DYT")</f>
        <v>0</v>
      </c>
      <c r="AH15" s="35">
        <f>+GETPIVOTDATA("XBT4",'binhtrung (2016)'!$A$3,"MA_HT","RDD","MA_QH","DGD")</f>
        <v>0</v>
      </c>
      <c r="AI15" s="35">
        <f>+GETPIVOTDATA("XBT4",'binhtrung (2016)'!$A$3,"MA_HT","RDD","MA_QH","DTT")</f>
        <v>0</v>
      </c>
      <c r="AJ15" s="35">
        <f>+GETPIVOTDATA("XBT4",'binhtrung (2016)'!$A$3,"MA_HT","RDD","MA_QH","NCK")</f>
        <v>0</v>
      </c>
      <c r="AK15" s="35">
        <f>+GETPIVOTDATA("XBT4",'binhtrung (2016)'!$A$3,"MA_HT","RDD","MA_QH","DXH")</f>
        <v>0</v>
      </c>
      <c r="AL15" s="35">
        <f>+GETPIVOTDATA("XBT4",'binhtrung (2016)'!$A$3,"MA_HT","RDD","MA_QH","DCH")</f>
        <v>0</v>
      </c>
      <c r="AM15" s="35">
        <f>+GETPIVOTDATA("XBT4",'binhtrung (2016)'!$A$3,"MA_HT","RDD","MA_QH","DKG")</f>
        <v>0</v>
      </c>
      <c r="AN15" s="35">
        <f>+GETPIVOTDATA("XBT4",'binhtrung (2016)'!$A$3,"MA_HT","RDD","MA_QH","DDT")</f>
        <v>0</v>
      </c>
      <c r="AO15" s="35">
        <f>+GETPIVOTDATA("XBT4",'binhtrung (2016)'!$A$3,"MA_HT","RDD","MA_QH","DDL")</f>
        <v>0</v>
      </c>
      <c r="AP15" s="35">
        <f>+GETPIVOTDATA("XBT4",'binhtrung (2016)'!$A$3,"MA_HT","RDD","MA_QH","DRA")</f>
        <v>0</v>
      </c>
      <c r="AQ15" s="35">
        <f>+GETPIVOTDATA("XBT4",'binhtrung (2016)'!$A$3,"MA_HT","RDD","MA_QH","ONT")</f>
        <v>0</v>
      </c>
      <c r="AR15" s="35">
        <f>+GETPIVOTDATA("XBT4",'binhtrung (2016)'!$A$3,"MA_HT","RDD","MA_QH","ODT")</f>
        <v>0</v>
      </c>
      <c r="AS15" s="35">
        <f>+GETPIVOTDATA("XBT4",'binhtrung (2016)'!$A$3,"MA_HT","RDD","MA_QH","TSC")</f>
        <v>0</v>
      </c>
      <c r="AT15" s="35">
        <f>+GETPIVOTDATA("XBT4",'binhtrung (2016)'!$A$3,"MA_HT","RDD","MA_QH","DTS")</f>
        <v>0</v>
      </c>
      <c r="AU15" s="35">
        <f>+GETPIVOTDATA("XBT4",'binhtrung (2016)'!$A$3,"MA_HT","RDD","MA_QH","DNG")</f>
        <v>0</v>
      </c>
      <c r="AV15" s="35">
        <f>+GETPIVOTDATA("XBT4",'binhtrung (2016)'!$A$3,"MA_HT","RDD","MA_QH","TON")</f>
        <v>0</v>
      </c>
      <c r="AW15" s="35">
        <f>+GETPIVOTDATA("XBT4",'binhtrung (2016)'!$A$3,"MA_HT","RDD","MA_QH","NTD")</f>
        <v>0</v>
      </c>
      <c r="AX15" s="35">
        <f>+GETPIVOTDATA("XBT4",'binhtrung (2016)'!$A$3,"MA_HT","RDD","MA_QH","SKX")</f>
        <v>0</v>
      </c>
      <c r="AY15" s="35">
        <f>+GETPIVOTDATA("XBT4",'binhtrung (2016)'!$A$3,"MA_HT","RDD","MA_QH","DSH")</f>
        <v>0</v>
      </c>
      <c r="AZ15" s="35">
        <f>+GETPIVOTDATA("XBT4",'binhtrung (2016)'!$A$3,"MA_HT","RDD","MA_QH","DKV")</f>
        <v>0</v>
      </c>
      <c r="BA15" s="140">
        <f>+GETPIVOTDATA("XBT4",'binhtrung (2016)'!$A$3,"MA_HT","RDD","MA_QH","TIN")</f>
        <v>0</v>
      </c>
      <c r="BB15" s="74">
        <f>+GETPIVOTDATA("XBT4",'binhtrung (2016)'!$A$3,"MA_HT","RDD","MA_QH","SON")</f>
        <v>0</v>
      </c>
      <c r="BC15" s="74">
        <f>+GETPIVOTDATA("XBT4",'binhtrung (2016)'!$A$3,"MA_HT","RDD","MA_QH","MNC")</f>
        <v>0</v>
      </c>
      <c r="BD15" s="35">
        <f>+GETPIVOTDATA("XBT4",'binhtrung (2016)'!$A$3,"MA_HT","RDD","MA_QH","PNK")</f>
        <v>0</v>
      </c>
      <c r="BE15" s="58">
        <f>+GETPIVOTDATA("XBT4",'binhtrung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+GETPIVOTDATA("XBT4",'binhtrung (2016)'!$A$3,"MA_HT","NTS","MA_QH","LUC")</f>
        <v>0</v>
      </c>
      <c r="H16" s="35">
        <f>+GETPIVOTDATA("XBT4",'binhtrung (2016)'!$A$3,"MA_HT","NTS","MA_QH","LUK")</f>
        <v>0</v>
      </c>
      <c r="I16" s="35">
        <f>+GETPIVOTDATA("XBT4",'binhtrung (2016)'!$A$3,"MA_HT","NTS","MA_QH","LUN")</f>
        <v>0</v>
      </c>
      <c r="J16" s="35">
        <f>+GETPIVOTDATA("XBT4",'binhtrung (2016)'!$A$3,"MA_HT","NTS","MA_QH","HNK")</f>
        <v>0</v>
      </c>
      <c r="K16" s="35">
        <f>+GETPIVOTDATA("XBT4",'binhtrung (2016)'!$A$3,"MA_HT","NTS","MA_QH","CLN")</f>
        <v>0</v>
      </c>
      <c r="L16" s="35">
        <f>+GETPIVOTDATA("XBT4",'binhtrung (2016)'!$A$3,"MA_HT","NTS","MA_QH","RSX")</f>
        <v>0</v>
      </c>
      <c r="M16" s="35">
        <f>+GETPIVOTDATA("XBT4",'binhtrung (2016)'!$A$3,"MA_HT","NTS","MA_QH","RPH")</f>
        <v>0</v>
      </c>
      <c r="N16" s="35">
        <f>+GETPIVOTDATA("XBT4",'binhtrung (2016)'!$A$3,"MA_HT","NTS","MA_QH","RDD")</f>
        <v>0</v>
      </c>
      <c r="O16" s="99" t="e">
        <f>$D16-$BF16</f>
        <v>#REF!</v>
      </c>
      <c r="P16" s="35">
        <f>+GETPIVOTDATA("XBT4",'binhtrung (2016)'!$A$3,"MA_HT","NTS","MA_QH","LMU")</f>
        <v>0</v>
      </c>
      <c r="Q16" s="35">
        <f>+GETPIVOTDATA("XBT4",'binhtrung (2016)'!$A$3,"MA_HT","NTS","MA_QH","NKH")</f>
        <v>0</v>
      </c>
      <c r="R16" s="63">
        <f t="shared" si="2"/>
        <v>0</v>
      </c>
      <c r="S16" s="35">
        <f>+GETPIVOTDATA("XBT4",'binhtrung (2016)'!$A$3,"MA_HT","NTS","MA_QH","CQP")</f>
        <v>0</v>
      </c>
      <c r="T16" s="35">
        <f>+GETPIVOTDATA("XBT4",'binhtrung (2016)'!$A$3,"MA_HT","NTS","MA_QH","CAN")</f>
        <v>0</v>
      </c>
      <c r="U16" s="35">
        <f>+GETPIVOTDATA("XBT4",'binhtrung (2016)'!$A$3,"MA_HT","NTS","MA_QH","SKK")</f>
        <v>0</v>
      </c>
      <c r="V16" s="35">
        <f>+GETPIVOTDATA("XBT4",'binhtrung (2016)'!$A$3,"MA_HT","NTS","MA_QH","SKT")</f>
        <v>0</v>
      </c>
      <c r="W16" s="35">
        <f>+GETPIVOTDATA("XBT4",'binhtrung (2016)'!$A$3,"MA_HT","NTS","MA_QH","SKN")</f>
        <v>0</v>
      </c>
      <c r="X16" s="35">
        <f>+GETPIVOTDATA("XBT4",'binhtrung (2016)'!$A$3,"MA_HT","NTS","MA_QH","TMD")</f>
        <v>0</v>
      </c>
      <c r="Y16" s="35">
        <f>+GETPIVOTDATA("XBT4",'binhtrung (2016)'!$A$3,"MA_HT","NTS","MA_QH","SKC")</f>
        <v>0</v>
      </c>
      <c r="Z16" s="35">
        <f>+GETPIVOTDATA("XBT4",'binhtrung (2016)'!$A$3,"MA_HT","NTS","MA_QH","SKS")</f>
        <v>0</v>
      </c>
      <c r="AA16" s="64">
        <f t="shared" si="4"/>
        <v>0</v>
      </c>
      <c r="AB16" s="35">
        <f>+GETPIVOTDATA("XBT4",'binhtrung (2016)'!$A$3,"MA_HT","NTS","MA_QH","DGT")</f>
        <v>0</v>
      </c>
      <c r="AC16" s="35">
        <f>+GETPIVOTDATA("XBT4",'binhtrung (2016)'!$A$3,"MA_HT","NTS","MA_QH","DTL")</f>
        <v>0</v>
      </c>
      <c r="AD16" s="35">
        <f>+GETPIVOTDATA("XBT4",'binhtrung (2016)'!$A$3,"MA_HT","NTS","MA_QH","DNL")</f>
        <v>0</v>
      </c>
      <c r="AE16" s="35">
        <f>+GETPIVOTDATA("XBT4",'binhtrung (2016)'!$A$3,"MA_HT","NTS","MA_QH","DBV")</f>
        <v>0</v>
      </c>
      <c r="AF16" s="35">
        <f>+GETPIVOTDATA("XBT4",'binhtrung (2016)'!$A$3,"MA_HT","NTS","MA_QH","DVH")</f>
        <v>0</v>
      </c>
      <c r="AG16" s="35">
        <f>+GETPIVOTDATA("XBT4",'binhtrung (2016)'!$A$3,"MA_HT","NTS","MA_QH","DYT")</f>
        <v>0</v>
      </c>
      <c r="AH16" s="35">
        <f>+GETPIVOTDATA("XBT4",'binhtrung (2016)'!$A$3,"MA_HT","NTS","MA_QH","DGD")</f>
        <v>0</v>
      </c>
      <c r="AI16" s="35">
        <f>+GETPIVOTDATA("XBT4",'binhtrung (2016)'!$A$3,"MA_HT","NTS","MA_QH","DTT")</f>
        <v>0</v>
      </c>
      <c r="AJ16" s="35">
        <f>+GETPIVOTDATA("XBT4",'binhtrung (2016)'!$A$3,"MA_HT","NTS","MA_QH","NCK")</f>
        <v>0</v>
      </c>
      <c r="AK16" s="35">
        <f>+GETPIVOTDATA("XBT4",'binhtrung (2016)'!$A$3,"MA_HT","NTS","MA_QH","DXH")</f>
        <v>0</v>
      </c>
      <c r="AL16" s="35">
        <f>+GETPIVOTDATA("XBT4",'binhtrung (2016)'!$A$3,"MA_HT","NTS","MA_QH","DCH")</f>
        <v>0</v>
      </c>
      <c r="AM16" s="35">
        <f>+GETPIVOTDATA("XBT4",'binhtrung (2016)'!$A$3,"MA_HT","NTS","MA_QH","DKG")</f>
        <v>0</v>
      </c>
      <c r="AN16" s="35">
        <f>+GETPIVOTDATA("XBT4",'binhtrung (2016)'!$A$3,"MA_HT","NTS","MA_QH","DDT")</f>
        <v>0</v>
      </c>
      <c r="AO16" s="35">
        <f>+GETPIVOTDATA("XBT4",'binhtrung (2016)'!$A$3,"MA_HT","NTS","MA_QH","DDL")</f>
        <v>0</v>
      </c>
      <c r="AP16" s="35">
        <f>+GETPIVOTDATA("XBT4",'binhtrung (2016)'!$A$3,"MA_HT","NTS","MA_QH","DRA")</f>
        <v>0</v>
      </c>
      <c r="AQ16" s="35">
        <f>+GETPIVOTDATA("XBT4",'binhtrung (2016)'!$A$3,"MA_HT","NTS","MA_QH","ONT")</f>
        <v>0</v>
      </c>
      <c r="AR16" s="35">
        <f>+GETPIVOTDATA("XBT4",'binhtrung (2016)'!$A$3,"MA_HT","NTS","MA_QH","ODT")</f>
        <v>0</v>
      </c>
      <c r="AS16" s="35">
        <f>+GETPIVOTDATA("XBT4",'binhtrung (2016)'!$A$3,"MA_HT","NTS","MA_QH","TSC")</f>
        <v>0</v>
      </c>
      <c r="AT16" s="35">
        <f>+GETPIVOTDATA("XBT4",'binhtrung (2016)'!$A$3,"MA_HT","NTS","MA_QH","DTS")</f>
        <v>0</v>
      </c>
      <c r="AU16" s="35">
        <f>+GETPIVOTDATA("XBT4",'binhtrung (2016)'!$A$3,"MA_HT","NTS","MA_QH","DNG")</f>
        <v>0</v>
      </c>
      <c r="AV16" s="35">
        <f>+GETPIVOTDATA("XBT4",'binhtrung (2016)'!$A$3,"MA_HT","NTS","MA_QH","TON")</f>
        <v>0</v>
      </c>
      <c r="AW16" s="35">
        <f>+GETPIVOTDATA("XBT4",'binhtrung (2016)'!$A$3,"MA_HT","NTS","MA_QH","NTD")</f>
        <v>0</v>
      </c>
      <c r="AX16" s="35">
        <f>+GETPIVOTDATA("XBT4",'binhtrung (2016)'!$A$3,"MA_HT","NTS","MA_QH","SKX")</f>
        <v>0</v>
      </c>
      <c r="AY16" s="35">
        <f>+GETPIVOTDATA("XBT4",'binhtrung (2016)'!$A$3,"MA_HT","NTS","MA_QH","DSH")</f>
        <v>0</v>
      </c>
      <c r="AZ16" s="35">
        <f>+GETPIVOTDATA("XBT4",'binhtrung (2016)'!$A$3,"MA_HT","NTS","MA_QH","DKV")</f>
        <v>0</v>
      </c>
      <c r="BA16" s="140">
        <f>+GETPIVOTDATA("XBT4",'binhtrung (2016)'!$A$3,"MA_HT","NTS","MA_QH","TIN")</f>
        <v>0</v>
      </c>
      <c r="BB16" s="74">
        <f>+GETPIVOTDATA("XBT4",'binhtrung (2016)'!$A$3,"MA_HT","NTS","MA_QH","SON")</f>
        <v>0</v>
      </c>
      <c r="BC16" s="74">
        <f>+GETPIVOTDATA("XBT4",'binhtrung (2016)'!$A$3,"MA_HT","NTS","MA_QH","MNC")</f>
        <v>0</v>
      </c>
      <c r="BD16" s="35">
        <f>+GETPIVOTDATA("XBT4",'binhtrung (2016)'!$A$3,"MA_HT","NTS","MA_QH","PNK")</f>
        <v>0</v>
      </c>
      <c r="BE16" s="58">
        <f>+GETPIVOTDATA("XBT4",'binhtrung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+GETPIVOTDATA("XBT4",'binhtrung (2016)'!$A$3,"MA_HT","LMU","MA_QH","LUC")</f>
        <v>0</v>
      </c>
      <c r="H17" s="35">
        <f>+GETPIVOTDATA("XBT4",'binhtrung (2016)'!$A$3,"MA_HT","LMU","MA_QH","LUK")</f>
        <v>0</v>
      </c>
      <c r="I17" s="35">
        <f>+GETPIVOTDATA("XBT4",'binhtrung (2016)'!$A$3,"MA_HT","LMU","MA_QH","LUN")</f>
        <v>0</v>
      </c>
      <c r="J17" s="35">
        <f>+GETPIVOTDATA("XBT4",'binhtrung (2016)'!$A$3,"MA_HT","LMU","MA_QH","HNK")</f>
        <v>0</v>
      </c>
      <c r="K17" s="35">
        <f>+GETPIVOTDATA("XBT4",'binhtrung (2016)'!$A$3,"MA_HT","LMU","MA_QH","CLN")</f>
        <v>0</v>
      </c>
      <c r="L17" s="35">
        <f>+GETPIVOTDATA("XBT4",'binhtrung (2016)'!$A$3,"MA_HT","LMU","MA_QH","RSX")</f>
        <v>0</v>
      </c>
      <c r="M17" s="35">
        <f>+GETPIVOTDATA("XBT4",'binhtrung (2016)'!$A$3,"MA_HT","LMU","MA_QH","RPH")</f>
        <v>0</v>
      </c>
      <c r="N17" s="35">
        <f>+GETPIVOTDATA("XBT4",'binhtrung (2016)'!$A$3,"MA_HT","LMU","MA_QH","RDD")</f>
        <v>0</v>
      </c>
      <c r="O17" s="35">
        <f>+GETPIVOTDATA("XBT4",'binhtrung (2016)'!$A$3,"MA_HT","LMU","MA_QH","NTS")</f>
        <v>0</v>
      </c>
      <c r="P17" s="99" t="e">
        <f>$D17-$BF17</f>
        <v>#REF!</v>
      </c>
      <c r="Q17" s="35">
        <f>+GETPIVOTDATA("XBT4",'binhtrung (2016)'!$A$3,"MA_HT","LMU","MA_QH","NKH")</f>
        <v>0</v>
      </c>
      <c r="R17" s="63">
        <f t="shared" si="2"/>
        <v>0</v>
      </c>
      <c r="S17" s="35">
        <f>+GETPIVOTDATA("XBT4",'binhtrung (2016)'!$A$3,"MA_HT","LMU","MA_QH","CQP")</f>
        <v>0</v>
      </c>
      <c r="T17" s="35">
        <f>+GETPIVOTDATA("XBT4",'binhtrung (2016)'!$A$3,"MA_HT","LMU","MA_QH","CAN")</f>
        <v>0</v>
      </c>
      <c r="U17" s="35">
        <f>+GETPIVOTDATA("XBT4",'binhtrung (2016)'!$A$3,"MA_HT","LMU","MA_QH","SKK")</f>
        <v>0</v>
      </c>
      <c r="V17" s="35">
        <f>+GETPIVOTDATA("XBT4",'binhtrung (2016)'!$A$3,"MA_HT","LMU","MA_QH","SKT")</f>
        <v>0</v>
      </c>
      <c r="W17" s="35">
        <f>+GETPIVOTDATA("XBT4",'binhtrung (2016)'!$A$3,"MA_HT","LMU","MA_QH","SKN")</f>
        <v>0</v>
      </c>
      <c r="X17" s="35">
        <f>+GETPIVOTDATA("XBT4",'binhtrung (2016)'!$A$3,"MA_HT","LMU","MA_QH","TMD")</f>
        <v>0</v>
      </c>
      <c r="Y17" s="35">
        <f>+GETPIVOTDATA("XBT4",'binhtrung (2016)'!$A$3,"MA_HT","LMU","MA_QH","SKC")</f>
        <v>0</v>
      </c>
      <c r="Z17" s="35">
        <f>+GETPIVOTDATA("XBT4",'binhtrung (2016)'!$A$3,"MA_HT","LMU","MA_QH","SKS")</f>
        <v>0</v>
      </c>
      <c r="AA17" s="64">
        <f t="shared" si="4"/>
        <v>0</v>
      </c>
      <c r="AB17" s="35">
        <f>+GETPIVOTDATA("XBT4",'binhtrung (2016)'!$A$3,"MA_HT","LMU","MA_QH","DGT")</f>
        <v>0</v>
      </c>
      <c r="AC17" s="35">
        <f>+GETPIVOTDATA("XBT4",'binhtrung (2016)'!$A$3,"MA_HT","LMU","MA_QH","DTL")</f>
        <v>0</v>
      </c>
      <c r="AD17" s="35">
        <f>+GETPIVOTDATA("XBT4",'binhtrung (2016)'!$A$3,"MA_HT","LMU","MA_QH","DNL")</f>
        <v>0</v>
      </c>
      <c r="AE17" s="35">
        <f>+GETPIVOTDATA("XBT4",'binhtrung (2016)'!$A$3,"MA_HT","LMU","MA_QH","DBV")</f>
        <v>0</v>
      </c>
      <c r="AF17" s="35">
        <f>+GETPIVOTDATA("XBT4",'binhtrung (2016)'!$A$3,"MA_HT","LMU","MA_QH","DVH")</f>
        <v>0</v>
      </c>
      <c r="AG17" s="35">
        <f>+GETPIVOTDATA("XBT4",'binhtrung (2016)'!$A$3,"MA_HT","LMU","MA_QH","DYT")</f>
        <v>0</v>
      </c>
      <c r="AH17" s="35">
        <f>+GETPIVOTDATA("XBT4",'binhtrung (2016)'!$A$3,"MA_HT","LMU","MA_QH","DGD")</f>
        <v>0</v>
      </c>
      <c r="AI17" s="35">
        <f>+GETPIVOTDATA("XBT4",'binhtrung (2016)'!$A$3,"MA_HT","LMU","MA_QH","DTT")</f>
        <v>0</v>
      </c>
      <c r="AJ17" s="35">
        <f>+GETPIVOTDATA("XBT4",'binhtrung (2016)'!$A$3,"MA_HT","LMU","MA_QH","NCK")</f>
        <v>0</v>
      </c>
      <c r="AK17" s="35">
        <f>+GETPIVOTDATA("XBT4",'binhtrung (2016)'!$A$3,"MA_HT","LMU","MA_QH","DXH")</f>
        <v>0</v>
      </c>
      <c r="AL17" s="35">
        <f>+GETPIVOTDATA("XBT4",'binhtrung (2016)'!$A$3,"MA_HT","LMU","MA_QH","DCH")</f>
        <v>0</v>
      </c>
      <c r="AM17" s="35">
        <f>+GETPIVOTDATA("XBT4",'binhtrung (2016)'!$A$3,"MA_HT","LMU","MA_QH","DKG")</f>
        <v>0</v>
      </c>
      <c r="AN17" s="35">
        <f>+GETPIVOTDATA("XBT4",'binhtrung (2016)'!$A$3,"MA_HT","LMU","MA_QH","DDT")</f>
        <v>0</v>
      </c>
      <c r="AO17" s="35">
        <f>+GETPIVOTDATA("XBT4",'binhtrung (2016)'!$A$3,"MA_HT","LMU","MA_QH","DDL")</f>
        <v>0</v>
      </c>
      <c r="AP17" s="35">
        <f>+GETPIVOTDATA("XBT4",'binhtrung (2016)'!$A$3,"MA_HT","LMU","MA_QH","DRA")</f>
        <v>0</v>
      </c>
      <c r="AQ17" s="35">
        <f>+GETPIVOTDATA("XBT4",'binhtrung (2016)'!$A$3,"MA_HT","LMU","MA_QH","ONT")</f>
        <v>0</v>
      </c>
      <c r="AR17" s="35">
        <f>+GETPIVOTDATA("XBT4",'binhtrung (2016)'!$A$3,"MA_HT","LMU","MA_QH","ODT")</f>
        <v>0</v>
      </c>
      <c r="AS17" s="35">
        <f>+GETPIVOTDATA("XBT4",'binhtrung (2016)'!$A$3,"MA_HT","LMU","MA_QH","TSC")</f>
        <v>0</v>
      </c>
      <c r="AT17" s="35">
        <f>+GETPIVOTDATA("XBT4",'binhtrung (2016)'!$A$3,"MA_HT","LMU","MA_QH","DTS")</f>
        <v>0</v>
      </c>
      <c r="AU17" s="35">
        <f>+GETPIVOTDATA("XBT4",'binhtrung (2016)'!$A$3,"MA_HT","LMU","MA_QH","DNG")</f>
        <v>0</v>
      </c>
      <c r="AV17" s="35">
        <f>+GETPIVOTDATA("XBT4",'binhtrung (2016)'!$A$3,"MA_HT","LMU","MA_QH","TON")</f>
        <v>0</v>
      </c>
      <c r="AW17" s="35">
        <f>+GETPIVOTDATA("XBT4",'binhtrung (2016)'!$A$3,"MA_HT","LMU","MA_QH","NTD")</f>
        <v>0</v>
      </c>
      <c r="AX17" s="35">
        <f>+GETPIVOTDATA("XBT4",'binhtrung (2016)'!$A$3,"MA_HT","LMU","MA_QH","SKX")</f>
        <v>0</v>
      </c>
      <c r="AY17" s="35">
        <f>+GETPIVOTDATA("XBT4",'binhtrung (2016)'!$A$3,"MA_HT","LMU","MA_QH","DSH")</f>
        <v>0</v>
      </c>
      <c r="AZ17" s="35">
        <f>+GETPIVOTDATA("XBT4",'binhtrung (2016)'!$A$3,"MA_HT","LMU","MA_QH","DKV")</f>
        <v>0</v>
      </c>
      <c r="BA17" s="140">
        <f>+GETPIVOTDATA("XBT4",'binhtrung (2016)'!$A$3,"MA_HT","LMU","MA_QH","TIN")</f>
        <v>0</v>
      </c>
      <c r="BB17" s="74">
        <f>+GETPIVOTDATA("XBT4",'binhtrung (2016)'!$A$3,"MA_HT","LMU","MA_QH","SON")</f>
        <v>0</v>
      </c>
      <c r="BC17" s="74">
        <f>+GETPIVOTDATA("XBT4",'binhtrung (2016)'!$A$3,"MA_HT","LMU","MA_QH","MNC")</f>
        <v>0</v>
      </c>
      <c r="BD17" s="35">
        <f>+GETPIVOTDATA("XBT4",'binhtrung (2016)'!$A$3,"MA_HT","LMU","MA_QH","PNK")</f>
        <v>0</v>
      </c>
      <c r="BE17" s="58">
        <f>+GETPIVOTDATA("XBT4",'binhtrung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+GETPIVOTDATA("XBT4",'binhtrung (2016)'!$A$3,"MA_HT","NKH","MA_QH","LUC")</f>
        <v>0</v>
      </c>
      <c r="H18" s="35">
        <f>+GETPIVOTDATA("XBT4",'binhtrung (2016)'!$A$3,"MA_HT","NKH","MA_QH","LUK")</f>
        <v>0</v>
      </c>
      <c r="I18" s="35">
        <f>+GETPIVOTDATA("XBT4",'binhtrung (2016)'!$A$3,"MA_HT","NKH","MA_QH","LUN")</f>
        <v>0</v>
      </c>
      <c r="J18" s="35">
        <f>+GETPIVOTDATA("XBT4",'binhtrung (2016)'!$A$3,"MA_HT","NKH","MA_QH","HNK")</f>
        <v>0</v>
      </c>
      <c r="K18" s="35">
        <f>+GETPIVOTDATA("XBT4",'binhtrung (2016)'!$A$3,"MA_HT","NKH","MA_QH","CLN")</f>
        <v>0</v>
      </c>
      <c r="L18" s="35">
        <f>+GETPIVOTDATA("XBT4",'binhtrung (2016)'!$A$3,"MA_HT","NKH","MA_QH","RSX")</f>
        <v>0</v>
      </c>
      <c r="M18" s="35">
        <f>+GETPIVOTDATA("XBT4",'binhtrung (2016)'!$A$3,"MA_HT","NKH","MA_QH","RPH")</f>
        <v>0</v>
      </c>
      <c r="N18" s="35">
        <f>+GETPIVOTDATA("XBT4",'binhtrung (2016)'!$A$3,"MA_HT","NKH","MA_QH","RDD")</f>
        <v>0</v>
      </c>
      <c r="O18" s="35">
        <f>+GETPIVOTDATA("XBT4",'binhtrung (2016)'!$A$3,"MA_HT","NKH","MA_QH","NTS")</f>
        <v>0</v>
      </c>
      <c r="P18" s="35">
        <f>+GETPIVOTDATA("XBT4",'binhtrung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+GETPIVOTDATA("XBT4",'binhtrung (2016)'!$A$3,"MA_HT","NKH","MA_QH","CQP")</f>
        <v>0</v>
      </c>
      <c r="T18" s="35">
        <f>+GETPIVOTDATA("XBT4",'binhtrung (2016)'!$A$3,"MA_HT","NKH","MA_QH","CAN")</f>
        <v>0</v>
      </c>
      <c r="U18" s="35">
        <f>+GETPIVOTDATA("XBT4",'binhtrung (2016)'!$A$3,"MA_HT","NKH","MA_QH","SKK")</f>
        <v>0</v>
      </c>
      <c r="V18" s="35">
        <f>+GETPIVOTDATA("XBT4",'binhtrung (2016)'!$A$3,"MA_HT","NKH","MA_QH","SKT")</f>
        <v>0</v>
      </c>
      <c r="W18" s="35">
        <f>+GETPIVOTDATA("XBT4",'binhtrung (2016)'!$A$3,"MA_HT","NKH","MA_QH","SKN")</f>
        <v>0</v>
      </c>
      <c r="X18" s="35">
        <f>+GETPIVOTDATA("XBT4",'binhtrung (2016)'!$A$3,"MA_HT","NKH","MA_QH","TMD")</f>
        <v>0</v>
      </c>
      <c r="Y18" s="35">
        <f>+GETPIVOTDATA("XBT4",'binhtrung (2016)'!$A$3,"MA_HT","NKH","MA_QH","SKC")</f>
        <v>0</v>
      </c>
      <c r="Z18" s="35">
        <f>+GETPIVOTDATA("XBT4",'binhtrung (2016)'!$A$3,"MA_HT","NKH","MA_QH","SKS")</f>
        <v>0</v>
      </c>
      <c r="AA18" s="64">
        <f t="shared" si="4"/>
        <v>0</v>
      </c>
      <c r="AB18" s="35">
        <f>+GETPIVOTDATA("XBT4",'binhtrung (2016)'!$A$3,"MA_HT","NKH","MA_QH","DGT")</f>
        <v>0</v>
      </c>
      <c r="AC18" s="35">
        <f>+GETPIVOTDATA("XBT4",'binhtrung (2016)'!$A$3,"MA_HT","NKH","MA_QH","DTL")</f>
        <v>0</v>
      </c>
      <c r="AD18" s="35">
        <f>+GETPIVOTDATA("XBT4",'binhtrung (2016)'!$A$3,"MA_HT","NKH","MA_QH","DNL")</f>
        <v>0</v>
      </c>
      <c r="AE18" s="35">
        <f>+GETPIVOTDATA("XBT4",'binhtrung (2016)'!$A$3,"MA_HT","NKH","MA_QH","DBV")</f>
        <v>0</v>
      </c>
      <c r="AF18" s="35">
        <f>+GETPIVOTDATA("XBT4",'binhtrung (2016)'!$A$3,"MA_HT","NKH","MA_QH","DVH")</f>
        <v>0</v>
      </c>
      <c r="AG18" s="35">
        <f>+GETPIVOTDATA("XBT4",'binhtrung (2016)'!$A$3,"MA_HT","NKH","MA_QH","DYT")</f>
        <v>0</v>
      </c>
      <c r="AH18" s="35">
        <f>+GETPIVOTDATA("XBT4",'binhtrung (2016)'!$A$3,"MA_HT","NKH","MA_QH","DGD")</f>
        <v>0</v>
      </c>
      <c r="AI18" s="35">
        <f>+GETPIVOTDATA("XBT4",'binhtrung (2016)'!$A$3,"MA_HT","NKH","MA_QH","DTT")</f>
        <v>0</v>
      </c>
      <c r="AJ18" s="35">
        <f>+GETPIVOTDATA("XBT4",'binhtrung (2016)'!$A$3,"MA_HT","NKH","MA_QH","NCK")</f>
        <v>0</v>
      </c>
      <c r="AK18" s="35">
        <f>+GETPIVOTDATA("XBT4",'binhtrung (2016)'!$A$3,"MA_HT","NKH","MA_QH","DXH")</f>
        <v>0</v>
      </c>
      <c r="AL18" s="35">
        <f>+GETPIVOTDATA("XBT4",'binhtrung (2016)'!$A$3,"MA_HT","NKH","MA_QH","DCH")</f>
        <v>0</v>
      </c>
      <c r="AM18" s="35">
        <f>+GETPIVOTDATA("XBT4",'binhtrung (2016)'!$A$3,"MA_HT","NKH","MA_QH","DKG")</f>
        <v>0</v>
      </c>
      <c r="AN18" s="35">
        <f>+GETPIVOTDATA("XBT4",'binhtrung (2016)'!$A$3,"MA_HT","NKH","MA_QH","DDT")</f>
        <v>0</v>
      </c>
      <c r="AO18" s="35">
        <f>+GETPIVOTDATA("XBT4",'binhtrung (2016)'!$A$3,"MA_HT","NKH","MA_QH","DDL")</f>
        <v>0</v>
      </c>
      <c r="AP18" s="35">
        <f>+GETPIVOTDATA("XBT4",'binhtrung (2016)'!$A$3,"MA_HT","NKH","MA_QH","DRA")</f>
        <v>0</v>
      </c>
      <c r="AQ18" s="35">
        <f>+GETPIVOTDATA("XBT4",'binhtrung (2016)'!$A$3,"MA_HT","NKH","MA_QH","ONT")</f>
        <v>0</v>
      </c>
      <c r="AR18" s="35">
        <f>+GETPIVOTDATA("XBT4",'binhtrung (2016)'!$A$3,"MA_HT","NKH","MA_QH","ODT")</f>
        <v>0</v>
      </c>
      <c r="AS18" s="35">
        <f>+GETPIVOTDATA("XBT4",'binhtrung (2016)'!$A$3,"MA_HT","NKH","MA_QH","TSC")</f>
        <v>0</v>
      </c>
      <c r="AT18" s="35">
        <f>+GETPIVOTDATA("XBT4",'binhtrung (2016)'!$A$3,"MA_HT","NKH","MA_QH","DTS")</f>
        <v>0</v>
      </c>
      <c r="AU18" s="35">
        <f>+GETPIVOTDATA("XBT4",'binhtrung (2016)'!$A$3,"MA_HT","NKH","MA_QH","DNG")</f>
        <v>0</v>
      </c>
      <c r="AV18" s="35">
        <f>+GETPIVOTDATA("XBT4",'binhtrung (2016)'!$A$3,"MA_HT","NKH","MA_QH","TON")</f>
        <v>0</v>
      </c>
      <c r="AW18" s="35">
        <f>+GETPIVOTDATA("XBT4",'binhtrung (2016)'!$A$3,"MA_HT","NKH","MA_QH","NTD")</f>
        <v>0</v>
      </c>
      <c r="AX18" s="35">
        <f>+GETPIVOTDATA("XBT4",'binhtrung (2016)'!$A$3,"MA_HT","NKH","MA_QH","SKX")</f>
        <v>0</v>
      </c>
      <c r="AY18" s="35">
        <f>+GETPIVOTDATA("XBT4",'binhtrung (2016)'!$A$3,"MA_HT","NKH","MA_QH","DSH")</f>
        <v>0</v>
      </c>
      <c r="AZ18" s="35">
        <f>+GETPIVOTDATA("XBT4",'binhtrung (2016)'!$A$3,"MA_HT","NKH","MA_QH","DKV")</f>
        <v>0</v>
      </c>
      <c r="BA18" s="140">
        <f>+GETPIVOTDATA("XBT4",'binhtrung (2016)'!$A$3,"MA_HT","NKH","MA_QH","TIN")</f>
        <v>0</v>
      </c>
      <c r="BB18" s="74">
        <f>+GETPIVOTDATA("XBT4",'binhtrung (2016)'!$A$3,"MA_HT","NKH","MA_QH","SON")</f>
        <v>0</v>
      </c>
      <c r="BC18" s="74">
        <f>+GETPIVOTDATA("XBT4",'binhtrung (2016)'!$A$3,"MA_HT","NKH","MA_QH","MNC")</f>
        <v>0</v>
      </c>
      <c r="BD18" s="35">
        <f>+GETPIVOTDATA("XBT4",'binhtrung (2016)'!$A$3,"MA_HT","NKH","MA_QH","PNK")</f>
        <v>0</v>
      </c>
      <c r="BE18" s="58">
        <f>+GETPIVOTDATA("XBT4",'binhtrung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+GETPIVOTDATA("XBT4",'binhtrung (2016)'!$A$3,"MA_HT","CQP","MA_QH","LUC")</f>
        <v>0</v>
      </c>
      <c r="H20" s="35">
        <f>+GETPIVOTDATA("XBT4",'binhtrung (2016)'!$A$3,"MA_HT","CQP","MA_QH","LUK")</f>
        <v>0</v>
      </c>
      <c r="I20" s="35">
        <f>+GETPIVOTDATA("XBT4",'binhtrung (2016)'!$A$3,"MA_HT","CQP","MA_QH","LUN")</f>
        <v>0</v>
      </c>
      <c r="J20" s="35">
        <f>+GETPIVOTDATA("XBT4",'binhtrung (2016)'!$A$3,"MA_HT","CQP","MA_QH","HNK")</f>
        <v>0</v>
      </c>
      <c r="K20" s="35">
        <f>+GETPIVOTDATA("XBT4",'binhtrung (2016)'!$A$3,"MA_HT","CQP","MA_QH","CLN")</f>
        <v>0</v>
      </c>
      <c r="L20" s="35">
        <f>+GETPIVOTDATA("XBT4",'binhtrung (2016)'!$A$3,"MA_HT","CQP","MA_QH","RSX")</f>
        <v>0</v>
      </c>
      <c r="M20" s="35">
        <f>+GETPIVOTDATA("XBT4",'binhtrung (2016)'!$A$3,"MA_HT","CQP","MA_QH","RPH")</f>
        <v>0</v>
      </c>
      <c r="N20" s="35">
        <f>+GETPIVOTDATA("XBT4",'binhtrung (2016)'!$A$3,"MA_HT","CQP","MA_QH","RDD")</f>
        <v>0</v>
      </c>
      <c r="O20" s="35">
        <f>+GETPIVOTDATA("XBT4",'binhtrung (2016)'!$A$3,"MA_HT","CQP","MA_QH","NTS")</f>
        <v>0</v>
      </c>
      <c r="P20" s="35">
        <f>+GETPIVOTDATA("XBT4",'binhtrung (2016)'!$A$3,"MA_HT","CQP","MA_QH","LMU")</f>
        <v>0</v>
      </c>
      <c r="Q20" s="35">
        <f>+GETPIVOTDATA("XBT4",'binhtrung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+GETPIVOTDATA("XBT4",'binhtrung (2016)'!$A$3,"MA_HT","CQP","MA_QH","CAN")</f>
        <v>0</v>
      </c>
      <c r="U20" s="35">
        <f>+GETPIVOTDATA("XBT4",'binhtrung (2016)'!$A$3,"MA_HT","CQP","MA_QH","SKK")</f>
        <v>0</v>
      </c>
      <c r="V20" s="35">
        <f>+GETPIVOTDATA("XBT4",'binhtrung (2016)'!$A$3,"MA_HT","CQP","MA_QH","SKT")</f>
        <v>0</v>
      </c>
      <c r="W20" s="35">
        <f>+GETPIVOTDATA("XBT4",'binhtrung (2016)'!$A$3,"MA_HT","CQP","MA_QH","SKN")</f>
        <v>0</v>
      </c>
      <c r="X20" s="35">
        <f>+GETPIVOTDATA("XBT4",'binhtrung (2016)'!$A$3,"MA_HT","CQP","MA_QH","TMD")</f>
        <v>0</v>
      </c>
      <c r="Y20" s="35">
        <f>+GETPIVOTDATA("XBT4",'binhtrung (2016)'!$A$3,"MA_HT","CQP","MA_QH","SKC")</f>
        <v>0</v>
      </c>
      <c r="Z20" s="35">
        <f>+GETPIVOTDATA("XBT4",'binhtrung (2016)'!$A$3,"MA_HT","CQP","MA_QH","SKS")</f>
        <v>0</v>
      </c>
      <c r="AA20" s="64">
        <f t="shared" ref="AA20:AA27" si="12">+SUM(AB20:AM20)</f>
        <v>0</v>
      </c>
      <c r="AB20" s="35">
        <f>+GETPIVOTDATA("XBT4",'binhtrung (2016)'!$A$3,"MA_HT","CQP","MA_QH","DGT")</f>
        <v>0</v>
      </c>
      <c r="AC20" s="35">
        <f>+GETPIVOTDATA("XBT4",'binhtrung (2016)'!$A$3,"MA_HT","CQP","MA_QH","DTL")</f>
        <v>0</v>
      </c>
      <c r="AD20" s="35">
        <f>+GETPIVOTDATA("XBT4",'binhtrung (2016)'!$A$3,"MA_HT","CQP","MA_QH","DNL")</f>
        <v>0</v>
      </c>
      <c r="AE20" s="35">
        <f>+GETPIVOTDATA("XBT4",'binhtrung (2016)'!$A$3,"MA_HT","CQP","MA_QH","DBV")</f>
        <v>0</v>
      </c>
      <c r="AF20" s="35">
        <f>+GETPIVOTDATA("XBT4",'binhtrung (2016)'!$A$3,"MA_HT","CQP","MA_QH","DVH")</f>
        <v>0</v>
      </c>
      <c r="AG20" s="35">
        <f>+GETPIVOTDATA("XBT4",'binhtrung (2016)'!$A$3,"MA_HT","CQP","MA_QH","DYT")</f>
        <v>0</v>
      </c>
      <c r="AH20" s="35">
        <f>+GETPIVOTDATA("XBT4",'binhtrung (2016)'!$A$3,"MA_HT","CQP","MA_QH","DGD")</f>
        <v>0</v>
      </c>
      <c r="AI20" s="35">
        <f>+GETPIVOTDATA("XBT4",'binhtrung (2016)'!$A$3,"MA_HT","CQP","MA_QH","DTT")</f>
        <v>0</v>
      </c>
      <c r="AJ20" s="35">
        <f>+GETPIVOTDATA("XBT4",'binhtrung (2016)'!$A$3,"MA_HT","CQP","MA_QH","NCK")</f>
        <v>0</v>
      </c>
      <c r="AK20" s="35">
        <f>+GETPIVOTDATA("XBT4",'binhtrung (2016)'!$A$3,"MA_HT","CQP","MA_QH","DXH")</f>
        <v>0</v>
      </c>
      <c r="AL20" s="35">
        <f>+GETPIVOTDATA("XBT4",'binhtrung (2016)'!$A$3,"MA_HT","CQP","MA_QH","DCH")</f>
        <v>0</v>
      </c>
      <c r="AM20" s="35">
        <f>+GETPIVOTDATA("XBT4",'binhtrung (2016)'!$A$3,"MA_HT","CQP","MA_QH","DKG")</f>
        <v>0</v>
      </c>
      <c r="AN20" s="35">
        <f>+GETPIVOTDATA("XBT4",'binhtrung (2016)'!$A$3,"MA_HT","CQP","MA_QH","DDT")</f>
        <v>0</v>
      </c>
      <c r="AO20" s="35">
        <f>+GETPIVOTDATA("XBT4",'binhtrung (2016)'!$A$3,"MA_HT","CQP","MA_QH","DDL")</f>
        <v>0</v>
      </c>
      <c r="AP20" s="35">
        <f>+GETPIVOTDATA("XBT4",'binhtrung (2016)'!$A$3,"MA_HT","CQP","MA_QH","DRA")</f>
        <v>0</v>
      </c>
      <c r="AQ20" s="35">
        <f>+GETPIVOTDATA("XBT4",'binhtrung (2016)'!$A$3,"MA_HT","CQP","MA_QH","ONT")</f>
        <v>0</v>
      </c>
      <c r="AR20" s="35">
        <f>+GETPIVOTDATA("XBT4",'binhtrung (2016)'!$A$3,"MA_HT","CQP","MA_QH","ODT")</f>
        <v>0</v>
      </c>
      <c r="AS20" s="35">
        <f>+GETPIVOTDATA("XBT4",'binhtrung (2016)'!$A$3,"MA_HT","CQP","MA_QH","TSC")</f>
        <v>0</v>
      </c>
      <c r="AT20" s="35">
        <f>+GETPIVOTDATA("XBT4",'binhtrung (2016)'!$A$3,"MA_HT","CQP","MA_QH","DTS")</f>
        <v>0</v>
      </c>
      <c r="AU20" s="35">
        <f>+GETPIVOTDATA("XBT4",'binhtrung (2016)'!$A$3,"MA_HT","CQP","MA_QH","DNG")</f>
        <v>0</v>
      </c>
      <c r="AV20" s="35">
        <f>+GETPIVOTDATA("XBT4",'binhtrung (2016)'!$A$3,"MA_HT","CQP","MA_QH","TON")</f>
        <v>0</v>
      </c>
      <c r="AW20" s="35">
        <f>+GETPIVOTDATA("XBT4",'binhtrung (2016)'!$A$3,"MA_HT","CQP","MA_QH","NTD")</f>
        <v>0</v>
      </c>
      <c r="AX20" s="35">
        <f>+GETPIVOTDATA("XBT4",'binhtrung (2016)'!$A$3,"MA_HT","CQP","MA_QH","SKX")</f>
        <v>0</v>
      </c>
      <c r="AY20" s="35">
        <f>+GETPIVOTDATA("XBT4",'binhtrung (2016)'!$A$3,"MA_HT","CQP","MA_QH","DSH")</f>
        <v>0</v>
      </c>
      <c r="AZ20" s="35">
        <f>+GETPIVOTDATA("XBT4",'binhtrung (2016)'!$A$3,"MA_HT","CQP","MA_QH","DKV")</f>
        <v>0</v>
      </c>
      <c r="BA20" s="140">
        <f>+GETPIVOTDATA("XBT4",'binhtrung (2016)'!$A$3,"MA_HT","CQP","MA_QH","TIN")</f>
        <v>0</v>
      </c>
      <c r="BB20" s="74">
        <f>+GETPIVOTDATA("XBT4",'binhtrung (2016)'!$A$3,"MA_HT","CQP","MA_QH","SON")</f>
        <v>0</v>
      </c>
      <c r="BC20" s="74">
        <f>+GETPIVOTDATA("XBT4",'binhtrung (2016)'!$A$3,"MA_HT","CQP","MA_QH","MNC")</f>
        <v>0</v>
      </c>
      <c r="BD20" s="35">
        <f>+GETPIVOTDATA("XBT4",'binhtrung (2016)'!$A$3,"MA_HT","CQP","MA_QH","PNK")</f>
        <v>0</v>
      </c>
      <c r="BE20" s="58">
        <f>+GETPIVOTDATA("XBT4",'binhtrung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+GETPIVOTDATA("XBT4",'binhtrung (2016)'!$A$3,"MA_HT","CAN","MA_QH","LUC")</f>
        <v>0</v>
      </c>
      <c r="H21" s="35">
        <f>+GETPIVOTDATA("XBT4",'binhtrung (2016)'!$A$3,"MA_HT","CAN","MA_QH","LUK")</f>
        <v>0</v>
      </c>
      <c r="I21" s="35">
        <f>+GETPIVOTDATA("XBT4",'binhtrung (2016)'!$A$3,"MA_HT","CAN","MA_QH","LUN")</f>
        <v>0</v>
      </c>
      <c r="J21" s="35">
        <f>+GETPIVOTDATA("XBT4",'binhtrung (2016)'!$A$3,"MA_HT","CAN","MA_QH","HNK")</f>
        <v>0</v>
      </c>
      <c r="K21" s="35">
        <f>+GETPIVOTDATA("XBT4",'binhtrung (2016)'!$A$3,"MA_HT","CAN","MA_QH","CLN")</f>
        <v>0</v>
      </c>
      <c r="L21" s="35">
        <f>+GETPIVOTDATA("XBT4",'binhtrung (2016)'!$A$3,"MA_HT","CAN","MA_QH","RSX")</f>
        <v>0</v>
      </c>
      <c r="M21" s="35">
        <f>+GETPIVOTDATA("XBT4",'binhtrung (2016)'!$A$3,"MA_HT","CAN","MA_QH","RPH")</f>
        <v>0</v>
      </c>
      <c r="N21" s="35">
        <f>+GETPIVOTDATA("XBT4",'binhtrung (2016)'!$A$3,"MA_HT","CAN","MA_QH","RDD")</f>
        <v>0</v>
      </c>
      <c r="O21" s="35">
        <f>+GETPIVOTDATA("XBT4",'binhtrung (2016)'!$A$3,"MA_HT","CAN","MA_QH","NTS")</f>
        <v>0</v>
      </c>
      <c r="P21" s="35">
        <f>+GETPIVOTDATA("XBT4",'binhtrung (2016)'!$A$3,"MA_HT","CAN","MA_QH","LMU")</f>
        <v>0</v>
      </c>
      <c r="Q21" s="35">
        <f>+GETPIVOTDATA("XBT4",'binhtrung (2016)'!$A$3,"MA_HT","CAN","MA_QH","NKH")</f>
        <v>0</v>
      </c>
      <c r="R21" s="63">
        <f>SUM(S21,U21:AA21,AN21:BD21)</f>
        <v>0</v>
      </c>
      <c r="S21" s="35">
        <f>+GETPIVOTDATA("XBT4",'binhtrung (2016)'!$A$3,"MA_HT","CAN","MA_QH","CQP")</f>
        <v>0</v>
      </c>
      <c r="T21" s="99" t="e">
        <f>$D21-$BF21</f>
        <v>#REF!</v>
      </c>
      <c r="U21" s="35">
        <f>+GETPIVOTDATA("XBT4",'binhtrung (2016)'!$A$3,"MA_HT","CAN","MA_QH","SKK")</f>
        <v>0</v>
      </c>
      <c r="V21" s="35">
        <f>+GETPIVOTDATA("XBT4",'binhtrung (2016)'!$A$3,"MA_HT","CAN","MA_QH","SKT")</f>
        <v>0</v>
      </c>
      <c r="W21" s="35">
        <f>+GETPIVOTDATA("XBT4",'binhtrung (2016)'!$A$3,"MA_HT","CAN","MA_QH","SKN")</f>
        <v>0</v>
      </c>
      <c r="X21" s="35">
        <f>+GETPIVOTDATA("XBT4",'binhtrung (2016)'!$A$3,"MA_HT","CAN","MA_QH","TMD")</f>
        <v>0</v>
      </c>
      <c r="Y21" s="35">
        <f>+GETPIVOTDATA("XBT4",'binhtrung (2016)'!$A$3,"MA_HT","CAN","MA_QH","SKC")</f>
        <v>0</v>
      </c>
      <c r="Z21" s="35">
        <f>+GETPIVOTDATA("XBT4",'binhtrung (2016)'!$A$3,"MA_HT","CAN","MA_QH","SKS")</f>
        <v>0</v>
      </c>
      <c r="AA21" s="64">
        <f t="shared" si="12"/>
        <v>0</v>
      </c>
      <c r="AB21" s="35">
        <f>+GETPIVOTDATA("XBT4",'binhtrung (2016)'!$A$3,"MA_HT","CAN","MA_QH","DGT")</f>
        <v>0</v>
      </c>
      <c r="AC21" s="35">
        <f>+GETPIVOTDATA("XBT4",'binhtrung (2016)'!$A$3,"MA_HT","CAN","MA_QH","DTL")</f>
        <v>0</v>
      </c>
      <c r="AD21" s="35">
        <f>+GETPIVOTDATA("XBT4",'binhtrung (2016)'!$A$3,"MA_HT","CAN","MA_QH","DNL")</f>
        <v>0</v>
      </c>
      <c r="AE21" s="35">
        <f>+GETPIVOTDATA("XBT4",'binhtrung (2016)'!$A$3,"MA_HT","CAN","MA_QH","DBV")</f>
        <v>0</v>
      </c>
      <c r="AF21" s="35">
        <f>+GETPIVOTDATA("XBT4",'binhtrung (2016)'!$A$3,"MA_HT","CAN","MA_QH","DVH")</f>
        <v>0</v>
      </c>
      <c r="AG21" s="35">
        <f>+GETPIVOTDATA("XBT4",'binhtrung (2016)'!$A$3,"MA_HT","CAN","MA_QH","DYT")</f>
        <v>0</v>
      </c>
      <c r="AH21" s="35">
        <f>+GETPIVOTDATA("XBT4",'binhtrung (2016)'!$A$3,"MA_HT","CAN","MA_QH","DGD")</f>
        <v>0</v>
      </c>
      <c r="AI21" s="35">
        <f>+GETPIVOTDATA("XBT4",'binhtrung (2016)'!$A$3,"MA_HT","CAN","MA_QH","DTT")</f>
        <v>0</v>
      </c>
      <c r="AJ21" s="35">
        <f>+GETPIVOTDATA("XBT4",'binhtrung (2016)'!$A$3,"MA_HT","CAN","MA_QH","NCK")</f>
        <v>0</v>
      </c>
      <c r="AK21" s="35">
        <f>+GETPIVOTDATA("XBT4",'binhtrung (2016)'!$A$3,"MA_HT","CAN","MA_QH","DXH")</f>
        <v>0</v>
      </c>
      <c r="AL21" s="35">
        <f>+GETPIVOTDATA("XBT4",'binhtrung (2016)'!$A$3,"MA_HT","CAN","MA_QH","DCH")</f>
        <v>0</v>
      </c>
      <c r="AM21" s="35">
        <f>+GETPIVOTDATA("XBT4",'binhtrung (2016)'!$A$3,"MA_HT","CAN","MA_QH","DKG")</f>
        <v>0</v>
      </c>
      <c r="AN21" s="35">
        <f>+GETPIVOTDATA("XBT4",'binhtrung (2016)'!$A$3,"MA_HT","CAN","MA_QH","DDT")</f>
        <v>0</v>
      </c>
      <c r="AO21" s="35">
        <f>+GETPIVOTDATA("XBT4",'binhtrung (2016)'!$A$3,"MA_HT","CAN","MA_QH","DDL")</f>
        <v>0</v>
      </c>
      <c r="AP21" s="35">
        <f>+GETPIVOTDATA("XBT4",'binhtrung (2016)'!$A$3,"MA_HT","CAN","MA_QH","DRA")</f>
        <v>0</v>
      </c>
      <c r="AQ21" s="35">
        <f>+GETPIVOTDATA("XBT4",'binhtrung (2016)'!$A$3,"MA_HT","CAN","MA_QH","ONT")</f>
        <v>0</v>
      </c>
      <c r="AR21" s="35">
        <f>+GETPIVOTDATA("XBT4",'binhtrung (2016)'!$A$3,"MA_HT","CAN","MA_QH","ODT")</f>
        <v>0</v>
      </c>
      <c r="AS21" s="35">
        <f>+GETPIVOTDATA("XBT4",'binhtrung (2016)'!$A$3,"MA_HT","CAN","MA_QH","TSC")</f>
        <v>0</v>
      </c>
      <c r="AT21" s="35">
        <f>+GETPIVOTDATA("XBT4",'binhtrung (2016)'!$A$3,"MA_HT","CAN","MA_QH","DTS")</f>
        <v>0</v>
      </c>
      <c r="AU21" s="35">
        <f>+GETPIVOTDATA("XBT4",'binhtrung (2016)'!$A$3,"MA_HT","CAN","MA_QH","DNG")</f>
        <v>0</v>
      </c>
      <c r="AV21" s="35">
        <f>+GETPIVOTDATA("XBT4",'binhtrung (2016)'!$A$3,"MA_HT","CAN","MA_QH","TON")</f>
        <v>0</v>
      </c>
      <c r="AW21" s="35">
        <f>+GETPIVOTDATA("XBT4",'binhtrung (2016)'!$A$3,"MA_HT","CAN","MA_QH","NTD")</f>
        <v>0</v>
      </c>
      <c r="AX21" s="35">
        <f>+GETPIVOTDATA("XBT4",'binhtrung (2016)'!$A$3,"MA_HT","CAN","MA_QH","SKX")</f>
        <v>0</v>
      </c>
      <c r="AY21" s="35">
        <f>+GETPIVOTDATA("XBT4",'binhtrung (2016)'!$A$3,"MA_HT","CAN","MA_QH","DSH")</f>
        <v>0</v>
      </c>
      <c r="AZ21" s="35">
        <f>+GETPIVOTDATA("XBT4",'binhtrung (2016)'!$A$3,"MA_HT","CAN","MA_QH","DKV")</f>
        <v>0</v>
      </c>
      <c r="BA21" s="140">
        <f>+GETPIVOTDATA("XBT4",'binhtrung (2016)'!$A$3,"MA_HT","CAN","MA_QH","TIN")</f>
        <v>0</v>
      </c>
      <c r="BB21" s="74">
        <f>+GETPIVOTDATA("XBT4",'binhtrung (2016)'!$A$3,"MA_HT","CAN","MA_QH","SON")</f>
        <v>0</v>
      </c>
      <c r="BC21" s="74">
        <f>+GETPIVOTDATA("XBT4",'binhtrung (2016)'!$A$3,"MA_HT","CAN","MA_QH","MNC")</f>
        <v>0</v>
      </c>
      <c r="BD21" s="35">
        <f>+GETPIVOTDATA("XBT4",'binhtrung (2016)'!$A$3,"MA_HT","CAN","MA_QH","PNK")</f>
        <v>0</v>
      </c>
      <c r="BE21" s="58">
        <f>+GETPIVOTDATA("XBT4",'binhtrung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+GETPIVOTDATA("XBT4",'binhtrung (2016)'!$A$3,"MA_HT","SKK","MA_QH","LUC")</f>
        <v>0</v>
      </c>
      <c r="H22" s="35">
        <f>+GETPIVOTDATA("XBT4",'binhtrung (2016)'!$A$3,"MA_HT","SKK","MA_QH","LUK")</f>
        <v>0</v>
      </c>
      <c r="I22" s="35">
        <f>+GETPIVOTDATA("XBT4",'binhtrung (2016)'!$A$3,"MA_HT","SKK","MA_QH","LUN")</f>
        <v>0</v>
      </c>
      <c r="J22" s="35">
        <f>+GETPIVOTDATA("XBT4",'binhtrung (2016)'!$A$3,"MA_HT","SKK","MA_QH","HNK")</f>
        <v>0</v>
      </c>
      <c r="K22" s="35">
        <f>+GETPIVOTDATA("XBT4",'binhtrung (2016)'!$A$3,"MA_HT","SKK","MA_QH","CLN")</f>
        <v>0</v>
      </c>
      <c r="L22" s="35">
        <f>+GETPIVOTDATA("XBT4",'binhtrung (2016)'!$A$3,"MA_HT","SKK","MA_QH","RSX")</f>
        <v>0</v>
      </c>
      <c r="M22" s="35">
        <f>+GETPIVOTDATA("XBT4",'binhtrung (2016)'!$A$3,"MA_HT","SKK","MA_QH","RPH")</f>
        <v>0</v>
      </c>
      <c r="N22" s="35">
        <f>+GETPIVOTDATA("XBT4",'binhtrung (2016)'!$A$3,"MA_HT","SKK","MA_QH","RDD")</f>
        <v>0</v>
      </c>
      <c r="O22" s="35">
        <f>+GETPIVOTDATA("XBT4",'binhtrung (2016)'!$A$3,"MA_HT","SKK","MA_QH","NTS")</f>
        <v>0</v>
      </c>
      <c r="P22" s="35">
        <f>+GETPIVOTDATA("XBT4",'binhtrung (2016)'!$A$3,"MA_HT","SKK","MA_QH","LMU")</f>
        <v>0</v>
      </c>
      <c r="Q22" s="35">
        <f>+GETPIVOTDATA("XBT4",'binhtrung (2016)'!$A$3,"MA_HT","SKK","MA_QH","NKH")</f>
        <v>0</v>
      </c>
      <c r="R22" s="63">
        <f>SUM(S22:T22,V22:AA22,AN22:BD22)</f>
        <v>0</v>
      </c>
      <c r="S22" s="35">
        <f>+GETPIVOTDATA("XBT4",'binhtrung (2016)'!$A$3,"MA_HT","SKK","MA_QH","CQP")</f>
        <v>0</v>
      </c>
      <c r="T22" s="35">
        <f>+GETPIVOTDATA("XBT4",'binhtrung (2016)'!$A$3,"MA_HT","SKK","MA_QH","CAN")</f>
        <v>0</v>
      </c>
      <c r="U22" s="99" t="e">
        <f>$D22-$BF22</f>
        <v>#REF!</v>
      </c>
      <c r="V22" s="35">
        <f>+GETPIVOTDATA("XBT4",'binhtrung (2016)'!$A$3,"MA_HT","SKK","MA_QH","SKT")</f>
        <v>0</v>
      </c>
      <c r="W22" s="35">
        <f>+GETPIVOTDATA("XBT4",'binhtrung (2016)'!$A$3,"MA_HT","SKK","MA_QH","SKN")</f>
        <v>0</v>
      </c>
      <c r="X22" s="35">
        <f>+GETPIVOTDATA("XBT4",'binhtrung (2016)'!$A$3,"MA_HT","SKK","MA_QH","TMD")</f>
        <v>0</v>
      </c>
      <c r="Y22" s="35">
        <f>+GETPIVOTDATA("XBT4",'binhtrung (2016)'!$A$3,"MA_HT","SKK","MA_QH","SKC")</f>
        <v>0</v>
      </c>
      <c r="Z22" s="35">
        <f>+GETPIVOTDATA("XBT4",'binhtrung (2016)'!$A$3,"MA_HT","SKK","MA_QH","SKS")</f>
        <v>0</v>
      </c>
      <c r="AA22" s="64">
        <f t="shared" si="12"/>
        <v>0</v>
      </c>
      <c r="AB22" s="35">
        <f>+GETPIVOTDATA("XBT4",'binhtrung (2016)'!$A$3,"MA_HT","SKK","MA_QH","DGT")</f>
        <v>0</v>
      </c>
      <c r="AC22" s="35">
        <f>+GETPIVOTDATA("XBT4",'binhtrung (2016)'!$A$3,"MA_HT","SKK","MA_QH","DTL")</f>
        <v>0</v>
      </c>
      <c r="AD22" s="35">
        <f>+GETPIVOTDATA("XBT4",'binhtrung (2016)'!$A$3,"MA_HT","SKK","MA_QH","DNL")</f>
        <v>0</v>
      </c>
      <c r="AE22" s="35">
        <f>+GETPIVOTDATA("XBT4",'binhtrung (2016)'!$A$3,"MA_HT","SKK","MA_QH","DBV")</f>
        <v>0</v>
      </c>
      <c r="AF22" s="35">
        <f>+GETPIVOTDATA("XBT4",'binhtrung (2016)'!$A$3,"MA_HT","SKK","MA_QH","DVH")</f>
        <v>0</v>
      </c>
      <c r="AG22" s="35">
        <f>+GETPIVOTDATA("XBT4",'binhtrung (2016)'!$A$3,"MA_HT","SKK","MA_QH","DYT")</f>
        <v>0</v>
      </c>
      <c r="AH22" s="35">
        <f>+GETPIVOTDATA("XBT4",'binhtrung (2016)'!$A$3,"MA_HT","SKK","MA_QH","DGD")</f>
        <v>0</v>
      </c>
      <c r="AI22" s="35">
        <f>+GETPIVOTDATA("XBT4",'binhtrung (2016)'!$A$3,"MA_HT","SKK","MA_QH","DTT")</f>
        <v>0</v>
      </c>
      <c r="AJ22" s="35">
        <f>+GETPIVOTDATA("XBT4",'binhtrung (2016)'!$A$3,"MA_HT","SKK","MA_QH","NCK")</f>
        <v>0</v>
      </c>
      <c r="AK22" s="35">
        <f>+GETPIVOTDATA("XBT4",'binhtrung (2016)'!$A$3,"MA_HT","SKK","MA_QH","DXH")</f>
        <v>0</v>
      </c>
      <c r="AL22" s="35">
        <f>+GETPIVOTDATA("XBT4",'binhtrung (2016)'!$A$3,"MA_HT","SKK","MA_QH","DCH")</f>
        <v>0</v>
      </c>
      <c r="AM22" s="35">
        <f>+GETPIVOTDATA("XBT4",'binhtrung (2016)'!$A$3,"MA_HT","SKK","MA_QH","DKG")</f>
        <v>0</v>
      </c>
      <c r="AN22" s="35">
        <f>+GETPIVOTDATA("XBT4",'binhtrung (2016)'!$A$3,"MA_HT","SKK","MA_QH","DDT")</f>
        <v>0</v>
      </c>
      <c r="AO22" s="35">
        <f>+GETPIVOTDATA("XBT4",'binhtrung (2016)'!$A$3,"MA_HT","SKK","MA_QH","DDL")</f>
        <v>0</v>
      </c>
      <c r="AP22" s="35">
        <f>+GETPIVOTDATA("XBT4",'binhtrung (2016)'!$A$3,"MA_HT","SKK","MA_QH","DRA")</f>
        <v>0</v>
      </c>
      <c r="AQ22" s="35">
        <f>+GETPIVOTDATA("XBT4",'binhtrung (2016)'!$A$3,"MA_HT","SKK","MA_QH","ONT")</f>
        <v>0</v>
      </c>
      <c r="AR22" s="35">
        <f>+GETPIVOTDATA("XBT4",'binhtrung (2016)'!$A$3,"MA_HT","SKK","MA_QH","ODT")</f>
        <v>0</v>
      </c>
      <c r="AS22" s="35">
        <f>+GETPIVOTDATA("XBT4",'binhtrung (2016)'!$A$3,"MA_HT","SKK","MA_QH","TSC")</f>
        <v>0</v>
      </c>
      <c r="AT22" s="35">
        <f>+GETPIVOTDATA("XBT4",'binhtrung (2016)'!$A$3,"MA_HT","SKK","MA_QH","DTS")</f>
        <v>0</v>
      </c>
      <c r="AU22" s="35">
        <f>+GETPIVOTDATA("XBT4",'binhtrung (2016)'!$A$3,"MA_HT","SKK","MA_QH","DNG")</f>
        <v>0</v>
      </c>
      <c r="AV22" s="35">
        <f>+GETPIVOTDATA("XBT4",'binhtrung (2016)'!$A$3,"MA_HT","SKK","MA_QH","TON")</f>
        <v>0</v>
      </c>
      <c r="AW22" s="35">
        <f>+GETPIVOTDATA("XBT4",'binhtrung (2016)'!$A$3,"MA_HT","SKK","MA_QH","NTD")</f>
        <v>0</v>
      </c>
      <c r="AX22" s="35">
        <f>+GETPIVOTDATA("XBT4",'binhtrung (2016)'!$A$3,"MA_HT","SKK","MA_QH","SKX")</f>
        <v>0</v>
      </c>
      <c r="AY22" s="35">
        <f>+GETPIVOTDATA("XBT4",'binhtrung (2016)'!$A$3,"MA_HT","SKK","MA_QH","DSH")</f>
        <v>0</v>
      </c>
      <c r="AZ22" s="35">
        <f>+GETPIVOTDATA("XBT4",'binhtrung (2016)'!$A$3,"MA_HT","SKK","MA_QH","DKV")</f>
        <v>0</v>
      </c>
      <c r="BA22" s="140">
        <f>+GETPIVOTDATA("XBT4",'binhtrung (2016)'!$A$3,"MA_HT","SKK","MA_QH","TIN")</f>
        <v>0</v>
      </c>
      <c r="BB22" s="74">
        <f>+GETPIVOTDATA("XBT4",'binhtrung (2016)'!$A$3,"MA_HT","SKK","MA_QH","SON")</f>
        <v>0</v>
      </c>
      <c r="BC22" s="74">
        <f>+GETPIVOTDATA("XBT4",'binhtrung (2016)'!$A$3,"MA_HT","SKK","MA_QH","MNC")</f>
        <v>0</v>
      </c>
      <c r="BD22" s="35">
        <f>+GETPIVOTDATA("XBT4",'binhtrung (2016)'!$A$3,"MA_HT","SKK","MA_QH","PNK")</f>
        <v>0</v>
      </c>
      <c r="BE22" s="58">
        <f>+GETPIVOTDATA("XBT4",'binhtrung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+GETPIVOTDATA("XBT4",'binhtrung (2016)'!$A$3,"MA_HT","SKT","MA_QH","LUC")</f>
        <v>0</v>
      </c>
      <c r="H23" s="35">
        <f>+GETPIVOTDATA("XBT4",'binhtrung (2016)'!$A$3,"MA_HT","SKT","MA_QH","LUK")</f>
        <v>0</v>
      </c>
      <c r="I23" s="35">
        <f>+GETPIVOTDATA("XBT4",'binhtrung (2016)'!$A$3,"MA_HT","SKT","MA_QH","LUN")</f>
        <v>0</v>
      </c>
      <c r="J23" s="35">
        <f>+GETPIVOTDATA("XBT4",'binhtrung (2016)'!$A$3,"MA_HT","SKT","MA_QH","HNK")</f>
        <v>0</v>
      </c>
      <c r="K23" s="35">
        <f>+GETPIVOTDATA("XBT4",'binhtrung (2016)'!$A$3,"MA_HT","SKT","MA_QH","CLN")</f>
        <v>0</v>
      </c>
      <c r="L23" s="35">
        <f>+GETPIVOTDATA("XBT4",'binhtrung (2016)'!$A$3,"MA_HT","SKT","MA_QH","RSX")</f>
        <v>0</v>
      </c>
      <c r="M23" s="35">
        <f>+GETPIVOTDATA("XBT4",'binhtrung (2016)'!$A$3,"MA_HT","SKT","MA_QH","RPH")</f>
        <v>0</v>
      </c>
      <c r="N23" s="35">
        <f>+GETPIVOTDATA("XBT4",'binhtrung (2016)'!$A$3,"MA_HT","SKT","MA_QH","RDD")</f>
        <v>0</v>
      </c>
      <c r="O23" s="35">
        <f>+GETPIVOTDATA("XBT4",'binhtrung (2016)'!$A$3,"MA_HT","SKT","MA_QH","NTS")</f>
        <v>0</v>
      </c>
      <c r="P23" s="35">
        <f>+GETPIVOTDATA("XBT4",'binhtrung (2016)'!$A$3,"MA_HT","SKT","MA_QH","LMU")</f>
        <v>0</v>
      </c>
      <c r="Q23" s="35">
        <f>+GETPIVOTDATA("XBT4",'binhtrung (2016)'!$A$3,"MA_HT","SKT","MA_QH","NKH")</f>
        <v>0</v>
      </c>
      <c r="R23" s="63">
        <f>SUM(S23:U23,W23:AA23,AN23:BD23)</f>
        <v>0</v>
      </c>
      <c r="S23" s="35">
        <f>+GETPIVOTDATA("XBT4",'binhtrung (2016)'!$A$3,"MA_HT","SKT","MA_QH","CQP")</f>
        <v>0</v>
      </c>
      <c r="T23" s="35">
        <f>+GETPIVOTDATA("XBT4",'binhtrung (2016)'!$A$3,"MA_HT","SKT","MA_QH","CAN")</f>
        <v>0</v>
      </c>
      <c r="U23" s="35">
        <f>+GETPIVOTDATA("XBT4",'binhtrung (2016)'!$A$3,"MA_HT","SKT","MA_QH","SKK")</f>
        <v>0</v>
      </c>
      <c r="V23" s="99" t="e">
        <f>$D23-$BF23</f>
        <v>#REF!</v>
      </c>
      <c r="W23" s="35">
        <f>+GETPIVOTDATA("XBT4",'binhtrung (2016)'!$A$3,"MA_HT","SKT","MA_QH","SKN")</f>
        <v>0</v>
      </c>
      <c r="X23" s="35">
        <f>+GETPIVOTDATA("XBT4",'binhtrung (2016)'!$A$3,"MA_HT","SKT","MA_QH","TMD")</f>
        <v>0</v>
      </c>
      <c r="Y23" s="35">
        <f>+GETPIVOTDATA("XBT4",'binhtrung (2016)'!$A$3,"MA_HT","SKT","MA_QH","SKC")</f>
        <v>0</v>
      </c>
      <c r="Z23" s="35">
        <f>+GETPIVOTDATA("XBT4",'binhtrung (2016)'!$A$3,"MA_HT","SKT","MA_QH","SKS")</f>
        <v>0</v>
      </c>
      <c r="AA23" s="64">
        <f t="shared" si="12"/>
        <v>0</v>
      </c>
      <c r="AB23" s="35">
        <f>+GETPIVOTDATA("XBT4",'binhtrung (2016)'!$A$3,"MA_HT","SKT","MA_QH","DGT")</f>
        <v>0</v>
      </c>
      <c r="AC23" s="35">
        <f>+GETPIVOTDATA("XBT4",'binhtrung (2016)'!$A$3,"MA_HT","SKT","MA_QH","DTL")</f>
        <v>0</v>
      </c>
      <c r="AD23" s="35">
        <f>+GETPIVOTDATA("XBT4",'binhtrung (2016)'!$A$3,"MA_HT","SKT","MA_QH","DNL")</f>
        <v>0</v>
      </c>
      <c r="AE23" s="35">
        <f>+GETPIVOTDATA("XBT4",'binhtrung (2016)'!$A$3,"MA_HT","SKT","MA_QH","DBV")</f>
        <v>0</v>
      </c>
      <c r="AF23" s="35">
        <f>+GETPIVOTDATA("XBT4",'binhtrung (2016)'!$A$3,"MA_HT","SKT","MA_QH","DVH")</f>
        <v>0</v>
      </c>
      <c r="AG23" s="35">
        <f>+GETPIVOTDATA("XBT4",'binhtrung (2016)'!$A$3,"MA_HT","SKT","MA_QH","DYT")</f>
        <v>0</v>
      </c>
      <c r="AH23" s="35">
        <f>+GETPIVOTDATA("XBT4",'binhtrung (2016)'!$A$3,"MA_HT","SKT","MA_QH","DGD")</f>
        <v>0</v>
      </c>
      <c r="AI23" s="35">
        <f>+GETPIVOTDATA("XBT4",'binhtrung (2016)'!$A$3,"MA_HT","SKT","MA_QH","DTT")</f>
        <v>0</v>
      </c>
      <c r="AJ23" s="35">
        <f>+GETPIVOTDATA("XBT4",'binhtrung (2016)'!$A$3,"MA_HT","SKT","MA_QH","NCK")</f>
        <v>0</v>
      </c>
      <c r="AK23" s="35">
        <f>+GETPIVOTDATA("XBT4",'binhtrung (2016)'!$A$3,"MA_HT","SKT","MA_QH","DXH")</f>
        <v>0</v>
      </c>
      <c r="AL23" s="35">
        <f>+GETPIVOTDATA("XBT4",'binhtrung (2016)'!$A$3,"MA_HT","SKT","MA_QH","DCH")</f>
        <v>0</v>
      </c>
      <c r="AM23" s="35">
        <f>+GETPIVOTDATA("XBT4",'binhtrung (2016)'!$A$3,"MA_HT","SKT","MA_QH","DKG")</f>
        <v>0</v>
      </c>
      <c r="AN23" s="35">
        <f>+GETPIVOTDATA("XBT4",'binhtrung (2016)'!$A$3,"MA_HT","SKT","MA_QH","DDT")</f>
        <v>0</v>
      </c>
      <c r="AO23" s="35">
        <f>+GETPIVOTDATA("XBT4",'binhtrung (2016)'!$A$3,"MA_HT","SKT","MA_QH","DDL")</f>
        <v>0</v>
      </c>
      <c r="AP23" s="35">
        <f>+GETPIVOTDATA("XBT4",'binhtrung (2016)'!$A$3,"MA_HT","SKT","MA_QH","DRA")</f>
        <v>0</v>
      </c>
      <c r="AQ23" s="35">
        <f>+GETPIVOTDATA("XBT4",'binhtrung (2016)'!$A$3,"MA_HT","SKT","MA_QH","ONT")</f>
        <v>0</v>
      </c>
      <c r="AR23" s="35">
        <f>+GETPIVOTDATA("XBT4",'binhtrung (2016)'!$A$3,"MA_HT","SKT","MA_QH","ODT")</f>
        <v>0</v>
      </c>
      <c r="AS23" s="35">
        <f>+GETPIVOTDATA("XBT4",'binhtrung (2016)'!$A$3,"MA_HT","SKT","MA_QH","TSC")</f>
        <v>0</v>
      </c>
      <c r="AT23" s="35">
        <f>+GETPIVOTDATA("XBT4",'binhtrung (2016)'!$A$3,"MA_HT","SKT","MA_QH","DTS")</f>
        <v>0</v>
      </c>
      <c r="AU23" s="35">
        <f>+GETPIVOTDATA("XBT4",'binhtrung (2016)'!$A$3,"MA_HT","SKT","MA_QH","DNG")</f>
        <v>0</v>
      </c>
      <c r="AV23" s="35">
        <f>+GETPIVOTDATA("XBT4",'binhtrung (2016)'!$A$3,"MA_HT","SKT","MA_QH","TON")</f>
        <v>0</v>
      </c>
      <c r="AW23" s="35">
        <f>+GETPIVOTDATA("XBT4",'binhtrung (2016)'!$A$3,"MA_HT","SKT","MA_QH","NTD")</f>
        <v>0</v>
      </c>
      <c r="AX23" s="35">
        <f>+GETPIVOTDATA("XBT4",'binhtrung (2016)'!$A$3,"MA_HT","SKT","MA_QH","SKX")</f>
        <v>0</v>
      </c>
      <c r="AY23" s="35">
        <f>+GETPIVOTDATA("XBT4",'binhtrung (2016)'!$A$3,"MA_HT","SKT","MA_QH","DSH")</f>
        <v>0</v>
      </c>
      <c r="AZ23" s="35">
        <f>+GETPIVOTDATA("XBT4",'binhtrung (2016)'!$A$3,"MA_HT","SKT","MA_QH","DKV")</f>
        <v>0</v>
      </c>
      <c r="BA23" s="140">
        <f>+GETPIVOTDATA("XBT4",'binhtrung (2016)'!$A$3,"MA_HT","SKT","MA_QH","TIN")</f>
        <v>0</v>
      </c>
      <c r="BB23" s="74">
        <f>+GETPIVOTDATA("XBT4",'binhtrung (2016)'!$A$3,"MA_HT","SKT","MA_QH","SON")</f>
        <v>0</v>
      </c>
      <c r="BC23" s="74">
        <f>+GETPIVOTDATA("XBT4",'binhtrung (2016)'!$A$3,"MA_HT","SKT","MA_QH","MNC")</f>
        <v>0</v>
      </c>
      <c r="BD23" s="35">
        <f>+GETPIVOTDATA("XBT4",'binhtrung (2016)'!$A$3,"MA_HT","SKT","MA_QH","PNK")</f>
        <v>0</v>
      </c>
      <c r="BE23" s="58">
        <f>+GETPIVOTDATA("XBT4",'binhtrung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+GETPIVOTDATA("XBT4",'binhtrung (2016)'!$A$3,"MA_HT","SKN","MA_QH","LUC")</f>
        <v>0</v>
      </c>
      <c r="H24" s="35">
        <f>+GETPIVOTDATA("XBT4",'binhtrung (2016)'!$A$3,"MA_HT","SKN","MA_QH","LUK")</f>
        <v>0</v>
      </c>
      <c r="I24" s="35">
        <f>+GETPIVOTDATA("XBT4",'binhtrung (2016)'!$A$3,"MA_HT","SKN","MA_QH","LUN")</f>
        <v>0</v>
      </c>
      <c r="J24" s="35">
        <f>+GETPIVOTDATA("XBT4",'binhtrung (2016)'!$A$3,"MA_HT","SKN","MA_QH","HNK")</f>
        <v>0</v>
      </c>
      <c r="K24" s="35">
        <f>+GETPIVOTDATA("XBT4",'binhtrung (2016)'!$A$3,"MA_HT","SKN","MA_QH","CLN")</f>
        <v>0</v>
      </c>
      <c r="L24" s="35">
        <f>+GETPIVOTDATA("XBT4",'binhtrung (2016)'!$A$3,"MA_HT","SKN","MA_QH","RSX")</f>
        <v>0</v>
      </c>
      <c r="M24" s="35">
        <f>+GETPIVOTDATA("XBT4",'binhtrung (2016)'!$A$3,"MA_HT","SKN","MA_QH","RPH")</f>
        <v>0</v>
      </c>
      <c r="N24" s="35">
        <f>+GETPIVOTDATA("XBT4",'binhtrung (2016)'!$A$3,"MA_HT","SKN","MA_QH","RDD")</f>
        <v>0</v>
      </c>
      <c r="O24" s="35">
        <f>+GETPIVOTDATA("XBT4",'binhtrung (2016)'!$A$3,"MA_HT","SKN","MA_QH","NTS")</f>
        <v>0</v>
      </c>
      <c r="P24" s="35">
        <f>+GETPIVOTDATA("XBT4",'binhtrung (2016)'!$A$3,"MA_HT","SKN","MA_QH","LMU")</f>
        <v>0</v>
      </c>
      <c r="Q24" s="35">
        <f>+GETPIVOTDATA("XBT4",'binhtrung (2016)'!$A$3,"MA_HT","SKN","MA_QH","NKH")</f>
        <v>0</v>
      </c>
      <c r="R24" s="63">
        <f>SUM(S24:V24,X24:AA24,AN24:BD24)</f>
        <v>0</v>
      </c>
      <c r="S24" s="35">
        <f>+GETPIVOTDATA("XBT4",'binhtrung (2016)'!$A$3,"MA_HT","SKN","MA_QH","CQP")</f>
        <v>0</v>
      </c>
      <c r="T24" s="35">
        <f>+GETPIVOTDATA("XBT4",'binhtrung (2016)'!$A$3,"MA_HT","SKN","MA_QH","CAN")</f>
        <v>0</v>
      </c>
      <c r="U24" s="35">
        <f>+GETPIVOTDATA("XBT4",'binhtrung (2016)'!$A$3,"MA_HT","SKN","MA_QH","SKK")</f>
        <v>0</v>
      </c>
      <c r="V24" s="35">
        <f>+GETPIVOTDATA("XBT4",'binhtrung (2016)'!$A$3,"MA_HT","SKN","MA_QH","SKT")</f>
        <v>0</v>
      </c>
      <c r="W24" s="99" t="e">
        <f>$D24-$BF24</f>
        <v>#REF!</v>
      </c>
      <c r="X24" s="35">
        <f>+GETPIVOTDATA("XBT4",'binhtrung (2016)'!$A$3,"MA_HT","SKN","MA_QH","TMD")</f>
        <v>0</v>
      </c>
      <c r="Y24" s="35">
        <f>+GETPIVOTDATA("XBT4",'binhtrung (2016)'!$A$3,"MA_HT","SKN","MA_QH","SKC")</f>
        <v>0</v>
      </c>
      <c r="Z24" s="35">
        <f>+GETPIVOTDATA("XBT4",'binhtrung (2016)'!$A$3,"MA_HT","SKN","MA_QH","SKS")</f>
        <v>0</v>
      </c>
      <c r="AA24" s="64">
        <f t="shared" si="12"/>
        <v>0</v>
      </c>
      <c r="AB24" s="35">
        <f>+GETPIVOTDATA("XBT4",'binhtrung (2016)'!$A$3,"MA_HT","SKN","MA_QH","DGT")</f>
        <v>0</v>
      </c>
      <c r="AC24" s="35">
        <f>+GETPIVOTDATA("XBT4",'binhtrung (2016)'!$A$3,"MA_HT","SKN","MA_QH","DTL")</f>
        <v>0</v>
      </c>
      <c r="AD24" s="35">
        <f>+GETPIVOTDATA("XBT4",'binhtrung (2016)'!$A$3,"MA_HT","SKN","MA_QH","DNL")</f>
        <v>0</v>
      </c>
      <c r="AE24" s="35">
        <f>+GETPIVOTDATA("XBT4",'binhtrung (2016)'!$A$3,"MA_HT","SKN","MA_QH","DBV")</f>
        <v>0</v>
      </c>
      <c r="AF24" s="35">
        <f>+GETPIVOTDATA("XBT4",'binhtrung (2016)'!$A$3,"MA_HT","SKN","MA_QH","DVH")</f>
        <v>0</v>
      </c>
      <c r="AG24" s="35">
        <f>+GETPIVOTDATA("XBT4",'binhtrung (2016)'!$A$3,"MA_HT","SKN","MA_QH","DYT")</f>
        <v>0</v>
      </c>
      <c r="AH24" s="35">
        <f>+GETPIVOTDATA("XBT4",'binhtrung (2016)'!$A$3,"MA_HT","SKN","MA_QH","DGD")</f>
        <v>0</v>
      </c>
      <c r="AI24" s="35">
        <f>+GETPIVOTDATA("XBT4",'binhtrung (2016)'!$A$3,"MA_HT","SKN","MA_QH","DTT")</f>
        <v>0</v>
      </c>
      <c r="AJ24" s="35">
        <f>+GETPIVOTDATA("XBT4",'binhtrung (2016)'!$A$3,"MA_HT","SKN","MA_QH","NCK")</f>
        <v>0</v>
      </c>
      <c r="AK24" s="35">
        <f>+GETPIVOTDATA("XBT4",'binhtrung (2016)'!$A$3,"MA_HT","SKN","MA_QH","DXH")</f>
        <v>0</v>
      </c>
      <c r="AL24" s="35">
        <f>+GETPIVOTDATA("XBT4",'binhtrung (2016)'!$A$3,"MA_HT","SKN","MA_QH","DCH")</f>
        <v>0</v>
      </c>
      <c r="AM24" s="35">
        <f>+GETPIVOTDATA("XBT4",'binhtrung (2016)'!$A$3,"MA_HT","SKN","MA_QH","DKG")</f>
        <v>0</v>
      </c>
      <c r="AN24" s="35">
        <f>+GETPIVOTDATA("XBT4",'binhtrung (2016)'!$A$3,"MA_HT","SKN","MA_QH","DDT")</f>
        <v>0</v>
      </c>
      <c r="AO24" s="35">
        <f>+GETPIVOTDATA("XBT4",'binhtrung (2016)'!$A$3,"MA_HT","SKN","MA_QH","DDL")</f>
        <v>0</v>
      </c>
      <c r="AP24" s="35">
        <f>+GETPIVOTDATA("XBT4",'binhtrung (2016)'!$A$3,"MA_HT","SKN","MA_QH","DRA")</f>
        <v>0</v>
      </c>
      <c r="AQ24" s="35">
        <f>+GETPIVOTDATA("XBT4",'binhtrung (2016)'!$A$3,"MA_HT","SKN","MA_QH","ONT")</f>
        <v>0</v>
      </c>
      <c r="AR24" s="35">
        <f>+GETPIVOTDATA("XBT4",'binhtrung (2016)'!$A$3,"MA_HT","SKN","MA_QH","ODT")</f>
        <v>0</v>
      </c>
      <c r="AS24" s="35">
        <f>+GETPIVOTDATA("XBT4",'binhtrung (2016)'!$A$3,"MA_HT","SKN","MA_QH","TSC")</f>
        <v>0</v>
      </c>
      <c r="AT24" s="35">
        <f>+GETPIVOTDATA("XBT4",'binhtrung (2016)'!$A$3,"MA_HT","SKN","MA_QH","DTS")</f>
        <v>0</v>
      </c>
      <c r="AU24" s="35">
        <f>+GETPIVOTDATA("XBT4",'binhtrung (2016)'!$A$3,"MA_HT","SKN","MA_QH","DNG")</f>
        <v>0</v>
      </c>
      <c r="AV24" s="35">
        <f>+GETPIVOTDATA("XBT4",'binhtrung (2016)'!$A$3,"MA_HT","SKN","MA_QH","TON")</f>
        <v>0</v>
      </c>
      <c r="AW24" s="35">
        <f>+GETPIVOTDATA("XBT4",'binhtrung (2016)'!$A$3,"MA_HT","SKN","MA_QH","NTD")</f>
        <v>0</v>
      </c>
      <c r="AX24" s="35">
        <f>+GETPIVOTDATA("XBT4",'binhtrung (2016)'!$A$3,"MA_HT","SKN","MA_QH","SKX")</f>
        <v>0</v>
      </c>
      <c r="AY24" s="35">
        <f>+GETPIVOTDATA("XBT4",'binhtrung (2016)'!$A$3,"MA_HT","SKN","MA_QH","DSH")</f>
        <v>0</v>
      </c>
      <c r="AZ24" s="35">
        <f>+GETPIVOTDATA("XBT4",'binhtrung (2016)'!$A$3,"MA_HT","SKN","MA_QH","DKV")</f>
        <v>0</v>
      </c>
      <c r="BA24" s="140">
        <f>+GETPIVOTDATA("XBT4",'binhtrung (2016)'!$A$3,"MA_HT","SKN","MA_QH","TIN")</f>
        <v>0</v>
      </c>
      <c r="BB24" s="74">
        <f>+GETPIVOTDATA("XBT4",'binhtrung (2016)'!$A$3,"MA_HT","SKN","MA_QH","SON")</f>
        <v>0</v>
      </c>
      <c r="BC24" s="74">
        <f>+GETPIVOTDATA("XBT4",'binhtrung (2016)'!$A$3,"MA_HT","SKN","MA_QH","MNC")</f>
        <v>0</v>
      </c>
      <c r="BD24" s="35">
        <f>+GETPIVOTDATA("XBT4",'binhtrung (2016)'!$A$3,"MA_HT","SKN","MA_QH","PNK")</f>
        <v>0</v>
      </c>
      <c r="BE24" s="58">
        <f>+GETPIVOTDATA("XBT4",'binhtrung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+GETPIVOTDATA("XBT4",'binhtrung (2016)'!$A$3,"MA_HT","TMD","MA_QH","LUC")</f>
        <v>0</v>
      </c>
      <c r="H25" s="35">
        <f>+GETPIVOTDATA("XBT4",'binhtrung (2016)'!$A$3,"MA_HT","TMD","MA_QH","LUK")</f>
        <v>0</v>
      </c>
      <c r="I25" s="35">
        <f>+GETPIVOTDATA("XBT4",'binhtrung (2016)'!$A$3,"MA_HT","TMD","MA_QH","LUN")</f>
        <v>0</v>
      </c>
      <c r="J25" s="35">
        <f>+GETPIVOTDATA("XBT4",'binhtrung (2016)'!$A$3,"MA_HT","TMD","MA_QH","HNK")</f>
        <v>0</v>
      </c>
      <c r="K25" s="35">
        <f>+GETPIVOTDATA("XBT4",'binhtrung (2016)'!$A$3,"MA_HT","TMD","MA_QH","CLN")</f>
        <v>0</v>
      </c>
      <c r="L25" s="35">
        <f>+GETPIVOTDATA("XBT4",'binhtrung (2016)'!$A$3,"MA_HT","TMD","MA_QH","RSX")</f>
        <v>0</v>
      </c>
      <c r="M25" s="35">
        <f>+GETPIVOTDATA("XBT4",'binhtrung (2016)'!$A$3,"MA_HT","TMD","MA_QH","RPH")</f>
        <v>0</v>
      </c>
      <c r="N25" s="35">
        <f>+GETPIVOTDATA("XBT4",'binhtrung (2016)'!$A$3,"MA_HT","TMD","MA_QH","RDD")</f>
        <v>0</v>
      </c>
      <c r="O25" s="35">
        <f>+GETPIVOTDATA("XBT4",'binhtrung (2016)'!$A$3,"MA_HT","TMD","MA_QH","NTS")</f>
        <v>0</v>
      </c>
      <c r="P25" s="35">
        <f>+GETPIVOTDATA("XBT4",'binhtrung (2016)'!$A$3,"MA_HT","TMD","MA_QH","LMU")</f>
        <v>0</v>
      </c>
      <c r="Q25" s="35">
        <f>+GETPIVOTDATA("XBT4",'binhtrung (2016)'!$A$3,"MA_HT","TMD","MA_QH","NKH")</f>
        <v>0</v>
      </c>
      <c r="R25" s="63">
        <f>SUM(S25:W25,Y25:AA25,AN25:BD25)</f>
        <v>0</v>
      </c>
      <c r="S25" s="35">
        <f>+GETPIVOTDATA("XBT4",'binhtrung (2016)'!$A$3,"MA_HT","TMD","MA_QH","CQP")</f>
        <v>0</v>
      </c>
      <c r="T25" s="35">
        <f>+GETPIVOTDATA("XBT4",'binhtrung (2016)'!$A$3,"MA_HT","TMD","MA_QH","CAN")</f>
        <v>0</v>
      </c>
      <c r="U25" s="35">
        <f>+GETPIVOTDATA("XBT4",'binhtrung (2016)'!$A$3,"MA_HT","TMD","MA_QH","SKK")</f>
        <v>0</v>
      </c>
      <c r="V25" s="35">
        <f>+GETPIVOTDATA("XBT4",'binhtrung (2016)'!$A$3,"MA_HT","TMD","MA_QH","SKT")</f>
        <v>0</v>
      </c>
      <c r="W25" s="35">
        <f>+GETPIVOTDATA("XBT4",'binhtrung (2016)'!$A$3,"MA_HT","TMD","MA_QH","SKN")</f>
        <v>0</v>
      </c>
      <c r="X25" s="99" t="e">
        <f>$D25-$BF25</f>
        <v>#REF!</v>
      </c>
      <c r="Y25" s="35">
        <f>+GETPIVOTDATA("XBT4",'binhtrung (2016)'!$A$3,"MA_HT","TMD","MA_QH","SKC")</f>
        <v>0</v>
      </c>
      <c r="Z25" s="35">
        <f>+GETPIVOTDATA("XBT4",'binhtrung (2016)'!$A$3,"MA_HT","TMD","MA_QH","SKS")</f>
        <v>0</v>
      </c>
      <c r="AA25" s="64">
        <f t="shared" si="12"/>
        <v>0</v>
      </c>
      <c r="AB25" s="35">
        <f>+GETPIVOTDATA("XBT4",'binhtrung (2016)'!$A$3,"MA_HT","TMD","MA_QH","DGT")</f>
        <v>0</v>
      </c>
      <c r="AC25" s="35">
        <f>+GETPIVOTDATA("XBT4",'binhtrung (2016)'!$A$3,"MA_HT","TMD","MA_QH","DTL")</f>
        <v>0</v>
      </c>
      <c r="AD25" s="35">
        <f>+GETPIVOTDATA("XBT4",'binhtrung (2016)'!$A$3,"MA_HT","TMD","MA_QH","DNL")</f>
        <v>0</v>
      </c>
      <c r="AE25" s="35">
        <f>+GETPIVOTDATA("XBT4",'binhtrung (2016)'!$A$3,"MA_HT","TMD","MA_QH","DBV")</f>
        <v>0</v>
      </c>
      <c r="AF25" s="35">
        <f>+GETPIVOTDATA("XBT4",'binhtrung (2016)'!$A$3,"MA_HT","TMD","MA_QH","DVH")</f>
        <v>0</v>
      </c>
      <c r="AG25" s="35">
        <f>+GETPIVOTDATA("XBT4",'binhtrung (2016)'!$A$3,"MA_HT","TMD","MA_QH","DYT")</f>
        <v>0</v>
      </c>
      <c r="AH25" s="35">
        <f>+GETPIVOTDATA("XBT4",'binhtrung (2016)'!$A$3,"MA_HT","TMD","MA_QH","DGD")</f>
        <v>0</v>
      </c>
      <c r="AI25" s="35">
        <f>+GETPIVOTDATA("XBT4",'binhtrung (2016)'!$A$3,"MA_HT","TMD","MA_QH","DTT")</f>
        <v>0</v>
      </c>
      <c r="AJ25" s="35">
        <f>+GETPIVOTDATA("XBT4",'binhtrung (2016)'!$A$3,"MA_HT","TMD","MA_QH","NCK")</f>
        <v>0</v>
      </c>
      <c r="AK25" s="35">
        <f>+GETPIVOTDATA("XBT4",'binhtrung (2016)'!$A$3,"MA_HT","TMD","MA_QH","DXH")</f>
        <v>0</v>
      </c>
      <c r="AL25" s="35">
        <f>+GETPIVOTDATA("XBT4",'binhtrung (2016)'!$A$3,"MA_HT","TMD","MA_QH","DCH")</f>
        <v>0</v>
      </c>
      <c r="AM25" s="35">
        <f>+GETPIVOTDATA("XBT4",'binhtrung (2016)'!$A$3,"MA_HT","TMD","MA_QH","DKG")</f>
        <v>0</v>
      </c>
      <c r="AN25" s="35">
        <f>+GETPIVOTDATA("XBT4",'binhtrung (2016)'!$A$3,"MA_HT","TMD","MA_QH","DDT")</f>
        <v>0</v>
      </c>
      <c r="AO25" s="35">
        <f>+GETPIVOTDATA("XBT4",'binhtrung (2016)'!$A$3,"MA_HT","TMD","MA_QH","DDL")</f>
        <v>0</v>
      </c>
      <c r="AP25" s="35">
        <f>+GETPIVOTDATA("XBT4",'binhtrung (2016)'!$A$3,"MA_HT","TMD","MA_QH","DRA")</f>
        <v>0</v>
      </c>
      <c r="AQ25" s="35">
        <f>+GETPIVOTDATA("XBT4",'binhtrung (2016)'!$A$3,"MA_HT","TMD","MA_QH","ONT")</f>
        <v>0</v>
      </c>
      <c r="AR25" s="35">
        <f>+GETPIVOTDATA("XBT4",'binhtrung (2016)'!$A$3,"MA_HT","TMD","MA_QH","ODT")</f>
        <v>0</v>
      </c>
      <c r="AS25" s="35">
        <f>+GETPIVOTDATA("XBT4",'binhtrung (2016)'!$A$3,"MA_HT","TMD","MA_QH","TSC")</f>
        <v>0</v>
      </c>
      <c r="AT25" s="35">
        <f>+GETPIVOTDATA("XBT4",'binhtrung (2016)'!$A$3,"MA_HT","TMD","MA_QH","DTS")</f>
        <v>0</v>
      </c>
      <c r="AU25" s="35">
        <f>+GETPIVOTDATA("XBT4",'binhtrung (2016)'!$A$3,"MA_HT","TMD","MA_QH","DNG")</f>
        <v>0</v>
      </c>
      <c r="AV25" s="35">
        <f>+GETPIVOTDATA("XBT4",'binhtrung (2016)'!$A$3,"MA_HT","TMD","MA_QH","TON")</f>
        <v>0</v>
      </c>
      <c r="AW25" s="35">
        <f>+GETPIVOTDATA("XBT4",'binhtrung (2016)'!$A$3,"MA_HT","TMD","MA_QH","NTD")</f>
        <v>0</v>
      </c>
      <c r="AX25" s="35">
        <f>+GETPIVOTDATA("XBT4",'binhtrung (2016)'!$A$3,"MA_HT","TMD","MA_QH","SKX")</f>
        <v>0</v>
      </c>
      <c r="AY25" s="35">
        <f>+GETPIVOTDATA("XBT4",'binhtrung (2016)'!$A$3,"MA_HT","TMD","MA_QH","DSH")</f>
        <v>0</v>
      </c>
      <c r="AZ25" s="35">
        <f>+GETPIVOTDATA("XBT4",'binhtrung (2016)'!$A$3,"MA_HT","TMD","MA_QH","DKV")</f>
        <v>0</v>
      </c>
      <c r="BA25" s="140">
        <f>+GETPIVOTDATA("XBT4",'binhtrung (2016)'!$A$3,"MA_HT","TMD","MA_QH","TIN")</f>
        <v>0</v>
      </c>
      <c r="BB25" s="74">
        <f>+GETPIVOTDATA("XBT4",'binhtrung (2016)'!$A$3,"MA_HT","TMD","MA_QH","SON")</f>
        <v>0</v>
      </c>
      <c r="BC25" s="74">
        <f>+GETPIVOTDATA("XBT4",'binhtrung (2016)'!$A$3,"MA_HT","TMD","MA_QH","MNC")</f>
        <v>0</v>
      </c>
      <c r="BD25" s="35">
        <f>+GETPIVOTDATA("XBT4",'binhtrung (2016)'!$A$3,"MA_HT","TMD","MA_QH","PNK")</f>
        <v>0</v>
      </c>
      <c r="BE25" s="58">
        <f>+GETPIVOTDATA("XBT4",'binhtrung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+GETPIVOTDATA("XBT4",'binhtrung (2016)'!$A$3,"MA_HT","SKC","MA_QH","LUC")</f>
        <v>0</v>
      </c>
      <c r="H26" s="35">
        <f>+GETPIVOTDATA("XBT4",'binhtrung (2016)'!$A$3,"MA_HT","SKC","MA_QH","LUK")</f>
        <v>0</v>
      </c>
      <c r="I26" s="35">
        <f>+GETPIVOTDATA("XBT4",'binhtrung (2016)'!$A$3,"MA_HT","SKC","MA_QH","LUN")</f>
        <v>0</v>
      </c>
      <c r="J26" s="35">
        <f>+GETPIVOTDATA("XBT4",'binhtrung (2016)'!$A$3,"MA_HT","SKC","MA_QH","HNK")</f>
        <v>0</v>
      </c>
      <c r="K26" s="35">
        <f>+GETPIVOTDATA("XBT4",'binhtrung (2016)'!$A$3,"MA_HT","SKC","MA_QH","CLN")</f>
        <v>0</v>
      </c>
      <c r="L26" s="35">
        <f>+GETPIVOTDATA("XBT4",'binhtrung (2016)'!$A$3,"MA_HT","SKC","MA_QH","RSX")</f>
        <v>0</v>
      </c>
      <c r="M26" s="35">
        <f>+GETPIVOTDATA("XBT4",'binhtrung (2016)'!$A$3,"MA_HT","SKC","MA_QH","RPH")</f>
        <v>0</v>
      </c>
      <c r="N26" s="35">
        <f>+GETPIVOTDATA("XBT4",'binhtrung (2016)'!$A$3,"MA_HT","SKC","MA_QH","RDD")</f>
        <v>0</v>
      </c>
      <c r="O26" s="35">
        <f>+GETPIVOTDATA("XBT4",'binhtrung (2016)'!$A$3,"MA_HT","SKC","MA_QH","NTS")</f>
        <v>0</v>
      </c>
      <c r="P26" s="35">
        <f>+GETPIVOTDATA("XBT4",'binhtrung (2016)'!$A$3,"MA_HT","SKC","MA_QH","LMU")</f>
        <v>0</v>
      </c>
      <c r="Q26" s="35">
        <f>+GETPIVOTDATA("XBT4",'binhtrung (2016)'!$A$3,"MA_HT","SKC","MA_QH","NKH")</f>
        <v>0</v>
      </c>
      <c r="R26" s="63">
        <f>SUM(S26:X26,Z26,AN26:BD26)</f>
        <v>0</v>
      </c>
      <c r="S26" s="35">
        <f>+GETPIVOTDATA("XBT4",'binhtrung (2016)'!$A$3,"MA_HT","SKC","MA_QH","CQP")</f>
        <v>0</v>
      </c>
      <c r="T26" s="35">
        <f>+GETPIVOTDATA("XBT4",'binhtrung (2016)'!$A$3,"MA_HT","SKC","MA_QH","CAN")</f>
        <v>0</v>
      </c>
      <c r="U26" s="35">
        <f>+GETPIVOTDATA("XBT4",'binhtrung (2016)'!$A$3,"MA_HT","SKC","MA_QH","SKK")</f>
        <v>0</v>
      </c>
      <c r="V26" s="35">
        <f>+GETPIVOTDATA("XBT4",'binhtrung (2016)'!$A$3,"MA_HT","SKC","MA_QH","SKT")</f>
        <v>0</v>
      </c>
      <c r="W26" s="35">
        <f>+GETPIVOTDATA("XBT4",'binhtrung (2016)'!$A$3,"MA_HT","SKC","MA_QH","SKN")</f>
        <v>0</v>
      </c>
      <c r="X26" s="35">
        <f>+GETPIVOTDATA("XBT4",'binhtrung (2016)'!$A$3,"MA_HT","SKC","MA_QH","TMD")</f>
        <v>0</v>
      </c>
      <c r="Y26" s="99" t="e">
        <f>$D26-$BF26</f>
        <v>#REF!</v>
      </c>
      <c r="Z26" s="35">
        <f>+GETPIVOTDATA("XBT4",'binhtrung (2016)'!$A$3,"MA_HT","SKC","MA_QH","SKS")</f>
        <v>0</v>
      </c>
      <c r="AA26" s="64">
        <f t="shared" si="12"/>
        <v>0</v>
      </c>
      <c r="AB26" s="35">
        <f>+GETPIVOTDATA("XBT4",'binhtrung (2016)'!$A$3,"MA_HT","SKC","MA_QH","DGT")</f>
        <v>0</v>
      </c>
      <c r="AC26" s="35">
        <f>+GETPIVOTDATA("XBT4",'binhtrung (2016)'!$A$3,"MA_HT","SKC","MA_QH","DTL")</f>
        <v>0</v>
      </c>
      <c r="AD26" s="35">
        <f>+GETPIVOTDATA("XBT4",'binhtrung (2016)'!$A$3,"MA_HT","SKC","MA_QH","DNL")</f>
        <v>0</v>
      </c>
      <c r="AE26" s="35">
        <f>+GETPIVOTDATA("XBT4",'binhtrung (2016)'!$A$3,"MA_HT","SKC","MA_QH","DBV")</f>
        <v>0</v>
      </c>
      <c r="AF26" s="35">
        <f>+GETPIVOTDATA("XBT4",'binhtrung (2016)'!$A$3,"MA_HT","SKC","MA_QH","DVH")</f>
        <v>0</v>
      </c>
      <c r="AG26" s="35">
        <f>+GETPIVOTDATA("XBT4",'binhtrung (2016)'!$A$3,"MA_HT","SKC","MA_QH","DYT")</f>
        <v>0</v>
      </c>
      <c r="AH26" s="35">
        <f>+GETPIVOTDATA("XBT4",'binhtrung (2016)'!$A$3,"MA_HT","SKC","MA_QH","DGD")</f>
        <v>0</v>
      </c>
      <c r="AI26" s="35">
        <f>+GETPIVOTDATA("XBT4",'binhtrung (2016)'!$A$3,"MA_HT","SKC","MA_QH","DTT")</f>
        <v>0</v>
      </c>
      <c r="AJ26" s="35">
        <f>+GETPIVOTDATA("XBT4",'binhtrung (2016)'!$A$3,"MA_HT","SKC","MA_QH","NCK")</f>
        <v>0</v>
      </c>
      <c r="AK26" s="35">
        <f>+GETPIVOTDATA("XBT4",'binhtrung (2016)'!$A$3,"MA_HT","SKC","MA_QH","DXH")</f>
        <v>0</v>
      </c>
      <c r="AL26" s="35">
        <f>+GETPIVOTDATA("XBT4",'binhtrung (2016)'!$A$3,"MA_HT","SKC","MA_QH","DCH")</f>
        <v>0</v>
      </c>
      <c r="AM26" s="35">
        <f>+GETPIVOTDATA("XBT4",'binhtrung (2016)'!$A$3,"MA_HT","SKC","MA_QH","DKG")</f>
        <v>0</v>
      </c>
      <c r="AN26" s="35">
        <f>+GETPIVOTDATA("XBT4",'binhtrung (2016)'!$A$3,"MA_HT","SKC","MA_QH","DDT")</f>
        <v>0</v>
      </c>
      <c r="AO26" s="35">
        <f>+GETPIVOTDATA("XBT4",'binhtrung (2016)'!$A$3,"MA_HT","SKC","MA_QH","DDL")</f>
        <v>0</v>
      </c>
      <c r="AP26" s="35">
        <f>+GETPIVOTDATA("XBT4",'binhtrung (2016)'!$A$3,"MA_HT","SKC","MA_QH","DRA")</f>
        <v>0</v>
      </c>
      <c r="AQ26" s="35">
        <f>+GETPIVOTDATA("XBT4",'binhtrung (2016)'!$A$3,"MA_HT","SKC","MA_QH","ONT")</f>
        <v>0</v>
      </c>
      <c r="AR26" s="35">
        <f>+GETPIVOTDATA("XBT4",'binhtrung (2016)'!$A$3,"MA_HT","SKC","MA_QH","ODT")</f>
        <v>0</v>
      </c>
      <c r="AS26" s="35">
        <f>+GETPIVOTDATA("XBT4",'binhtrung (2016)'!$A$3,"MA_HT","SKC","MA_QH","TSC")</f>
        <v>0</v>
      </c>
      <c r="AT26" s="35">
        <f>+GETPIVOTDATA("XBT4",'binhtrung (2016)'!$A$3,"MA_HT","SKC","MA_QH","DTS")</f>
        <v>0</v>
      </c>
      <c r="AU26" s="35">
        <f>+GETPIVOTDATA("XBT4",'binhtrung (2016)'!$A$3,"MA_HT","SKC","MA_QH","DNG")</f>
        <v>0</v>
      </c>
      <c r="AV26" s="35">
        <f>+GETPIVOTDATA("XBT4",'binhtrung (2016)'!$A$3,"MA_HT","SKC","MA_QH","TON")</f>
        <v>0</v>
      </c>
      <c r="AW26" s="35">
        <f>+GETPIVOTDATA("XBT4",'binhtrung (2016)'!$A$3,"MA_HT","SKC","MA_QH","NTD")</f>
        <v>0</v>
      </c>
      <c r="AX26" s="35">
        <f>+GETPIVOTDATA("XBT4",'binhtrung (2016)'!$A$3,"MA_HT","SKC","MA_QH","SKX")</f>
        <v>0</v>
      </c>
      <c r="AY26" s="35">
        <f>+GETPIVOTDATA("XBT4",'binhtrung (2016)'!$A$3,"MA_HT","SKC","MA_QH","DSH")</f>
        <v>0</v>
      </c>
      <c r="AZ26" s="35">
        <f>+GETPIVOTDATA("XBT4",'binhtrung (2016)'!$A$3,"MA_HT","SKC","MA_QH","DKV")</f>
        <v>0</v>
      </c>
      <c r="BA26" s="140">
        <f>+GETPIVOTDATA("XBT4",'binhtrung (2016)'!$A$3,"MA_HT","SKC","MA_QH","TIN")</f>
        <v>0</v>
      </c>
      <c r="BB26" s="74">
        <f>+GETPIVOTDATA("XBT4",'binhtrung (2016)'!$A$3,"MA_HT","SKC","MA_QH","SON")</f>
        <v>0</v>
      </c>
      <c r="BC26" s="74">
        <f>+GETPIVOTDATA("XBT4",'binhtrung (2016)'!$A$3,"MA_HT","SKC","MA_QH","MNC")</f>
        <v>0</v>
      </c>
      <c r="BD26" s="35">
        <f>+GETPIVOTDATA("XBT4",'binhtrung (2016)'!$A$3,"MA_HT","SKC","MA_QH","PNK")</f>
        <v>0</v>
      </c>
      <c r="BE26" s="58">
        <f>+GETPIVOTDATA("XBT4",'binhtrung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+GETPIVOTDATA("XBT4",'binhtrung (2016)'!$A$3,"MA_HT","SKS","MA_QH","LUC")</f>
        <v>0</v>
      </c>
      <c r="H27" s="35">
        <f>+GETPIVOTDATA("XBT4",'binhtrung (2016)'!$A$3,"MA_HT","SKS","MA_QH","LUK")</f>
        <v>0</v>
      </c>
      <c r="I27" s="35">
        <f>+GETPIVOTDATA("XBT4",'binhtrung (2016)'!$A$3,"MA_HT","SKS","MA_QH","LUN")</f>
        <v>0</v>
      </c>
      <c r="J27" s="35">
        <f>+GETPIVOTDATA("XBT4",'binhtrung (2016)'!$A$3,"MA_HT","SKS","MA_QH","HNK")</f>
        <v>0</v>
      </c>
      <c r="K27" s="35">
        <f>+GETPIVOTDATA("XBT4",'binhtrung (2016)'!$A$3,"MA_HT","SKS","MA_QH","CLN")</f>
        <v>0</v>
      </c>
      <c r="L27" s="35">
        <f>+GETPIVOTDATA("XBT4",'binhtrung (2016)'!$A$3,"MA_HT","SKS","MA_QH","RSX")</f>
        <v>0</v>
      </c>
      <c r="M27" s="35">
        <f>+GETPIVOTDATA("XBT4",'binhtrung (2016)'!$A$3,"MA_HT","SKS","MA_QH","RPH")</f>
        <v>0</v>
      </c>
      <c r="N27" s="35">
        <f>+GETPIVOTDATA("XBT4",'binhtrung (2016)'!$A$3,"MA_HT","SKS","MA_QH","RDD")</f>
        <v>0</v>
      </c>
      <c r="O27" s="35">
        <f>+GETPIVOTDATA("XBT4",'binhtrung (2016)'!$A$3,"MA_HT","SKS","MA_QH","NTS")</f>
        <v>0</v>
      </c>
      <c r="P27" s="35">
        <f>+GETPIVOTDATA("XBT4",'binhtrung (2016)'!$A$3,"MA_HT","SKS","MA_QH","LMU")</f>
        <v>0</v>
      </c>
      <c r="Q27" s="35">
        <f>+GETPIVOTDATA("XBT4",'binhtrung (2016)'!$A$3,"MA_HT","SKS","MA_QH","NKH")</f>
        <v>0</v>
      </c>
      <c r="R27" s="63">
        <f>SUM(S27:Y27,AA27,AN27:BD27)</f>
        <v>0</v>
      </c>
      <c r="S27" s="35">
        <f>+GETPIVOTDATA("XBT4",'binhtrung (2016)'!$A$3,"MA_HT","SKS","MA_QH","CQP")</f>
        <v>0</v>
      </c>
      <c r="T27" s="35">
        <f>+GETPIVOTDATA("XBT4",'binhtrung (2016)'!$A$3,"MA_HT","SKS","MA_QH","CAN")</f>
        <v>0</v>
      </c>
      <c r="U27" s="35">
        <f>+GETPIVOTDATA("XBT4",'binhtrung (2016)'!$A$3,"MA_HT","SKS","MA_QH","SKK")</f>
        <v>0</v>
      </c>
      <c r="V27" s="35">
        <f>+GETPIVOTDATA("XBT4",'binhtrung (2016)'!$A$3,"MA_HT","SKS","MA_QH","SKT")</f>
        <v>0</v>
      </c>
      <c r="W27" s="35">
        <f>+GETPIVOTDATA("XBT4",'binhtrung (2016)'!$A$3,"MA_HT","SKS","MA_QH","SKN")</f>
        <v>0</v>
      </c>
      <c r="X27" s="35">
        <f>+GETPIVOTDATA("XBT4",'binhtrung (2016)'!$A$3,"MA_HT","SKS","MA_QH","TMD")</f>
        <v>0</v>
      </c>
      <c r="Y27" s="35">
        <f>+GETPIVOTDATA("XBT4",'binhtrung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+GETPIVOTDATA("XBT4",'binhtrung (2016)'!$A$3,"MA_HT","SKS","MA_QH","DGT")</f>
        <v>0</v>
      </c>
      <c r="AC27" s="35">
        <f>+GETPIVOTDATA("XBT4",'binhtrung (2016)'!$A$3,"MA_HT","SKS","MA_QH","DTL")</f>
        <v>0</v>
      </c>
      <c r="AD27" s="35">
        <f>+GETPIVOTDATA("XBT4",'binhtrung (2016)'!$A$3,"MA_HT","SKS","MA_QH","DNL")</f>
        <v>0</v>
      </c>
      <c r="AE27" s="35">
        <f>+GETPIVOTDATA("XBT4",'binhtrung (2016)'!$A$3,"MA_HT","SKS","MA_QH","DBV")</f>
        <v>0</v>
      </c>
      <c r="AF27" s="35">
        <f>+GETPIVOTDATA("XBT4",'binhtrung (2016)'!$A$3,"MA_HT","SKS","MA_QH","DVH")</f>
        <v>0</v>
      </c>
      <c r="AG27" s="35">
        <f>+GETPIVOTDATA("XBT4",'binhtrung (2016)'!$A$3,"MA_HT","SKS","MA_QH","DYT")</f>
        <v>0</v>
      </c>
      <c r="AH27" s="35">
        <f>+GETPIVOTDATA("XBT4",'binhtrung (2016)'!$A$3,"MA_HT","SKS","MA_QH","DGD")</f>
        <v>0</v>
      </c>
      <c r="AI27" s="35">
        <f>+GETPIVOTDATA("XBT4",'binhtrung (2016)'!$A$3,"MA_HT","SKS","MA_QH","DTT")</f>
        <v>0</v>
      </c>
      <c r="AJ27" s="35">
        <f>+GETPIVOTDATA("XBT4",'binhtrung (2016)'!$A$3,"MA_HT","SKS","MA_QH","NCK")</f>
        <v>0</v>
      </c>
      <c r="AK27" s="35">
        <f>+GETPIVOTDATA("XBT4",'binhtrung (2016)'!$A$3,"MA_HT","SKS","MA_QH","DXH")</f>
        <v>0</v>
      </c>
      <c r="AL27" s="35">
        <f>+GETPIVOTDATA("XBT4",'binhtrung (2016)'!$A$3,"MA_HT","SKS","MA_QH","DCH")</f>
        <v>0</v>
      </c>
      <c r="AM27" s="35">
        <f>+GETPIVOTDATA("XBT4",'binhtrung (2016)'!$A$3,"MA_HT","SKS","MA_QH","DKG")</f>
        <v>0</v>
      </c>
      <c r="AN27" s="35">
        <f>+GETPIVOTDATA("XBT4",'binhtrung (2016)'!$A$3,"MA_HT","SKS","MA_QH","DDT")</f>
        <v>0</v>
      </c>
      <c r="AO27" s="35">
        <f>+GETPIVOTDATA("XBT4",'binhtrung (2016)'!$A$3,"MA_HT","SKS","MA_QH","DDL")</f>
        <v>0</v>
      </c>
      <c r="AP27" s="35">
        <f>+GETPIVOTDATA("XBT4",'binhtrung (2016)'!$A$3,"MA_HT","SKS","MA_QH","DRA")</f>
        <v>0</v>
      </c>
      <c r="AQ27" s="35">
        <f>+GETPIVOTDATA("XBT4",'binhtrung (2016)'!$A$3,"MA_HT","SKS","MA_QH","ONT")</f>
        <v>0</v>
      </c>
      <c r="AR27" s="35">
        <f>+GETPIVOTDATA("XBT4",'binhtrung (2016)'!$A$3,"MA_HT","SKS","MA_QH","ODT")</f>
        <v>0</v>
      </c>
      <c r="AS27" s="35">
        <f>+GETPIVOTDATA("XBT4",'binhtrung (2016)'!$A$3,"MA_HT","SKS","MA_QH","TSC")</f>
        <v>0</v>
      </c>
      <c r="AT27" s="35">
        <f>+GETPIVOTDATA("XBT4",'binhtrung (2016)'!$A$3,"MA_HT","SKS","MA_QH","DTS")</f>
        <v>0</v>
      </c>
      <c r="AU27" s="35">
        <f>+GETPIVOTDATA("XBT4",'binhtrung (2016)'!$A$3,"MA_HT","SKS","MA_QH","DNG")</f>
        <v>0</v>
      </c>
      <c r="AV27" s="35">
        <f>+GETPIVOTDATA("XBT4",'binhtrung (2016)'!$A$3,"MA_HT","SKS","MA_QH","TON")</f>
        <v>0</v>
      </c>
      <c r="AW27" s="35">
        <f>+GETPIVOTDATA("XBT4",'binhtrung (2016)'!$A$3,"MA_HT","SKS","MA_QH","NTD")</f>
        <v>0</v>
      </c>
      <c r="AX27" s="35">
        <f>+GETPIVOTDATA("XBT4",'binhtrung (2016)'!$A$3,"MA_HT","SKS","MA_QH","SKX")</f>
        <v>0</v>
      </c>
      <c r="AY27" s="35">
        <f>+GETPIVOTDATA("XBT4",'binhtrung (2016)'!$A$3,"MA_HT","SKS","MA_QH","DSH")</f>
        <v>0</v>
      </c>
      <c r="AZ27" s="35">
        <f>+GETPIVOTDATA("XBT4",'binhtrung (2016)'!$A$3,"MA_HT","SKS","MA_QH","DKV")</f>
        <v>0</v>
      </c>
      <c r="BA27" s="140">
        <f>+GETPIVOTDATA("XBT4",'binhtrung (2016)'!$A$3,"MA_HT","SKS","MA_QH","TIN")</f>
        <v>0</v>
      </c>
      <c r="BB27" s="74">
        <f>+GETPIVOTDATA("XBT4",'binhtrung (2016)'!$A$3,"MA_HT","SKS","MA_QH","SON")</f>
        <v>0</v>
      </c>
      <c r="BC27" s="74">
        <f>+GETPIVOTDATA("XBT4",'binhtrung (2016)'!$A$3,"MA_HT","SKS","MA_QH","MNC")</f>
        <v>0</v>
      </c>
      <c r="BD27" s="35">
        <f>+GETPIVOTDATA("XBT4",'binhtrung (2016)'!$A$3,"MA_HT","SKS","MA_QH","PNK")</f>
        <v>0</v>
      </c>
      <c r="BE27" s="58">
        <f>+GETPIVOTDATA("XBT4",'binhtrung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+GETPIVOTDATA("XBT4",'binhtrung (2016)'!$A$3,"MA_HT","DGT","MA_QH","LUC")</f>
        <v>0</v>
      </c>
      <c r="H29" s="74">
        <f>+GETPIVOTDATA("XBT4",'binhtrung (2016)'!$A$3,"MA_HT","DGT","MA_QH","LUK")</f>
        <v>0</v>
      </c>
      <c r="I29" s="74">
        <f>+GETPIVOTDATA("XBT4",'binhtrung (2016)'!$A$3,"MA_HT","DGT","MA_QH","LUN")</f>
        <v>0</v>
      </c>
      <c r="J29" s="74">
        <f>+GETPIVOTDATA("XBT4",'binhtrung (2016)'!$A$3,"MA_HT","DGT","MA_QH","HNK")</f>
        <v>0</v>
      </c>
      <c r="K29" s="74">
        <f>+GETPIVOTDATA("XBT4",'binhtrung (2016)'!$A$3,"MA_HT","DGT","MA_QH","CLN")</f>
        <v>0</v>
      </c>
      <c r="L29" s="74">
        <f>+GETPIVOTDATA("XBT4",'binhtrung (2016)'!$A$3,"MA_HT","DGT","MA_QH","RSX")</f>
        <v>0</v>
      </c>
      <c r="M29" s="74">
        <f>+GETPIVOTDATA("XBT4",'binhtrung (2016)'!$A$3,"MA_HT","DGT","MA_QH","RPH")</f>
        <v>0</v>
      </c>
      <c r="N29" s="74">
        <f>+GETPIVOTDATA("XBT4",'binhtrung (2016)'!$A$3,"MA_HT","DGT","MA_QH","RDD")</f>
        <v>0</v>
      </c>
      <c r="O29" s="74">
        <f>+GETPIVOTDATA("XBT4",'binhtrung (2016)'!$A$3,"MA_HT","DGT","MA_QH","NTS")</f>
        <v>0</v>
      </c>
      <c r="P29" s="74">
        <f>+GETPIVOTDATA("XBT4",'binhtrung (2016)'!$A$3,"MA_HT","DGT","MA_QH","LMU")</f>
        <v>0</v>
      </c>
      <c r="Q29" s="74">
        <f>+GETPIVOTDATA("XBT4",'binhtrung (2016)'!$A$3,"MA_HT","DGT","MA_QH","NKH")</f>
        <v>0</v>
      </c>
      <c r="R29" s="72">
        <f>SUM(S29:AA29,AN29:BD29)</f>
        <v>0</v>
      </c>
      <c r="S29" s="74">
        <f>+GETPIVOTDATA("XBT4",'binhtrung (2016)'!$A$3,"MA_HT","DGT","MA_QH","CQP")</f>
        <v>0</v>
      </c>
      <c r="T29" s="74">
        <f>+GETPIVOTDATA("XBT4",'binhtrung (2016)'!$A$3,"MA_HT","DGT","MA_QH","CAN")</f>
        <v>0</v>
      </c>
      <c r="U29" s="74">
        <f>+GETPIVOTDATA("XBT4",'binhtrung (2016)'!$A$3,"MA_HT","DGT","MA_QH","SKK")</f>
        <v>0</v>
      </c>
      <c r="V29" s="74">
        <f>+GETPIVOTDATA("XBT4",'binhtrung (2016)'!$A$3,"MA_HT","DGT","MA_QH","SKT")</f>
        <v>0</v>
      </c>
      <c r="W29" s="74">
        <f>+GETPIVOTDATA("XBT4",'binhtrung (2016)'!$A$3,"MA_HT","DGT","MA_QH","SKN")</f>
        <v>0</v>
      </c>
      <c r="X29" s="74">
        <f>+GETPIVOTDATA("XBT4",'binhtrung (2016)'!$A$3,"MA_HT","DGT","MA_QH","TMD")</f>
        <v>0</v>
      </c>
      <c r="Y29" s="74">
        <f>+GETPIVOTDATA("XBT4",'binhtrung (2016)'!$A$3,"MA_HT","DGT","MA_QH","SKC")</f>
        <v>0</v>
      </c>
      <c r="Z29" s="74">
        <f>+GETPIVOTDATA("XBT4",'binhtrung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+GETPIVOTDATA("XBT4",'binhtrung (2016)'!$A$3,"MA_HT","DGT","MA_QH","DTL")</f>
        <v>0</v>
      </c>
      <c r="AD29" s="74">
        <f>+GETPIVOTDATA("XBT4",'binhtrung (2016)'!$A$3,"MA_HT","DGT","MA_QH","DNL")</f>
        <v>0</v>
      </c>
      <c r="AE29" s="74">
        <f>+GETPIVOTDATA("XBT4",'binhtrung (2016)'!$A$3,"MA_HT","DGT","MA_QH","DBV")</f>
        <v>0</v>
      </c>
      <c r="AF29" s="74">
        <f>+GETPIVOTDATA("XBT4",'binhtrung (2016)'!$A$3,"MA_HT","DGT","MA_QH","DVH")</f>
        <v>0</v>
      </c>
      <c r="AG29" s="74">
        <f>+GETPIVOTDATA("XBT4",'binhtrung (2016)'!$A$3,"MA_HT","DGT","MA_QH","DYT")</f>
        <v>0</v>
      </c>
      <c r="AH29" s="74">
        <f>+GETPIVOTDATA("XBT4",'binhtrung (2016)'!$A$3,"MA_HT","DGT","MA_QH","DGD")</f>
        <v>0</v>
      </c>
      <c r="AI29" s="74">
        <f>+GETPIVOTDATA("XBT4",'binhtrung (2016)'!$A$3,"MA_HT","DGT","MA_QH","DTT")</f>
        <v>0</v>
      </c>
      <c r="AJ29" s="74">
        <f>+GETPIVOTDATA("XBT4",'binhtrung (2016)'!$A$3,"MA_HT","DGT","MA_QH","NCK")</f>
        <v>0</v>
      </c>
      <c r="AK29" s="74">
        <f>+GETPIVOTDATA("XBT4",'binhtrung (2016)'!$A$3,"MA_HT","DGT","MA_QH","DXH")</f>
        <v>0</v>
      </c>
      <c r="AL29" s="74">
        <f>+GETPIVOTDATA("XBT4",'binhtrung (2016)'!$A$3,"MA_HT","DGT","MA_QH","DCH")</f>
        <v>0</v>
      </c>
      <c r="AM29" s="74">
        <f>+GETPIVOTDATA("XBT4",'binhtrung (2016)'!$A$3,"MA_HT","DGT","MA_QH","DKG")</f>
        <v>0</v>
      </c>
      <c r="AN29" s="74">
        <f>+GETPIVOTDATA("XBT4",'binhtrung (2016)'!$A$3,"MA_HT","DGT","MA_QH","DDT")</f>
        <v>0</v>
      </c>
      <c r="AO29" s="74">
        <f>+GETPIVOTDATA("XBT4",'binhtrung (2016)'!$A$3,"MA_HT","DGT","MA_QH","DDL")</f>
        <v>0</v>
      </c>
      <c r="AP29" s="74">
        <f>+GETPIVOTDATA("XBT4",'binhtrung (2016)'!$A$3,"MA_HT","DGT","MA_QH","DRA")</f>
        <v>0</v>
      </c>
      <c r="AQ29" s="74">
        <f>+GETPIVOTDATA("XBT4",'binhtrung (2016)'!$A$3,"MA_HT","DGT","MA_QH","ONT")</f>
        <v>0</v>
      </c>
      <c r="AR29" s="74">
        <f>+GETPIVOTDATA("XBT4",'binhtrung (2016)'!$A$3,"MA_HT","DGT","MA_QH","ODT")</f>
        <v>0</v>
      </c>
      <c r="AS29" s="74">
        <f>+GETPIVOTDATA("XBT4",'binhtrung (2016)'!$A$3,"MA_HT","DGT","MA_QH","TSC")</f>
        <v>0</v>
      </c>
      <c r="AT29" s="74">
        <f>+GETPIVOTDATA("XBT4",'binhtrung (2016)'!$A$3,"MA_HT","DGT","MA_QH","DTS")</f>
        <v>0</v>
      </c>
      <c r="AU29" s="74">
        <f>+GETPIVOTDATA("XBT4",'binhtrung (2016)'!$A$3,"MA_HT","DGT","MA_QH","DNG")</f>
        <v>0</v>
      </c>
      <c r="AV29" s="74">
        <f>+GETPIVOTDATA("XBT4",'binhtrung (2016)'!$A$3,"MA_HT","DGT","MA_QH","TON")</f>
        <v>0</v>
      </c>
      <c r="AW29" s="74">
        <f>+GETPIVOTDATA("XBT4",'binhtrung (2016)'!$A$3,"MA_HT","DGT","MA_QH","NTD")</f>
        <v>0</v>
      </c>
      <c r="AX29" s="74">
        <f>+GETPIVOTDATA("XBT4",'binhtrung (2016)'!$A$3,"MA_HT","DGT","MA_QH","SKX")</f>
        <v>0</v>
      </c>
      <c r="AY29" s="74">
        <f>+GETPIVOTDATA("XBT4",'binhtrung (2016)'!$A$3,"MA_HT","DGT","MA_QH","DSH")</f>
        <v>0</v>
      </c>
      <c r="AZ29" s="74">
        <f>+GETPIVOTDATA("XBT4",'binhtrung (2016)'!$A$3,"MA_HT","DGT","MA_QH","DKV")</f>
        <v>0</v>
      </c>
      <c r="BA29" s="139">
        <f>+GETPIVOTDATA("XBT4",'binhtrung (2016)'!$A$3,"MA_HT","DGT","MA_QH","TIN")</f>
        <v>0</v>
      </c>
      <c r="BB29" s="74">
        <f>+GETPIVOTDATA("XBT4",'binhtrung (2016)'!$A$3,"MA_HT","DGT","MA_QH","SON")</f>
        <v>0</v>
      </c>
      <c r="BC29" s="74">
        <f>+GETPIVOTDATA("XBT4",'binhtrung (2016)'!$A$3,"MA_HT","DGT","MA_QH","MNC")</f>
        <v>0</v>
      </c>
      <c r="BD29" s="74">
        <f>+GETPIVOTDATA("XBT4",'binhtrung (2016)'!$A$3,"MA_HT","DGT","MA_QH","PNK")</f>
        <v>0</v>
      </c>
      <c r="BE29" s="102">
        <f>+GETPIVOTDATA("XBT4",'binhtrung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+GETPIVOTDATA("XBT4",'binhtrung (2016)'!$A$3,"MA_HT","DTL","MA_QH","LUC")</f>
        <v>0</v>
      </c>
      <c r="H30" s="74">
        <f>+GETPIVOTDATA("XBT4",'binhtrung (2016)'!$A$3,"MA_HT","DTL","MA_QH","LUK")</f>
        <v>0</v>
      </c>
      <c r="I30" s="74">
        <f>+GETPIVOTDATA("XBT4",'binhtrung (2016)'!$A$3,"MA_HT","DTL","MA_QH","LUN")</f>
        <v>0</v>
      </c>
      <c r="J30" s="74">
        <f>+GETPIVOTDATA("XBT4",'binhtrung (2016)'!$A$3,"MA_HT","DTL","MA_QH","HNK")</f>
        <v>0</v>
      </c>
      <c r="K30" s="74">
        <f>+GETPIVOTDATA("XBT4",'binhtrung (2016)'!$A$3,"MA_HT","DTL","MA_QH","CLN")</f>
        <v>0</v>
      </c>
      <c r="L30" s="74">
        <f>+GETPIVOTDATA("XBT4",'binhtrung (2016)'!$A$3,"MA_HT","DTL","MA_QH","RSX")</f>
        <v>0</v>
      </c>
      <c r="M30" s="74">
        <f>+GETPIVOTDATA("XBT4",'binhtrung (2016)'!$A$3,"MA_HT","DTL","MA_QH","RPH")</f>
        <v>0</v>
      </c>
      <c r="N30" s="74">
        <f>+GETPIVOTDATA("XBT4",'binhtrung (2016)'!$A$3,"MA_HT","DTL","MA_QH","RDD")</f>
        <v>0</v>
      </c>
      <c r="O30" s="74">
        <f>+GETPIVOTDATA("XBT4",'binhtrung (2016)'!$A$3,"MA_HT","DTL","MA_QH","NTS")</f>
        <v>0</v>
      </c>
      <c r="P30" s="74">
        <f>+GETPIVOTDATA("XBT4",'binhtrung (2016)'!$A$3,"MA_HT","DTL","MA_QH","LMU")</f>
        <v>0</v>
      </c>
      <c r="Q30" s="74">
        <f>+GETPIVOTDATA("XBT4",'binhtrung (2016)'!$A$3,"MA_HT","DTL","MA_QH","NKH")</f>
        <v>0</v>
      </c>
      <c r="R30" s="72">
        <f t="shared" ref="R30:R39" si="20">SUM(S30:AA30,AN30:BD30)</f>
        <v>0</v>
      </c>
      <c r="S30" s="74">
        <f>+GETPIVOTDATA("XBT4",'binhtrung (2016)'!$A$3,"MA_HT","DTL","MA_QH","CQP")</f>
        <v>0</v>
      </c>
      <c r="T30" s="74">
        <f>+GETPIVOTDATA("XBT4",'binhtrung (2016)'!$A$3,"MA_HT","DTL","MA_QH","CAN")</f>
        <v>0</v>
      </c>
      <c r="U30" s="74">
        <f>+GETPIVOTDATA("XBT4",'binhtrung (2016)'!$A$3,"MA_HT","DTL","MA_QH","SKK")</f>
        <v>0</v>
      </c>
      <c r="V30" s="74">
        <f>+GETPIVOTDATA("XBT4",'binhtrung (2016)'!$A$3,"MA_HT","DTL","MA_QH","SKT")</f>
        <v>0</v>
      </c>
      <c r="W30" s="74">
        <f>+GETPIVOTDATA("XBT4",'binhtrung (2016)'!$A$3,"MA_HT","DTL","MA_QH","SKN")</f>
        <v>0</v>
      </c>
      <c r="X30" s="74">
        <f>+GETPIVOTDATA("XBT4",'binhtrung (2016)'!$A$3,"MA_HT","DTL","MA_QH","TMD")</f>
        <v>0</v>
      </c>
      <c r="Y30" s="74">
        <f>+GETPIVOTDATA("XBT4",'binhtrung (2016)'!$A$3,"MA_HT","DTL","MA_QH","SKC")</f>
        <v>0</v>
      </c>
      <c r="Z30" s="74">
        <f>+GETPIVOTDATA("XBT4",'binhtrung (2016)'!$A$3,"MA_HT","DTL","MA_QH","SKS")</f>
        <v>0</v>
      </c>
      <c r="AA30" s="64">
        <f>+SUM(AB30,AD30:AM30)</f>
        <v>0</v>
      </c>
      <c r="AB30" s="74">
        <f>+GETPIVOTDATA("XBT4",'binhtrung (2016)'!$A$3,"MA_HT","DTL","MA_QH","DGT")</f>
        <v>0</v>
      </c>
      <c r="AC30" s="100" t="e">
        <f>$D30-$BF30</f>
        <v>#REF!</v>
      </c>
      <c r="AD30" s="74">
        <f>+GETPIVOTDATA("XBT4",'binhtrung (2016)'!$A$3,"MA_HT","DTL","MA_QH","DNL")</f>
        <v>0</v>
      </c>
      <c r="AE30" s="74">
        <f>+GETPIVOTDATA("XBT4",'binhtrung (2016)'!$A$3,"MA_HT","DTL","MA_QH","DBV")</f>
        <v>0</v>
      </c>
      <c r="AF30" s="74">
        <f>+GETPIVOTDATA("XBT4",'binhtrung (2016)'!$A$3,"MA_HT","DTL","MA_QH","DVH")</f>
        <v>0</v>
      </c>
      <c r="AG30" s="74">
        <f>+GETPIVOTDATA("XBT4",'binhtrung (2016)'!$A$3,"MA_HT","DTL","MA_QH","DYT")</f>
        <v>0</v>
      </c>
      <c r="AH30" s="74">
        <f>+GETPIVOTDATA("XBT4",'binhtrung (2016)'!$A$3,"MA_HT","DTL","MA_QH","DGD")</f>
        <v>0</v>
      </c>
      <c r="AI30" s="74">
        <f>+GETPIVOTDATA("XBT4",'binhtrung (2016)'!$A$3,"MA_HT","DTL","MA_QH","DTT")</f>
        <v>0</v>
      </c>
      <c r="AJ30" s="74">
        <f>+GETPIVOTDATA("XBT4",'binhtrung (2016)'!$A$3,"MA_HT","DTL","MA_QH","NCK")</f>
        <v>0</v>
      </c>
      <c r="AK30" s="74">
        <f>+GETPIVOTDATA("XBT4",'binhtrung (2016)'!$A$3,"MA_HT","DTL","MA_QH","DXH")</f>
        <v>0</v>
      </c>
      <c r="AL30" s="74">
        <f>+GETPIVOTDATA("XBT4",'binhtrung (2016)'!$A$3,"MA_HT","DTL","MA_QH","DCH")</f>
        <v>0</v>
      </c>
      <c r="AM30" s="74">
        <f>+GETPIVOTDATA("XBT4",'binhtrung (2016)'!$A$3,"MA_HT","DTL","MA_QH","DKG")</f>
        <v>0</v>
      </c>
      <c r="AN30" s="74">
        <f>+GETPIVOTDATA("XBT4",'binhtrung (2016)'!$A$3,"MA_HT","DTL","MA_QH","DDT")</f>
        <v>0</v>
      </c>
      <c r="AO30" s="74">
        <f>+GETPIVOTDATA("XBT4",'binhtrung (2016)'!$A$3,"MA_HT","DTL","MA_QH","DDL")</f>
        <v>0</v>
      </c>
      <c r="AP30" s="74">
        <f>+GETPIVOTDATA("XBT4",'binhtrung (2016)'!$A$3,"MA_HT","DTL","MA_QH","DRA")</f>
        <v>0</v>
      </c>
      <c r="AQ30" s="74">
        <f>+GETPIVOTDATA("XBT4",'binhtrung (2016)'!$A$3,"MA_HT","DTL","MA_QH","ONT")</f>
        <v>0</v>
      </c>
      <c r="AR30" s="74">
        <f>+GETPIVOTDATA("XBT4",'binhtrung (2016)'!$A$3,"MA_HT","DTL","MA_QH","ODT")</f>
        <v>0</v>
      </c>
      <c r="AS30" s="74">
        <f>+GETPIVOTDATA("XBT4",'binhtrung (2016)'!$A$3,"MA_HT","DTL","MA_QH","TSC")</f>
        <v>0</v>
      </c>
      <c r="AT30" s="74">
        <f>+GETPIVOTDATA("XBT4",'binhtrung (2016)'!$A$3,"MA_HT","DTL","MA_QH","DTS")</f>
        <v>0</v>
      </c>
      <c r="AU30" s="74">
        <f>+GETPIVOTDATA("XBT4",'binhtrung (2016)'!$A$3,"MA_HT","DTL","MA_QH","DNG")</f>
        <v>0</v>
      </c>
      <c r="AV30" s="74">
        <f>+GETPIVOTDATA("XBT4",'binhtrung (2016)'!$A$3,"MA_HT","DTL","MA_QH","TON")</f>
        <v>0</v>
      </c>
      <c r="AW30" s="74">
        <f>+GETPIVOTDATA("XBT4",'binhtrung (2016)'!$A$3,"MA_HT","DTL","MA_QH","NTD")</f>
        <v>0</v>
      </c>
      <c r="AX30" s="74">
        <f>+GETPIVOTDATA("XBT4",'binhtrung (2016)'!$A$3,"MA_HT","DTL","MA_QH","SKX")</f>
        <v>0</v>
      </c>
      <c r="AY30" s="74">
        <f>+GETPIVOTDATA("XBT4",'binhtrung (2016)'!$A$3,"MA_HT","DTL","MA_QH","DSH")</f>
        <v>0</v>
      </c>
      <c r="AZ30" s="74">
        <f>+GETPIVOTDATA("XBT4",'binhtrung (2016)'!$A$3,"MA_HT","DTL","MA_QH","DKV")</f>
        <v>0</v>
      </c>
      <c r="BA30" s="139">
        <f>+GETPIVOTDATA("XBT4",'binhtrung (2016)'!$A$3,"MA_HT","DTL","MA_QH","TIN")</f>
        <v>0</v>
      </c>
      <c r="BB30" s="74">
        <f>+GETPIVOTDATA("XBT4",'binhtrung (2016)'!$A$3,"MA_HT","DTL","MA_QH","SON")</f>
        <v>0</v>
      </c>
      <c r="BC30" s="74">
        <f>+GETPIVOTDATA("XBT4",'binhtrung (2016)'!$A$3,"MA_HT","DTL","MA_QH","MNC")</f>
        <v>0</v>
      </c>
      <c r="BD30" s="74">
        <f>+GETPIVOTDATA("XBT4",'binhtrung (2016)'!$A$3,"MA_HT","DTL","MA_QH","PNK")</f>
        <v>0</v>
      </c>
      <c r="BE30" s="102">
        <f>+GETPIVOTDATA("XBT4",'binhtrung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+GETPIVOTDATA("XBT4",'binhtrung (2016)'!$A$3,"MA_HT","DNL","MA_QH","LUC")</f>
        <v>0</v>
      </c>
      <c r="H31" s="74">
        <f>+GETPIVOTDATA("XBT4",'binhtrung (2016)'!$A$3,"MA_HT","DNL","MA_QH","LUK")</f>
        <v>0</v>
      </c>
      <c r="I31" s="74">
        <f>+GETPIVOTDATA("XBT4",'binhtrung (2016)'!$A$3,"MA_HT","DNL","MA_QH","LUN")</f>
        <v>0</v>
      </c>
      <c r="J31" s="74">
        <f>+GETPIVOTDATA("XBT4",'binhtrung (2016)'!$A$3,"MA_HT","DNL","MA_QH","HNK")</f>
        <v>0</v>
      </c>
      <c r="K31" s="74">
        <f>+GETPIVOTDATA("XBT4",'binhtrung (2016)'!$A$3,"MA_HT","DNL","MA_QH","CLN")</f>
        <v>0</v>
      </c>
      <c r="L31" s="74">
        <f>+GETPIVOTDATA("XBT4",'binhtrung (2016)'!$A$3,"MA_HT","DNL","MA_QH","RSX")</f>
        <v>0</v>
      </c>
      <c r="M31" s="74">
        <f>+GETPIVOTDATA("XBT4",'binhtrung (2016)'!$A$3,"MA_HT","DNL","MA_QH","RPH")</f>
        <v>0</v>
      </c>
      <c r="N31" s="74">
        <f>+GETPIVOTDATA("XBT4",'binhtrung (2016)'!$A$3,"MA_HT","DNL","MA_QH","RDD")</f>
        <v>0</v>
      </c>
      <c r="O31" s="74">
        <f>+GETPIVOTDATA("XBT4",'binhtrung (2016)'!$A$3,"MA_HT","DNL","MA_QH","NTS")</f>
        <v>0</v>
      </c>
      <c r="P31" s="74">
        <f>+GETPIVOTDATA("XBT4",'binhtrung (2016)'!$A$3,"MA_HT","DNL","MA_QH","LMU")</f>
        <v>0</v>
      </c>
      <c r="Q31" s="74">
        <f>+GETPIVOTDATA("XBT4",'binhtrung (2016)'!$A$3,"MA_HT","DNL","MA_QH","NKH")</f>
        <v>0</v>
      </c>
      <c r="R31" s="72">
        <f t="shared" si="20"/>
        <v>0</v>
      </c>
      <c r="S31" s="74">
        <f>+GETPIVOTDATA("XBT4",'binhtrung (2016)'!$A$3,"MA_HT","DNL","MA_QH","CQP")</f>
        <v>0</v>
      </c>
      <c r="T31" s="74">
        <f>+GETPIVOTDATA("XBT4",'binhtrung (2016)'!$A$3,"MA_HT","DNL","MA_QH","CAN")</f>
        <v>0</v>
      </c>
      <c r="U31" s="74">
        <f>+GETPIVOTDATA("XBT4",'binhtrung (2016)'!$A$3,"MA_HT","DNL","MA_QH","SKK")</f>
        <v>0</v>
      </c>
      <c r="V31" s="74">
        <f>+GETPIVOTDATA("XBT4",'binhtrung (2016)'!$A$3,"MA_HT","DNL","MA_QH","SKT")</f>
        <v>0</v>
      </c>
      <c r="W31" s="74">
        <f>+GETPIVOTDATA("XBT4",'binhtrung (2016)'!$A$3,"MA_HT","DNL","MA_QH","SKN")</f>
        <v>0</v>
      </c>
      <c r="X31" s="74">
        <f>+GETPIVOTDATA("XBT4",'binhtrung (2016)'!$A$3,"MA_HT","DNL","MA_QH","TMD")</f>
        <v>0</v>
      </c>
      <c r="Y31" s="74">
        <f>+GETPIVOTDATA("XBT4",'binhtrung (2016)'!$A$3,"MA_HT","DNL","MA_QH","SKC")</f>
        <v>0</v>
      </c>
      <c r="Z31" s="74">
        <f>+GETPIVOTDATA("XBT4",'binhtrung (2016)'!$A$3,"MA_HT","DNL","MA_QH","SKS")</f>
        <v>0</v>
      </c>
      <c r="AA31" s="64">
        <f>+SUM(AB31:AC31,AE31:AM31)</f>
        <v>0</v>
      </c>
      <c r="AB31" s="74">
        <f>+GETPIVOTDATA("XBT4",'binhtrung (2016)'!$A$3,"MA_HT","DNL","MA_QH","DGT")</f>
        <v>0</v>
      </c>
      <c r="AC31" s="74">
        <f>+GETPIVOTDATA("XBT4",'binhtrung (2016)'!$A$3,"MA_HT","DNL","MA_QH","DTL")</f>
        <v>0</v>
      </c>
      <c r="AD31" s="100" t="e">
        <f>$D31-$BF31</f>
        <v>#REF!</v>
      </c>
      <c r="AE31" s="74">
        <f>+GETPIVOTDATA("XBT4",'binhtrung (2016)'!$A$3,"MA_HT","DNL","MA_QH","DBV")</f>
        <v>0</v>
      </c>
      <c r="AF31" s="74">
        <f>+GETPIVOTDATA("XBT4",'binhtrung (2016)'!$A$3,"MA_HT","DNL","MA_QH","DVH")</f>
        <v>0</v>
      </c>
      <c r="AG31" s="74">
        <f>+GETPIVOTDATA("XBT4",'binhtrung (2016)'!$A$3,"MA_HT","DNL","MA_QH","DYT")</f>
        <v>0</v>
      </c>
      <c r="AH31" s="74">
        <f>+GETPIVOTDATA("XBT4",'binhtrung (2016)'!$A$3,"MA_HT","DNL","MA_QH","DGD")</f>
        <v>0</v>
      </c>
      <c r="AI31" s="74">
        <f>+GETPIVOTDATA("XBT4",'binhtrung (2016)'!$A$3,"MA_HT","DNL","MA_QH","DTT")</f>
        <v>0</v>
      </c>
      <c r="AJ31" s="74">
        <f>+GETPIVOTDATA("XBT4",'binhtrung (2016)'!$A$3,"MA_HT","DNL","MA_QH","NCK")</f>
        <v>0</v>
      </c>
      <c r="AK31" s="74">
        <f>+GETPIVOTDATA("XBT4",'binhtrung (2016)'!$A$3,"MA_HT","DNL","MA_QH","DXH")</f>
        <v>0</v>
      </c>
      <c r="AL31" s="74">
        <f>+GETPIVOTDATA("XBT4",'binhtrung (2016)'!$A$3,"MA_HT","DNL","MA_QH","DCH")</f>
        <v>0</v>
      </c>
      <c r="AM31" s="74">
        <f>+GETPIVOTDATA("XBT4",'binhtrung (2016)'!$A$3,"MA_HT","DNL","MA_QH","DKG")</f>
        <v>0</v>
      </c>
      <c r="AN31" s="74">
        <f>+GETPIVOTDATA("XBT4",'binhtrung (2016)'!$A$3,"MA_HT","DNL","MA_QH","DDT")</f>
        <v>0</v>
      </c>
      <c r="AO31" s="74">
        <f>+GETPIVOTDATA("XBT4",'binhtrung (2016)'!$A$3,"MA_HT","DNL","MA_QH","DDL")</f>
        <v>0</v>
      </c>
      <c r="AP31" s="74">
        <f>+GETPIVOTDATA("XBT4",'binhtrung (2016)'!$A$3,"MA_HT","DNL","MA_QH","DRA")</f>
        <v>0</v>
      </c>
      <c r="AQ31" s="74">
        <f>+GETPIVOTDATA("XBT4",'binhtrung (2016)'!$A$3,"MA_HT","DNL","MA_QH","ONT")</f>
        <v>0</v>
      </c>
      <c r="AR31" s="74">
        <f>+GETPIVOTDATA("XBT4",'binhtrung (2016)'!$A$3,"MA_HT","DNL","MA_QH","ODT")</f>
        <v>0</v>
      </c>
      <c r="AS31" s="74">
        <f>+GETPIVOTDATA("XBT4",'binhtrung (2016)'!$A$3,"MA_HT","DNL","MA_QH","TSC")</f>
        <v>0</v>
      </c>
      <c r="AT31" s="74">
        <f>+GETPIVOTDATA("XBT4",'binhtrung (2016)'!$A$3,"MA_HT","DNL","MA_QH","DTS")</f>
        <v>0</v>
      </c>
      <c r="AU31" s="74">
        <f>+GETPIVOTDATA("XBT4",'binhtrung (2016)'!$A$3,"MA_HT","DNL","MA_QH","DNG")</f>
        <v>0</v>
      </c>
      <c r="AV31" s="74">
        <f>+GETPIVOTDATA("XBT4",'binhtrung (2016)'!$A$3,"MA_HT","DNL","MA_QH","TON")</f>
        <v>0</v>
      </c>
      <c r="AW31" s="74">
        <f>+GETPIVOTDATA("XBT4",'binhtrung (2016)'!$A$3,"MA_HT","DNL","MA_QH","NTD")</f>
        <v>0</v>
      </c>
      <c r="AX31" s="74">
        <f>+GETPIVOTDATA("XBT4",'binhtrung (2016)'!$A$3,"MA_HT","DNL","MA_QH","SKX")</f>
        <v>0</v>
      </c>
      <c r="AY31" s="74">
        <f>+GETPIVOTDATA("XBT4",'binhtrung (2016)'!$A$3,"MA_HT","DNL","MA_QH","DSH")</f>
        <v>0</v>
      </c>
      <c r="AZ31" s="74">
        <f>+GETPIVOTDATA("XBT4",'binhtrung (2016)'!$A$3,"MA_HT","DNL","MA_QH","DKV")</f>
        <v>0</v>
      </c>
      <c r="BA31" s="139">
        <f>+GETPIVOTDATA("XBT4",'binhtrung (2016)'!$A$3,"MA_HT","DNL","MA_QH","TIN")</f>
        <v>0</v>
      </c>
      <c r="BB31" s="74">
        <f>+GETPIVOTDATA("XBT4",'binhtrung (2016)'!$A$3,"MA_HT","DNL","MA_QH","SON")</f>
        <v>0</v>
      </c>
      <c r="BC31" s="74">
        <f>+GETPIVOTDATA("XBT4",'binhtrung (2016)'!$A$3,"MA_HT","DNL","MA_QH","MNC")</f>
        <v>0</v>
      </c>
      <c r="BD31" s="74">
        <f>+GETPIVOTDATA("XBT4",'binhtrung (2016)'!$A$3,"MA_HT","DNL","MA_QH","PNK")</f>
        <v>0</v>
      </c>
      <c r="BE31" s="102">
        <f>+GETPIVOTDATA("XBT4",'binhtrung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+GETPIVOTDATA("XBT4",'binhtrung (2016)'!$A$3,"MA_HT","DBV","MA_QH","LUC")</f>
        <v>0</v>
      </c>
      <c r="H32" s="74">
        <f>+GETPIVOTDATA("XBT4",'binhtrung (2016)'!$A$3,"MA_HT","DBV","MA_QH","LUK")</f>
        <v>0</v>
      </c>
      <c r="I32" s="74">
        <f>+GETPIVOTDATA("XBT4",'binhtrung (2016)'!$A$3,"MA_HT","DBV","MA_QH","LUN")</f>
        <v>0</v>
      </c>
      <c r="J32" s="74">
        <f>+GETPIVOTDATA("XBT4",'binhtrung (2016)'!$A$3,"MA_HT","DBV","MA_QH","HNK")</f>
        <v>0</v>
      </c>
      <c r="K32" s="74">
        <f>+GETPIVOTDATA("XBT4",'binhtrung (2016)'!$A$3,"MA_HT","DBV","MA_QH","CLN")</f>
        <v>0</v>
      </c>
      <c r="L32" s="74">
        <f>+GETPIVOTDATA("XBT4",'binhtrung (2016)'!$A$3,"MA_HT","DBV","MA_QH","RSX")</f>
        <v>0</v>
      </c>
      <c r="M32" s="74">
        <f>+GETPIVOTDATA("XBT4",'binhtrung (2016)'!$A$3,"MA_HT","DBV","MA_QH","RPH")</f>
        <v>0</v>
      </c>
      <c r="N32" s="74">
        <f>+GETPIVOTDATA("XBT4",'binhtrung (2016)'!$A$3,"MA_HT","DBV","MA_QH","RDD")</f>
        <v>0</v>
      </c>
      <c r="O32" s="74">
        <f>+GETPIVOTDATA("XBT4",'binhtrung (2016)'!$A$3,"MA_HT","DBV","MA_QH","NTS")</f>
        <v>0</v>
      </c>
      <c r="P32" s="74">
        <f>+GETPIVOTDATA("XBT4",'binhtrung (2016)'!$A$3,"MA_HT","DBV","MA_QH","LMU")</f>
        <v>0</v>
      </c>
      <c r="Q32" s="74">
        <f>+GETPIVOTDATA("XBT4",'binhtrung (2016)'!$A$3,"MA_HT","DBV","MA_QH","NKH")</f>
        <v>0</v>
      </c>
      <c r="R32" s="72">
        <f t="shared" si="20"/>
        <v>0</v>
      </c>
      <c r="S32" s="74">
        <f>+GETPIVOTDATA("XBT4",'binhtrung (2016)'!$A$3,"MA_HT","DBV","MA_QH","CQP")</f>
        <v>0</v>
      </c>
      <c r="T32" s="74">
        <f>+GETPIVOTDATA("XBT4",'binhtrung (2016)'!$A$3,"MA_HT","DBV","MA_QH","CAN")</f>
        <v>0</v>
      </c>
      <c r="U32" s="74">
        <f>+GETPIVOTDATA("XBT4",'binhtrung (2016)'!$A$3,"MA_HT","DBV","MA_QH","SKK")</f>
        <v>0</v>
      </c>
      <c r="V32" s="74">
        <f>+GETPIVOTDATA("XBT4",'binhtrung (2016)'!$A$3,"MA_HT","DBV","MA_QH","SKT")</f>
        <v>0</v>
      </c>
      <c r="W32" s="74">
        <f>+GETPIVOTDATA("XBT4",'binhtrung (2016)'!$A$3,"MA_HT","DBV","MA_QH","SKN")</f>
        <v>0</v>
      </c>
      <c r="X32" s="74">
        <f>+GETPIVOTDATA("XBT4",'binhtrung (2016)'!$A$3,"MA_HT","DBV","MA_QH","TMD")</f>
        <v>0</v>
      </c>
      <c r="Y32" s="74">
        <f>+GETPIVOTDATA("XBT4",'binhtrung (2016)'!$A$3,"MA_HT","DBV","MA_QH","SKC")</f>
        <v>0</v>
      </c>
      <c r="Z32" s="74">
        <f>+GETPIVOTDATA("XBT4",'binhtrung (2016)'!$A$3,"MA_HT","DBV","MA_QH","SKS")</f>
        <v>0</v>
      </c>
      <c r="AA32" s="64">
        <f>+SUM(AB32:AD32,AF32:AM32)</f>
        <v>0</v>
      </c>
      <c r="AB32" s="74">
        <f>+GETPIVOTDATA("XBT4",'binhtrung (2016)'!$A$3,"MA_HT","DBV","MA_QH","DGT")</f>
        <v>0</v>
      </c>
      <c r="AC32" s="74">
        <f>+GETPIVOTDATA("XBT4",'binhtrung (2016)'!$A$3,"MA_HT","DBV","MA_QH","DTL")</f>
        <v>0</v>
      </c>
      <c r="AD32" s="74">
        <f>+GETPIVOTDATA("XBT4",'binhtrung (2016)'!$A$3,"MA_HT","DBV","MA_QH","DNL")</f>
        <v>0</v>
      </c>
      <c r="AE32" s="100" t="e">
        <f>$D32-$BF32</f>
        <v>#REF!</v>
      </c>
      <c r="AF32" s="74">
        <f>+GETPIVOTDATA("XBT4",'binhtrung (2016)'!$A$3,"MA_HT","DBV","MA_QH","DVH")</f>
        <v>0</v>
      </c>
      <c r="AG32" s="74">
        <f>+GETPIVOTDATA("XBT4",'binhtrung (2016)'!$A$3,"MA_HT","DBV","MA_QH","DYT")</f>
        <v>0</v>
      </c>
      <c r="AH32" s="74">
        <f>+GETPIVOTDATA("XBT4",'binhtrung (2016)'!$A$3,"MA_HT","DBV","MA_QH","DGD")</f>
        <v>0</v>
      </c>
      <c r="AI32" s="74">
        <f>+GETPIVOTDATA("XBT4",'binhtrung (2016)'!$A$3,"MA_HT","DBV","MA_QH","DTT")</f>
        <v>0</v>
      </c>
      <c r="AJ32" s="74">
        <f>+GETPIVOTDATA("XBT4",'binhtrung (2016)'!$A$3,"MA_HT","DBV","MA_QH","NCK")</f>
        <v>0</v>
      </c>
      <c r="AK32" s="74">
        <f>+GETPIVOTDATA("XBT4",'binhtrung (2016)'!$A$3,"MA_HT","DBV","MA_QH","DXH")</f>
        <v>0</v>
      </c>
      <c r="AL32" s="74">
        <f>+GETPIVOTDATA("XBT4",'binhtrung (2016)'!$A$3,"MA_HT","DBV","MA_QH","DCH")</f>
        <v>0</v>
      </c>
      <c r="AM32" s="74">
        <f>+GETPIVOTDATA("XBT4",'binhtrung (2016)'!$A$3,"MA_HT","DBV","MA_QH","DKG")</f>
        <v>0</v>
      </c>
      <c r="AN32" s="74">
        <f>+GETPIVOTDATA("XBT4",'binhtrung (2016)'!$A$3,"MA_HT","DBV","MA_QH","DDT")</f>
        <v>0</v>
      </c>
      <c r="AO32" s="74">
        <f>+GETPIVOTDATA("XBT4",'binhtrung (2016)'!$A$3,"MA_HT","DBV","MA_QH","DDL")</f>
        <v>0</v>
      </c>
      <c r="AP32" s="74">
        <f>+GETPIVOTDATA("XBT4",'binhtrung (2016)'!$A$3,"MA_HT","DBV","MA_QH","DRA")</f>
        <v>0</v>
      </c>
      <c r="AQ32" s="74">
        <f>+GETPIVOTDATA("XBT4",'binhtrung (2016)'!$A$3,"MA_HT","DBV","MA_QH","ONT")</f>
        <v>0</v>
      </c>
      <c r="AR32" s="74">
        <f>+GETPIVOTDATA("XBT4",'binhtrung (2016)'!$A$3,"MA_HT","DBV","MA_QH","ODT")</f>
        <v>0</v>
      </c>
      <c r="AS32" s="74">
        <f>+GETPIVOTDATA("XBT4",'binhtrung (2016)'!$A$3,"MA_HT","DBV","MA_QH","TSC")</f>
        <v>0</v>
      </c>
      <c r="AT32" s="74">
        <f>+GETPIVOTDATA("XBT4",'binhtrung (2016)'!$A$3,"MA_HT","DBV","MA_QH","DTS")</f>
        <v>0</v>
      </c>
      <c r="AU32" s="74">
        <f>+GETPIVOTDATA("XBT4",'binhtrung (2016)'!$A$3,"MA_HT","DBV","MA_QH","DNG")</f>
        <v>0</v>
      </c>
      <c r="AV32" s="74">
        <f>+GETPIVOTDATA("XBT4",'binhtrung (2016)'!$A$3,"MA_HT","DBV","MA_QH","TON")</f>
        <v>0</v>
      </c>
      <c r="AW32" s="74">
        <f>+GETPIVOTDATA("XBT4",'binhtrung (2016)'!$A$3,"MA_HT","DBV","MA_QH","NTD")</f>
        <v>0</v>
      </c>
      <c r="AX32" s="74">
        <f>+GETPIVOTDATA("XBT4",'binhtrung (2016)'!$A$3,"MA_HT","DBV","MA_QH","SKX")</f>
        <v>0</v>
      </c>
      <c r="AY32" s="74">
        <f>+GETPIVOTDATA("XBT4",'binhtrung (2016)'!$A$3,"MA_HT","DBV","MA_QH","DSH")</f>
        <v>0</v>
      </c>
      <c r="AZ32" s="74">
        <f>+GETPIVOTDATA("XBT4",'binhtrung (2016)'!$A$3,"MA_HT","DBV","MA_QH","DKV")</f>
        <v>0</v>
      </c>
      <c r="BA32" s="139">
        <f>+GETPIVOTDATA("XBT4",'binhtrung (2016)'!$A$3,"MA_HT","DBV","MA_QH","TIN")</f>
        <v>0</v>
      </c>
      <c r="BB32" s="74">
        <f>+GETPIVOTDATA("XBT4",'binhtrung (2016)'!$A$3,"MA_HT","DBV","MA_QH","SON")</f>
        <v>0</v>
      </c>
      <c r="BC32" s="74">
        <f>+GETPIVOTDATA("XBT4",'binhtrung (2016)'!$A$3,"MA_HT","DBV","MA_QH","MNC")</f>
        <v>0</v>
      </c>
      <c r="BD32" s="74">
        <f>+GETPIVOTDATA("XBT4",'binhtrung (2016)'!$A$3,"MA_HT","DBV","MA_QH","PNK")</f>
        <v>0</v>
      </c>
      <c r="BE32" s="102">
        <f>+GETPIVOTDATA("XBT4",'binhtrung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+GETPIVOTDATA("XBT4",'binhtrung (2016)'!$A$3,"MA_HT","DVH","MA_QH","LUC")</f>
        <v>0</v>
      </c>
      <c r="H33" s="74">
        <f>+GETPIVOTDATA("XBT4",'binhtrung (2016)'!$A$3,"MA_HT","DVH","MA_QH","LUK")</f>
        <v>0</v>
      </c>
      <c r="I33" s="74">
        <f>+GETPIVOTDATA("XBT4",'binhtrung (2016)'!$A$3,"MA_HT","DVH","MA_QH","LUN")</f>
        <v>0</v>
      </c>
      <c r="J33" s="74">
        <f>+GETPIVOTDATA("XBT4",'binhtrung (2016)'!$A$3,"MA_HT","DVH","MA_QH","HNK")</f>
        <v>0</v>
      </c>
      <c r="K33" s="74">
        <f>+GETPIVOTDATA("XBT4",'binhtrung (2016)'!$A$3,"MA_HT","DVH","MA_QH","CLN")</f>
        <v>0</v>
      </c>
      <c r="L33" s="74">
        <f>+GETPIVOTDATA("XBT4",'binhtrung (2016)'!$A$3,"MA_HT","DVH","MA_QH","RSX")</f>
        <v>0</v>
      </c>
      <c r="M33" s="74">
        <f>+GETPIVOTDATA("XBT4",'binhtrung (2016)'!$A$3,"MA_HT","DVH","MA_QH","RPH")</f>
        <v>0</v>
      </c>
      <c r="N33" s="74">
        <f>+GETPIVOTDATA("XBT4",'binhtrung (2016)'!$A$3,"MA_HT","DVH","MA_QH","RDD")</f>
        <v>0</v>
      </c>
      <c r="O33" s="74">
        <f>+GETPIVOTDATA("XBT4",'binhtrung (2016)'!$A$3,"MA_HT","DVH","MA_QH","NTS")</f>
        <v>0</v>
      </c>
      <c r="P33" s="74">
        <f>+GETPIVOTDATA("XBT4",'binhtrung (2016)'!$A$3,"MA_HT","DVH","MA_QH","LMU")</f>
        <v>0</v>
      </c>
      <c r="Q33" s="74">
        <f>+GETPIVOTDATA("XBT4",'binhtrung (2016)'!$A$3,"MA_HT","DVH","MA_QH","NKH")</f>
        <v>0</v>
      </c>
      <c r="R33" s="72">
        <f t="shared" si="20"/>
        <v>0</v>
      </c>
      <c r="S33" s="74">
        <f>+GETPIVOTDATA("XBT4",'binhtrung (2016)'!$A$3,"MA_HT","DVH","MA_QH","CQP")</f>
        <v>0</v>
      </c>
      <c r="T33" s="74">
        <f>+GETPIVOTDATA("XBT4",'binhtrung (2016)'!$A$3,"MA_HT","DVH","MA_QH","CAN")</f>
        <v>0</v>
      </c>
      <c r="U33" s="74">
        <f>+GETPIVOTDATA("XBT4",'binhtrung (2016)'!$A$3,"MA_HT","DVH","MA_QH","SKK")</f>
        <v>0</v>
      </c>
      <c r="V33" s="74">
        <f>+GETPIVOTDATA("XBT4",'binhtrung (2016)'!$A$3,"MA_HT","DVH","MA_QH","SKT")</f>
        <v>0</v>
      </c>
      <c r="W33" s="74">
        <f>+GETPIVOTDATA("XBT4",'binhtrung (2016)'!$A$3,"MA_HT","DVH","MA_QH","SKN")</f>
        <v>0</v>
      </c>
      <c r="X33" s="74">
        <f>+GETPIVOTDATA("XBT4",'binhtrung (2016)'!$A$3,"MA_HT","DVH","MA_QH","TMD")</f>
        <v>0</v>
      </c>
      <c r="Y33" s="74">
        <f>+GETPIVOTDATA("XBT4",'binhtrung (2016)'!$A$3,"MA_HT","DVH","MA_QH","SKC")</f>
        <v>0</v>
      </c>
      <c r="Z33" s="74">
        <f>+GETPIVOTDATA("XBT4",'binhtrung (2016)'!$A$3,"MA_HT","DVH","MA_QH","SKS")</f>
        <v>0</v>
      </c>
      <c r="AA33" s="64">
        <f>+SUM(AB33:AE33,AG33:AM33)</f>
        <v>0</v>
      </c>
      <c r="AB33" s="74">
        <f>+GETPIVOTDATA("XBT4",'binhtrung (2016)'!$A$3,"MA_HT","DVH","MA_QH","DGT")</f>
        <v>0</v>
      </c>
      <c r="AC33" s="74">
        <f>+GETPIVOTDATA("XBT4",'binhtrung (2016)'!$A$3,"MA_HT","DVH","MA_QH","DTL")</f>
        <v>0</v>
      </c>
      <c r="AD33" s="74">
        <f>+GETPIVOTDATA("XBT4",'binhtrung (2016)'!$A$3,"MA_HT","DVH","MA_QH","DNL")</f>
        <v>0</v>
      </c>
      <c r="AE33" s="74">
        <f>+GETPIVOTDATA("XBT4",'binhtrung (2016)'!$A$3,"MA_HT","DVH","MA_QH","DBV")</f>
        <v>0</v>
      </c>
      <c r="AF33" s="100" t="e">
        <f>$D33-$BF33</f>
        <v>#REF!</v>
      </c>
      <c r="AG33" s="74">
        <f>+GETPIVOTDATA("XBT4",'binhtrung (2016)'!$A$3,"MA_HT","DVH","MA_QH","DYT")</f>
        <v>0</v>
      </c>
      <c r="AH33" s="74">
        <f>+GETPIVOTDATA("XBT4",'binhtrung (2016)'!$A$3,"MA_HT","DVH","MA_QH","DGD")</f>
        <v>0</v>
      </c>
      <c r="AI33" s="74">
        <f>+GETPIVOTDATA("XBT4",'binhtrung (2016)'!$A$3,"MA_HT","DVH","MA_QH","DTT")</f>
        <v>0</v>
      </c>
      <c r="AJ33" s="74">
        <f>+GETPIVOTDATA("XBT4",'binhtrung (2016)'!$A$3,"MA_HT","DVH","MA_QH","NCK")</f>
        <v>0</v>
      </c>
      <c r="AK33" s="74">
        <f>+GETPIVOTDATA("XBT4",'binhtrung (2016)'!$A$3,"MA_HT","DVH","MA_QH","DXH")</f>
        <v>0</v>
      </c>
      <c r="AL33" s="74">
        <f>+GETPIVOTDATA("XBT4",'binhtrung (2016)'!$A$3,"MA_HT","DVH","MA_QH","DCH")</f>
        <v>0</v>
      </c>
      <c r="AM33" s="74">
        <f>+GETPIVOTDATA("XBT4",'binhtrung (2016)'!$A$3,"MA_HT","DVH","MA_QH","DKG")</f>
        <v>0</v>
      </c>
      <c r="AN33" s="74">
        <f>+GETPIVOTDATA("XBT4",'binhtrung (2016)'!$A$3,"MA_HT","DVH","MA_QH","DDT")</f>
        <v>0</v>
      </c>
      <c r="AO33" s="74">
        <f>+GETPIVOTDATA("XBT4",'binhtrung (2016)'!$A$3,"MA_HT","DVH","MA_QH","DDL")</f>
        <v>0</v>
      </c>
      <c r="AP33" s="74">
        <f>+GETPIVOTDATA("XBT4",'binhtrung (2016)'!$A$3,"MA_HT","DVH","MA_QH","DRA")</f>
        <v>0</v>
      </c>
      <c r="AQ33" s="74">
        <f>+GETPIVOTDATA("XBT4",'binhtrung (2016)'!$A$3,"MA_HT","DVH","MA_QH","ONT")</f>
        <v>0</v>
      </c>
      <c r="AR33" s="74">
        <f>+GETPIVOTDATA("XBT4",'binhtrung (2016)'!$A$3,"MA_HT","DVH","MA_QH","ODT")</f>
        <v>0</v>
      </c>
      <c r="AS33" s="74">
        <f>+GETPIVOTDATA("XBT4",'binhtrung (2016)'!$A$3,"MA_HT","DVH","MA_QH","TSC")</f>
        <v>0</v>
      </c>
      <c r="AT33" s="74">
        <f>+GETPIVOTDATA("XBT4",'binhtrung (2016)'!$A$3,"MA_HT","DVH","MA_QH","DTS")</f>
        <v>0</v>
      </c>
      <c r="AU33" s="74">
        <f>+GETPIVOTDATA("XBT4",'binhtrung (2016)'!$A$3,"MA_HT","DVH","MA_QH","DNG")</f>
        <v>0</v>
      </c>
      <c r="AV33" s="74">
        <f>+GETPIVOTDATA("XBT4",'binhtrung (2016)'!$A$3,"MA_HT","DVH","MA_QH","TON")</f>
        <v>0</v>
      </c>
      <c r="AW33" s="74">
        <f>+GETPIVOTDATA("XBT4",'binhtrung (2016)'!$A$3,"MA_HT","DVH","MA_QH","NTD")</f>
        <v>0</v>
      </c>
      <c r="AX33" s="74">
        <f>+GETPIVOTDATA("XBT4",'binhtrung (2016)'!$A$3,"MA_HT","DVH","MA_QH","SKX")</f>
        <v>0</v>
      </c>
      <c r="AY33" s="74">
        <f>+GETPIVOTDATA("XBT4",'binhtrung (2016)'!$A$3,"MA_HT","DVH","MA_QH","DSH")</f>
        <v>0</v>
      </c>
      <c r="AZ33" s="74">
        <f>+GETPIVOTDATA("XBT4",'binhtrung (2016)'!$A$3,"MA_HT","DVH","MA_QH","DKV")</f>
        <v>0</v>
      </c>
      <c r="BA33" s="139">
        <f>+GETPIVOTDATA("XBT4",'binhtrung (2016)'!$A$3,"MA_HT","DVH","MA_QH","TIN")</f>
        <v>0</v>
      </c>
      <c r="BB33" s="74">
        <f>+GETPIVOTDATA("XBT4",'binhtrung (2016)'!$A$3,"MA_HT","DVH","MA_QH","SON")</f>
        <v>0</v>
      </c>
      <c r="BC33" s="74">
        <f>+GETPIVOTDATA("XBT4",'binhtrung (2016)'!$A$3,"MA_HT","DVH","MA_QH","MNC")</f>
        <v>0</v>
      </c>
      <c r="BD33" s="74">
        <f>+GETPIVOTDATA("XBT4",'binhtrung (2016)'!$A$3,"MA_HT","DVH","MA_QH","PNK")</f>
        <v>0</v>
      </c>
      <c r="BE33" s="102">
        <f>+GETPIVOTDATA("XBT4",'binhtrung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+GETPIVOTDATA("XBT4",'binhtrung (2016)'!$A$3,"MA_HT","DYT","MA_QH","LUC")</f>
        <v>0</v>
      </c>
      <c r="H34" s="74">
        <f>+GETPIVOTDATA("XBT4",'binhtrung (2016)'!$A$3,"MA_HT","DYT","MA_QH","LUK")</f>
        <v>0</v>
      </c>
      <c r="I34" s="74">
        <f>+GETPIVOTDATA("XBT4",'binhtrung (2016)'!$A$3,"MA_HT","DYT","MA_QH","LUN")</f>
        <v>0</v>
      </c>
      <c r="J34" s="74">
        <f>+GETPIVOTDATA("XBT4",'binhtrung (2016)'!$A$3,"MA_HT","DYT","MA_QH","HNK")</f>
        <v>0</v>
      </c>
      <c r="K34" s="74">
        <f>+GETPIVOTDATA("XBT4",'binhtrung (2016)'!$A$3,"MA_HT","DYT","MA_QH","CLN")</f>
        <v>0</v>
      </c>
      <c r="L34" s="74">
        <f>+GETPIVOTDATA("XBT4",'binhtrung (2016)'!$A$3,"MA_HT","DYT","MA_QH","RSX")</f>
        <v>0</v>
      </c>
      <c r="M34" s="74">
        <f>+GETPIVOTDATA("XBT4",'binhtrung (2016)'!$A$3,"MA_HT","DYT","MA_QH","RPH")</f>
        <v>0</v>
      </c>
      <c r="N34" s="74">
        <f>+GETPIVOTDATA("XBT4",'binhtrung (2016)'!$A$3,"MA_HT","DYT","MA_QH","RDD")</f>
        <v>0</v>
      </c>
      <c r="O34" s="74">
        <f>+GETPIVOTDATA("XBT4",'binhtrung (2016)'!$A$3,"MA_HT","DYT","MA_QH","NTS")</f>
        <v>0</v>
      </c>
      <c r="P34" s="74">
        <f>+GETPIVOTDATA("XBT4",'binhtrung (2016)'!$A$3,"MA_HT","DYT","MA_QH","LMU")</f>
        <v>0</v>
      </c>
      <c r="Q34" s="74">
        <f>+GETPIVOTDATA("XBT4",'binhtrung (2016)'!$A$3,"MA_HT","DYT","MA_QH","NKH")</f>
        <v>0</v>
      </c>
      <c r="R34" s="72">
        <f t="shared" si="20"/>
        <v>0</v>
      </c>
      <c r="S34" s="74">
        <f>+GETPIVOTDATA("XBT4",'binhtrung (2016)'!$A$3,"MA_HT","DYT","MA_QH","CQP")</f>
        <v>0</v>
      </c>
      <c r="T34" s="74">
        <f>+GETPIVOTDATA("XBT4",'binhtrung (2016)'!$A$3,"MA_HT","DYT","MA_QH","CAN")</f>
        <v>0</v>
      </c>
      <c r="U34" s="74">
        <f>+GETPIVOTDATA("XBT4",'binhtrung (2016)'!$A$3,"MA_HT","DYT","MA_QH","SKK")</f>
        <v>0</v>
      </c>
      <c r="V34" s="74">
        <f>+GETPIVOTDATA("XBT4",'binhtrung (2016)'!$A$3,"MA_HT","DYT","MA_QH","SKT")</f>
        <v>0</v>
      </c>
      <c r="W34" s="74">
        <f>+GETPIVOTDATA("XBT4",'binhtrung (2016)'!$A$3,"MA_HT","DYT","MA_QH","SKN")</f>
        <v>0</v>
      </c>
      <c r="X34" s="74">
        <f>+GETPIVOTDATA("XBT4",'binhtrung (2016)'!$A$3,"MA_HT","DYT","MA_QH","TMD")</f>
        <v>0</v>
      </c>
      <c r="Y34" s="74">
        <f>+GETPIVOTDATA("XBT4",'binhtrung (2016)'!$A$3,"MA_HT","DYT","MA_QH","SKC")</f>
        <v>0</v>
      </c>
      <c r="Z34" s="74">
        <f>+GETPIVOTDATA("XBT4",'binhtrung (2016)'!$A$3,"MA_HT","DYT","MA_QH","SKS")</f>
        <v>0</v>
      </c>
      <c r="AA34" s="64">
        <f>+SUM(AB34:AF34,AH34:AM34)</f>
        <v>0</v>
      </c>
      <c r="AB34" s="74">
        <f>+GETPIVOTDATA("XBT4",'binhtrung (2016)'!$A$3,"MA_HT","DYT","MA_QH","DGT")</f>
        <v>0</v>
      </c>
      <c r="AC34" s="74">
        <f>+GETPIVOTDATA("XBT4",'binhtrung (2016)'!$A$3,"MA_HT","DYT","MA_QH","DTL")</f>
        <v>0</v>
      </c>
      <c r="AD34" s="74">
        <f>+GETPIVOTDATA("XBT4",'binhtrung (2016)'!$A$3,"MA_HT","DYT","MA_QH","DNL")</f>
        <v>0</v>
      </c>
      <c r="AE34" s="74">
        <f>+GETPIVOTDATA("XBT4",'binhtrung (2016)'!$A$3,"MA_HT","DYT","MA_QH","DBV")</f>
        <v>0</v>
      </c>
      <c r="AF34" s="74">
        <f>+GETPIVOTDATA("XBT4",'binhtrung (2016)'!$A$3,"MA_HT","DYT","MA_QH","DVH")</f>
        <v>0</v>
      </c>
      <c r="AG34" s="100" t="e">
        <f>$D34-$BF34</f>
        <v>#REF!</v>
      </c>
      <c r="AH34" s="74">
        <f>+GETPIVOTDATA("XBT4",'binhtrung (2016)'!$A$3,"MA_HT","DYT","MA_QH","DGD")</f>
        <v>0</v>
      </c>
      <c r="AI34" s="74">
        <f>+GETPIVOTDATA("XBT4",'binhtrung (2016)'!$A$3,"MA_HT","DYT","MA_QH","DTT")</f>
        <v>0</v>
      </c>
      <c r="AJ34" s="74">
        <f>+GETPIVOTDATA("XBT4",'binhtrung (2016)'!$A$3,"MA_HT","DYT","MA_QH","NCK")</f>
        <v>0</v>
      </c>
      <c r="AK34" s="74">
        <f>+GETPIVOTDATA("XBT4",'binhtrung (2016)'!$A$3,"MA_HT","DYT","MA_QH","DXH")</f>
        <v>0</v>
      </c>
      <c r="AL34" s="74">
        <f>+GETPIVOTDATA("XBT4",'binhtrung (2016)'!$A$3,"MA_HT","DYT","MA_QH","DCH")</f>
        <v>0</v>
      </c>
      <c r="AM34" s="74">
        <f>+GETPIVOTDATA("XBT4",'binhtrung (2016)'!$A$3,"MA_HT","DYT","MA_QH","DKG")</f>
        <v>0</v>
      </c>
      <c r="AN34" s="74">
        <f>+GETPIVOTDATA("XBT4",'binhtrung (2016)'!$A$3,"MA_HT","DYT","MA_QH","DDT")</f>
        <v>0</v>
      </c>
      <c r="AO34" s="74">
        <f>+GETPIVOTDATA("XBT4",'binhtrung (2016)'!$A$3,"MA_HT","DYT","MA_QH","DDL")</f>
        <v>0</v>
      </c>
      <c r="AP34" s="74">
        <f>+GETPIVOTDATA("XBT4",'binhtrung (2016)'!$A$3,"MA_HT","DYT","MA_QH","DRA")</f>
        <v>0</v>
      </c>
      <c r="AQ34" s="74">
        <f>+GETPIVOTDATA("XBT4",'binhtrung (2016)'!$A$3,"MA_HT","DYT","MA_QH","ONT")</f>
        <v>0</v>
      </c>
      <c r="AR34" s="74">
        <f>+GETPIVOTDATA("XBT4",'binhtrung (2016)'!$A$3,"MA_HT","DYT","MA_QH","ODT")</f>
        <v>0</v>
      </c>
      <c r="AS34" s="74">
        <f>+GETPIVOTDATA("XBT4",'binhtrung (2016)'!$A$3,"MA_HT","DYT","MA_QH","TSC")</f>
        <v>0</v>
      </c>
      <c r="AT34" s="74">
        <f>+GETPIVOTDATA("XBT4",'binhtrung (2016)'!$A$3,"MA_HT","DYT","MA_QH","DTS")</f>
        <v>0</v>
      </c>
      <c r="AU34" s="74">
        <f>+GETPIVOTDATA("XBT4",'binhtrung (2016)'!$A$3,"MA_HT","DYT","MA_QH","DNG")</f>
        <v>0</v>
      </c>
      <c r="AV34" s="74">
        <f>+GETPIVOTDATA("XBT4",'binhtrung (2016)'!$A$3,"MA_HT","DYT","MA_QH","TON")</f>
        <v>0</v>
      </c>
      <c r="AW34" s="74">
        <f>+GETPIVOTDATA("XBT4",'binhtrung (2016)'!$A$3,"MA_HT","DYT","MA_QH","NTD")</f>
        <v>0</v>
      </c>
      <c r="AX34" s="74">
        <f>+GETPIVOTDATA("XBT4",'binhtrung (2016)'!$A$3,"MA_HT","DYT","MA_QH","SKX")</f>
        <v>0</v>
      </c>
      <c r="AY34" s="74">
        <f>+GETPIVOTDATA("XBT4",'binhtrung (2016)'!$A$3,"MA_HT","DYT","MA_QH","DSH")</f>
        <v>0</v>
      </c>
      <c r="AZ34" s="74">
        <f>+GETPIVOTDATA("XBT4",'binhtrung (2016)'!$A$3,"MA_HT","DYT","MA_QH","DKV")</f>
        <v>0</v>
      </c>
      <c r="BA34" s="139">
        <f>+GETPIVOTDATA("XBT4",'binhtrung (2016)'!$A$3,"MA_HT","DYT","MA_QH","TIN")</f>
        <v>0</v>
      </c>
      <c r="BB34" s="74">
        <f>+GETPIVOTDATA("XBT4",'binhtrung (2016)'!$A$3,"MA_HT","DYT","MA_QH","SON")</f>
        <v>0</v>
      </c>
      <c r="BC34" s="74">
        <f>+GETPIVOTDATA("XBT4",'binhtrung (2016)'!$A$3,"MA_HT","DYT","MA_QH","MNC")</f>
        <v>0</v>
      </c>
      <c r="BD34" s="74">
        <f>+GETPIVOTDATA("XBT4",'binhtrung (2016)'!$A$3,"MA_HT","DYT","MA_QH","PNK")</f>
        <v>0</v>
      </c>
      <c r="BE34" s="102">
        <f>+GETPIVOTDATA("XBT4",'binhtrung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+GETPIVOTDATA("XBT4",'binhtrung (2016)'!$A$3,"MA_HT","DGD","MA_QH","LUC")</f>
        <v>0</v>
      </c>
      <c r="H35" s="74">
        <f>+GETPIVOTDATA("XBT4",'binhtrung (2016)'!$A$3,"MA_HT","DGD","MA_QH","LUK")</f>
        <v>0</v>
      </c>
      <c r="I35" s="74">
        <f>+GETPIVOTDATA("XBT4",'binhtrung (2016)'!$A$3,"MA_HT","DGD","MA_QH","LUN")</f>
        <v>0</v>
      </c>
      <c r="J35" s="74">
        <f>+GETPIVOTDATA("XBT4",'binhtrung (2016)'!$A$3,"MA_HT","DGD","MA_QH","HNK")</f>
        <v>0</v>
      </c>
      <c r="K35" s="74">
        <f>+GETPIVOTDATA("XBT4",'binhtrung (2016)'!$A$3,"MA_HT","DGD","MA_QH","CLN")</f>
        <v>0</v>
      </c>
      <c r="L35" s="74">
        <f>+GETPIVOTDATA("XBT4",'binhtrung (2016)'!$A$3,"MA_HT","DGD","MA_QH","RSX")</f>
        <v>0</v>
      </c>
      <c r="M35" s="74">
        <f>+GETPIVOTDATA("XBT4",'binhtrung (2016)'!$A$3,"MA_HT","DGD","MA_QH","RPH")</f>
        <v>0</v>
      </c>
      <c r="N35" s="74">
        <f>+GETPIVOTDATA("XBT4",'binhtrung (2016)'!$A$3,"MA_HT","DGD","MA_QH","RDD")</f>
        <v>0</v>
      </c>
      <c r="O35" s="74">
        <f>+GETPIVOTDATA("XBT4",'binhtrung (2016)'!$A$3,"MA_HT","DGD","MA_QH","NTS")</f>
        <v>0</v>
      </c>
      <c r="P35" s="74">
        <f>+GETPIVOTDATA("XBT4",'binhtrung (2016)'!$A$3,"MA_HT","DGD","MA_QH","LMU")</f>
        <v>0</v>
      </c>
      <c r="Q35" s="74">
        <f>+GETPIVOTDATA("XBT4",'binhtrung (2016)'!$A$3,"MA_HT","DGD","MA_QH","NKH")</f>
        <v>0</v>
      </c>
      <c r="R35" s="72">
        <f t="shared" si="20"/>
        <v>0</v>
      </c>
      <c r="S35" s="74">
        <f>+GETPIVOTDATA("XBT4",'binhtrung (2016)'!$A$3,"MA_HT","DGD","MA_QH","CQP")</f>
        <v>0</v>
      </c>
      <c r="T35" s="74">
        <f>+GETPIVOTDATA("XBT4",'binhtrung (2016)'!$A$3,"MA_HT","DGD","MA_QH","CAN")</f>
        <v>0</v>
      </c>
      <c r="U35" s="74">
        <f>+GETPIVOTDATA("XBT4",'binhtrung (2016)'!$A$3,"MA_HT","DGD","MA_QH","SKK")</f>
        <v>0</v>
      </c>
      <c r="V35" s="74">
        <f>+GETPIVOTDATA("XBT4",'binhtrung (2016)'!$A$3,"MA_HT","DGD","MA_QH","SKT")</f>
        <v>0</v>
      </c>
      <c r="W35" s="74">
        <f>+GETPIVOTDATA("XBT4",'binhtrung (2016)'!$A$3,"MA_HT","DGD","MA_QH","SKN")</f>
        <v>0</v>
      </c>
      <c r="X35" s="74">
        <f>+GETPIVOTDATA("XBT4",'binhtrung (2016)'!$A$3,"MA_HT","DGD","MA_QH","TMD")</f>
        <v>0</v>
      </c>
      <c r="Y35" s="74">
        <f>+GETPIVOTDATA("XBT4",'binhtrung (2016)'!$A$3,"MA_HT","DGD","MA_QH","SKC")</f>
        <v>0</v>
      </c>
      <c r="Z35" s="74">
        <f>+GETPIVOTDATA("XBT4",'binhtrung (2016)'!$A$3,"MA_HT","DGD","MA_QH","SKS")</f>
        <v>0</v>
      </c>
      <c r="AA35" s="64">
        <f>+SUM(AB35:AG35,AI35:AM35)</f>
        <v>0</v>
      </c>
      <c r="AB35" s="74">
        <f>+GETPIVOTDATA("XBT4",'binhtrung (2016)'!$A$3,"MA_HT","DGD","MA_QH","DGT")</f>
        <v>0</v>
      </c>
      <c r="AC35" s="74">
        <f>+GETPIVOTDATA("XBT4",'binhtrung (2016)'!$A$3,"MA_HT","DGD","MA_QH","DTL")</f>
        <v>0</v>
      </c>
      <c r="AD35" s="74">
        <f>+GETPIVOTDATA("XBT4",'binhtrung (2016)'!$A$3,"MA_HT","DGD","MA_QH","DNL")</f>
        <v>0</v>
      </c>
      <c r="AE35" s="74">
        <f>+GETPIVOTDATA("XBT4",'binhtrung (2016)'!$A$3,"MA_HT","DGD","MA_QH","DBV")</f>
        <v>0</v>
      </c>
      <c r="AF35" s="74">
        <f>+GETPIVOTDATA("XBT4",'binhtrung (2016)'!$A$3,"MA_HT","DGD","MA_QH","DVH")</f>
        <v>0</v>
      </c>
      <c r="AG35" s="74">
        <f>+GETPIVOTDATA("XBT4",'binhtrung (2016)'!$A$3,"MA_HT","DGD","MA_QH","DYT")</f>
        <v>0</v>
      </c>
      <c r="AH35" s="100" t="e">
        <f>$D35-$BF35</f>
        <v>#REF!</v>
      </c>
      <c r="AI35" s="74">
        <f>+GETPIVOTDATA("XBT4",'binhtrung (2016)'!$A$3,"MA_HT","DGD","MA_QH","DTT")</f>
        <v>0</v>
      </c>
      <c r="AJ35" s="74">
        <f>+GETPIVOTDATA("XBT4",'binhtrung (2016)'!$A$3,"MA_HT","DGD","MA_QH","NCK")</f>
        <v>0</v>
      </c>
      <c r="AK35" s="74">
        <f>+GETPIVOTDATA("XBT4",'binhtrung (2016)'!$A$3,"MA_HT","DGD","MA_QH","DXH")</f>
        <v>0</v>
      </c>
      <c r="AL35" s="74">
        <f>+GETPIVOTDATA("XBT4",'binhtrung (2016)'!$A$3,"MA_HT","DGD","MA_QH","DCH")</f>
        <v>0</v>
      </c>
      <c r="AM35" s="74">
        <f>+GETPIVOTDATA("XBT4",'binhtrung (2016)'!$A$3,"MA_HT","DGD","MA_QH","DKG")</f>
        <v>0</v>
      </c>
      <c r="AN35" s="74">
        <f>+GETPIVOTDATA("XBT4",'binhtrung (2016)'!$A$3,"MA_HT","DGD","MA_QH","DDT")</f>
        <v>0</v>
      </c>
      <c r="AO35" s="74">
        <f>+GETPIVOTDATA("XBT4",'binhtrung (2016)'!$A$3,"MA_HT","DGD","MA_QH","DDL")</f>
        <v>0</v>
      </c>
      <c r="AP35" s="74">
        <f>+GETPIVOTDATA("XBT4",'binhtrung (2016)'!$A$3,"MA_HT","DGD","MA_QH","DRA")</f>
        <v>0</v>
      </c>
      <c r="AQ35" s="74">
        <f>+GETPIVOTDATA("XBT4",'binhtrung (2016)'!$A$3,"MA_HT","DGD","MA_QH","ONT")</f>
        <v>0</v>
      </c>
      <c r="AR35" s="74">
        <f>+GETPIVOTDATA("XBT4",'binhtrung (2016)'!$A$3,"MA_HT","DGD","MA_QH","ODT")</f>
        <v>0</v>
      </c>
      <c r="AS35" s="74">
        <f>+GETPIVOTDATA("XBT4",'binhtrung (2016)'!$A$3,"MA_HT","DGD","MA_QH","TSC")</f>
        <v>0</v>
      </c>
      <c r="AT35" s="74">
        <f>+GETPIVOTDATA("XBT4",'binhtrung (2016)'!$A$3,"MA_HT","DGD","MA_QH","DTS")</f>
        <v>0</v>
      </c>
      <c r="AU35" s="74">
        <f>+GETPIVOTDATA("XBT4",'binhtrung (2016)'!$A$3,"MA_HT","DGD","MA_QH","DNG")</f>
        <v>0</v>
      </c>
      <c r="AV35" s="74">
        <f>+GETPIVOTDATA("XBT4",'binhtrung (2016)'!$A$3,"MA_HT","DGD","MA_QH","TON")</f>
        <v>0</v>
      </c>
      <c r="AW35" s="74">
        <f>+GETPIVOTDATA("XBT4",'binhtrung (2016)'!$A$3,"MA_HT","DGD","MA_QH","NTD")</f>
        <v>0</v>
      </c>
      <c r="AX35" s="74">
        <f>+GETPIVOTDATA("XBT4",'binhtrung (2016)'!$A$3,"MA_HT","DGD","MA_QH","SKX")</f>
        <v>0</v>
      </c>
      <c r="AY35" s="74">
        <f>+GETPIVOTDATA("XBT4",'binhtrung (2016)'!$A$3,"MA_HT","DGD","MA_QH","DSH")</f>
        <v>0</v>
      </c>
      <c r="AZ35" s="74">
        <f>+GETPIVOTDATA("XBT4",'binhtrung (2016)'!$A$3,"MA_HT","DGD","MA_QH","DKV")</f>
        <v>0</v>
      </c>
      <c r="BA35" s="139">
        <f>+GETPIVOTDATA("XBT4",'binhtrung (2016)'!$A$3,"MA_HT","DGD","MA_QH","TIN")</f>
        <v>0</v>
      </c>
      <c r="BB35" s="74">
        <f>+GETPIVOTDATA("XBT4",'binhtrung (2016)'!$A$3,"MA_HT","DGD","MA_QH","SON")</f>
        <v>0</v>
      </c>
      <c r="BC35" s="74">
        <f>+GETPIVOTDATA("XBT4",'binhtrung (2016)'!$A$3,"MA_HT","DGD","MA_QH","MNC")</f>
        <v>0</v>
      </c>
      <c r="BD35" s="74">
        <f>+GETPIVOTDATA("XBT4",'binhtrung (2016)'!$A$3,"MA_HT","DGD","MA_QH","PNK")</f>
        <v>0</v>
      </c>
      <c r="BE35" s="102">
        <f>+GETPIVOTDATA("XBT4",'binhtrung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+GETPIVOTDATA("XBT4",'binhtrung (2016)'!$A$3,"MA_HT","DTT","MA_QH","LUC")</f>
        <v>0</v>
      </c>
      <c r="H36" s="74">
        <f>+GETPIVOTDATA("XBT4",'binhtrung (2016)'!$A$3,"MA_HT","DTT","MA_QH","LUK")</f>
        <v>0</v>
      </c>
      <c r="I36" s="74">
        <f>+GETPIVOTDATA("XBT4",'binhtrung (2016)'!$A$3,"MA_HT","DTT","MA_QH","LUN")</f>
        <v>0</v>
      </c>
      <c r="J36" s="74">
        <f>+GETPIVOTDATA("XBT4",'binhtrung (2016)'!$A$3,"MA_HT","DTT","MA_QH","HNK")</f>
        <v>0</v>
      </c>
      <c r="K36" s="74">
        <f>+GETPIVOTDATA("XBT4",'binhtrung (2016)'!$A$3,"MA_HT","DTT","MA_QH","CLN")</f>
        <v>0</v>
      </c>
      <c r="L36" s="74">
        <f>+GETPIVOTDATA("XBT4",'binhtrung (2016)'!$A$3,"MA_HT","DTT","MA_QH","RSX")</f>
        <v>0</v>
      </c>
      <c r="M36" s="74">
        <f>+GETPIVOTDATA("XBT4",'binhtrung (2016)'!$A$3,"MA_HT","DTT","MA_QH","RPH")</f>
        <v>0</v>
      </c>
      <c r="N36" s="74">
        <f>+GETPIVOTDATA("XBT4",'binhtrung (2016)'!$A$3,"MA_HT","DTT","MA_QH","RDD")</f>
        <v>0</v>
      </c>
      <c r="O36" s="74">
        <f>+GETPIVOTDATA("XBT4",'binhtrung (2016)'!$A$3,"MA_HT","DTT","MA_QH","NTS")</f>
        <v>0</v>
      </c>
      <c r="P36" s="74">
        <f>+GETPIVOTDATA("XBT4",'binhtrung (2016)'!$A$3,"MA_HT","DTT","MA_QH","LMU")</f>
        <v>0</v>
      </c>
      <c r="Q36" s="74">
        <f>+GETPIVOTDATA("XBT4",'binhtrung (2016)'!$A$3,"MA_HT","DTT","MA_QH","NKH")</f>
        <v>0</v>
      </c>
      <c r="R36" s="72">
        <f>SUM(S36:AA36,AN36:BD36)</f>
        <v>0</v>
      </c>
      <c r="S36" s="74">
        <f>+GETPIVOTDATA("XBT4",'binhtrung (2016)'!$A$3,"MA_HT","DTT","MA_QH","CQP")</f>
        <v>0</v>
      </c>
      <c r="T36" s="74">
        <f>+GETPIVOTDATA("XBT4",'binhtrung (2016)'!$A$3,"MA_HT","DTT","MA_QH","CAN")</f>
        <v>0</v>
      </c>
      <c r="U36" s="74">
        <f>+GETPIVOTDATA("XBT4",'binhtrung (2016)'!$A$3,"MA_HT","DTT","MA_QH","SKK")</f>
        <v>0</v>
      </c>
      <c r="V36" s="74">
        <f>+GETPIVOTDATA("XBT4",'binhtrung (2016)'!$A$3,"MA_HT","DTT","MA_QH","SKT")</f>
        <v>0</v>
      </c>
      <c r="W36" s="74">
        <f>+GETPIVOTDATA("XBT4",'binhtrung (2016)'!$A$3,"MA_HT","DTT","MA_QH","SKN")</f>
        <v>0</v>
      </c>
      <c r="X36" s="74">
        <f>+GETPIVOTDATA("XBT4",'binhtrung (2016)'!$A$3,"MA_HT","DTT","MA_QH","TMD")</f>
        <v>0</v>
      </c>
      <c r="Y36" s="74">
        <f>+GETPIVOTDATA("XBT4",'binhtrung (2016)'!$A$3,"MA_HT","DTT","MA_QH","SKC")</f>
        <v>0</v>
      </c>
      <c r="Z36" s="74">
        <f>+GETPIVOTDATA("XBT4",'binhtrung (2016)'!$A$3,"MA_HT","DTT","MA_QH","SKS")</f>
        <v>0</v>
      </c>
      <c r="AA36" s="64">
        <f>+SUM(AB36:AH36,AJ36:AM36)</f>
        <v>0</v>
      </c>
      <c r="AB36" s="74">
        <f>+GETPIVOTDATA("XBT4",'binhtrung (2016)'!$A$3,"MA_HT","DTT","MA_QH","DGT")</f>
        <v>0</v>
      </c>
      <c r="AC36" s="74">
        <f>+GETPIVOTDATA("XBT4",'binhtrung (2016)'!$A$3,"MA_HT","DTT","MA_QH","DTL")</f>
        <v>0</v>
      </c>
      <c r="AD36" s="74">
        <f>+GETPIVOTDATA("XBT4",'binhtrung (2016)'!$A$3,"MA_HT","DTT","MA_QH","DNL")</f>
        <v>0</v>
      </c>
      <c r="AE36" s="74">
        <f>+GETPIVOTDATA("XBT4",'binhtrung (2016)'!$A$3,"MA_HT","DTT","MA_QH","DBV")</f>
        <v>0</v>
      </c>
      <c r="AF36" s="74">
        <f>+GETPIVOTDATA("XBT4",'binhtrung (2016)'!$A$3,"MA_HT","DTT","MA_QH","DVH")</f>
        <v>0</v>
      </c>
      <c r="AG36" s="74">
        <f>+GETPIVOTDATA("XBT4",'binhtrung (2016)'!$A$3,"MA_HT","DTT","MA_QH","DYT")</f>
        <v>0</v>
      </c>
      <c r="AH36" s="74">
        <f>+GETPIVOTDATA("XBT4",'binhtrung (2016)'!$A$3,"MA_HT","DTT","MA_QH","DGD")</f>
        <v>0</v>
      </c>
      <c r="AI36" s="100" t="e">
        <f>$D36-$BF36</f>
        <v>#REF!</v>
      </c>
      <c r="AJ36" s="74">
        <f>+GETPIVOTDATA("XBT4",'binhtrung (2016)'!$A$3,"MA_HT","DTT","MA_QH","NCK")</f>
        <v>0</v>
      </c>
      <c r="AK36" s="74">
        <f>+GETPIVOTDATA("XBT4",'binhtrung (2016)'!$A$3,"MA_HT","DTT","MA_QH","DXH")</f>
        <v>0</v>
      </c>
      <c r="AL36" s="74">
        <f>+GETPIVOTDATA("XBT4",'binhtrung (2016)'!$A$3,"MA_HT","DTT","MA_QH","DCH")</f>
        <v>0</v>
      </c>
      <c r="AM36" s="74">
        <f>+GETPIVOTDATA("XBT4",'binhtrung (2016)'!$A$3,"MA_HT","DTT","MA_QH","DKG")</f>
        <v>0</v>
      </c>
      <c r="AN36" s="74">
        <f>+GETPIVOTDATA("XBT4",'binhtrung (2016)'!$A$3,"MA_HT","DTT","MA_QH","DDT")</f>
        <v>0</v>
      </c>
      <c r="AO36" s="74">
        <f>+GETPIVOTDATA("XBT4",'binhtrung (2016)'!$A$3,"MA_HT","DTT","MA_QH","DDL")</f>
        <v>0</v>
      </c>
      <c r="AP36" s="74">
        <f>+GETPIVOTDATA("XBT4",'binhtrung (2016)'!$A$3,"MA_HT","DTT","MA_QH","DRA")</f>
        <v>0</v>
      </c>
      <c r="AQ36" s="74">
        <f>+GETPIVOTDATA("XBT4",'binhtrung (2016)'!$A$3,"MA_HT","DTT","MA_QH","ONT")</f>
        <v>0</v>
      </c>
      <c r="AR36" s="74">
        <f>+GETPIVOTDATA("XBT4",'binhtrung (2016)'!$A$3,"MA_HT","DTT","MA_QH","ODT")</f>
        <v>0</v>
      </c>
      <c r="AS36" s="74">
        <f>+GETPIVOTDATA("XBT4",'binhtrung (2016)'!$A$3,"MA_HT","DTT","MA_QH","TSC")</f>
        <v>0</v>
      </c>
      <c r="AT36" s="74">
        <f>+GETPIVOTDATA("XBT4",'binhtrung (2016)'!$A$3,"MA_HT","DTT","MA_QH","DTS")</f>
        <v>0</v>
      </c>
      <c r="AU36" s="74">
        <f>+GETPIVOTDATA("XBT4",'binhtrung (2016)'!$A$3,"MA_HT","DTT","MA_QH","DNG")</f>
        <v>0</v>
      </c>
      <c r="AV36" s="74">
        <f>+GETPIVOTDATA("XBT4",'binhtrung (2016)'!$A$3,"MA_HT","DTT","MA_QH","TON")</f>
        <v>0</v>
      </c>
      <c r="AW36" s="74">
        <f>+GETPIVOTDATA("XBT4",'binhtrung (2016)'!$A$3,"MA_HT","DTT","MA_QH","NTD")</f>
        <v>0</v>
      </c>
      <c r="AX36" s="74">
        <f>+GETPIVOTDATA("XBT4",'binhtrung (2016)'!$A$3,"MA_HT","DTT","MA_QH","SKX")</f>
        <v>0</v>
      </c>
      <c r="AY36" s="74">
        <f>+GETPIVOTDATA("XBT4",'binhtrung (2016)'!$A$3,"MA_HT","DTT","MA_QH","DSH")</f>
        <v>0</v>
      </c>
      <c r="AZ36" s="74">
        <f>+GETPIVOTDATA("XBT4",'binhtrung (2016)'!$A$3,"MA_HT","DTT","MA_QH","DKV")</f>
        <v>0</v>
      </c>
      <c r="BA36" s="139">
        <f>+GETPIVOTDATA("XBT4",'binhtrung (2016)'!$A$3,"MA_HT","DTT","MA_QH","TIN")</f>
        <v>0</v>
      </c>
      <c r="BB36" s="74">
        <f>+GETPIVOTDATA("XBT4",'binhtrung (2016)'!$A$3,"MA_HT","DTT","MA_QH","SON")</f>
        <v>0</v>
      </c>
      <c r="BC36" s="74">
        <f>+GETPIVOTDATA("XBT4",'binhtrung (2016)'!$A$3,"MA_HT","DTT","MA_QH","MNC")</f>
        <v>0</v>
      </c>
      <c r="BD36" s="74">
        <f>+GETPIVOTDATA("XBT4",'binhtrung (2016)'!$A$3,"MA_HT","DTT","MA_QH","PNK")</f>
        <v>0</v>
      </c>
      <c r="BE36" s="102">
        <f>+GETPIVOTDATA("XBT4",'binhtrung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+GETPIVOTDATA("XBT4",'binhtrung (2016)'!$A$3,"MA_HT","NCK","MA_QH","LUC")</f>
        <v>0</v>
      </c>
      <c r="H37" s="74">
        <f>+GETPIVOTDATA("XBT4",'binhtrung (2016)'!$A$3,"MA_HT","NCK","MA_QH","LUK")</f>
        <v>0</v>
      </c>
      <c r="I37" s="74">
        <f>+GETPIVOTDATA("XBT4",'binhtrung (2016)'!$A$3,"MA_HT","NCK","MA_QH","LUN")</f>
        <v>0</v>
      </c>
      <c r="J37" s="74">
        <f>+GETPIVOTDATA("XBT4",'binhtrung (2016)'!$A$3,"MA_HT","NCK","MA_QH","HNK")</f>
        <v>0</v>
      </c>
      <c r="K37" s="74">
        <f>+GETPIVOTDATA("XBT4",'binhtrung (2016)'!$A$3,"MA_HT","NCK","MA_QH","CLN")</f>
        <v>0</v>
      </c>
      <c r="L37" s="74">
        <f>+GETPIVOTDATA("XBT4",'binhtrung (2016)'!$A$3,"MA_HT","NCK","MA_QH","RSX")</f>
        <v>0</v>
      </c>
      <c r="M37" s="74">
        <f>+GETPIVOTDATA("XBT4",'binhtrung (2016)'!$A$3,"MA_HT","NCK","MA_QH","RPH")</f>
        <v>0</v>
      </c>
      <c r="N37" s="74">
        <f>+GETPIVOTDATA("XBT4",'binhtrung (2016)'!$A$3,"MA_HT","NCK","MA_QH","RDD")</f>
        <v>0</v>
      </c>
      <c r="O37" s="74">
        <f>+GETPIVOTDATA("XBT4",'binhtrung (2016)'!$A$3,"MA_HT","NCK","MA_QH","NTS")</f>
        <v>0</v>
      </c>
      <c r="P37" s="74">
        <f>+GETPIVOTDATA("XBT4",'binhtrung (2016)'!$A$3,"MA_HT","NCK","MA_QH","LMU")</f>
        <v>0</v>
      </c>
      <c r="Q37" s="74">
        <f>+GETPIVOTDATA("XBT4",'binhtrung (2016)'!$A$3,"MA_HT","NCK","MA_QH","NKH")</f>
        <v>0</v>
      </c>
      <c r="R37" s="72">
        <f t="shared" si="20"/>
        <v>0</v>
      </c>
      <c r="S37" s="74">
        <f>+GETPIVOTDATA("XBT4",'binhtrung (2016)'!$A$3,"MA_HT","NCK","MA_QH","CQP")</f>
        <v>0</v>
      </c>
      <c r="T37" s="74">
        <f>+GETPIVOTDATA("XBT4",'binhtrung (2016)'!$A$3,"MA_HT","NCK","MA_QH","CAN")</f>
        <v>0</v>
      </c>
      <c r="U37" s="74">
        <f>+GETPIVOTDATA("XBT4",'binhtrung (2016)'!$A$3,"MA_HT","NCK","MA_QH","SKK")</f>
        <v>0</v>
      </c>
      <c r="V37" s="74">
        <f>+GETPIVOTDATA("XBT4",'binhtrung (2016)'!$A$3,"MA_HT","NCK","MA_QH","SKT")</f>
        <v>0</v>
      </c>
      <c r="W37" s="74">
        <f>+GETPIVOTDATA("XBT4",'binhtrung (2016)'!$A$3,"MA_HT","NCK","MA_QH","SKN")</f>
        <v>0</v>
      </c>
      <c r="X37" s="74">
        <f>+GETPIVOTDATA("XBT4",'binhtrung (2016)'!$A$3,"MA_HT","NCK","MA_QH","TMD")</f>
        <v>0</v>
      </c>
      <c r="Y37" s="74">
        <f>+GETPIVOTDATA("XBT4",'binhtrung (2016)'!$A$3,"MA_HT","NCK","MA_QH","SKC")</f>
        <v>0</v>
      </c>
      <c r="Z37" s="74">
        <f>+GETPIVOTDATA("XBT4",'binhtrung (2016)'!$A$3,"MA_HT","NCK","MA_QH","SKS")</f>
        <v>0</v>
      </c>
      <c r="AA37" s="64">
        <f>+SUM(AB37:AI37,AK37:AM37)</f>
        <v>0</v>
      </c>
      <c r="AB37" s="74">
        <f>+GETPIVOTDATA("XBT4",'binhtrung (2016)'!$A$3,"MA_HT","NCK","MA_QH","DGT")</f>
        <v>0</v>
      </c>
      <c r="AC37" s="74">
        <f>+GETPIVOTDATA("XBT4",'binhtrung (2016)'!$A$3,"MA_HT","NCK","MA_QH","DTL")</f>
        <v>0</v>
      </c>
      <c r="AD37" s="74">
        <f>+GETPIVOTDATA("XBT4",'binhtrung (2016)'!$A$3,"MA_HT","NCK","MA_QH","DNL")</f>
        <v>0</v>
      </c>
      <c r="AE37" s="74">
        <f>+GETPIVOTDATA("XBT4",'binhtrung (2016)'!$A$3,"MA_HT","NCK","MA_QH","DBV")</f>
        <v>0</v>
      </c>
      <c r="AF37" s="74">
        <f>+GETPIVOTDATA("XBT4",'binhtrung (2016)'!$A$3,"MA_HT","NCK","MA_QH","DVH")</f>
        <v>0</v>
      </c>
      <c r="AG37" s="74">
        <f>+GETPIVOTDATA("XBT4",'binhtrung (2016)'!$A$3,"MA_HT","NCK","MA_QH","DYT")</f>
        <v>0</v>
      </c>
      <c r="AH37" s="74">
        <f>+GETPIVOTDATA("XBT4",'binhtrung (2016)'!$A$3,"MA_HT","NCK","MA_QH","DGD")</f>
        <v>0</v>
      </c>
      <c r="AI37" s="74">
        <f>+GETPIVOTDATA("XBT4",'binhtrung (2016)'!$A$3,"MA_HT","NCK","MA_QH","DTT")</f>
        <v>0</v>
      </c>
      <c r="AJ37" s="100" t="e">
        <f>$D37-$BF37</f>
        <v>#REF!</v>
      </c>
      <c r="AK37" s="74">
        <f>+GETPIVOTDATA("XBT4",'binhtrung (2016)'!$A$3,"MA_HT","NCK","MA_QH","DXH")</f>
        <v>0</v>
      </c>
      <c r="AL37" s="74">
        <f>+GETPIVOTDATA("XBT4",'binhtrung (2016)'!$A$3,"MA_HT","NCK","MA_QH","DCH")</f>
        <v>0</v>
      </c>
      <c r="AM37" s="74">
        <f>+GETPIVOTDATA("XBT4",'binhtrung (2016)'!$A$3,"MA_HT","NCK","MA_QH","DKG")</f>
        <v>0</v>
      </c>
      <c r="AN37" s="74">
        <f>+GETPIVOTDATA("XBT4",'binhtrung (2016)'!$A$3,"MA_HT","NCK","MA_QH","DDT")</f>
        <v>0</v>
      </c>
      <c r="AO37" s="74">
        <f>+GETPIVOTDATA("XBT4",'binhtrung (2016)'!$A$3,"MA_HT","NCK","MA_QH","DDL")</f>
        <v>0</v>
      </c>
      <c r="AP37" s="74">
        <f>+GETPIVOTDATA("XBT4",'binhtrung (2016)'!$A$3,"MA_HT","NCK","MA_QH","DRA")</f>
        <v>0</v>
      </c>
      <c r="AQ37" s="74">
        <f>+GETPIVOTDATA("XBT4",'binhtrung (2016)'!$A$3,"MA_HT","NCK","MA_QH","ONT")</f>
        <v>0</v>
      </c>
      <c r="AR37" s="74">
        <f>+GETPIVOTDATA("XBT4",'binhtrung (2016)'!$A$3,"MA_HT","NCK","MA_QH","ODT")</f>
        <v>0</v>
      </c>
      <c r="AS37" s="74">
        <f>+GETPIVOTDATA("XBT4",'binhtrung (2016)'!$A$3,"MA_HT","NCK","MA_QH","TSC")</f>
        <v>0</v>
      </c>
      <c r="AT37" s="74">
        <f>+GETPIVOTDATA("XBT4",'binhtrung (2016)'!$A$3,"MA_HT","NCK","MA_QH","DTS")</f>
        <v>0</v>
      </c>
      <c r="AU37" s="74">
        <f>+GETPIVOTDATA("XBT4",'binhtrung (2016)'!$A$3,"MA_HT","NCK","MA_QH","DNG")</f>
        <v>0</v>
      </c>
      <c r="AV37" s="74">
        <f>+GETPIVOTDATA("XBT4",'binhtrung (2016)'!$A$3,"MA_HT","NCK","MA_QH","TON")</f>
        <v>0</v>
      </c>
      <c r="AW37" s="74">
        <f>+GETPIVOTDATA("XBT4",'binhtrung (2016)'!$A$3,"MA_HT","NCK","MA_QH","NTD")</f>
        <v>0</v>
      </c>
      <c r="AX37" s="74">
        <f>+GETPIVOTDATA("XBT4",'binhtrung (2016)'!$A$3,"MA_HT","NCK","MA_QH","SKX")</f>
        <v>0</v>
      </c>
      <c r="AY37" s="74">
        <f>+GETPIVOTDATA("XBT4",'binhtrung (2016)'!$A$3,"MA_HT","NCK","MA_QH","DSH")</f>
        <v>0</v>
      </c>
      <c r="AZ37" s="74">
        <f>+GETPIVOTDATA("XBT4",'binhtrung (2016)'!$A$3,"MA_HT","NCK","MA_QH","DKV")</f>
        <v>0</v>
      </c>
      <c r="BA37" s="139">
        <f>+GETPIVOTDATA("XBT4",'binhtrung (2016)'!$A$3,"MA_HT","NCK","MA_QH","TIN")</f>
        <v>0</v>
      </c>
      <c r="BB37" s="74">
        <f>+GETPIVOTDATA("XBT4",'binhtrung (2016)'!$A$3,"MA_HT","NCK","MA_QH","SON")</f>
        <v>0</v>
      </c>
      <c r="BC37" s="74">
        <f>+GETPIVOTDATA("XBT4",'binhtrung (2016)'!$A$3,"MA_HT","NCK","MA_QH","MNC")</f>
        <v>0</v>
      </c>
      <c r="BD37" s="74">
        <f>+GETPIVOTDATA("XBT4",'binhtrung (2016)'!$A$3,"MA_HT","NCK","MA_QH","PNK")</f>
        <v>0</v>
      </c>
      <c r="BE37" s="102">
        <f>+GETPIVOTDATA("XBT4",'binhtrung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+GETPIVOTDATA("XBT4",'binhtrung (2016)'!$A$3,"MA_HT","DXH","MA_QH","LUC")</f>
        <v>0</v>
      </c>
      <c r="H38" s="74">
        <f>+GETPIVOTDATA("XBT4",'binhtrung (2016)'!$A$3,"MA_HT","DXH","MA_QH","LUK")</f>
        <v>0</v>
      </c>
      <c r="I38" s="74">
        <f>+GETPIVOTDATA("XBT4",'binhtrung (2016)'!$A$3,"MA_HT","DXH","MA_QH","LUN")</f>
        <v>0</v>
      </c>
      <c r="J38" s="74">
        <f>+GETPIVOTDATA("XBT4",'binhtrung (2016)'!$A$3,"MA_HT","DXH","MA_QH","HNK")</f>
        <v>0</v>
      </c>
      <c r="K38" s="74">
        <f>+GETPIVOTDATA("XBT4",'binhtrung (2016)'!$A$3,"MA_HT","DXH","MA_QH","CLN")</f>
        <v>0</v>
      </c>
      <c r="L38" s="74">
        <f>+GETPIVOTDATA("XBT4",'binhtrung (2016)'!$A$3,"MA_HT","DXH","MA_QH","RSX")</f>
        <v>0</v>
      </c>
      <c r="M38" s="74">
        <f>+GETPIVOTDATA("XBT4",'binhtrung (2016)'!$A$3,"MA_HT","DXH","MA_QH","RPH")</f>
        <v>0</v>
      </c>
      <c r="N38" s="74">
        <f>+GETPIVOTDATA("XBT4",'binhtrung (2016)'!$A$3,"MA_HT","DXH","MA_QH","RDD")</f>
        <v>0</v>
      </c>
      <c r="O38" s="74">
        <f>+GETPIVOTDATA("XBT4",'binhtrung (2016)'!$A$3,"MA_HT","DXH","MA_QH","NTS")</f>
        <v>0</v>
      </c>
      <c r="P38" s="74">
        <f>+GETPIVOTDATA("XBT4",'binhtrung (2016)'!$A$3,"MA_HT","DXH","MA_QH","LMU")</f>
        <v>0</v>
      </c>
      <c r="Q38" s="74">
        <f>+GETPIVOTDATA("XBT4",'binhtrung (2016)'!$A$3,"MA_HT","DXH","MA_QH","NKH")</f>
        <v>0</v>
      </c>
      <c r="R38" s="72">
        <f t="shared" si="20"/>
        <v>0</v>
      </c>
      <c r="S38" s="74">
        <f>+GETPIVOTDATA("XBT4",'binhtrung (2016)'!$A$3,"MA_HT","DXH","MA_QH","CQP")</f>
        <v>0</v>
      </c>
      <c r="T38" s="74">
        <f>+GETPIVOTDATA("XBT4",'binhtrung (2016)'!$A$3,"MA_HT","DXH","MA_QH","CAN")</f>
        <v>0</v>
      </c>
      <c r="U38" s="74">
        <f>+GETPIVOTDATA("XBT4",'binhtrung (2016)'!$A$3,"MA_HT","DXH","MA_QH","SKK")</f>
        <v>0</v>
      </c>
      <c r="V38" s="74">
        <f>+GETPIVOTDATA("XBT4",'binhtrung (2016)'!$A$3,"MA_HT","DXH","MA_QH","SKT")</f>
        <v>0</v>
      </c>
      <c r="W38" s="74">
        <f>+GETPIVOTDATA("XBT4",'binhtrung (2016)'!$A$3,"MA_HT","DXH","MA_QH","SKN")</f>
        <v>0</v>
      </c>
      <c r="X38" s="74">
        <f>+GETPIVOTDATA("XBT4",'binhtrung (2016)'!$A$3,"MA_HT","DXH","MA_QH","TMD")</f>
        <v>0</v>
      </c>
      <c r="Y38" s="74">
        <f>+GETPIVOTDATA("XBT4",'binhtrung (2016)'!$A$3,"MA_HT","DXH","MA_QH","SKC")</f>
        <v>0</v>
      </c>
      <c r="Z38" s="74">
        <f>+GETPIVOTDATA("XBT4",'binhtrung (2016)'!$A$3,"MA_HT","DXH","MA_QH","SKS")</f>
        <v>0</v>
      </c>
      <c r="AA38" s="64">
        <f>+SUM(AB38:AJ38,AL38:AM38)</f>
        <v>0</v>
      </c>
      <c r="AB38" s="74">
        <f>+GETPIVOTDATA("XBT4",'binhtrung (2016)'!$A$3,"MA_HT","DXH","MA_QH","DGT")</f>
        <v>0</v>
      </c>
      <c r="AC38" s="74">
        <f>+GETPIVOTDATA("XBT4",'binhtrung (2016)'!$A$3,"MA_HT","DXH","MA_QH","DTL")</f>
        <v>0</v>
      </c>
      <c r="AD38" s="74">
        <f>+GETPIVOTDATA("XBT4",'binhtrung (2016)'!$A$3,"MA_HT","DXH","MA_QH","DNL")</f>
        <v>0</v>
      </c>
      <c r="AE38" s="74">
        <f>+GETPIVOTDATA("XBT4",'binhtrung (2016)'!$A$3,"MA_HT","DXH","MA_QH","DBV")</f>
        <v>0</v>
      </c>
      <c r="AF38" s="74">
        <f>+GETPIVOTDATA("XBT4",'binhtrung (2016)'!$A$3,"MA_HT","DXH","MA_QH","DVH")</f>
        <v>0</v>
      </c>
      <c r="AG38" s="74">
        <f>+GETPIVOTDATA("XBT4",'binhtrung (2016)'!$A$3,"MA_HT","DXH","MA_QH","DYT")</f>
        <v>0</v>
      </c>
      <c r="AH38" s="74">
        <f>+GETPIVOTDATA("XBT4",'binhtrung (2016)'!$A$3,"MA_HT","DXH","MA_QH","DGD")</f>
        <v>0</v>
      </c>
      <c r="AI38" s="74">
        <f>+GETPIVOTDATA("XBT4",'binhtrung (2016)'!$A$3,"MA_HT","DXH","MA_QH","DTT")</f>
        <v>0</v>
      </c>
      <c r="AJ38" s="74">
        <f>+GETPIVOTDATA("XBT4",'binhtrung (2016)'!$A$3,"MA_HT","DXH","MA_QH","NCK")</f>
        <v>0</v>
      </c>
      <c r="AK38" s="100" t="e">
        <f>$D38-$BF38</f>
        <v>#REF!</v>
      </c>
      <c r="AL38" s="74">
        <f>+GETPIVOTDATA("XBT4",'binhtrung (2016)'!$A$3,"MA_HT","DXH","MA_QH","DCH")</f>
        <v>0</v>
      </c>
      <c r="AM38" s="74">
        <f>+GETPIVOTDATA("XBT4",'binhtrung (2016)'!$A$3,"MA_HT","DXH","MA_QH","DKG")</f>
        <v>0</v>
      </c>
      <c r="AN38" s="74">
        <f>+GETPIVOTDATA("XBT4",'binhtrung (2016)'!$A$3,"MA_HT","DXH","MA_QH","DDT")</f>
        <v>0</v>
      </c>
      <c r="AO38" s="74">
        <f>+GETPIVOTDATA("XBT4",'binhtrung (2016)'!$A$3,"MA_HT","DXH","MA_QH","DDL")</f>
        <v>0</v>
      </c>
      <c r="AP38" s="74">
        <f>+GETPIVOTDATA("XBT4",'binhtrung (2016)'!$A$3,"MA_HT","DXH","MA_QH","DRA")</f>
        <v>0</v>
      </c>
      <c r="AQ38" s="74">
        <f>+GETPIVOTDATA("XBT4",'binhtrung (2016)'!$A$3,"MA_HT","DXH","MA_QH","ONT")</f>
        <v>0</v>
      </c>
      <c r="AR38" s="74">
        <f>+GETPIVOTDATA("XBT4",'binhtrung (2016)'!$A$3,"MA_HT","DXH","MA_QH","ODT")</f>
        <v>0</v>
      </c>
      <c r="AS38" s="74">
        <f>+GETPIVOTDATA("XBT4",'binhtrung (2016)'!$A$3,"MA_HT","DXH","MA_QH","TSC")</f>
        <v>0</v>
      </c>
      <c r="AT38" s="74">
        <f>+GETPIVOTDATA("XBT4",'binhtrung (2016)'!$A$3,"MA_HT","DXH","MA_QH","DTS")</f>
        <v>0</v>
      </c>
      <c r="AU38" s="74">
        <f>+GETPIVOTDATA("XBT4",'binhtrung (2016)'!$A$3,"MA_HT","DXH","MA_QH","DNG")</f>
        <v>0</v>
      </c>
      <c r="AV38" s="74">
        <f>+GETPIVOTDATA("XBT4",'binhtrung (2016)'!$A$3,"MA_HT","DXH","MA_QH","TON")</f>
        <v>0</v>
      </c>
      <c r="AW38" s="74">
        <f>+GETPIVOTDATA("XBT4",'binhtrung (2016)'!$A$3,"MA_HT","DXH","MA_QH","NTD")</f>
        <v>0</v>
      </c>
      <c r="AX38" s="74">
        <f>+GETPIVOTDATA("XBT4",'binhtrung (2016)'!$A$3,"MA_HT","DXH","MA_QH","SKX")</f>
        <v>0</v>
      </c>
      <c r="AY38" s="74">
        <f>+GETPIVOTDATA("XBT4",'binhtrung (2016)'!$A$3,"MA_HT","DXH","MA_QH","DSH")</f>
        <v>0</v>
      </c>
      <c r="AZ38" s="74">
        <f>+GETPIVOTDATA("XBT4",'binhtrung (2016)'!$A$3,"MA_HT","DXH","MA_QH","DKV")</f>
        <v>0</v>
      </c>
      <c r="BA38" s="139">
        <f>+GETPIVOTDATA("XBT4",'binhtrung (2016)'!$A$3,"MA_HT","DXH","MA_QH","TIN")</f>
        <v>0</v>
      </c>
      <c r="BB38" s="74">
        <f>+GETPIVOTDATA("XBT4",'binhtrung (2016)'!$A$3,"MA_HT","DXH","MA_QH","SON")</f>
        <v>0</v>
      </c>
      <c r="BC38" s="74">
        <f>+GETPIVOTDATA("XBT4",'binhtrung (2016)'!$A$3,"MA_HT","DXH","MA_QH","MNC")</f>
        <v>0</v>
      </c>
      <c r="BD38" s="74">
        <f>+GETPIVOTDATA("XBT4",'binhtrung (2016)'!$A$3,"MA_HT","DXH","MA_QH","PNK")</f>
        <v>0</v>
      </c>
      <c r="BE38" s="102">
        <f>+GETPIVOTDATA("XBT4",'binhtrung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+GETPIVOTDATA("XBT4",'binhtrung (2016)'!$A$3,"MA_HT","DCH","MA_QH","LUC")</f>
        <v>0</v>
      </c>
      <c r="H39" s="74">
        <f>+GETPIVOTDATA("XBT4",'binhtrung (2016)'!$A$3,"MA_HT","DCH","MA_QH","LUK")</f>
        <v>0</v>
      </c>
      <c r="I39" s="74">
        <f>+GETPIVOTDATA("XBT4",'binhtrung (2016)'!$A$3,"MA_HT","DCH","MA_QH","LUN")</f>
        <v>0</v>
      </c>
      <c r="J39" s="74">
        <f>+GETPIVOTDATA("XBT4",'binhtrung (2016)'!$A$3,"MA_HT","DCH","MA_QH","HNK")</f>
        <v>0</v>
      </c>
      <c r="K39" s="74">
        <f>+GETPIVOTDATA("XBT4",'binhtrung (2016)'!$A$3,"MA_HT","DCH","MA_QH","CLN")</f>
        <v>0</v>
      </c>
      <c r="L39" s="74">
        <f>+GETPIVOTDATA("XBT4",'binhtrung (2016)'!$A$3,"MA_HT","DCH","MA_QH","RSX")</f>
        <v>0</v>
      </c>
      <c r="M39" s="74">
        <f>+GETPIVOTDATA("XBT4",'binhtrung (2016)'!$A$3,"MA_HT","DCH","MA_QH","RPH")</f>
        <v>0</v>
      </c>
      <c r="N39" s="74">
        <f>+GETPIVOTDATA("XBT4",'binhtrung (2016)'!$A$3,"MA_HT","DCH","MA_QH","RDD")</f>
        <v>0</v>
      </c>
      <c r="O39" s="74">
        <f>+GETPIVOTDATA("XBT4",'binhtrung (2016)'!$A$3,"MA_HT","DCH","MA_QH","NTS")</f>
        <v>0</v>
      </c>
      <c r="P39" s="74">
        <f>+GETPIVOTDATA("XBT4",'binhtrung (2016)'!$A$3,"MA_HT","DCH","MA_QH","LMU")</f>
        <v>0</v>
      </c>
      <c r="Q39" s="74">
        <f>+GETPIVOTDATA("XBT4",'binhtrung (2016)'!$A$3,"MA_HT","DCH","MA_QH","NKH")</f>
        <v>0</v>
      </c>
      <c r="R39" s="72">
        <f t="shared" si="20"/>
        <v>0</v>
      </c>
      <c r="S39" s="74">
        <f>+GETPIVOTDATA("XBT4",'binhtrung (2016)'!$A$3,"MA_HT","DCH","MA_QH","CQP")</f>
        <v>0</v>
      </c>
      <c r="T39" s="74">
        <f>+GETPIVOTDATA("XBT4",'binhtrung (2016)'!$A$3,"MA_HT","DCH","MA_QH","CAN")</f>
        <v>0</v>
      </c>
      <c r="U39" s="74">
        <f>+GETPIVOTDATA("XBT4",'binhtrung (2016)'!$A$3,"MA_HT","DCH","MA_QH","SKK")</f>
        <v>0</v>
      </c>
      <c r="V39" s="74">
        <f>+GETPIVOTDATA("XBT4",'binhtrung (2016)'!$A$3,"MA_HT","DCH","MA_QH","SKT")</f>
        <v>0</v>
      </c>
      <c r="W39" s="74">
        <f>+GETPIVOTDATA("XBT4",'binhtrung (2016)'!$A$3,"MA_HT","DCH","MA_QH","SKN")</f>
        <v>0</v>
      </c>
      <c r="X39" s="74">
        <f>+GETPIVOTDATA("XBT4",'binhtrung (2016)'!$A$3,"MA_HT","DCH","MA_QH","TMD")</f>
        <v>0</v>
      </c>
      <c r="Y39" s="74">
        <f>+GETPIVOTDATA("XBT4",'binhtrung (2016)'!$A$3,"MA_HT","DCH","MA_QH","SKC")</f>
        <v>0</v>
      </c>
      <c r="Z39" s="74">
        <f>+GETPIVOTDATA("XBT4",'binhtrung (2016)'!$A$3,"MA_HT","DCH","MA_QH","SKS")</f>
        <v>0</v>
      </c>
      <c r="AA39" s="64">
        <f>+SUM(AB39:AK39,AM39)</f>
        <v>0</v>
      </c>
      <c r="AB39" s="74">
        <f>+GETPIVOTDATA("XBT4",'binhtrung (2016)'!$A$3,"MA_HT","DCH","MA_QH","DGT")</f>
        <v>0</v>
      </c>
      <c r="AC39" s="74">
        <f>+GETPIVOTDATA("XBT4",'binhtrung (2016)'!$A$3,"MA_HT","DCH","MA_QH","DTL")</f>
        <v>0</v>
      </c>
      <c r="AD39" s="74">
        <f>+GETPIVOTDATA("XBT4",'binhtrung (2016)'!$A$3,"MA_HT","DCH","MA_QH","DNL")</f>
        <v>0</v>
      </c>
      <c r="AE39" s="74">
        <f>+GETPIVOTDATA("XBT4",'binhtrung (2016)'!$A$3,"MA_HT","DCH","MA_QH","DBV")</f>
        <v>0</v>
      </c>
      <c r="AF39" s="74">
        <f>+GETPIVOTDATA("XBT4",'binhtrung (2016)'!$A$3,"MA_HT","DCH","MA_QH","DVH")</f>
        <v>0</v>
      </c>
      <c r="AG39" s="74">
        <f>+GETPIVOTDATA("XBT4",'binhtrung (2016)'!$A$3,"MA_HT","DCH","MA_QH","DYT")</f>
        <v>0</v>
      </c>
      <c r="AH39" s="74">
        <f>+GETPIVOTDATA("XBT4",'binhtrung (2016)'!$A$3,"MA_HT","DCH","MA_QH","DGD")</f>
        <v>0</v>
      </c>
      <c r="AI39" s="74">
        <f>+GETPIVOTDATA("XBT4",'binhtrung (2016)'!$A$3,"MA_HT","DCH","MA_QH","DTT")</f>
        <v>0</v>
      </c>
      <c r="AJ39" s="74">
        <f>+GETPIVOTDATA("XBT4",'binhtrung (2016)'!$A$3,"MA_HT","DCH","MA_QH","NCK")</f>
        <v>0</v>
      </c>
      <c r="AK39" s="74">
        <f>+GETPIVOTDATA("XBT4",'binhtrung (2016)'!$A$3,"MA_HT","DCH","MA_QH","DXH")</f>
        <v>0</v>
      </c>
      <c r="AL39" s="100" t="e">
        <f>$D39-$BF39</f>
        <v>#REF!</v>
      </c>
      <c r="AM39" s="74">
        <f>+GETPIVOTDATA("XBT4",'binhtrung (2016)'!$A$3,"MA_HT","DXH","MA_QH","DKG")</f>
        <v>0</v>
      </c>
      <c r="AN39" s="74">
        <f>+GETPIVOTDATA("XBT4",'binhtrung (2016)'!$A$3,"MA_HT","DCH","MA_QH","DDT")</f>
        <v>0</v>
      </c>
      <c r="AO39" s="74">
        <f>+GETPIVOTDATA("XBT4",'binhtrung (2016)'!$A$3,"MA_HT","DCH","MA_QH","DDL")</f>
        <v>0</v>
      </c>
      <c r="AP39" s="74">
        <f>+GETPIVOTDATA("XBT4",'binhtrung (2016)'!$A$3,"MA_HT","DCH","MA_QH","DRA")</f>
        <v>0</v>
      </c>
      <c r="AQ39" s="74">
        <f>+GETPIVOTDATA("XBT4",'binhtrung (2016)'!$A$3,"MA_HT","DCH","MA_QH","ONT")</f>
        <v>0</v>
      </c>
      <c r="AR39" s="74">
        <f>+GETPIVOTDATA("XBT4",'binhtrung (2016)'!$A$3,"MA_HT","DCH","MA_QH","ODT")</f>
        <v>0</v>
      </c>
      <c r="AS39" s="74">
        <f>+GETPIVOTDATA("XBT4",'binhtrung (2016)'!$A$3,"MA_HT","DCH","MA_QH","TSC")</f>
        <v>0</v>
      </c>
      <c r="AT39" s="74">
        <f>+GETPIVOTDATA("XBT4",'binhtrung (2016)'!$A$3,"MA_HT","DCH","MA_QH","DTS")</f>
        <v>0</v>
      </c>
      <c r="AU39" s="74">
        <f>+GETPIVOTDATA("XBT4",'binhtrung (2016)'!$A$3,"MA_HT","DCH","MA_QH","DNG")</f>
        <v>0</v>
      </c>
      <c r="AV39" s="74">
        <f>+GETPIVOTDATA("XBT4",'binhtrung (2016)'!$A$3,"MA_HT","DCH","MA_QH","TON")</f>
        <v>0</v>
      </c>
      <c r="AW39" s="74">
        <f>+GETPIVOTDATA("XBT4",'binhtrung (2016)'!$A$3,"MA_HT","DCH","MA_QH","NTD")</f>
        <v>0</v>
      </c>
      <c r="AX39" s="74">
        <f>+GETPIVOTDATA("XBT4",'binhtrung (2016)'!$A$3,"MA_HT","DCH","MA_QH","SKX")</f>
        <v>0</v>
      </c>
      <c r="AY39" s="74">
        <f>+GETPIVOTDATA("XBT4",'binhtrung (2016)'!$A$3,"MA_HT","DCH","MA_QH","DSH")</f>
        <v>0</v>
      </c>
      <c r="AZ39" s="74">
        <f>+GETPIVOTDATA("XBT4",'binhtrung (2016)'!$A$3,"MA_HT","DCH","MA_QH","DKV")</f>
        <v>0</v>
      </c>
      <c r="BA39" s="139">
        <f>+GETPIVOTDATA("XBT4",'binhtrung (2016)'!$A$3,"MA_HT","DCH","MA_QH","TIN")</f>
        <v>0</v>
      </c>
      <c r="BB39" s="74">
        <f>+GETPIVOTDATA("XBT4",'binhtrung (2016)'!$A$3,"MA_HT","DCH","MA_QH","SON")</f>
        <v>0</v>
      </c>
      <c r="BC39" s="74">
        <f>+GETPIVOTDATA("XBT4",'binhtrung (2016)'!$A$3,"MA_HT","DCH","MA_QH","MNC")</f>
        <v>0</v>
      </c>
      <c r="BD39" s="74">
        <f>+GETPIVOTDATA("XBT4",'binhtrung (2016)'!$A$3,"MA_HT","DCH","MA_QH","PNK")</f>
        <v>0</v>
      </c>
      <c r="BE39" s="102">
        <f>+GETPIVOTDATA("XBT4",'binhtrung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+GETPIVOTDATA("XBT4",'binhtrung (2016)'!$A$3,"MA_HT","DKG","MA_QH","LUC")</f>
        <v>0</v>
      </c>
      <c r="H40" s="74">
        <f>+GETPIVOTDATA("XBT4",'binhtrung (2016)'!$A$3,"MA_HT","DKG","MA_QH","LUK")</f>
        <v>0</v>
      </c>
      <c r="I40" s="74">
        <f>+GETPIVOTDATA("XBT4",'binhtrung (2016)'!$A$3,"MA_HT","DKG","MA_QH","LUN")</f>
        <v>0</v>
      </c>
      <c r="J40" s="74">
        <f>+GETPIVOTDATA("XBT4",'binhtrung (2016)'!$A$3,"MA_HT","DKG","MA_QH","HNK")</f>
        <v>0</v>
      </c>
      <c r="K40" s="74">
        <f>+GETPIVOTDATA("XBT4",'binhtrung (2016)'!$A$3,"MA_HT","DKG","MA_QH","CLN")</f>
        <v>0</v>
      </c>
      <c r="L40" s="74">
        <f>+GETPIVOTDATA("XBT4",'binhtrung (2016)'!$A$3,"MA_HT","DKG","MA_QH","RSX")</f>
        <v>0</v>
      </c>
      <c r="M40" s="74">
        <f>+GETPIVOTDATA("XBT4",'binhtrung (2016)'!$A$3,"MA_HT","DKG","MA_QH","RPH")</f>
        <v>0</v>
      </c>
      <c r="N40" s="74">
        <f>+GETPIVOTDATA("XBT4",'binhtrung (2016)'!$A$3,"MA_HT","DKG","MA_QH","RDD")</f>
        <v>0</v>
      </c>
      <c r="O40" s="74">
        <f>+GETPIVOTDATA("XBT4",'binhtrung (2016)'!$A$3,"MA_HT","DKG","MA_QH","NTS")</f>
        <v>0</v>
      </c>
      <c r="P40" s="74">
        <f>+GETPIVOTDATA("XBT4",'binhtrung (2016)'!$A$3,"MA_HT","DKG","MA_QH","LMU")</f>
        <v>0</v>
      </c>
      <c r="Q40" s="74">
        <f>+GETPIVOTDATA("XBT4",'binhtrung (2016)'!$A$3,"MA_HT","DKG","MA_QH","NKH")</f>
        <v>0</v>
      </c>
      <c r="R40" s="72">
        <f>SUM(S40:AA40,AN40:BD40)</f>
        <v>0</v>
      </c>
      <c r="S40" s="74">
        <f>+GETPIVOTDATA("XBT4",'binhtrung (2016)'!$A$3,"MA_HT","DKG","MA_QH","CQP")</f>
        <v>0</v>
      </c>
      <c r="T40" s="74">
        <f>+GETPIVOTDATA("XBT4",'binhtrung (2016)'!$A$3,"MA_HT","DKG","MA_QH","CAN")</f>
        <v>0</v>
      </c>
      <c r="U40" s="74">
        <f>+GETPIVOTDATA("XBT4",'binhtrung (2016)'!$A$3,"MA_HT","DKG","MA_QH","SKK")</f>
        <v>0</v>
      </c>
      <c r="V40" s="74">
        <f>+GETPIVOTDATA("XBT4",'binhtrung (2016)'!$A$3,"MA_HT","DKG","MA_QH","SKT")</f>
        <v>0</v>
      </c>
      <c r="W40" s="74">
        <f>+GETPIVOTDATA("XBT4",'binhtrung (2016)'!$A$3,"MA_HT","DKG","MA_QH","SKN")</f>
        <v>0</v>
      </c>
      <c r="X40" s="74">
        <f>+GETPIVOTDATA("XBT4",'binhtrung (2016)'!$A$3,"MA_HT","DKG","MA_QH","TMD")</f>
        <v>0</v>
      </c>
      <c r="Y40" s="74">
        <f>+GETPIVOTDATA("XBT4",'binhtrung (2016)'!$A$3,"MA_HT","DKG","MA_QH","SKC")</f>
        <v>0</v>
      </c>
      <c r="Z40" s="74">
        <f>+GETPIVOTDATA("XBT4",'binhtrung (2016)'!$A$3,"MA_HT","DKG","MA_QH","SKS")</f>
        <v>0</v>
      </c>
      <c r="AA40" s="64">
        <f>+SUM(AB40:AL40)</f>
        <v>0</v>
      </c>
      <c r="AB40" s="74">
        <f>+GETPIVOTDATA("XBT4",'binhtrung (2016)'!$A$3,"MA_HT","DKG","MA_QH","DGT")</f>
        <v>0</v>
      </c>
      <c r="AC40" s="74">
        <f>+GETPIVOTDATA("XBT4",'binhtrung (2016)'!$A$3,"MA_HT","DKG","MA_QH","DTL")</f>
        <v>0</v>
      </c>
      <c r="AD40" s="74">
        <f>+GETPIVOTDATA("XBT4",'binhtrung (2016)'!$A$3,"MA_HT","DKG","MA_QH","DNL")</f>
        <v>0</v>
      </c>
      <c r="AE40" s="74">
        <f>+GETPIVOTDATA("XBT4",'binhtrung (2016)'!$A$3,"MA_HT","DKG","MA_QH","DBV")</f>
        <v>0</v>
      </c>
      <c r="AF40" s="74">
        <f>+GETPIVOTDATA("XBT4",'binhtrung (2016)'!$A$3,"MA_HT","DKG","MA_QH","DVH")</f>
        <v>0</v>
      </c>
      <c r="AG40" s="74">
        <f>+GETPIVOTDATA("XBT4",'binhtrung (2016)'!$A$3,"MA_HT","DKG","MA_QH","DYT")</f>
        <v>0</v>
      </c>
      <c r="AH40" s="74">
        <f>+GETPIVOTDATA("XBT4",'binhtrung (2016)'!$A$3,"MA_HT","DKG","MA_QH","DGD")</f>
        <v>0</v>
      </c>
      <c r="AI40" s="74">
        <f>+GETPIVOTDATA("XBT4",'binhtrung (2016)'!$A$3,"MA_HT","DKG","MA_QH","DTT")</f>
        <v>0</v>
      </c>
      <c r="AJ40" s="74">
        <f>+GETPIVOTDATA("XBT4",'binhtrung (2016)'!$A$3,"MA_HT","DKG","MA_QH","NCK")</f>
        <v>0</v>
      </c>
      <c r="AK40" s="74">
        <f>+GETPIVOTDATA("XBT4",'binhtrung (2016)'!$A$3,"MA_HT","DKG","MA_QH","DXH")</f>
        <v>0</v>
      </c>
      <c r="AL40" s="122">
        <f>+GETPIVOTDATA("XBT4",'binhtrung (2016)'!$A$3,"MA_HT","DDT","MA_QH","DKG")</f>
        <v>0</v>
      </c>
      <c r="AM40" s="100" t="e">
        <f>$D40-$BF40</f>
        <v>#REF!</v>
      </c>
      <c r="AN40" s="74">
        <f>+GETPIVOTDATA("XBT4",'binhtrung (2016)'!$A$3,"MA_HT","DKG","MA_QH","DDT")</f>
        <v>0</v>
      </c>
      <c r="AO40" s="74">
        <f>+GETPIVOTDATA("XBT4",'binhtrung (2016)'!$A$3,"MA_HT","DKG","MA_QH","DDL")</f>
        <v>0</v>
      </c>
      <c r="AP40" s="74">
        <f>+GETPIVOTDATA("XBT4",'binhtrung (2016)'!$A$3,"MA_HT","DKG","MA_QH","DRA")</f>
        <v>0</v>
      </c>
      <c r="AQ40" s="74">
        <f>+GETPIVOTDATA("XBT4",'binhtrung (2016)'!$A$3,"MA_HT","DKG","MA_QH","ONT")</f>
        <v>0</v>
      </c>
      <c r="AR40" s="74">
        <f>+GETPIVOTDATA("XBT4",'binhtrung (2016)'!$A$3,"MA_HT","DKG","MA_QH","ODT")</f>
        <v>0</v>
      </c>
      <c r="AS40" s="74">
        <f>+GETPIVOTDATA("XBT4",'binhtrung (2016)'!$A$3,"MA_HT","DKG","MA_QH","TSC")</f>
        <v>0</v>
      </c>
      <c r="AT40" s="74">
        <f>+GETPIVOTDATA("XBT4",'binhtrung (2016)'!$A$3,"MA_HT","DKG","MA_QH","DTS")</f>
        <v>0</v>
      </c>
      <c r="AU40" s="74">
        <f>+GETPIVOTDATA("XBT4",'binhtrung (2016)'!$A$3,"MA_HT","DKG","MA_QH","DNG")</f>
        <v>0</v>
      </c>
      <c r="AV40" s="74">
        <f>+GETPIVOTDATA("XBT4",'binhtrung (2016)'!$A$3,"MA_HT","DKG","MA_QH","TON")</f>
        <v>0</v>
      </c>
      <c r="AW40" s="74">
        <f>+GETPIVOTDATA("XBT4",'binhtrung (2016)'!$A$3,"MA_HT","DKG","MA_QH","NTD")</f>
        <v>0</v>
      </c>
      <c r="AX40" s="74">
        <f>+GETPIVOTDATA("XBT4",'binhtrung (2016)'!$A$3,"MA_HT","DKG","MA_QH","SKX")</f>
        <v>0</v>
      </c>
      <c r="AY40" s="74">
        <f>+GETPIVOTDATA("XBT4",'binhtrung (2016)'!$A$3,"MA_HT","DKG","MA_QH","DSH")</f>
        <v>0</v>
      </c>
      <c r="AZ40" s="74">
        <f>+GETPIVOTDATA("XBT4",'binhtrung (2016)'!$A$3,"MA_HT","DKG","MA_QH","DKV")</f>
        <v>0</v>
      </c>
      <c r="BA40" s="139">
        <f>+GETPIVOTDATA("XBT4",'binhtrung (2016)'!$A$3,"MA_HT","DKG","MA_QH","TIN")</f>
        <v>0</v>
      </c>
      <c r="BB40" s="74">
        <f>+GETPIVOTDATA("XBT4",'binhtrung (2016)'!$A$3,"MA_HT","DKG","MA_QH","SON")</f>
        <v>0</v>
      </c>
      <c r="BC40" s="74">
        <f>+GETPIVOTDATA("XBT4",'binhtrung (2016)'!$A$3,"MA_HT","DKG","MA_QH","MNC")</f>
        <v>0</v>
      </c>
      <c r="BD40" s="74">
        <f>+GETPIVOTDATA("XBT4",'binhtrung (2016)'!$A$3,"MA_HT","DKG","MA_QH","PNK")</f>
        <v>0</v>
      </c>
      <c r="BE40" s="102">
        <f>+GETPIVOTDATA("XBT4",'binhtrung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+GETPIVOTDATA("XBT4",'binhtrung (2016)'!$A$3,"MA_HT","DDT","MA_QH","LUC")</f>
        <v>0</v>
      </c>
      <c r="H41" s="122">
        <f>+GETPIVOTDATA("XBT4",'binhtrung (2016)'!$A$3,"MA_HT","DDT","MA_QH","LUK")</f>
        <v>0</v>
      </c>
      <c r="I41" s="122">
        <f>+GETPIVOTDATA("XBT4",'binhtrung (2016)'!$A$3,"MA_HT","DDT","MA_QH","LUN")</f>
        <v>0</v>
      </c>
      <c r="J41" s="122">
        <f>+GETPIVOTDATA("XBT4",'binhtrung (2016)'!$A$3,"MA_HT","DDT","MA_QH","HNK")</f>
        <v>0</v>
      </c>
      <c r="K41" s="122">
        <f>+GETPIVOTDATA("XBT4",'binhtrung (2016)'!$A$3,"MA_HT","DDT","MA_QH","CLN")</f>
        <v>0</v>
      </c>
      <c r="L41" s="122">
        <f>+GETPIVOTDATA("XBT4",'binhtrung (2016)'!$A$3,"MA_HT","DDT","MA_QH","RSX")</f>
        <v>0</v>
      </c>
      <c r="M41" s="122">
        <f>+GETPIVOTDATA("XBT4",'binhtrung (2016)'!$A$3,"MA_HT","DDT","MA_QH","RPH")</f>
        <v>0</v>
      </c>
      <c r="N41" s="122">
        <f>+GETPIVOTDATA("XBT4",'binhtrung (2016)'!$A$3,"MA_HT","DDT","MA_QH","RDD")</f>
        <v>0</v>
      </c>
      <c r="O41" s="122">
        <f>+GETPIVOTDATA("XBT4",'binhtrung (2016)'!$A$3,"MA_HT","DDT","MA_QH","NTS")</f>
        <v>0</v>
      </c>
      <c r="P41" s="122">
        <f>+GETPIVOTDATA("XBT4",'binhtrung (2016)'!$A$3,"MA_HT","DDT","MA_QH","LMU")</f>
        <v>0</v>
      </c>
      <c r="Q41" s="122">
        <f>+GETPIVOTDATA("XBT4",'binhtrung (2016)'!$A$3,"MA_HT","DDT","MA_QH","NKH")</f>
        <v>0</v>
      </c>
      <c r="R41" s="123">
        <f>SUM(S41:AA41,AO41:BD41)</f>
        <v>0</v>
      </c>
      <c r="S41" s="122">
        <f>+GETPIVOTDATA("XBT4",'binhtrung (2016)'!$A$3,"MA_HT","DDT","MA_QH","CQP")</f>
        <v>0</v>
      </c>
      <c r="T41" s="122">
        <f>+GETPIVOTDATA("XBT4",'binhtrung (2016)'!$A$3,"MA_HT","DDT","MA_QH","CAN")</f>
        <v>0</v>
      </c>
      <c r="U41" s="122">
        <f>+GETPIVOTDATA("XBT4",'binhtrung (2016)'!$A$3,"MA_HT","DDT","MA_QH","SKK")</f>
        <v>0</v>
      </c>
      <c r="V41" s="122">
        <f>+GETPIVOTDATA("XBT4",'binhtrung (2016)'!$A$3,"MA_HT","DDT","MA_QH","SKT")</f>
        <v>0</v>
      </c>
      <c r="W41" s="122">
        <f>+GETPIVOTDATA("XBT4",'binhtrung (2016)'!$A$3,"MA_HT","DDT","MA_QH","SKN")</f>
        <v>0</v>
      </c>
      <c r="X41" s="122">
        <f>+GETPIVOTDATA("XBT4",'binhtrung (2016)'!$A$3,"MA_HT","DDT","MA_QH","TMD")</f>
        <v>0</v>
      </c>
      <c r="Y41" s="122">
        <f>+GETPIVOTDATA("XBT4",'binhtrung (2016)'!$A$3,"MA_HT","DDT","MA_QH","SKC")</f>
        <v>0</v>
      </c>
      <c r="Z41" s="122">
        <f>+GETPIVOTDATA("XBT4",'binhtrung (2016)'!$A$3,"MA_HT","DDT","MA_QH","SKS")</f>
        <v>0</v>
      </c>
      <c r="AA41" s="121">
        <f t="shared" ref="AA41:AA58" si="21">+SUM(AB41:AM41)</f>
        <v>0</v>
      </c>
      <c r="AB41" s="122">
        <f>+GETPIVOTDATA("XBT4",'binhtrung (2016)'!$A$3,"MA_HT","DDT","MA_QH","DGT")</f>
        <v>0</v>
      </c>
      <c r="AC41" s="122">
        <f>+GETPIVOTDATA("XBT4",'binhtrung (2016)'!$A$3,"MA_HT","DDT","MA_QH","DTL")</f>
        <v>0</v>
      </c>
      <c r="AD41" s="122">
        <f>+GETPIVOTDATA("XBT4",'binhtrung (2016)'!$A$3,"MA_HT","DDT","MA_QH","DNL")</f>
        <v>0</v>
      </c>
      <c r="AE41" s="122">
        <f>+GETPIVOTDATA("XBT4",'binhtrung (2016)'!$A$3,"MA_HT","DDT","MA_QH","DBV")</f>
        <v>0</v>
      </c>
      <c r="AF41" s="122">
        <f>+GETPIVOTDATA("XBT4",'binhtrung (2016)'!$A$3,"MA_HT","DDT","MA_QH","DVH")</f>
        <v>0</v>
      </c>
      <c r="AG41" s="122">
        <f>+GETPIVOTDATA("XBT4",'binhtrung (2016)'!$A$3,"MA_HT","DDT","MA_QH","DYT")</f>
        <v>0</v>
      </c>
      <c r="AH41" s="122">
        <f>+GETPIVOTDATA("XBT4",'binhtrung (2016)'!$A$3,"MA_HT","DDT","MA_QH","DGD")</f>
        <v>0</v>
      </c>
      <c r="AI41" s="122">
        <f>+GETPIVOTDATA("XBT4",'binhtrung (2016)'!$A$3,"MA_HT","DDT","MA_QH","DTT")</f>
        <v>0</v>
      </c>
      <c r="AJ41" s="122">
        <f>+GETPIVOTDATA("XBT4",'binhtrung (2016)'!$A$3,"MA_HT","DDT","MA_QH","NCK")</f>
        <v>0</v>
      </c>
      <c r="AK41" s="122">
        <f>+GETPIVOTDATA("XBT4",'binhtrung (2016)'!$A$3,"MA_HT","DDT","MA_QH","DXH")</f>
        <v>0</v>
      </c>
      <c r="AL41" s="122">
        <f>+GETPIVOTDATA("XBT4",'binhtrung (2016)'!$A$3,"MA_HT","DDT","MA_QH","DCH")</f>
        <v>0</v>
      </c>
      <c r="AM41" s="122">
        <f>+GETPIVOTDATA("XBT4",'binhtrung (2016)'!$A$3,"MA_HT","DDT","MA_QH","DKG")</f>
        <v>0</v>
      </c>
      <c r="AN41" s="124" t="e">
        <f>$D41-$BF41</f>
        <v>#REF!</v>
      </c>
      <c r="AO41" s="122">
        <f>+GETPIVOTDATA("XBT4",'binhtrung (2016)'!$A$3,"MA_HT","DDT","MA_QH","DDL")</f>
        <v>0</v>
      </c>
      <c r="AP41" s="122">
        <f>+GETPIVOTDATA("XBT4",'binhtrung (2016)'!$A$3,"MA_HT","DDT","MA_QH","DRA")</f>
        <v>0</v>
      </c>
      <c r="AQ41" s="122">
        <f>+GETPIVOTDATA("XBT4",'binhtrung (2016)'!$A$3,"MA_HT","DDT","MA_QH","ONT")</f>
        <v>0</v>
      </c>
      <c r="AR41" s="122">
        <f>+GETPIVOTDATA("XBT4",'binhtrung (2016)'!$A$3,"MA_HT","DDT","MA_QH","ODT")</f>
        <v>0</v>
      </c>
      <c r="AS41" s="122">
        <f>+GETPIVOTDATA("XBT4",'binhtrung (2016)'!$A$3,"MA_HT","DDT","MA_QH","TSC")</f>
        <v>0</v>
      </c>
      <c r="AT41" s="122">
        <f>+GETPIVOTDATA("XBT4",'binhtrung (2016)'!$A$3,"MA_HT","DDT","MA_QH","DTS")</f>
        <v>0</v>
      </c>
      <c r="AU41" s="122">
        <f>+GETPIVOTDATA("XBT4",'binhtrung (2016)'!$A$3,"MA_HT","DDT","MA_QH","DNG")</f>
        <v>0</v>
      </c>
      <c r="AV41" s="122">
        <f>+GETPIVOTDATA("XBT4",'binhtrung (2016)'!$A$3,"MA_HT","DDT","MA_QH","TON")</f>
        <v>0</v>
      </c>
      <c r="AW41" s="122">
        <f>+GETPIVOTDATA("XBT4",'binhtrung (2016)'!$A$3,"MA_HT","DDT","MA_QH","NTD")</f>
        <v>0</v>
      </c>
      <c r="AX41" s="122">
        <f>+GETPIVOTDATA("XBT4",'binhtrung (2016)'!$A$3,"MA_HT","DDT","MA_QH","SKX")</f>
        <v>0</v>
      </c>
      <c r="AY41" s="122">
        <f>+GETPIVOTDATA("XBT4",'binhtrung (2016)'!$A$3,"MA_HT","DDT","MA_QH","DSH")</f>
        <v>0</v>
      </c>
      <c r="AZ41" s="122">
        <f>+GETPIVOTDATA("XBT4",'binhtrung (2016)'!$A$3,"MA_HT","DDT","MA_QH","DKV")</f>
        <v>0</v>
      </c>
      <c r="BA41" s="141">
        <f>+GETPIVOTDATA("XBT4",'binhtrung (2016)'!$A$3,"MA_HT","DDT","MA_QH","TIN")</f>
        <v>0</v>
      </c>
      <c r="BB41" s="125">
        <f>+GETPIVOTDATA("XBT4",'binhtrung (2016)'!$A$3,"MA_HT","DDT","MA_QH","SON")</f>
        <v>0</v>
      </c>
      <c r="BC41" s="125">
        <f>+GETPIVOTDATA("XBT4",'binhtrung (2016)'!$A$3,"MA_HT","DDT","MA_QH","MNC")</f>
        <v>0</v>
      </c>
      <c r="BD41" s="122">
        <f>+GETPIVOTDATA("XBT4",'binhtrung (2016)'!$A$3,"MA_HT","DDT","MA_QH","PNK")</f>
        <v>0</v>
      </c>
      <c r="BE41" s="126">
        <f>+GETPIVOTDATA("XBT4",'binhtrung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+GETPIVOTDATA("XBT4",'binhtrung (2016)'!$A$3,"MA_HT","DDL","MA_QH","LUC")</f>
        <v>0</v>
      </c>
      <c r="H42" s="35">
        <f>+GETPIVOTDATA("XBT4",'binhtrung (2016)'!$A$3,"MA_HT","DDL","MA_QH","LUK")</f>
        <v>0</v>
      </c>
      <c r="I42" s="35">
        <f>+GETPIVOTDATA("XBT4",'binhtrung (2016)'!$A$3,"MA_HT","DDL","MA_QH","LUN")</f>
        <v>0</v>
      </c>
      <c r="J42" s="35">
        <f>+GETPIVOTDATA("XBT4",'binhtrung (2016)'!$A$3,"MA_HT","DDL","MA_QH","HNK")</f>
        <v>0</v>
      </c>
      <c r="K42" s="35">
        <f>+GETPIVOTDATA("XBT4",'binhtrung (2016)'!$A$3,"MA_HT","DDL","MA_QH","CLN")</f>
        <v>0</v>
      </c>
      <c r="L42" s="35">
        <f>+GETPIVOTDATA("XBT4",'binhtrung (2016)'!$A$3,"MA_HT","DDL","MA_QH","RSX")</f>
        <v>0</v>
      </c>
      <c r="M42" s="35">
        <f>+GETPIVOTDATA("XBT4",'binhtrung (2016)'!$A$3,"MA_HT","DDL","MA_QH","RPH")</f>
        <v>0</v>
      </c>
      <c r="N42" s="35">
        <f>+GETPIVOTDATA("XBT4",'binhtrung (2016)'!$A$3,"MA_HT","DDL","MA_QH","RDD")</f>
        <v>0</v>
      </c>
      <c r="O42" s="35">
        <f>+GETPIVOTDATA("XBT4",'binhtrung (2016)'!$A$3,"MA_HT","DDL","MA_QH","NTS")</f>
        <v>0</v>
      </c>
      <c r="P42" s="35">
        <f>+GETPIVOTDATA("XBT4",'binhtrung (2016)'!$A$3,"MA_HT","DDL","MA_QH","LMU")</f>
        <v>0</v>
      </c>
      <c r="Q42" s="35">
        <f>+GETPIVOTDATA("XBT4",'binhtrung (2016)'!$A$3,"MA_HT","DDL","MA_QH","NKH")</f>
        <v>0</v>
      </c>
      <c r="R42" s="106">
        <f>SUM(S42:AA42,AN42,AP42:BD42)</f>
        <v>0</v>
      </c>
      <c r="S42" s="35">
        <f>+GETPIVOTDATA("XBT4",'binhtrung (2016)'!$A$3,"MA_HT","DDL","MA_QH","CQP")</f>
        <v>0</v>
      </c>
      <c r="T42" s="35">
        <f>+GETPIVOTDATA("XBT4",'binhtrung (2016)'!$A$3,"MA_HT","DDL","MA_QH","CAN")</f>
        <v>0</v>
      </c>
      <c r="U42" s="35">
        <f>+GETPIVOTDATA("XBT4",'binhtrung (2016)'!$A$3,"MA_HT","DDL","MA_QH","SKK")</f>
        <v>0</v>
      </c>
      <c r="V42" s="35">
        <f>+GETPIVOTDATA("XBT4",'binhtrung (2016)'!$A$3,"MA_HT","DDL","MA_QH","SKT")</f>
        <v>0</v>
      </c>
      <c r="W42" s="35">
        <f>+GETPIVOTDATA("XBT4",'binhtrung (2016)'!$A$3,"MA_HT","DDL","MA_QH","SKN")</f>
        <v>0</v>
      </c>
      <c r="X42" s="35">
        <f>+GETPIVOTDATA("XBT4",'binhtrung (2016)'!$A$3,"MA_HT","DDL","MA_QH","TMD")</f>
        <v>0</v>
      </c>
      <c r="Y42" s="35">
        <f>+GETPIVOTDATA("XBT4",'binhtrung (2016)'!$A$3,"MA_HT","DDL","MA_QH","SKC")</f>
        <v>0</v>
      </c>
      <c r="Z42" s="35">
        <f>+GETPIVOTDATA("XBT4",'binhtrung (2016)'!$A$3,"MA_HT","DDL","MA_QH","SKS")</f>
        <v>0</v>
      </c>
      <c r="AA42" s="64">
        <f t="shared" si="21"/>
        <v>0</v>
      </c>
      <c r="AB42" s="35">
        <f>+GETPIVOTDATA("XBT4",'binhtrung (2016)'!$A$3,"MA_HT","DDL","MA_QH","DGT")</f>
        <v>0</v>
      </c>
      <c r="AC42" s="35">
        <f>+GETPIVOTDATA("XBT4",'binhtrung (2016)'!$A$3,"MA_HT","DDL","MA_QH","DTL")</f>
        <v>0</v>
      </c>
      <c r="AD42" s="35">
        <f>+GETPIVOTDATA("XBT4",'binhtrung (2016)'!$A$3,"MA_HT","DDL","MA_QH","DNL")</f>
        <v>0</v>
      </c>
      <c r="AE42" s="35">
        <f>+GETPIVOTDATA("XBT4",'binhtrung (2016)'!$A$3,"MA_HT","DDL","MA_QH","DBV")</f>
        <v>0</v>
      </c>
      <c r="AF42" s="35">
        <f>+GETPIVOTDATA("XBT4",'binhtrung (2016)'!$A$3,"MA_HT","DDL","MA_QH","DVH")</f>
        <v>0</v>
      </c>
      <c r="AG42" s="35">
        <f>+GETPIVOTDATA("XBT4",'binhtrung (2016)'!$A$3,"MA_HT","DDL","MA_QH","DYT")</f>
        <v>0</v>
      </c>
      <c r="AH42" s="35">
        <f>+GETPIVOTDATA("XBT4",'binhtrung (2016)'!$A$3,"MA_HT","DDL","MA_QH","DGD")</f>
        <v>0</v>
      </c>
      <c r="AI42" s="35">
        <f>+GETPIVOTDATA("XBT4",'binhtrung (2016)'!$A$3,"MA_HT","DDL","MA_QH","DTT")</f>
        <v>0</v>
      </c>
      <c r="AJ42" s="35">
        <f>+GETPIVOTDATA("XBT4",'binhtrung (2016)'!$A$3,"MA_HT","DDL","MA_QH","NCK")</f>
        <v>0</v>
      </c>
      <c r="AK42" s="35">
        <f>+GETPIVOTDATA("XBT4",'binhtrung (2016)'!$A$3,"MA_HT","DDL","MA_QH","DXH")</f>
        <v>0</v>
      </c>
      <c r="AL42" s="35">
        <f>+GETPIVOTDATA("XBT4",'binhtrung (2016)'!$A$3,"MA_HT","DDL","MA_QH","DCH")</f>
        <v>0</v>
      </c>
      <c r="AM42" s="35">
        <f>+GETPIVOTDATA("XBT4",'binhtrung (2016)'!$A$3,"MA_HT","DDL","MA_QH","DKG")</f>
        <v>0</v>
      </c>
      <c r="AN42" s="35">
        <f>+GETPIVOTDATA("XBT4",'binhtrung (2016)'!$A$3,"MA_HT","DDL","MA_QH","DDT")</f>
        <v>0</v>
      </c>
      <c r="AO42" s="99" t="e">
        <f>$D42-$BF42</f>
        <v>#REF!</v>
      </c>
      <c r="AP42" s="35">
        <f>+GETPIVOTDATA("XBT4",'binhtrung (2016)'!$A$3,"MA_HT","DDL","MA_QH","DRA")</f>
        <v>0</v>
      </c>
      <c r="AQ42" s="35">
        <f>+GETPIVOTDATA("XBT4",'binhtrung (2016)'!$A$3,"MA_HT","DDL","MA_QH","ONT")</f>
        <v>0</v>
      </c>
      <c r="AR42" s="35">
        <f>+GETPIVOTDATA("XBT4",'binhtrung (2016)'!$A$3,"MA_HT","DDL","MA_QH","ODT")</f>
        <v>0</v>
      </c>
      <c r="AS42" s="35">
        <f>+GETPIVOTDATA("XBT4",'binhtrung (2016)'!$A$3,"MA_HT","DDL","MA_QH","TSC")</f>
        <v>0</v>
      </c>
      <c r="AT42" s="35">
        <f>+GETPIVOTDATA("XBT4",'binhtrung (2016)'!$A$3,"MA_HT","DDL","MA_QH","DTS")</f>
        <v>0</v>
      </c>
      <c r="AU42" s="35">
        <f>+GETPIVOTDATA("XBT4",'binhtrung (2016)'!$A$3,"MA_HT","DDL","MA_QH","DNG")</f>
        <v>0</v>
      </c>
      <c r="AV42" s="35">
        <f>+GETPIVOTDATA("XBT4",'binhtrung (2016)'!$A$3,"MA_HT","DDL","MA_QH","TON")</f>
        <v>0</v>
      </c>
      <c r="AW42" s="35">
        <f>+GETPIVOTDATA("XBT4",'binhtrung (2016)'!$A$3,"MA_HT","DDL","MA_QH","NTD")</f>
        <v>0</v>
      </c>
      <c r="AX42" s="35">
        <f>+GETPIVOTDATA("XBT4",'binhtrung (2016)'!$A$3,"MA_HT","DDL","MA_QH","SKX")</f>
        <v>0</v>
      </c>
      <c r="AY42" s="35">
        <f>+GETPIVOTDATA("XBT4",'binhtrung (2016)'!$A$3,"MA_HT","DDL","MA_QH","DSH")</f>
        <v>0</v>
      </c>
      <c r="AZ42" s="35">
        <f>+GETPIVOTDATA("XBT4",'binhtrung (2016)'!$A$3,"MA_HT","DDL","MA_QH","DKV")</f>
        <v>0</v>
      </c>
      <c r="BA42" s="140">
        <f>+GETPIVOTDATA("XBT4",'binhtrung (2016)'!$A$3,"MA_HT","DDL","MA_QH","TIN")</f>
        <v>0</v>
      </c>
      <c r="BB42" s="74">
        <f>+GETPIVOTDATA("XBT4",'binhtrung (2016)'!$A$3,"MA_HT","DDL","MA_QH","SON")</f>
        <v>0</v>
      </c>
      <c r="BC42" s="74">
        <f>+GETPIVOTDATA("XBT4",'binhtrung (2016)'!$A$3,"MA_HT","DDL","MA_QH","MNC")</f>
        <v>0</v>
      </c>
      <c r="BD42" s="35">
        <f>+GETPIVOTDATA("XBT4",'binhtrung (2016)'!$A$3,"MA_HT","DDL","MA_QH","PNK")</f>
        <v>0</v>
      </c>
      <c r="BE42" s="58">
        <f>+GETPIVOTDATA("XBT4",'binhtrung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+GETPIVOTDATA("XBT4",'binhtrung (2016)'!$A$3,"MA_HT","DRA","MA_QH","LUC")</f>
        <v>0</v>
      </c>
      <c r="H43" s="35">
        <f>+GETPIVOTDATA("XBT4",'binhtrung (2016)'!$A$3,"MA_HT","DRA","MA_QH","LUK")</f>
        <v>0</v>
      </c>
      <c r="I43" s="35">
        <f>+GETPIVOTDATA("XBT4",'binhtrung (2016)'!$A$3,"MA_HT","DRA","MA_QH","LUN")</f>
        <v>0</v>
      </c>
      <c r="J43" s="35">
        <f>+GETPIVOTDATA("XBT4",'binhtrung (2016)'!$A$3,"MA_HT","DRA","MA_QH","HNK")</f>
        <v>0</v>
      </c>
      <c r="K43" s="35">
        <f>+GETPIVOTDATA("XBT4",'binhtrung (2016)'!$A$3,"MA_HT","DRA","MA_QH","CLN")</f>
        <v>0</v>
      </c>
      <c r="L43" s="35">
        <f>+GETPIVOTDATA("XBT4",'binhtrung (2016)'!$A$3,"MA_HT","DRA","MA_QH","RSX")</f>
        <v>0</v>
      </c>
      <c r="M43" s="35">
        <f>+GETPIVOTDATA("XBT4",'binhtrung (2016)'!$A$3,"MA_HT","DRA","MA_QH","RPH")</f>
        <v>0</v>
      </c>
      <c r="N43" s="35">
        <f>+GETPIVOTDATA("XBT4",'binhtrung (2016)'!$A$3,"MA_HT","DRA","MA_QH","RDD")</f>
        <v>0</v>
      </c>
      <c r="O43" s="35">
        <f>+GETPIVOTDATA("XBT4",'binhtrung (2016)'!$A$3,"MA_HT","DRA","MA_QH","NTS")</f>
        <v>0</v>
      </c>
      <c r="P43" s="35">
        <f>+GETPIVOTDATA("XBT4",'binhtrung (2016)'!$A$3,"MA_HT","DRA","MA_QH","LMU")</f>
        <v>0</v>
      </c>
      <c r="Q43" s="35">
        <f>+GETPIVOTDATA("XBT4",'binhtrung (2016)'!$A$3,"MA_HT","DRA","MA_QH","NKH")</f>
        <v>0</v>
      </c>
      <c r="R43" s="106">
        <f>SUM(S43:AA43,AN43:AO43,AQ43:BD43)</f>
        <v>0</v>
      </c>
      <c r="S43" s="35">
        <f>+GETPIVOTDATA("XBT4",'binhtrung (2016)'!$A$3,"MA_HT","DRA","MA_QH","CQP")</f>
        <v>0</v>
      </c>
      <c r="T43" s="35">
        <f>+GETPIVOTDATA("XBT4",'binhtrung (2016)'!$A$3,"MA_HT","DRA","MA_QH","CAN")</f>
        <v>0</v>
      </c>
      <c r="U43" s="35">
        <f>+GETPIVOTDATA("XBT4",'binhtrung (2016)'!$A$3,"MA_HT","DRA","MA_QH","SKK")</f>
        <v>0</v>
      </c>
      <c r="V43" s="35">
        <f>+GETPIVOTDATA("XBT4",'binhtrung (2016)'!$A$3,"MA_HT","DRA","MA_QH","SKT")</f>
        <v>0</v>
      </c>
      <c r="W43" s="35">
        <f>+GETPIVOTDATA("XBT4",'binhtrung (2016)'!$A$3,"MA_HT","DRA","MA_QH","SKN")</f>
        <v>0</v>
      </c>
      <c r="X43" s="35">
        <f>+GETPIVOTDATA("XBT4",'binhtrung (2016)'!$A$3,"MA_HT","DRA","MA_QH","TMD")</f>
        <v>0</v>
      </c>
      <c r="Y43" s="35">
        <f>+GETPIVOTDATA("XBT4",'binhtrung (2016)'!$A$3,"MA_HT","DRA","MA_QH","SKC")</f>
        <v>0</v>
      </c>
      <c r="Z43" s="35">
        <f>+GETPIVOTDATA("XBT4",'binhtrung (2016)'!$A$3,"MA_HT","DRA","MA_QH","SKS")</f>
        <v>0</v>
      </c>
      <c r="AA43" s="64">
        <f t="shared" si="21"/>
        <v>0</v>
      </c>
      <c r="AB43" s="35">
        <f>+GETPIVOTDATA("XBT4",'binhtrung (2016)'!$A$3,"MA_HT","DRA","MA_QH","DGT")</f>
        <v>0</v>
      </c>
      <c r="AC43" s="35">
        <f>+GETPIVOTDATA("XBT4",'binhtrung (2016)'!$A$3,"MA_HT","DRA","MA_QH","DTL")</f>
        <v>0</v>
      </c>
      <c r="AD43" s="35">
        <f>+GETPIVOTDATA("XBT4",'binhtrung (2016)'!$A$3,"MA_HT","DRA","MA_QH","DNL")</f>
        <v>0</v>
      </c>
      <c r="AE43" s="35">
        <f>+GETPIVOTDATA("XBT4",'binhtrung (2016)'!$A$3,"MA_HT","DRA","MA_QH","DBV")</f>
        <v>0</v>
      </c>
      <c r="AF43" s="35">
        <f>+GETPIVOTDATA("XBT4",'binhtrung (2016)'!$A$3,"MA_HT","DRA","MA_QH","DVH")</f>
        <v>0</v>
      </c>
      <c r="AG43" s="35">
        <f>+GETPIVOTDATA("XBT4",'binhtrung (2016)'!$A$3,"MA_HT","DRA","MA_QH","DYT")</f>
        <v>0</v>
      </c>
      <c r="AH43" s="35">
        <f>+GETPIVOTDATA("XBT4",'binhtrung (2016)'!$A$3,"MA_HT","DRA","MA_QH","DGD")</f>
        <v>0</v>
      </c>
      <c r="AI43" s="35">
        <f>+GETPIVOTDATA("XBT4",'binhtrung (2016)'!$A$3,"MA_HT","DRA","MA_QH","DTT")</f>
        <v>0</v>
      </c>
      <c r="AJ43" s="35">
        <f>+GETPIVOTDATA("XBT4",'binhtrung (2016)'!$A$3,"MA_HT","DRA","MA_QH","NCK")</f>
        <v>0</v>
      </c>
      <c r="AK43" s="35">
        <f>+GETPIVOTDATA("XBT4",'binhtrung (2016)'!$A$3,"MA_HT","DRA","MA_QH","DXH")</f>
        <v>0</v>
      </c>
      <c r="AL43" s="35">
        <f>+GETPIVOTDATA("XBT4",'binhtrung (2016)'!$A$3,"MA_HT","DRA","MA_QH","DCH")</f>
        <v>0</v>
      </c>
      <c r="AM43" s="35">
        <f>+GETPIVOTDATA("XBT4",'binhtrung (2016)'!$A$3,"MA_HT","DRA","MA_QH","DKG")</f>
        <v>0</v>
      </c>
      <c r="AN43" s="35">
        <f>+GETPIVOTDATA("XBT4",'binhtrung (2016)'!$A$3,"MA_HT","DRA","MA_QH","DDT")</f>
        <v>0</v>
      </c>
      <c r="AO43" s="35">
        <f>+GETPIVOTDATA("XBT4",'binhtrung (2016)'!$A$3,"MA_HT","DRA","MA_QH","DDL")</f>
        <v>0</v>
      </c>
      <c r="AP43" s="99" t="e">
        <f>$D43-$BF43</f>
        <v>#REF!</v>
      </c>
      <c r="AQ43" s="35">
        <f>+GETPIVOTDATA("XBT4",'binhtrung (2016)'!$A$3,"MA_HT","DRA","MA_QH","ONT")</f>
        <v>0</v>
      </c>
      <c r="AR43" s="35">
        <f>+GETPIVOTDATA("XBT4",'binhtrung (2016)'!$A$3,"MA_HT","DRA","MA_QH","ODT")</f>
        <v>0</v>
      </c>
      <c r="AS43" s="35">
        <f>+GETPIVOTDATA("XBT4",'binhtrung (2016)'!$A$3,"MA_HT","DRA","MA_QH","TSC")</f>
        <v>0</v>
      </c>
      <c r="AT43" s="35">
        <f>+GETPIVOTDATA("XBT4",'binhtrung (2016)'!$A$3,"MA_HT","DRA","MA_QH","DTS")</f>
        <v>0</v>
      </c>
      <c r="AU43" s="35">
        <f>+GETPIVOTDATA("XBT4",'binhtrung (2016)'!$A$3,"MA_HT","DRA","MA_QH","DNG")</f>
        <v>0</v>
      </c>
      <c r="AV43" s="35">
        <f>+GETPIVOTDATA("XBT4",'binhtrung (2016)'!$A$3,"MA_HT","DRA","MA_QH","TON")</f>
        <v>0</v>
      </c>
      <c r="AW43" s="35">
        <f>+GETPIVOTDATA("XBT4",'binhtrung (2016)'!$A$3,"MA_HT","DRA","MA_QH","NTD")</f>
        <v>0</v>
      </c>
      <c r="AX43" s="35">
        <f>+GETPIVOTDATA("XBT4",'binhtrung (2016)'!$A$3,"MA_HT","DRA","MA_QH","SKX")</f>
        <v>0</v>
      </c>
      <c r="AY43" s="35">
        <f>+GETPIVOTDATA("XBT4",'binhtrung (2016)'!$A$3,"MA_HT","DRA","MA_QH","DSH")</f>
        <v>0</v>
      </c>
      <c r="AZ43" s="35">
        <f>+GETPIVOTDATA("XBT4",'binhtrung (2016)'!$A$3,"MA_HT","DRA","MA_QH","DKV")</f>
        <v>0</v>
      </c>
      <c r="BA43" s="140">
        <f>+GETPIVOTDATA("XBT4",'binhtrung (2016)'!$A$3,"MA_HT","DRA","MA_QH","TIN")</f>
        <v>0</v>
      </c>
      <c r="BB43" s="74">
        <f>+GETPIVOTDATA("XBT4",'binhtrung (2016)'!$A$3,"MA_HT","DRA","MA_QH","SON")</f>
        <v>0</v>
      </c>
      <c r="BC43" s="74">
        <f>+GETPIVOTDATA("XBT4",'binhtrung (2016)'!$A$3,"MA_HT","DRA","MA_QH","MNC")</f>
        <v>0</v>
      </c>
      <c r="BD43" s="35">
        <f>+GETPIVOTDATA("XBT4",'binhtrung (2016)'!$A$3,"MA_HT","DRA","MA_QH","PNK")</f>
        <v>0</v>
      </c>
      <c r="BE43" s="58">
        <f>+GETPIVOTDATA("XBT4",'binhtrung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+GETPIVOTDATA("XBT4",'binhtrung (2016)'!$A$3,"MA_HT","ONT","MA_QH","LUC")</f>
        <v>0</v>
      </c>
      <c r="H44" s="35">
        <f>+GETPIVOTDATA("XBT4",'binhtrung (2016)'!$A$3,"MA_HT","ONT","MA_QH","LUK")</f>
        <v>0</v>
      </c>
      <c r="I44" s="35">
        <f>+GETPIVOTDATA("XBT4",'binhtrung (2016)'!$A$3,"MA_HT","ONT","MA_QH","LUN")</f>
        <v>0</v>
      </c>
      <c r="J44" s="35">
        <f>+GETPIVOTDATA("XBT4",'binhtrung (2016)'!$A$3,"MA_HT","ONT","MA_QH","HNK")</f>
        <v>0</v>
      </c>
      <c r="K44" s="35">
        <f>+GETPIVOTDATA("XBT4",'binhtrung (2016)'!$A$3,"MA_HT","ONT","MA_QH","CLN")</f>
        <v>0</v>
      </c>
      <c r="L44" s="35">
        <f>+GETPIVOTDATA("XBT4",'binhtrung (2016)'!$A$3,"MA_HT","ONT","MA_QH","RSX")</f>
        <v>0</v>
      </c>
      <c r="M44" s="35">
        <f>+GETPIVOTDATA("XBT4",'binhtrung (2016)'!$A$3,"MA_HT","ONT","MA_QH","RPH")</f>
        <v>0</v>
      </c>
      <c r="N44" s="35">
        <f>+GETPIVOTDATA("XBT4",'binhtrung (2016)'!$A$3,"MA_HT","ONT","MA_QH","RDD")</f>
        <v>0</v>
      </c>
      <c r="O44" s="35">
        <f>+GETPIVOTDATA("XBT4",'binhtrung (2016)'!$A$3,"MA_HT","ONT","MA_QH","NTS")</f>
        <v>0</v>
      </c>
      <c r="P44" s="35">
        <f>+GETPIVOTDATA("XBT4",'binhtrung (2016)'!$A$3,"MA_HT","ONT","MA_QH","LMU")</f>
        <v>0</v>
      </c>
      <c r="Q44" s="35">
        <f>+GETPIVOTDATA("XBT4",'binhtrung (2016)'!$A$3,"MA_HT","ONT","MA_QH","NKH")</f>
        <v>0</v>
      </c>
      <c r="R44" s="106">
        <f>SUM(S44:AA44,AN44:AP44,AR44:BD44)</f>
        <v>0</v>
      </c>
      <c r="S44" s="35">
        <f>+GETPIVOTDATA("XBT4",'binhtrung (2016)'!$A$3,"MA_HT","ONT","MA_QH","CQP")</f>
        <v>0</v>
      </c>
      <c r="T44" s="35">
        <f>+GETPIVOTDATA("XBT4",'binhtrung (2016)'!$A$3,"MA_HT","ONT","MA_QH","CAN")</f>
        <v>0</v>
      </c>
      <c r="U44" s="35">
        <f>+GETPIVOTDATA("XBT4",'binhtrung (2016)'!$A$3,"MA_HT","ONT","MA_QH","SKK")</f>
        <v>0</v>
      </c>
      <c r="V44" s="35">
        <f>+GETPIVOTDATA("XBT4",'binhtrung (2016)'!$A$3,"MA_HT","ONT","MA_QH","SKT")</f>
        <v>0</v>
      </c>
      <c r="W44" s="35">
        <f>+GETPIVOTDATA("XBT4",'binhtrung (2016)'!$A$3,"MA_HT","ONT","MA_QH","SKN")</f>
        <v>0</v>
      </c>
      <c r="X44" s="35">
        <f>+GETPIVOTDATA("XBT4",'binhtrung (2016)'!$A$3,"MA_HT","ONT","MA_QH","TMD")</f>
        <v>0</v>
      </c>
      <c r="Y44" s="35">
        <f>+GETPIVOTDATA("XBT4",'binhtrung (2016)'!$A$3,"MA_HT","ONT","MA_QH","SKC")</f>
        <v>0</v>
      </c>
      <c r="Z44" s="35">
        <f>+GETPIVOTDATA("XBT4",'binhtrung (2016)'!$A$3,"MA_HT","ONT","MA_QH","SKS")</f>
        <v>0</v>
      </c>
      <c r="AA44" s="64">
        <f t="shared" si="21"/>
        <v>0</v>
      </c>
      <c r="AB44" s="35">
        <f>+GETPIVOTDATA("XBT4",'binhtrung (2016)'!$A$3,"MA_HT","ONT","MA_QH","DGT")</f>
        <v>0</v>
      </c>
      <c r="AC44" s="35">
        <f>+GETPIVOTDATA("XBT4",'binhtrung (2016)'!$A$3,"MA_HT","ONT","MA_QH","DTL")</f>
        <v>0</v>
      </c>
      <c r="AD44" s="35">
        <f>+GETPIVOTDATA("XBT4",'binhtrung (2016)'!$A$3,"MA_HT","ONT","MA_QH","DNL")</f>
        <v>0</v>
      </c>
      <c r="AE44" s="35">
        <f>+GETPIVOTDATA("XBT4",'binhtrung (2016)'!$A$3,"MA_HT","ONT","MA_QH","DBV")</f>
        <v>0</v>
      </c>
      <c r="AF44" s="35">
        <f>+GETPIVOTDATA("XBT4",'binhtrung (2016)'!$A$3,"MA_HT","ONT","MA_QH","DVH")</f>
        <v>0</v>
      </c>
      <c r="AG44" s="35">
        <f>+GETPIVOTDATA("XBT4",'binhtrung (2016)'!$A$3,"MA_HT","ONT","MA_QH","DYT")</f>
        <v>0</v>
      </c>
      <c r="AH44" s="35">
        <f>+GETPIVOTDATA("XBT4",'binhtrung (2016)'!$A$3,"MA_HT","ONT","MA_QH","DGD")</f>
        <v>0</v>
      </c>
      <c r="AI44" s="35">
        <f>+GETPIVOTDATA("XBT4",'binhtrung (2016)'!$A$3,"MA_HT","ONT","MA_QH","DTT")</f>
        <v>0</v>
      </c>
      <c r="AJ44" s="35">
        <f>+GETPIVOTDATA("XBT4",'binhtrung (2016)'!$A$3,"MA_HT","ONT","MA_QH","NCK")</f>
        <v>0</v>
      </c>
      <c r="AK44" s="35">
        <f>+GETPIVOTDATA("XBT4",'binhtrung (2016)'!$A$3,"MA_HT","ONT","MA_QH","DXH")</f>
        <v>0</v>
      </c>
      <c r="AL44" s="35">
        <f>+GETPIVOTDATA("XBT4",'binhtrung (2016)'!$A$3,"MA_HT","ONT","MA_QH","DCH")</f>
        <v>0</v>
      </c>
      <c r="AM44" s="35">
        <f>+GETPIVOTDATA("XBT4",'binhtrung (2016)'!$A$3,"MA_HT","ONT","MA_QH","DKG")</f>
        <v>0</v>
      </c>
      <c r="AN44" s="35">
        <f>+GETPIVOTDATA("XBT4",'binhtrung (2016)'!$A$3,"MA_HT","ONT","MA_QH","DDT")</f>
        <v>0</v>
      </c>
      <c r="AO44" s="35">
        <f>+GETPIVOTDATA("XBT4",'binhtrung (2016)'!$A$3,"MA_HT","ONT","MA_QH","DDL")</f>
        <v>0</v>
      </c>
      <c r="AP44" s="35">
        <f>+GETPIVOTDATA("XBT4",'binhtrung (2016)'!$A$3,"MA_HT","ONT","MA_QH","DRA")</f>
        <v>0</v>
      </c>
      <c r="AQ44" s="99" t="e">
        <f>$D44-$BF44</f>
        <v>#REF!</v>
      </c>
      <c r="AR44" s="35">
        <f>+GETPIVOTDATA("XBT4",'binhtrung (2016)'!$A$3,"MA_HT","ONT","MA_QH","ODT")</f>
        <v>0</v>
      </c>
      <c r="AS44" s="35">
        <f>+GETPIVOTDATA("XBT4",'binhtrung (2016)'!$A$3,"MA_HT","ONT","MA_QH","TSC")</f>
        <v>0</v>
      </c>
      <c r="AT44" s="35">
        <f>+GETPIVOTDATA("XBT4",'binhtrung (2016)'!$A$3,"MA_HT","ONT","MA_QH","DTS")</f>
        <v>0</v>
      </c>
      <c r="AU44" s="35">
        <f>+GETPIVOTDATA("XBT4",'binhtrung (2016)'!$A$3,"MA_HT","ONT","MA_QH","DNG")</f>
        <v>0</v>
      </c>
      <c r="AV44" s="35">
        <f>+GETPIVOTDATA("XBT4",'binhtrung (2016)'!$A$3,"MA_HT","ONT","MA_QH","TON")</f>
        <v>0</v>
      </c>
      <c r="AW44" s="35">
        <f>+GETPIVOTDATA("XBT4",'binhtrung (2016)'!$A$3,"MA_HT","ONT","MA_QH","NTD")</f>
        <v>0</v>
      </c>
      <c r="AX44" s="35">
        <f>+GETPIVOTDATA("XBT4",'binhtrung (2016)'!$A$3,"MA_HT","ONT","MA_QH","SKX")</f>
        <v>0</v>
      </c>
      <c r="AY44" s="35">
        <f>+GETPIVOTDATA("XBT4",'binhtrung (2016)'!$A$3,"MA_HT","ONT","MA_QH","DSH")</f>
        <v>0</v>
      </c>
      <c r="AZ44" s="35">
        <f>+GETPIVOTDATA("XBT4",'binhtrung (2016)'!$A$3,"MA_HT","ONT","MA_QH","DKV")</f>
        <v>0</v>
      </c>
      <c r="BA44" s="140">
        <f>+GETPIVOTDATA("XBT4",'binhtrung (2016)'!$A$3,"MA_HT","ONT","MA_QH","TIN")</f>
        <v>0</v>
      </c>
      <c r="BB44" s="74">
        <f>+GETPIVOTDATA("XBT4",'binhtrung (2016)'!$A$3,"MA_HT","ONT","MA_QH","SON")</f>
        <v>0</v>
      </c>
      <c r="BC44" s="74">
        <f>+GETPIVOTDATA("XBT4",'binhtrung (2016)'!$A$3,"MA_HT","ONT","MA_QH","MNC")</f>
        <v>0</v>
      </c>
      <c r="BD44" s="35">
        <f>+GETPIVOTDATA("XBT4",'binhtrung (2016)'!$A$3,"MA_HT","ONT","MA_QH","PNK")</f>
        <v>0</v>
      </c>
      <c r="BE44" s="58">
        <f>+GETPIVOTDATA("XBT4",'binhtrung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+GETPIVOTDATA("XBT4",'binhtrung (2016)'!$A$3,"MA_HT","ODT","MA_QH","LUC")</f>
        <v>0</v>
      </c>
      <c r="H45" s="111">
        <f>+GETPIVOTDATA("XBT4",'binhtrung (2016)'!$A$3,"MA_HT","ODT","MA_QH","LUK")</f>
        <v>0</v>
      </c>
      <c r="I45" s="111">
        <f>+GETPIVOTDATA("XBT4",'binhtrung (2016)'!$A$3,"MA_HT","ODT","MA_QH","LUN")</f>
        <v>0</v>
      </c>
      <c r="J45" s="111">
        <f>+GETPIVOTDATA("XBT4",'binhtrung (2016)'!$A$3,"MA_HT","ODT","MA_QH","HNK")</f>
        <v>0</v>
      </c>
      <c r="K45" s="111">
        <f>+GETPIVOTDATA("XBT4",'binhtrung (2016)'!$A$3,"MA_HT","ODT","MA_QH","CLN")</f>
        <v>0</v>
      </c>
      <c r="L45" s="111">
        <f>+GETPIVOTDATA("XBT4",'binhtrung (2016)'!$A$3,"MA_HT","ODT","MA_QH","RSX")</f>
        <v>0</v>
      </c>
      <c r="M45" s="111">
        <f>+GETPIVOTDATA("XBT4",'binhtrung (2016)'!$A$3,"MA_HT","ODT","MA_QH","RPH")</f>
        <v>0</v>
      </c>
      <c r="N45" s="111">
        <f>+GETPIVOTDATA("XBT4",'binhtrung (2016)'!$A$3,"MA_HT","ODT","MA_QH","RDD")</f>
        <v>0</v>
      </c>
      <c r="O45" s="111">
        <f>+GETPIVOTDATA("XBT4",'binhtrung (2016)'!$A$3,"MA_HT","ODT","MA_QH","NTS")</f>
        <v>0</v>
      </c>
      <c r="P45" s="111">
        <f>+GETPIVOTDATA("XBT4",'binhtrung (2016)'!$A$3,"MA_HT","ODT","MA_QH","LMU")</f>
        <v>0</v>
      </c>
      <c r="Q45" s="111">
        <f>+GETPIVOTDATA("XBT4",'binhtrung (2016)'!$A$3,"MA_HT","ODT","MA_QH","NKH")</f>
        <v>0</v>
      </c>
      <c r="R45" s="106">
        <f>SUM(S45:AA45,AN45:AQ45,AS45:BD45)</f>
        <v>0</v>
      </c>
      <c r="S45" s="111">
        <f>+GETPIVOTDATA("XBT4",'binhtrung (2016)'!$A$3,"MA_HT","ODT","MA_QH","CQP")</f>
        <v>0</v>
      </c>
      <c r="T45" s="111">
        <f>+GETPIVOTDATA("XBT4",'binhtrung (2016)'!$A$3,"MA_HT","ODT","MA_QH","CAN")</f>
        <v>0</v>
      </c>
      <c r="U45" s="111">
        <f>+GETPIVOTDATA("XBT4",'binhtrung (2016)'!$A$3,"MA_HT","ODT","MA_QH","SKK")</f>
        <v>0</v>
      </c>
      <c r="V45" s="111">
        <f>+GETPIVOTDATA("XBT4",'binhtrung (2016)'!$A$3,"MA_HT","ODT","MA_QH","SKT")</f>
        <v>0</v>
      </c>
      <c r="W45" s="111">
        <f>+GETPIVOTDATA("XBT4",'binhtrung (2016)'!$A$3,"MA_HT","ODT","MA_QH","SKN")</f>
        <v>0</v>
      </c>
      <c r="X45" s="111">
        <f>+GETPIVOTDATA("XBT4",'binhtrung (2016)'!$A$3,"MA_HT","ODT","MA_QH","TMD")</f>
        <v>0</v>
      </c>
      <c r="Y45" s="111">
        <f>+GETPIVOTDATA("XBT4",'binhtrung (2016)'!$A$3,"MA_HT","ODT","MA_QH","SKC")</f>
        <v>0</v>
      </c>
      <c r="Z45" s="111">
        <f>+GETPIVOTDATA("XBT4",'binhtrung (2016)'!$A$3,"MA_HT","ODT","MA_QH","SKS")</f>
        <v>0</v>
      </c>
      <c r="AA45" s="104">
        <f t="shared" si="21"/>
        <v>0</v>
      </c>
      <c r="AB45" s="111">
        <f>+GETPIVOTDATA("XBT4",'binhtrung (2016)'!$A$3,"MA_HT","ODT","MA_QH","DGT")</f>
        <v>0</v>
      </c>
      <c r="AC45" s="111">
        <f>+GETPIVOTDATA("XBT4",'binhtrung (2016)'!$A$3,"MA_HT","ODT","MA_QH","DTL")</f>
        <v>0</v>
      </c>
      <c r="AD45" s="111">
        <f>+GETPIVOTDATA("XBT4",'binhtrung (2016)'!$A$3,"MA_HT","ODT","MA_QH","DNL")</f>
        <v>0</v>
      </c>
      <c r="AE45" s="111">
        <f>+GETPIVOTDATA("XBT4",'binhtrung (2016)'!$A$3,"MA_HT","ODT","MA_QH","DBV")</f>
        <v>0</v>
      </c>
      <c r="AF45" s="111">
        <f>+GETPIVOTDATA("XBT4",'binhtrung (2016)'!$A$3,"MA_HT","ODT","MA_QH","DVH")</f>
        <v>0</v>
      </c>
      <c r="AG45" s="111">
        <f>+GETPIVOTDATA("XBT4",'binhtrung (2016)'!$A$3,"MA_HT","ODT","MA_QH","DYT")</f>
        <v>0</v>
      </c>
      <c r="AH45" s="111">
        <f>+GETPIVOTDATA("XBT4",'binhtrung (2016)'!$A$3,"MA_HT","ODT","MA_QH","DGD")</f>
        <v>0</v>
      </c>
      <c r="AI45" s="111">
        <f>+GETPIVOTDATA("XBT4",'binhtrung (2016)'!$A$3,"MA_HT","ODT","MA_QH","DTT")</f>
        <v>0</v>
      </c>
      <c r="AJ45" s="111">
        <f>+GETPIVOTDATA("XBT4",'binhtrung (2016)'!$A$3,"MA_HT","ODT","MA_QH","NCK")</f>
        <v>0</v>
      </c>
      <c r="AK45" s="111">
        <f>+GETPIVOTDATA("XBT4",'binhtrung (2016)'!$A$3,"MA_HT","ODT","MA_QH","DXH")</f>
        <v>0</v>
      </c>
      <c r="AL45" s="111">
        <f>+GETPIVOTDATA("XBT4",'binhtrung (2016)'!$A$3,"MA_HT","ODT","MA_QH","DCH")</f>
        <v>0</v>
      </c>
      <c r="AM45" s="111">
        <f>+GETPIVOTDATA("XBT4",'binhtrung (2016)'!$A$3,"MA_HT","ODT","MA_QH","DKG")</f>
        <v>0</v>
      </c>
      <c r="AN45" s="111">
        <f>+GETPIVOTDATA("XBT4",'binhtrung (2016)'!$A$3,"MA_HT","ODT","MA_QH","DDT")</f>
        <v>0</v>
      </c>
      <c r="AO45" s="111">
        <f>+GETPIVOTDATA("XBT4",'binhtrung (2016)'!$A$3,"MA_HT","ODT","MA_QH","DDL")</f>
        <v>0</v>
      </c>
      <c r="AP45" s="111">
        <f>+GETPIVOTDATA("XBT4",'binhtrung (2016)'!$A$3,"MA_HT","ODT","MA_QH","DRA")</f>
        <v>0</v>
      </c>
      <c r="AQ45" s="111">
        <f>+GETPIVOTDATA("XBT4",'binhtrung (2016)'!$A$3,"MA_HT","ODT","MA_QH","ONT")</f>
        <v>0</v>
      </c>
      <c r="AR45" s="112" t="e">
        <f>$D45-$BF45</f>
        <v>#REF!</v>
      </c>
      <c r="AS45" s="111">
        <f>+GETPIVOTDATA("XBT4",'binhtrung (2016)'!$A$3,"MA_HT","ODT","MA_QH","TSC")</f>
        <v>0</v>
      </c>
      <c r="AT45" s="111">
        <f>+GETPIVOTDATA("XBT4",'binhtrung (2016)'!$A$3,"MA_HT","ODT","MA_QH","DTS")</f>
        <v>0</v>
      </c>
      <c r="AU45" s="111">
        <f>+GETPIVOTDATA("XBT4",'binhtrung (2016)'!$A$3,"MA_HT","ODT","MA_QH","DNG")</f>
        <v>0</v>
      </c>
      <c r="AV45" s="111">
        <f>+GETPIVOTDATA("XBT4",'binhtrung (2016)'!$A$3,"MA_HT","ODT","MA_QH","TON")</f>
        <v>0</v>
      </c>
      <c r="AW45" s="111">
        <f>+GETPIVOTDATA("XBT4",'binhtrung (2016)'!$A$3,"MA_HT","ODT","MA_QH","NTD")</f>
        <v>0</v>
      </c>
      <c r="AX45" s="111">
        <f>+GETPIVOTDATA("XBT4",'binhtrung (2016)'!$A$3,"MA_HT","ODT","MA_QH","SKX")</f>
        <v>0</v>
      </c>
      <c r="AY45" s="111">
        <f>+GETPIVOTDATA("XBT4",'binhtrung (2016)'!$A$3,"MA_HT","ODT","MA_QH","DSH")</f>
        <v>0</v>
      </c>
      <c r="AZ45" s="111">
        <f>+GETPIVOTDATA("XBT4",'binhtrung (2016)'!$A$3,"MA_HT","ODT","MA_QH","DKV")</f>
        <v>0</v>
      </c>
      <c r="BA45" s="142">
        <f>+GETPIVOTDATA("XBT4",'binhtrung (2016)'!$A$3,"MA_HT","ODT","MA_QH","TIN")</f>
        <v>0</v>
      </c>
      <c r="BB45" s="105">
        <f>+GETPIVOTDATA("XBT4",'binhtrung (2016)'!$A$3,"MA_HT","ODT","MA_QH","SON")</f>
        <v>0</v>
      </c>
      <c r="BC45" s="105">
        <f>+GETPIVOTDATA("XBT4",'binhtrung (2016)'!$A$3,"MA_HT","ODT","MA_QH","MNC")</f>
        <v>0</v>
      </c>
      <c r="BD45" s="111">
        <f>+GETPIVOTDATA("XBT4",'binhtrung (2016)'!$A$3,"MA_HT","ODT","MA_QH","PNK")</f>
        <v>0</v>
      </c>
      <c r="BE45" s="113">
        <f>+GETPIVOTDATA("XBT4",'binhtrung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+GETPIVOTDATA("XBT4",'binhtrung (2016)'!$A$3,"MA_HT","TSC","MA_QH","LUC")</f>
        <v>0</v>
      </c>
      <c r="H46" s="35">
        <f>+GETPIVOTDATA("XBT4",'binhtrung (2016)'!$A$3,"MA_HT","TSC","MA_QH","LUK")</f>
        <v>0</v>
      </c>
      <c r="I46" s="35">
        <f>+GETPIVOTDATA("XBT4",'binhtrung (2016)'!$A$3,"MA_HT","TSC","MA_QH","LUN")</f>
        <v>0</v>
      </c>
      <c r="J46" s="35">
        <f>+GETPIVOTDATA("XBT4",'binhtrung (2016)'!$A$3,"MA_HT","TSC","MA_QH","HNK")</f>
        <v>0</v>
      </c>
      <c r="K46" s="35">
        <f>+GETPIVOTDATA("XBT4",'binhtrung (2016)'!$A$3,"MA_HT","TSC","MA_QH","CLN")</f>
        <v>0</v>
      </c>
      <c r="L46" s="35">
        <f>+GETPIVOTDATA("XBT4",'binhtrung (2016)'!$A$3,"MA_HT","TSC","MA_QH","RSX")</f>
        <v>0</v>
      </c>
      <c r="M46" s="35">
        <f>+GETPIVOTDATA("XBT4",'binhtrung (2016)'!$A$3,"MA_HT","TSC","MA_QH","RPH")</f>
        <v>0</v>
      </c>
      <c r="N46" s="35">
        <f>+GETPIVOTDATA("XBT4",'binhtrung (2016)'!$A$3,"MA_HT","TSC","MA_QH","RDD")</f>
        <v>0</v>
      </c>
      <c r="O46" s="35">
        <f>+GETPIVOTDATA("XBT4",'binhtrung (2016)'!$A$3,"MA_HT","TSC","MA_QH","NTS")</f>
        <v>0</v>
      </c>
      <c r="P46" s="35">
        <f>+GETPIVOTDATA("XBT4",'binhtrung (2016)'!$A$3,"MA_HT","TSC","MA_QH","LMU")</f>
        <v>0</v>
      </c>
      <c r="Q46" s="35">
        <f>+GETPIVOTDATA("XBT4",'binhtrung (2016)'!$A$3,"MA_HT","TSC","MA_QH","NKH")</f>
        <v>0</v>
      </c>
      <c r="R46" s="72">
        <f>SUM(S46:AA46,AN46:AR46,AT46:BD46)</f>
        <v>0</v>
      </c>
      <c r="S46" s="35">
        <f>+GETPIVOTDATA("XBT4",'binhtrung (2016)'!$A$3,"MA_HT","TSC","MA_QH","CQP")</f>
        <v>0</v>
      </c>
      <c r="T46" s="35">
        <f>+GETPIVOTDATA("XBT4",'binhtrung (2016)'!$A$3,"MA_HT","TSC","MA_QH","CAN")</f>
        <v>0</v>
      </c>
      <c r="U46" s="35">
        <f>+GETPIVOTDATA("XBT4",'binhtrung (2016)'!$A$3,"MA_HT","TSC","MA_QH","SKK")</f>
        <v>0</v>
      </c>
      <c r="V46" s="35">
        <f>+GETPIVOTDATA("XBT4",'binhtrung (2016)'!$A$3,"MA_HT","TSC","MA_QH","SKT")</f>
        <v>0</v>
      </c>
      <c r="W46" s="35">
        <f>+GETPIVOTDATA("XBT4",'binhtrung (2016)'!$A$3,"MA_HT","TSC","MA_QH","SKN")</f>
        <v>0</v>
      </c>
      <c r="X46" s="35">
        <f>+GETPIVOTDATA("XBT4",'binhtrung (2016)'!$A$3,"MA_HT","TSC","MA_QH","TMD")</f>
        <v>0</v>
      </c>
      <c r="Y46" s="35">
        <f>+GETPIVOTDATA("XBT4",'binhtrung (2016)'!$A$3,"MA_HT","TSC","MA_QH","SKC")</f>
        <v>0</v>
      </c>
      <c r="Z46" s="35">
        <f>+GETPIVOTDATA("XBT4",'binhtrung (2016)'!$A$3,"MA_HT","TSC","MA_QH","SKS")</f>
        <v>0</v>
      </c>
      <c r="AA46" s="64">
        <f t="shared" si="21"/>
        <v>0</v>
      </c>
      <c r="AB46" s="35">
        <f>+GETPIVOTDATA("XBT4",'binhtrung (2016)'!$A$3,"MA_HT","TSC","MA_QH","DGT")</f>
        <v>0</v>
      </c>
      <c r="AC46" s="35">
        <f>+GETPIVOTDATA("XBT4",'binhtrung (2016)'!$A$3,"MA_HT","TSC","MA_QH","DTL")</f>
        <v>0</v>
      </c>
      <c r="AD46" s="35">
        <f>+GETPIVOTDATA("XBT4",'binhtrung (2016)'!$A$3,"MA_HT","TSC","MA_QH","DNL")</f>
        <v>0</v>
      </c>
      <c r="AE46" s="35">
        <f>+GETPIVOTDATA("XBT4",'binhtrung (2016)'!$A$3,"MA_HT","TSC","MA_QH","DBV")</f>
        <v>0</v>
      </c>
      <c r="AF46" s="35">
        <f>+GETPIVOTDATA("XBT4",'binhtrung (2016)'!$A$3,"MA_HT","TSC","MA_QH","DVH")</f>
        <v>0</v>
      </c>
      <c r="AG46" s="35">
        <f>+GETPIVOTDATA("XBT4",'binhtrung (2016)'!$A$3,"MA_HT","TSC","MA_QH","DYT")</f>
        <v>0</v>
      </c>
      <c r="AH46" s="35">
        <f>+GETPIVOTDATA("XBT4",'binhtrung (2016)'!$A$3,"MA_HT","TSC","MA_QH","DGD")</f>
        <v>0</v>
      </c>
      <c r="AI46" s="35">
        <f>+GETPIVOTDATA("XBT4",'binhtrung (2016)'!$A$3,"MA_HT","TSC","MA_QH","DTT")</f>
        <v>0</v>
      </c>
      <c r="AJ46" s="35">
        <f>+GETPIVOTDATA("XBT4",'binhtrung (2016)'!$A$3,"MA_HT","TSC","MA_QH","NCK")</f>
        <v>0</v>
      </c>
      <c r="AK46" s="35">
        <f>+GETPIVOTDATA("XBT4",'binhtrung (2016)'!$A$3,"MA_HT","TSC","MA_QH","DXH")</f>
        <v>0</v>
      </c>
      <c r="AL46" s="35">
        <f>+GETPIVOTDATA("XBT4",'binhtrung (2016)'!$A$3,"MA_HT","TSC","MA_QH","DCH")</f>
        <v>0</v>
      </c>
      <c r="AM46" s="35">
        <f>+GETPIVOTDATA("XBT4",'binhtrung (2016)'!$A$3,"MA_HT","TSC","MA_QH","DKG")</f>
        <v>0</v>
      </c>
      <c r="AN46" s="35">
        <f>+GETPIVOTDATA("XBT4",'binhtrung (2016)'!$A$3,"MA_HT","TSC","MA_QH","DDT")</f>
        <v>0</v>
      </c>
      <c r="AO46" s="35">
        <f>+GETPIVOTDATA("XBT4",'binhtrung (2016)'!$A$3,"MA_HT","TSC","MA_QH","DDL")</f>
        <v>0</v>
      </c>
      <c r="AP46" s="35">
        <f>+GETPIVOTDATA("XBT4",'binhtrung (2016)'!$A$3,"MA_HT","TSC","MA_QH","DRA")</f>
        <v>0</v>
      </c>
      <c r="AQ46" s="35">
        <f>+GETPIVOTDATA("XBT4",'binhtrung (2016)'!$A$3,"MA_HT","TSC","MA_QH","ONT")</f>
        <v>0</v>
      </c>
      <c r="AR46" s="35">
        <f>+GETPIVOTDATA("XBT4",'binhtrung (2016)'!$A$3,"MA_HT","TSC","MA_QH","ODT")</f>
        <v>0</v>
      </c>
      <c r="AS46" s="99" t="e">
        <f>$D46-$BF46</f>
        <v>#REF!</v>
      </c>
      <c r="AT46" s="35">
        <f>+GETPIVOTDATA("XBT4",'binhtrung (2016)'!$A$3,"MA_HT","TSC","MA_QH","DTS")</f>
        <v>0</v>
      </c>
      <c r="AU46" s="35">
        <f>+GETPIVOTDATA("XBT4",'binhtrung (2016)'!$A$3,"MA_HT","TSC","MA_QH","DNG")</f>
        <v>0</v>
      </c>
      <c r="AV46" s="35">
        <f>+GETPIVOTDATA("XBT4",'binhtrung (2016)'!$A$3,"MA_HT","TSC","MA_QH","TON")</f>
        <v>0</v>
      </c>
      <c r="AW46" s="35">
        <f>+GETPIVOTDATA("XBT4",'binhtrung (2016)'!$A$3,"MA_HT","TSC","MA_QH","NTD")</f>
        <v>0</v>
      </c>
      <c r="AX46" s="35">
        <f>+GETPIVOTDATA("XBT4",'binhtrung (2016)'!$A$3,"MA_HT","TSC","MA_QH","SKX")</f>
        <v>0</v>
      </c>
      <c r="AY46" s="35">
        <f>+GETPIVOTDATA("XBT4",'binhtrung (2016)'!$A$3,"MA_HT","TSC","MA_QH","DSH")</f>
        <v>0</v>
      </c>
      <c r="AZ46" s="35">
        <f>+GETPIVOTDATA("XBT4",'binhtrung (2016)'!$A$3,"MA_HT","TSC","MA_QH","DKV")</f>
        <v>0</v>
      </c>
      <c r="BA46" s="140">
        <f>+GETPIVOTDATA("XBT4",'binhtrung (2016)'!$A$3,"MA_HT","TSC","MA_QH","TIN")</f>
        <v>0</v>
      </c>
      <c r="BB46" s="74">
        <f>+GETPIVOTDATA("XBT4",'binhtrung (2016)'!$A$3,"MA_HT","TSC","MA_QH","SON")</f>
        <v>0</v>
      </c>
      <c r="BC46" s="74">
        <f>+GETPIVOTDATA("XBT4",'binhtrung (2016)'!$A$3,"MA_HT","TSC","MA_QH","MNC")</f>
        <v>0</v>
      </c>
      <c r="BD46" s="35">
        <f>+GETPIVOTDATA("XBT4",'binhtrung (2016)'!$A$3,"MA_HT","TSC","MA_QH","PNK")</f>
        <v>0</v>
      </c>
      <c r="BE46" s="58">
        <f>+GETPIVOTDATA("XBT4",'binhtrung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+GETPIVOTDATA("XBT4",'binhtrung (2016)'!$A$3,"MA_HT","DTS","MA_QH","LUC")</f>
        <v>0</v>
      </c>
      <c r="H47" s="122">
        <f>+GETPIVOTDATA("XBT4",'binhtrung (2016)'!$A$3,"MA_HT","DTS","MA_QH","LUK")</f>
        <v>0</v>
      </c>
      <c r="I47" s="122">
        <f>+GETPIVOTDATA("XBT4",'binhtrung (2016)'!$A$3,"MA_HT","DTS","MA_QH","LUN")</f>
        <v>0</v>
      </c>
      <c r="J47" s="122">
        <f>+GETPIVOTDATA("XBT4",'binhtrung (2016)'!$A$3,"MA_HT","DTS","MA_QH","HNK")</f>
        <v>0</v>
      </c>
      <c r="K47" s="122">
        <f>+GETPIVOTDATA("XBT4",'binhtrung (2016)'!$A$3,"MA_HT","DTS","MA_QH","CLN")</f>
        <v>0</v>
      </c>
      <c r="L47" s="122">
        <f>+GETPIVOTDATA("XBT4",'binhtrung (2016)'!$A$3,"MA_HT","DTS","MA_QH","RSX")</f>
        <v>0</v>
      </c>
      <c r="M47" s="122">
        <f>+GETPIVOTDATA("XBT4",'binhtrung (2016)'!$A$3,"MA_HT","DTS","MA_QH","RPH")</f>
        <v>0</v>
      </c>
      <c r="N47" s="122">
        <f>+GETPIVOTDATA("XBT4",'binhtrung (2016)'!$A$3,"MA_HT","DTS","MA_QH","RDD")</f>
        <v>0</v>
      </c>
      <c r="O47" s="122">
        <f>+GETPIVOTDATA("XBT4",'binhtrung (2016)'!$A$3,"MA_HT","DTS","MA_QH","NTS")</f>
        <v>0</v>
      </c>
      <c r="P47" s="122">
        <f>+GETPIVOTDATA("XBT4",'binhtrung (2016)'!$A$3,"MA_HT","DTS","MA_QH","LMU")</f>
        <v>0</v>
      </c>
      <c r="Q47" s="122">
        <f>+GETPIVOTDATA("XBT4",'binhtrung (2016)'!$A$3,"MA_HT","DTS","MA_QH","NKH")</f>
        <v>0</v>
      </c>
      <c r="R47" s="123">
        <f>SUM(S47:AA47,AN47:AS47,AU47:BD47)</f>
        <v>0</v>
      </c>
      <c r="S47" s="122">
        <f>+GETPIVOTDATA("XBT4",'binhtrung (2016)'!$A$3,"MA_HT","DTS","MA_QH","CQP")</f>
        <v>0</v>
      </c>
      <c r="T47" s="122">
        <f>+GETPIVOTDATA("XBT4",'binhtrung (2016)'!$A$3,"MA_HT","DTS","MA_QH","CAN")</f>
        <v>0</v>
      </c>
      <c r="U47" s="122">
        <f>+GETPIVOTDATA("XBT4",'binhtrung (2016)'!$A$3,"MA_HT","DTS","MA_QH","SKK")</f>
        <v>0</v>
      </c>
      <c r="V47" s="122">
        <f>+GETPIVOTDATA("XBT4",'binhtrung (2016)'!$A$3,"MA_HT","DTS","MA_QH","SKT")</f>
        <v>0</v>
      </c>
      <c r="W47" s="122">
        <f>+GETPIVOTDATA("XBT4",'binhtrung (2016)'!$A$3,"MA_HT","DTS","MA_QH","SKN")</f>
        <v>0</v>
      </c>
      <c r="X47" s="122">
        <f>+GETPIVOTDATA("XBT4",'binhtrung (2016)'!$A$3,"MA_HT","DTS","MA_QH","TMD")</f>
        <v>0</v>
      </c>
      <c r="Y47" s="122">
        <f>+GETPIVOTDATA("XBT4",'binhtrung (2016)'!$A$3,"MA_HT","DTS","MA_QH","SKC")</f>
        <v>0</v>
      </c>
      <c r="Z47" s="122">
        <f>+GETPIVOTDATA("XBT4",'binhtrung (2016)'!$A$3,"MA_HT","DTS","MA_QH","SKS")</f>
        <v>0</v>
      </c>
      <c r="AA47" s="121">
        <f t="shared" si="21"/>
        <v>0</v>
      </c>
      <c r="AB47" s="122">
        <f>+GETPIVOTDATA("XBT4",'binhtrung (2016)'!$A$3,"MA_HT","DTS","MA_QH","DGT")</f>
        <v>0</v>
      </c>
      <c r="AC47" s="122">
        <f>+GETPIVOTDATA("XBT4",'binhtrung (2016)'!$A$3,"MA_HT","DTS","MA_QH","DTL")</f>
        <v>0</v>
      </c>
      <c r="AD47" s="122">
        <f>+GETPIVOTDATA("XBT4",'binhtrung (2016)'!$A$3,"MA_HT","DTS","MA_QH","DNL")</f>
        <v>0</v>
      </c>
      <c r="AE47" s="122">
        <f>+GETPIVOTDATA("XBT4",'binhtrung (2016)'!$A$3,"MA_HT","DTS","MA_QH","DBV")</f>
        <v>0</v>
      </c>
      <c r="AF47" s="122">
        <f>+GETPIVOTDATA("XBT4",'binhtrung (2016)'!$A$3,"MA_HT","DTS","MA_QH","DVH")</f>
        <v>0</v>
      </c>
      <c r="AG47" s="122">
        <f>+GETPIVOTDATA("XBT4",'binhtrung (2016)'!$A$3,"MA_HT","DTS","MA_QH","DYT")</f>
        <v>0</v>
      </c>
      <c r="AH47" s="122">
        <f>+GETPIVOTDATA("XBT4",'binhtrung (2016)'!$A$3,"MA_HT","DTS","MA_QH","DGD")</f>
        <v>0</v>
      </c>
      <c r="AI47" s="122">
        <f>+GETPIVOTDATA("XBT4",'binhtrung (2016)'!$A$3,"MA_HT","DTS","MA_QH","DTT")</f>
        <v>0</v>
      </c>
      <c r="AJ47" s="122">
        <f>+GETPIVOTDATA("XBT4",'binhtrung (2016)'!$A$3,"MA_HT","DTS","MA_QH","NCK")</f>
        <v>0</v>
      </c>
      <c r="AK47" s="122">
        <f>+GETPIVOTDATA("XBT4",'binhtrung (2016)'!$A$3,"MA_HT","DTS","MA_QH","DXH")</f>
        <v>0</v>
      </c>
      <c r="AL47" s="122">
        <f>+GETPIVOTDATA("XBT4",'binhtrung (2016)'!$A$3,"MA_HT","DTS","MA_QH","DCH")</f>
        <v>0</v>
      </c>
      <c r="AM47" s="122">
        <f>+GETPIVOTDATA("XBT4",'binhtrung (2016)'!$A$3,"MA_HT","DTS","MA_QH","DKG")</f>
        <v>0</v>
      </c>
      <c r="AN47" s="122">
        <f>+GETPIVOTDATA("XBT4",'binhtrung (2016)'!$A$3,"MA_HT","DTS","MA_QH","DDT")</f>
        <v>0</v>
      </c>
      <c r="AO47" s="122">
        <f>+GETPIVOTDATA("XBT4",'binhtrung (2016)'!$A$3,"MA_HT","DTS","MA_QH","DDL")</f>
        <v>0</v>
      </c>
      <c r="AP47" s="122">
        <f>+GETPIVOTDATA("XBT4",'binhtrung (2016)'!$A$3,"MA_HT","DTS","MA_QH","DRA")</f>
        <v>0</v>
      </c>
      <c r="AQ47" s="122">
        <f>+GETPIVOTDATA("XBT4",'binhtrung (2016)'!$A$3,"MA_HT","DTS","MA_QH","ONT")</f>
        <v>0</v>
      </c>
      <c r="AR47" s="122">
        <f>+GETPIVOTDATA("XBT4",'binhtrung (2016)'!$A$3,"MA_HT","DTS","MA_QH","ODT")</f>
        <v>0</v>
      </c>
      <c r="AS47" s="122">
        <f>+GETPIVOTDATA("XBT4",'binhtrung (2016)'!$A$3,"MA_HT","DTS","MA_QH","TSC")</f>
        <v>0</v>
      </c>
      <c r="AT47" s="124" t="e">
        <f>$D47-$BF47</f>
        <v>#REF!</v>
      </c>
      <c r="AU47" s="122">
        <f>+GETPIVOTDATA("XBT4",'binhtrung (2016)'!$A$3,"MA_HT","DTS","MA_QH","DNG")</f>
        <v>0</v>
      </c>
      <c r="AV47" s="122">
        <f>+GETPIVOTDATA("XBT4",'binhtrung (2016)'!$A$3,"MA_HT","DTS","MA_QH","TON")</f>
        <v>0</v>
      </c>
      <c r="AW47" s="122">
        <f>+GETPIVOTDATA("XBT4",'binhtrung (2016)'!$A$3,"MA_HT","DTS","MA_QH","NTD")</f>
        <v>0</v>
      </c>
      <c r="AX47" s="122">
        <f>+GETPIVOTDATA("XBT4",'binhtrung (2016)'!$A$3,"MA_HT","DTS","MA_QH","SKX")</f>
        <v>0</v>
      </c>
      <c r="AY47" s="122">
        <f>+GETPIVOTDATA("XBT4",'binhtrung (2016)'!$A$3,"MA_HT","DTS","MA_QH","DSH")</f>
        <v>0</v>
      </c>
      <c r="AZ47" s="122">
        <f>+GETPIVOTDATA("XBT4",'binhtrung (2016)'!$A$3,"MA_HT","DTS","MA_QH","DKV")</f>
        <v>0</v>
      </c>
      <c r="BA47" s="141">
        <f>+GETPIVOTDATA("XBT4",'binhtrung (2016)'!$A$3,"MA_HT","DTS","MA_QH","TIN")</f>
        <v>0</v>
      </c>
      <c r="BB47" s="125">
        <f>+GETPIVOTDATA("XBT4",'binhtrung (2016)'!$A$3,"MA_HT","DTS","MA_QH","SON")</f>
        <v>0</v>
      </c>
      <c r="BC47" s="125">
        <f>+GETPIVOTDATA("XBT4",'binhtrung (2016)'!$A$3,"MA_HT","DTS","MA_QH","MNC")</f>
        <v>0</v>
      </c>
      <c r="BD47" s="122">
        <f>+GETPIVOTDATA("XBT4",'binhtrung (2016)'!$A$3,"MA_HT","DTS","MA_QH","PNK")</f>
        <v>0</v>
      </c>
      <c r="BE47" s="126">
        <f>+GETPIVOTDATA("XBT4",'binhtrung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+GETPIVOTDATA("XBT4",'binhtrung (2016)'!$A$3,"MA_HT","DNG","MA_QH","LUC")</f>
        <v>0</v>
      </c>
      <c r="H48" s="35">
        <f>+GETPIVOTDATA("XBT4",'binhtrung (2016)'!$A$3,"MA_HT","DNG","MA_QH","LUK")</f>
        <v>0</v>
      </c>
      <c r="I48" s="35">
        <f>+GETPIVOTDATA("XBT4",'binhtrung (2016)'!$A$3,"MA_HT","DNG","MA_QH","LUN")</f>
        <v>0</v>
      </c>
      <c r="J48" s="35">
        <f>+GETPIVOTDATA("XBT4",'binhtrung (2016)'!$A$3,"MA_HT","DNG","MA_QH","HNK")</f>
        <v>0</v>
      </c>
      <c r="K48" s="35">
        <f>+GETPIVOTDATA("XBT4",'binhtrung (2016)'!$A$3,"MA_HT","DNG","MA_QH","CLN")</f>
        <v>0</v>
      </c>
      <c r="L48" s="35">
        <f>+GETPIVOTDATA("XBT4",'binhtrung (2016)'!$A$3,"MA_HT","DNG","MA_QH","RSX")</f>
        <v>0</v>
      </c>
      <c r="M48" s="35">
        <f>+GETPIVOTDATA("XBT4",'binhtrung (2016)'!$A$3,"MA_HT","DNG","MA_QH","RPH")</f>
        <v>0</v>
      </c>
      <c r="N48" s="35">
        <f>+GETPIVOTDATA("XBT4",'binhtrung (2016)'!$A$3,"MA_HT","DNG","MA_QH","RDD")</f>
        <v>0</v>
      </c>
      <c r="O48" s="35">
        <f>+GETPIVOTDATA("XBT4",'binhtrung (2016)'!$A$3,"MA_HT","DNG","MA_QH","NTS")</f>
        <v>0</v>
      </c>
      <c r="P48" s="35">
        <f>+GETPIVOTDATA("XBT4",'binhtrung (2016)'!$A$3,"MA_HT","DNG","MA_QH","LMU")</f>
        <v>0</v>
      </c>
      <c r="Q48" s="35">
        <f>+GETPIVOTDATA("XBT4",'binhtrung (2016)'!$A$3,"MA_HT","DNG","MA_QH","NKH")</f>
        <v>0</v>
      </c>
      <c r="R48" s="106">
        <f>SUM(S48:AA48,AN48:AT48,AV48:BD48)</f>
        <v>0</v>
      </c>
      <c r="S48" s="35">
        <f>+GETPIVOTDATA("XBT4",'binhtrung (2016)'!$A$3,"MA_HT","DNG","MA_QH","CQP")</f>
        <v>0</v>
      </c>
      <c r="T48" s="35">
        <f>+GETPIVOTDATA("XBT4",'binhtrung (2016)'!$A$3,"MA_HT","DNG","MA_QH","CAN")</f>
        <v>0</v>
      </c>
      <c r="U48" s="35">
        <f>+GETPIVOTDATA("XBT4",'binhtrung (2016)'!$A$3,"MA_HT","DNG","MA_QH","SKK")</f>
        <v>0</v>
      </c>
      <c r="V48" s="35">
        <f>+GETPIVOTDATA("XBT4",'binhtrung (2016)'!$A$3,"MA_HT","DNG","MA_QH","SKT")</f>
        <v>0</v>
      </c>
      <c r="W48" s="35">
        <f>+GETPIVOTDATA("XBT4",'binhtrung (2016)'!$A$3,"MA_HT","DNG","MA_QH","SKN")</f>
        <v>0</v>
      </c>
      <c r="X48" s="35">
        <f>+GETPIVOTDATA("XBT4",'binhtrung (2016)'!$A$3,"MA_HT","DNG","MA_QH","TMD")</f>
        <v>0</v>
      </c>
      <c r="Y48" s="35">
        <f>+GETPIVOTDATA("XBT4",'binhtrung (2016)'!$A$3,"MA_HT","DNG","MA_QH","SKC")</f>
        <v>0</v>
      </c>
      <c r="Z48" s="35">
        <f>+GETPIVOTDATA("XBT4",'binhtrung (2016)'!$A$3,"MA_HT","DNG","MA_QH","SKS")</f>
        <v>0</v>
      </c>
      <c r="AA48" s="64">
        <f t="shared" si="21"/>
        <v>0</v>
      </c>
      <c r="AB48" s="35">
        <f>+GETPIVOTDATA("XBT4",'binhtrung (2016)'!$A$3,"MA_HT","DNG","MA_QH","DGT")</f>
        <v>0</v>
      </c>
      <c r="AC48" s="35">
        <f>+GETPIVOTDATA("XBT4",'binhtrung (2016)'!$A$3,"MA_HT","DNG","MA_QH","DTL")</f>
        <v>0</v>
      </c>
      <c r="AD48" s="35">
        <f>+GETPIVOTDATA("XBT4",'binhtrung (2016)'!$A$3,"MA_HT","DNG","MA_QH","DNL")</f>
        <v>0</v>
      </c>
      <c r="AE48" s="35">
        <f>+GETPIVOTDATA("XBT4",'binhtrung (2016)'!$A$3,"MA_HT","DNG","MA_QH","DBV")</f>
        <v>0</v>
      </c>
      <c r="AF48" s="35">
        <f>+GETPIVOTDATA("XBT4",'binhtrung (2016)'!$A$3,"MA_HT","DNG","MA_QH","DVH")</f>
        <v>0</v>
      </c>
      <c r="AG48" s="35">
        <f>+GETPIVOTDATA("XBT4",'binhtrung (2016)'!$A$3,"MA_HT","DNG","MA_QH","DYT")</f>
        <v>0</v>
      </c>
      <c r="AH48" s="35">
        <f>+GETPIVOTDATA("XBT4",'binhtrung (2016)'!$A$3,"MA_HT","DNG","MA_QH","DGD")</f>
        <v>0</v>
      </c>
      <c r="AI48" s="35">
        <f>+GETPIVOTDATA("XBT4",'binhtrung (2016)'!$A$3,"MA_HT","DNG","MA_QH","DTT")</f>
        <v>0</v>
      </c>
      <c r="AJ48" s="35">
        <f>+GETPIVOTDATA("XBT4",'binhtrung (2016)'!$A$3,"MA_HT","DNG","MA_QH","NCK")</f>
        <v>0</v>
      </c>
      <c r="AK48" s="35">
        <f>+GETPIVOTDATA("XBT4",'binhtrung (2016)'!$A$3,"MA_HT","DNG","MA_QH","DXH")</f>
        <v>0</v>
      </c>
      <c r="AL48" s="35">
        <f>+GETPIVOTDATA("XBT4",'binhtrung (2016)'!$A$3,"MA_HT","DNG","MA_QH","DCH")</f>
        <v>0</v>
      </c>
      <c r="AM48" s="35">
        <f>+GETPIVOTDATA("XBT4",'binhtrung (2016)'!$A$3,"MA_HT","DNG","MA_QH","DKG")</f>
        <v>0</v>
      </c>
      <c r="AN48" s="35">
        <f>+GETPIVOTDATA("XBT4",'binhtrung (2016)'!$A$3,"MA_HT","DNG","MA_QH","DDT")</f>
        <v>0</v>
      </c>
      <c r="AO48" s="35">
        <f>+GETPIVOTDATA("XBT4",'binhtrung (2016)'!$A$3,"MA_HT","DNG","MA_QH","DDL")</f>
        <v>0</v>
      </c>
      <c r="AP48" s="35">
        <f>+GETPIVOTDATA("XBT4",'binhtrung (2016)'!$A$3,"MA_HT","DNG","MA_QH","DRA")</f>
        <v>0</v>
      </c>
      <c r="AQ48" s="35">
        <f>+GETPIVOTDATA("XBT4",'binhtrung (2016)'!$A$3,"MA_HT","DNG","MA_QH","ONT")</f>
        <v>0</v>
      </c>
      <c r="AR48" s="35">
        <f>+GETPIVOTDATA("XBT4",'binhtrung (2016)'!$A$3,"MA_HT","DNG","MA_QH","ODT")</f>
        <v>0</v>
      </c>
      <c r="AS48" s="35">
        <f>+GETPIVOTDATA("XBT4",'binhtrung (2016)'!$A$3,"MA_HT","DNG","MA_QH","TSC")</f>
        <v>0</v>
      </c>
      <c r="AT48" s="35">
        <f>+GETPIVOTDATA("XBT4",'binhtrung (2016)'!$A$3,"MA_HT","DNG","MA_QH","DTS")</f>
        <v>0</v>
      </c>
      <c r="AU48" s="99" t="e">
        <f>$D48-$BF48</f>
        <v>#REF!</v>
      </c>
      <c r="AV48" s="35">
        <f>+GETPIVOTDATA("XBT4",'binhtrung (2016)'!$A$3,"MA_HT","DNG","MA_QH","TON")</f>
        <v>0</v>
      </c>
      <c r="AW48" s="35">
        <f>+GETPIVOTDATA("XBT4",'binhtrung (2016)'!$A$3,"MA_HT","DNG","MA_QH","NTD")</f>
        <v>0</v>
      </c>
      <c r="AX48" s="35">
        <f>+GETPIVOTDATA("XBT4",'binhtrung (2016)'!$A$3,"MA_HT","DNG","MA_QH","SKX")</f>
        <v>0</v>
      </c>
      <c r="AY48" s="35">
        <f>+GETPIVOTDATA("XBT4",'binhtrung (2016)'!$A$3,"MA_HT","DNG","MA_QH","DSH")</f>
        <v>0</v>
      </c>
      <c r="AZ48" s="35">
        <f>+GETPIVOTDATA("XBT4",'binhtrung (2016)'!$A$3,"MA_HT","DNG","MA_QH","DKV")</f>
        <v>0</v>
      </c>
      <c r="BA48" s="140">
        <f>+GETPIVOTDATA("XBT4",'binhtrung (2016)'!$A$3,"MA_HT","DNG","MA_QH","TIN")</f>
        <v>0</v>
      </c>
      <c r="BB48" s="74">
        <f>+GETPIVOTDATA("XBT4",'binhtrung (2016)'!$A$3,"MA_HT","DNG","MA_QH","SON")</f>
        <v>0</v>
      </c>
      <c r="BC48" s="74">
        <f>+GETPIVOTDATA("XBT4",'binhtrung (2016)'!$A$3,"MA_HT","DNG","MA_QH","MNC")</f>
        <v>0</v>
      </c>
      <c r="BD48" s="35">
        <f>+GETPIVOTDATA("XBT4",'binhtrung (2016)'!$A$3,"MA_HT","DNG","MA_QH","PNK")</f>
        <v>0</v>
      </c>
      <c r="BE48" s="58">
        <f>+GETPIVOTDATA("XBT4",'binhtrung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+GETPIVOTDATA("XBT4",'binhtrung (2016)'!$A$3,"MA_HT","TON","MA_QH","LUC")</f>
        <v>0</v>
      </c>
      <c r="H49" s="35">
        <f>+GETPIVOTDATA("XBT4",'binhtrung (2016)'!$A$3,"MA_HT","TON","MA_QH","LUK")</f>
        <v>0</v>
      </c>
      <c r="I49" s="35">
        <f>+GETPIVOTDATA("XBT4",'binhtrung (2016)'!$A$3,"MA_HT","TON","MA_QH","LUN")</f>
        <v>0</v>
      </c>
      <c r="J49" s="35">
        <f>+GETPIVOTDATA("XBT4",'binhtrung (2016)'!$A$3,"MA_HT","TON","MA_QH","HNK")</f>
        <v>0</v>
      </c>
      <c r="K49" s="35">
        <f>+GETPIVOTDATA("XBT4",'binhtrung (2016)'!$A$3,"MA_HT","TON","MA_QH","CLN")</f>
        <v>0</v>
      </c>
      <c r="L49" s="35">
        <f>+GETPIVOTDATA("XBT4",'binhtrung (2016)'!$A$3,"MA_HT","TON","MA_QH","RSX")</f>
        <v>0</v>
      </c>
      <c r="M49" s="35">
        <f>+GETPIVOTDATA("XBT4",'binhtrung (2016)'!$A$3,"MA_HT","TON","MA_QH","RPH")</f>
        <v>0</v>
      </c>
      <c r="N49" s="35">
        <f>+GETPIVOTDATA("XBT4",'binhtrung (2016)'!$A$3,"MA_HT","TON","MA_QH","RDD")</f>
        <v>0</v>
      </c>
      <c r="O49" s="35">
        <f>+GETPIVOTDATA("XBT4",'binhtrung (2016)'!$A$3,"MA_HT","TON","MA_QH","NTS")</f>
        <v>0</v>
      </c>
      <c r="P49" s="35">
        <f>+GETPIVOTDATA("XBT4",'binhtrung (2016)'!$A$3,"MA_HT","TON","MA_QH","LMU")</f>
        <v>0</v>
      </c>
      <c r="Q49" s="35">
        <f>+GETPIVOTDATA("XBT4",'binhtrung (2016)'!$A$3,"MA_HT","TON","MA_QH","NKH")</f>
        <v>0</v>
      </c>
      <c r="R49" s="106">
        <f>SUM(S49:AA49,AN49:AU49,AW49:BD49)</f>
        <v>0</v>
      </c>
      <c r="S49" s="35">
        <f>+GETPIVOTDATA("XBT4",'binhtrung (2016)'!$A$3,"MA_HT","TON","MA_QH","CQP")</f>
        <v>0</v>
      </c>
      <c r="T49" s="35">
        <f>+GETPIVOTDATA("XBT4",'binhtrung (2016)'!$A$3,"MA_HT","TON","MA_QH","CAN")</f>
        <v>0</v>
      </c>
      <c r="U49" s="35">
        <f>+GETPIVOTDATA("XBT4",'binhtrung (2016)'!$A$3,"MA_HT","TON","MA_QH","SKK")</f>
        <v>0</v>
      </c>
      <c r="V49" s="35">
        <f>+GETPIVOTDATA("XBT4",'binhtrung (2016)'!$A$3,"MA_HT","TON","MA_QH","SKT")</f>
        <v>0</v>
      </c>
      <c r="W49" s="35">
        <f>+GETPIVOTDATA("XBT4",'binhtrung (2016)'!$A$3,"MA_HT","TON","MA_QH","SKN")</f>
        <v>0</v>
      </c>
      <c r="X49" s="35">
        <f>+GETPIVOTDATA("XBT4",'binhtrung (2016)'!$A$3,"MA_HT","TON","MA_QH","TMD")</f>
        <v>0</v>
      </c>
      <c r="Y49" s="35">
        <f>+GETPIVOTDATA("XBT4",'binhtrung (2016)'!$A$3,"MA_HT","TON","MA_QH","SKC")</f>
        <v>0</v>
      </c>
      <c r="Z49" s="35">
        <f>+GETPIVOTDATA("XBT4",'binhtrung (2016)'!$A$3,"MA_HT","TON","MA_QH","SKS")</f>
        <v>0</v>
      </c>
      <c r="AA49" s="64">
        <f t="shared" si="21"/>
        <v>0</v>
      </c>
      <c r="AB49" s="35">
        <f>+GETPIVOTDATA("XBT4",'binhtrung (2016)'!$A$3,"MA_HT","TON","MA_QH","DGT")</f>
        <v>0</v>
      </c>
      <c r="AC49" s="35">
        <f>+GETPIVOTDATA("XBT4",'binhtrung (2016)'!$A$3,"MA_HT","TON","MA_QH","DTL")</f>
        <v>0</v>
      </c>
      <c r="AD49" s="35">
        <f>+GETPIVOTDATA("XBT4",'binhtrung (2016)'!$A$3,"MA_HT","TON","MA_QH","DNL")</f>
        <v>0</v>
      </c>
      <c r="AE49" s="35">
        <f>+GETPIVOTDATA("XBT4",'binhtrung (2016)'!$A$3,"MA_HT","TON","MA_QH","DBV")</f>
        <v>0</v>
      </c>
      <c r="AF49" s="35">
        <f>+GETPIVOTDATA("XBT4",'binhtrung (2016)'!$A$3,"MA_HT","TON","MA_QH","DVH")</f>
        <v>0</v>
      </c>
      <c r="AG49" s="35">
        <f>+GETPIVOTDATA("XBT4",'binhtrung (2016)'!$A$3,"MA_HT","TON","MA_QH","DYT")</f>
        <v>0</v>
      </c>
      <c r="AH49" s="35">
        <f>+GETPIVOTDATA("XBT4",'binhtrung (2016)'!$A$3,"MA_HT","TON","MA_QH","DGD")</f>
        <v>0</v>
      </c>
      <c r="AI49" s="35">
        <f>+GETPIVOTDATA("XBT4",'binhtrung (2016)'!$A$3,"MA_HT","TON","MA_QH","DTT")</f>
        <v>0</v>
      </c>
      <c r="AJ49" s="35">
        <f>+GETPIVOTDATA("XBT4",'binhtrung (2016)'!$A$3,"MA_HT","TON","MA_QH","NCK")</f>
        <v>0</v>
      </c>
      <c r="AK49" s="35">
        <f>+GETPIVOTDATA("XBT4",'binhtrung (2016)'!$A$3,"MA_HT","TON","MA_QH","DXH")</f>
        <v>0</v>
      </c>
      <c r="AL49" s="35">
        <f>+GETPIVOTDATA("XBT4",'binhtrung (2016)'!$A$3,"MA_HT","TON","MA_QH","DCH")</f>
        <v>0</v>
      </c>
      <c r="AM49" s="35">
        <f>+GETPIVOTDATA("XBT4",'binhtrung (2016)'!$A$3,"MA_HT","TON","MA_QH","DKG")</f>
        <v>0</v>
      </c>
      <c r="AN49" s="35">
        <f>+GETPIVOTDATA("XBT4",'binhtrung (2016)'!$A$3,"MA_HT","TON","MA_QH","DDT")</f>
        <v>0</v>
      </c>
      <c r="AO49" s="35">
        <f>+GETPIVOTDATA("XBT4",'binhtrung (2016)'!$A$3,"MA_HT","TON","MA_QH","DDL")</f>
        <v>0</v>
      </c>
      <c r="AP49" s="35">
        <f>+GETPIVOTDATA("XBT4",'binhtrung (2016)'!$A$3,"MA_HT","TON","MA_QH","DRA")</f>
        <v>0</v>
      </c>
      <c r="AQ49" s="35">
        <f>+GETPIVOTDATA("XBT4",'binhtrung (2016)'!$A$3,"MA_HT","TON","MA_QH","ONT")</f>
        <v>0</v>
      </c>
      <c r="AR49" s="35">
        <f>+GETPIVOTDATA("XBT4",'binhtrung (2016)'!$A$3,"MA_HT","TON","MA_QH","ODT")</f>
        <v>0</v>
      </c>
      <c r="AS49" s="35">
        <f>+GETPIVOTDATA("XBT4",'binhtrung (2016)'!$A$3,"MA_HT","TON","MA_QH","TSC")</f>
        <v>0</v>
      </c>
      <c r="AT49" s="35">
        <f>+GETPIVOTDATA("XBT4",'binhtrung (2016)'!$A$3,"MA_HT","TON","MA_QH","DTS")</f>
        <v>0</v>
      </c>
      <c r="AU49" s="35">
        <f>+GETPIVOTDATA("XBT4",'binhtrung (2016)'!$A$3,"MA_HT","TON","MA_QH","DNG")</f>
        <v>0</v>
      </c>
      <c r="AV49" s="99" t="e">
        <f>$D49-$BF49</f>
        <v>#REF!</v>
      </c>
      <c r="AW49" s="35">
        <f>+GETPIVOTDATA("XBT4",'binhtrung (2016)'!$A$3,"MA_HT","TON","MA_QH","NTD")</f>
        <v>0</v>
      </c>
      <c r="AX49" s="35">
        <f>+GETPIVOTDATA("XBT4",'binhtrung (2016)'!$A$3,"MA_HT","TON","MA_QH","SKX")</f>
        <v>0</v>
      </c>
      <c r="AY49" s="35">
        <f>+GETPIVOTDATA("XBT4",'binhtrung (2016)'!$A$3,"MA_HT","TON","MA_QH","DSH")</f>
        <v>0</v>
      </c>
      <c r="AZ49" s="35">
        <f>+GETPIVOTDATA("XBT4",'binhtrung (2016)'!$A$3,"MA_HT","TON","MA_QH","DKV")</f>
        <v>0</v>
      </c>
      <c r="BA49" s="140">
        <f>+GETPIVOTDATA("XBT4",'binhtrung (2016)'!$A$3,"MA_HT","TON","MA_QH","TIN")</f>
        <v>0</v>
      </c>
      <c r="BB49" s="74">
        <f>+GETPIVOTDATA("XBT4",'binhtrung (2016)'!$A$3,"MA_HT","TON","MA_QH","SON")</f>
        <v>0</v>
      </c>
      <c r="BC49" s="74">
        <f>+GETPIVOTDATA("XBT4",'binhtrung (2016)'!$A$3,"MA_HT","TON","MA_QH","MNC")</f>
        <v>0</v>
      </c>
      <c r="BD49" s="35">
        <f>+GETPIVOTDATA("XBT4",'binhtrung (2016)'!$A$3,"MA_HT","TON","MA_QH","PNK")</f>
        <v>0</v>
      </c>
      <c r="BE49" s="58">
        <f>+GETPIVOTDATA("XBT4",'binhtrung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+GETPIVOTDATA("XBT4",'binhtrung (2016)'!$A$3,"MA_HT","NTD","MA_QH","LUC")</f>
        <v>0</v>
      </c>
      <c r="H50" s="35">
        <f>+GETPIVOTDATA("XBT4",'binhtrung (2016)'!$A$3,"MA_HT","NTD","MA_QH","LUK")</f>
        <v>0</v>
      </c>
      <c r="I50" s="35">
        <f>+GETPIVOTDATA("XBT4",'binhtrung (2016)'!$A$3,"MA_HT","NTD","MA_QH","LUN")</f>
        <v>0</v>
      </c>
      <c r="J50" s="35">
        <f>+GETPIVOTDATA("XBT4",'binhtrung (2016)'!$A$3,"MA_HT","NTD","MA_QH","HNK")</f>
        <v>0</v>
      </c>
      <c r="K50" s="35">
        <f>+GETPIVOTDATA("XBT4",'binhtrung (2016)'!$A$3,"MA_HT","NTD","MA_QH","CLN")</f>
        <v>0</v>
      </c>
      <c r="L50" s="35">
        <f>+GETPIVOTDATA("XBT4",'binhtrung (2016)'!$A$3,"MA_HT","NTD","MA_QH","RSX")</f>
        <v>0</v>
      </c>
      <c r="M50" s="35">
        <f>+GETPIVOTDATA("XBT4",'binhtrung (2016)'!$A$3,"MA_HT","NTD","MA_QH","RPH")</f>
        <v>0</v>
      </c>
      <c r="N50" s="35">
        <f>+GETPIVOTDATA("XBT4",'binhtrung (2016)'!$A$3,"MA_HT","NTD","MA_QH","RDD")</f>
        <v>0</v>
      </c>
      <c r="O50" s="35">
        <f>+GETPIVOTDATA("XBT4",'binhtrung (2016)'!$A$3,"MA_HT","NTD","MA_QH","NTS")</f>
        <v>0</v>
      </c>
      <c r="P50" s="35">
        <f>+GETPIVOTDATA("XBT4",'binhtrung (2016)'!$A$3,"MA_HT","NTD","MA_QH","LMU")</f>
        <v>0</v>
      </c>
      <c r="Q50" s="35">
        <f>+GETPIVOTDATA("XBT4",'binhtrung (2016)'!$A$3,"MA_HT","NTD","MA_QH","NKH")</f>
        <v>0</v>
      </c>
      <c r="R50" s="106">
        <f>SUM(S50:AA50,AN50:AV50,AX50:BD50)</f>
        <v>0</v>
      </c>
      <c r="S50" s="35">
        <f>+GETPIVOTDATA("XBT4",'binhtrung (2016)'!$A$3,"MA_HT","NTD","MA_QH","CQP")</f>
        <v>0</v>
      </c>
      <c r="T50" s="35">
        <f>+GETPIVOTDATA("XBT4",'binhtrung (2016)'!$A$3,"MA_HT","NTD","MA_QH","CAN")</f>
        <v>0</v>
      </c>
      <c r="U50" s="35">
        <f>+GETPIVOTDATA("XBT4",'binhtrung (2016)'!$A$3,"MA_HT","NTD","MA_QH","SKK")</f>
        <v>0</v>
      </c>
      <c r="V50" s="35">
        <f>+GETPIVOTDATA("XBT4",'binhtrung (2016)'!$A$3,"MA_HT","NTD","MA_QH","SKT")</f>
        <v>0</v>
      </c>
      <c r="W50" s="35">
        <f>+GETPIVOTDATA("XBT4",'binhtrung (2016)'!$A$3,"MA_HT","NTD","MA_QH","SKN")</f>
        <v>0</v>
      </c>
      <c r="X50" s="35">
        <f>+GETPIVOTDATA("XBT4",'binhtrung (2016)'!$A$3,"MA_HT","NTD","MA_QH","TMD")</f>
        <v>0</v>
      </c>
      <c r="Y50" s="35">
        <f>+GETPIVOTDATA("XBT4",'binhtrung (2016)'!$A$3,"MA_HT","NTD","MA_QH","SKC")</f>
        <v>0</v>
      </c>
      <c r="Z50" s="35">
        <f>+GETPIVOTDATA("XBT4",'binhtrung (2016)'!$A$3,"MA_HT","NTD","MA_QH","SKS")</f>
        <v>0</v>
      </c>
      <c r="AA50" s="64">
        <f t="shared" si="21"/>
        <v>0</v>
      </c>
      <c r="AB50" s="35">
        <f>+GETPIVOTDATA("XBT4",'binhtrung (2016)'!$A$3,"MA_HT","NTD","MA_QH","DGT")</f>
        <v>0</v>
      </c>
      <c r="AC50" s="35">
        <f>+GETPIVOTDATA("XBT4",'binhtrung (2016)'!$A$3,"MA_HT","NTD","MA_QH","DTL")</f>
        <v>0</v>
      </c>
      <c r="AD50" s="35">
        <f>+GETPIVOTDATA("XBT4",'binhtrung (2016)'!$A$3,"MA_HT","NTD","MA_QH","DNL")</f>
        <v>0</v>
      </c>
      <c r="AE50" s="35">
        <f>+GETPIVOTDATA("XBT4",'binhtrung (2016)'!$A$3,"MA_HT","NTD","MA_QH","DBV")</f>
        <v>0</v>
      </c>
      <c r="AF50" s="35">
        <f>+GETPIVOTDATA("XBT4",'binhtrung (2016)'!$A$3,"MA_HT","NTD","MA_QH","DVH")</f>
        <v>0</v>
      </c>
      <c r="AG50" s="35">
        <f>+GETPIVOTDATA("XBT4",'binhtrung (2016)'!$A$3,"MA_HT","NTD","MA_QH","DYT")</f>
        <v>0</v>
      </c>
      <c r="AH50" s="35">
        <f>+GETPIVOTDATA("XBT4",'binhtrung (2016)'!$A$3,"MA_HT","NTD","MA_QH","DGD")</f>
        <v>0</v>
      </c>
      <c r="AI50" s="35">
        <f>+GETPIVOTDATA("XBT4",'binhtrung (2016)'!$A$3,"MA_HT","NTD","MA_QH","DTT")</f>
        <v>0</v>
      </c>
      <c r="AJ50" s="35">
        <f>+GETPIVOTDATA("XBT4",'binhtrung (2016)'!$A$3,"MA_HT","NTD","MA_QH","NCK")</f>
        <v>0</v>
      </c>
      <c r="AK50" s="35">
        <f>+GETPIVOTDATA("XBT4",'binhtrung (2016)'!$A$3,"MA_HT","NTD","MA_QH","DXH")</f>
        <v>0</v>
      </c>
      <c r="AL50" s="35">
        <f>+GETPIVOTDATA("XBT4",'binhtrung (2016)'!$A$3,"MA_HT","NTD","MA_QH","DCH")</f>
        <v>0</v>
      </c>
      <c r="AM50" s="35">
        <f>+GETPIVOTDATA("XBT4",'binhtrung (2016)'!$A$3,"MA_HT","NTD","MA_QH","DKG")</f>
        <v>0</v>
      </c>
      <c r="AN50" s="35">
        <f>+GETPIVOTDATA("XBT4",'binhtrung (2016)'!$A$3,"MA_HT","NTD","MA_QH","DDT")</f>
        <v>0</v>
      </c>
      <c r="AO50" s="35">
        <f>+GETPIVOTDATA("XBT4",'binhtrung (2016)'!$A$3,"MA_HT","NTD","MA_QH","DDL")</f>
        <v>0</v>
      </c>
      <c r="AP50" s="35">
        <f>+GETPIVOTDATA("XBT4",'binhtrung (2016)'!$A$3,"MA_HT","NTD","MA_QH","DRA")</f>
        <v>0</v>
      </c>
      <c r="AQ50" s="35">
        <f>+GETPIVOTDATA("XBT4",'binhtrung (2016)'!$A$3,"MA_HT","NTD","MA_QH","ONT")</f>
        <v>0</v>
      </c>
      <c r="AR50" s="35">
        <f>+GETPIVOTDATA("XBT4",'binhtrung (2016)'!$A$3,"MA_HT","NTD","MA_QH","ODT")</f>
        <v>0</v>
      </c>
      <c r="AS50" s="35">
        <f>+GETPIVOTDATA("XBT4",'binhtrung (2016)'!$A$3,"MA_HT","NTD","MA_QH","TSC")</f>
        <v>0</v>
      </c>
      <c r="AT50" s="35">
        <f>+GETPIVOTDATA("XBT4",'binhtrung (2016)'!$A$3,"MA_HT","NTD","MA_QH","DTS")</f>
        <v>0</v>
      </c>
      <c r="AU50" s="35">
        <f>+GETPIVOTDATA("XBT4",'binhtrung (2016)'!$A$3,"MA_HT","NTD","MA_QH","DNG")</f>
        <v>0</v>
      </c>
      <c r="AV50" s="35">
        <f>+GETPIVOTDATA("XBT4",'binhtrung (2016)'!$A$3,"MA_HT","NTD","MA_QH","TON")</f>
        <v>0</v>
      </c>
      <c r="AW50" s="99" t="e">
        <f>$D50-$BF50</f>
        <v>#REF!</v>
      </c>
      <c r="AX50" s="35">
        <f>+GETPIVOTDATA("XBT4",'binhtrung (2016)'!$A$3,"MA_HT","NTD","MA_QH","SKX")</f>
        <v>0</v>
      </c>
      <c r="AY50" s="35">
        <f>+GETPIVOTDATA("XBT4",'binhtrung (2016)'!$A$3,"MA_HT","NTD","MA_QH","DSH")</f>
        <v>0</v>
      </c>
      <c r="AZ50" s="35">
        <f>+GETPIVOTDATA("XBT4",'binhtrung (2016)'!$A$3,"MA_HT","NTD","MA_QH","DKV")</f>
        <v>0</v>
      </c>
      <c r="BA50" s="140">
        <f>+GETPIVOTDATA("XBT4",'binhtrung (2016)'!$A$3,"MA_HT","NTD","MA_QH","TIN")</f>
        <v>0</v>
      </c>
      <c r="BB50" s="74">
        <f>+GETPIVOTDATA("XBT4",'binhtrung (2016)'!$A$3,"MA_HT","NTD","MA_QH","SON")</f>
        <v>0</v>
      </c>
      <c r="BC50" s="74">
        <f>+GETPIVOTDATA("XBT4",'binhtrung (2016)'!$A$3,"MA_HT","NTD","MA_QH","MNC")</f>
        <v>0</v>
      </c>
      <c r="BD50" s="35">
        <f>+GETPIVOTDATA("XBT4",'binhtrung (2016)'!$A$3,"MA_HT","NTD","MA_QH","PNK")</f>
        <v>0</v>
      </c>
      <c r="BE50" s="58">
        <f>+GETPIVOTDATA("XBT4",'binhtrung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+GETPIVOTDATA("XBT4",'binhtrung (2016)'!$A$3,"MA_HT","SKX","MA_QH","LUC")</f>
        <v>0</v>
      </c>
      <c r="H51" s="35">
        <f>+GETPIVOTDATA("XBT4",'binhtrung (2016)'!$A$3,"MA_HT","SKX","MA_QH","LUK")</f>
        <v>0</v>
      </c>
      <c r="I51" s="35">
        <f>+GETPIVOTDATA("XBT4",'binhtrung (2016)'!$A$3,"MA_HT","SKX","MA_QH","LUN")</f>
        <v>0</v>
      </c>
      <c r="J51" s="35">
        <f>+GETPIVOTDATA("XBT4",'binhtrung (2016)'!$A$3,"MA_HT","SKX","MA_QH","HNK")</f>
        <v>0</v>
      </c>
      <c r="K51" s="35">
        <f>+GETPIVOTDATA("XBT4",'binhtrung (2016)'!$A$3,"MA_HT","SKX","MA_QH","CLN")</f>
        <v>0</v>
      </c>
      <c r="L51" s="35">
        <f>+GETPIVOTDATA("XBT4",'binhtrung (2016)'!$A$3,"MA_HT","SKX","MA_QH","RSX")</f>
        <v>0</v>
      </c>
      <c r="M51" s="35">
        <f>+GETPIVOTDATA("XBT4",'binhtrung (2016)'!$A$3,"MA_HT","SKX","MA_QH","RPH")</f>
        <v>0</v>
      </c>
      <c r="N51" s="35">
        <f>+GETPIVOTDATA("XBT4",'binhtrung (2016)'!$A$3,"MA_HT","SKX","MA_QH","RDD")</f>
        <v>0</v>
      </c>
      <c r="O51" s="35">
        <f>+GETPIVOTDATA("XBT4",'binhtrung (2016)'!$A$3,"MA_HT","SKX","MA_QH","NTS")</f>
        <v>0</v>
      </c>
      <c r="P51" s="35">
        <f>+GETPIVOTDATA("XBT4",'binhtrung (2016)'!$A$3,"MA_HT","SKX","MA_QH","LMU")</f>
        <v>0</v>
      </c>
      <c r="Q51" s="35">
        <f>+GETPIVOTDATA("XBT4",'binhtrung (2016)'!$A$3,"MA_HT","SKX","MA_QH","NKH")</f>
        <v>0</v>
      </c>
      <c r="R51" s="106">
        <f>SUM(S51:AA51,AN51:AW51,AY51:BD51)</f>
        <v>0</v>
      </c>
      <c r="S51" s="35">
        <f>+GETPIVOTDATA("XBT4",'binhtrung (2016)'!$A$3,"MA_HT","SKX","MA_QH","CQP")</f>
        <v>0</v>
      </c>
      <c r="T51" s="35">
        <f>+GETPIVOTDATA("XBT4",'binhtrung (2016)'!$A$3,"MA_HT","SKX","MA_QH","CAN")</f>
        <v>0</v>
      </c>
      <c r="U51" s="35">
        <f>+GETPIVOTDATA("XBT4",'binhtrung (2016)'!$A$3,"MA_HT","SKX","MA_QH","SKK")</f>
        <v>0</v>
      </c>
      <c r="V51" s="35">
        <f>+GETPIVOTDATA("XBT4",'binhtrung (2016)'!$A$3,"MA_HT","SKX","MA_QH","SKT")</f>
        <v>0</v>
      </c>
      <c r="W51" s="35">
        <f>+GETPIVOTDATA("XBT4",'binhtrung (2016)'!$A$3,"MA_HT","SKX","MA_QH","SKN")</f>
        <v>0</v>
      </c>
      <c r="X51" s="35">
        <f>+GETPIVOTDATA("XBT4",'binhtrung (2016)'!$A$3,"MA_HT","SKX","MA_QH","TMD")</f>
        <v>0</v>
      </c>
      <c r="Y51" s="35">
        <f>+GETPIVOTDATA("XBT4",'binhtrung (2016)'!$A$3,"MA_HT","SKX","MA_QH","SKC")</f>
        <v>0</v>
      </c>
      <c r="Z51" s="35">
        <f>+GETPIVOTDATA("XBT4",'binhtrung (2016)'!$A$3,"MA_HT","SKX","MA_QH","SKS")</f>
        <v>0</v>
      </c>
      <c r="AA51" s="64">
        <f t="shared" si="21"/>
        <v>0</v>
      </c>
      <c r="AB51" s="35">
        <f>+GETPIVOTDATA("XBT4",'binhtrung (2016)'!$A$3,"MA_HT","SKX","MA_QH","DGT")</f>
        <v>0</v>
      </c>
      <c r="AC51" s="35">
        <f>+GETPIVOTDATA("XBT4",'binhtrung (2016)'!$A$3,"MA_HT","SKX","MA_QH","DTL")</f>
        <v>0</v>
      </c>
      <c r="AD51" s="35">
        <f>+GETPIVOTDATA("XBT4",'binhtrung (2016)'!$A$3,"MA_HT","SKX","MA_QH","DNL")</f>
        <v>0</v>
      </c>
      <c r="AE51" s="35">
        <f>+GETPIVOTDATA("XBT4",'binhtrung (2016)'!$A$3,"MA_HT","SKX","MA_QH","DBV")</f>
        <v>0</v>
      </c>
      <c r="AF51" s="35">
        <f>+GETPIVOTDATA("XBT4",'binhtrung (2016)'!$A$3,"MA_HT","SKX","MA_QH","DVH")</f>
        <v>0</v>
      </c>
      <c r="AG51" s="35">
        <f>+GETPIVOTDATA("XBT4",'binhtrung (2016)'!$A$3,"MA_HT","SKX","MA_QH","DYT")</f>
        <v>0</v>
      </c>
      <c r="AH51" s="35">
        <f>+GETPIVOTDATA("XBT4",'binhtrung (2016)'!$A$3,"MA_HT","SKX","MA_QH","DGD")</f>
        <v>0</v>
      </c>
      <c r="AI51" s="35">
        <f>+GETPIVOTDATA("XBT4",'binhtrung (2016)'!$A$3,"MA_HT","SKX","MA_QH","DTT")</f>
        <v>0</v>
      </c>
      <c r="AJ51" s="35">
        <f>+GETPIVOTDATA("XBT4",'binhtrung (2016)'!$A$3,"MA_HT","SKX","MA_QH","NCK")</f>
        <v>0</v>
      </c>
      <c r="AK51" s="35">
        <f>+GETPIVOTDATA("XBT4",'binhtrung (2016)'!$A$3,"MA_HT","SKX","MA_QH","DXH")</f>
        <v>0</v>
      </c>
      <c r="AL51" s="35">
        <f>+GETPIVOTDATA("XBT4",'binhtrung (2016)'!$A$3,"MA_HT","SKX","MA_QH","DCH")</f>
        <v>0</v>
      </c>
      <c r="AM51" s="35">
        <f>+GETPIVOTDATA("XBT4",'binhtrung (2016)'!$A$3,"MA_HT","SKX","MA_QH","DKG")</f>
        <v>0</v>
      </c>
      <c r="AN51" s="35">
        <f>+GETPIVOTDATA("XBT4",'binhtrung (2016)'!$A$3,"MA_HT","SKX","MA_QH","DDT")</f>
        <v>0</v>
      </c>
      <c r="AO51" s="35">
        <f>+GETPIVOTDATA("XBT4",'binhtrung (2016)'!$A$3,"MA_HT","SKX","MA_QH","DDL")</f>
        <v>0</v>
      </c>
      <c r="AP51" s="35">
        <f>+GETPIVOTDATA("XBT4",'binhtrung (2016)'!$A$3,"MA_HT","SKX","MA_QH","DRA")</f>
        <v>0</v>
      </c>
      <c r="AQ51" s="35">
        <f>+GETPIVOTDATA("XBT4",'binhtrung (2016)'!$A$3,"MA_HT","SKX","MA_QH","ONT")</f>
        <v>0</v>
      </c>
      <c r="AR51" s="35">
        <f>+GETPIVOTDATA("XBT4",'binhtrung (2016)'!$A$3,"MA_HT","SKX","MA_QH","ODT")</f>
        <v>0</v>
      </c>
      <c r="AS51" s="35">
        <f>+GETPIVOTDATA("XBT4",'binhtrung (2016)'!$A$3,"MA_HT","SKX","MA_QH","TSC")</f>
        <v>0</v>
      </c>
      <c r="AT51" s="35">
        <f>+GETPIVOTDATA("XBT4",'binhtrung (2016)'!$A$3,"MA_HT","SKX","MA_QH","DTS")</f>
        <v>0</v>
      </c>
      <c r="AU51" s="35">
        <f>+GETPIVOTDATA("XBT4",'binhtrung (2016)'!$A$3,"MA_HT","SKX","MA_QH","DNG")</f>
        <v>0</v>
      </c>
      <c r="AV51" s="35">
        <f>+GETPIVOTDATA("XBT4",'binhtrung (2016)'!$A$3,"MA_HT","SKX","MA_QH","TON")</f>
        <v>0</v>
      </c>
      <c r="AW51" s="35">
        <f>+GETPIVOTDATA("XBT4",'binhtrung (2016)'!$A$3,"MA_HT","SKX","MA_QH","NTD")</f>
        <v>0</v>
      </c>
      <c r="AX51" s="99" t="e">
        <f>$D51-$BF51</f>
        <v>#REF!</v>
      </c>
      <c r="AY51" s="35">
        <f>+GETPIVOTDATA("XBT4",'binhtrung (2016)'!$A$3,"MA_HT","SKX","MA_QH","DSH")</f>
        <v>0</v>
      </c>
      <c r="AZ51" s="35">
        <f>+GETPIVOTDATA("XBT4",'binhtrung (2016)'!$A$3,"MA_HT","SKX","MA_QH","DKV")</f>
        <v>0</v>
      </c>
      <c r="BA51" s="140">
        <f>+GETPIVOTDATA("XBT4",'binhtrung (2016)'!$A$3,"MA_HT","SKX","MA_QH","TIN")</f>
        <v>0</v>
      </c>
      <c r="BB51" s="74">
        <f>+GETPIVOTDATA("XBT4",'binhtrung (2016)'!$A$3,"MA_HT","SKX","MA_QH","SON")</f>
        <v>0</v>
      </c>
      <c r="BC51" s="74">
        <f>+GETPIVOTDATA("XBT4",'binhtrung (2016)'!$A$3,"MA_HT","SKX","MA_QH","MNC")</f>
        <v>0</v>
      </c>
      <c r="BD51" s="35">
        <f>+GETPIVOTDATA("XBT4",'binhtrung (2016)'!$A$3,"MA_HT","SKX","MA_QH","PNK")</f>
        <v>0</v>
      </c>
      <c r="BE51" s="58">
        <f>+GETPIVOTDATA("XBT4",'binhtrung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+GETPIVOTDATA("XBT4",'binhtrung (2016)'!$A$3,"MA_HT","DSH","MA_QH","LUC")</f>
        <v>0</v>
      </c>
      <c r="H52" s="35">
        <f>+GETPIVOTDATA("XBT4",'binhtrung (2016)'!$A$3,"MA_HT","DSH","MA_QH","LUK")</f>
        <v>0</v>
      </c>
      <c r="I52" s="35">
        <f>+GETPIVOTDATA("XBT4",'binhtrung (2016)'!$A$3,"MA_HT","DSH","MA_QH","LUN")</f>
        <v>0</v>
      </c>
      <c r="J52" s="35">
        <f>+GETPIVOTDATA("XBT4",'binhtrung (2016)'!$A$3,"MA_HT","DSH","MA_QH","HNK")</f>
        <v>0</v>
      </c>
      <c r="K52" s="35">
        <f>+GETPIVOTDATA("XBT4",'binhtrung (2016)'!$A$3,"MA_HT","DSH","MA_QH","CLN")</f>
        <v>0</v>
      </c>
      <c r="L52" s="35">
        <f>+GETPIVOTDATA("XBT4",'binhtrung (2016)'!$A$3,"MA_HT","DSH","MA_QH","RSX")</f>
        <v>0</v>
      </c>
      <c r="M52" s="35">
        <f>+GETPIVOTDATA("XBT4",'binhtrung (2016)'!$A$3,"MA_HT","DSH","MA_QH","RPH")</f>
        <v>0</v>
      </c>
      <c r="N52" s="35">
        <f>+GETPIVOTDATA("XBT4",'binhtrung (2016)'!$A$3,"MA_HT","DSH","MA_QH","RDD")</f>
        <v>0</v>
      </c>
      <c r="O52" s="35">
        <f>+GETPIVOTDATA("XBT4",'binhtrung (2016)'!$A$3,"MA_HT","DSH","MA_QH","NTS")</f>
        <v>0</v>
      </c>
      <c r="P52" s="35">
        <f>+GETPIVOTDATA("XBT4",'binhtrung (2016)'!$A$3,"MA_HT","DSH","MA_QH","LMU")</f>
        <v>0</v>
      </c>
      <c r="Q52" s="35">
        <f>+GETPIVOTDATA("XBT4",'binhtrung (2016)'!$A$3,"MA_HT","DSH","MA_QH","NKH")</f>
        <v>0</v>
      </c>
      <c r="R52" s="106">
        <f>SUM(S52:AA52,AN52:AX52,AZ52:BD52)</f>
        <v>0</v>
      </c>
      <c r="S52" s="35">
        <f>+GETPIVOTDATA("XBT4",'binhtrung (2016)'!$A$3,"MA_HT","DSH","MA_QH","CQP")</f>
        <v>0</v>
      </c>
      <c r="T52" s="35">
        <f>+GETPIVOTDATA("XBT4",'binhtrung (2016)'!$A$3,"MA_HT","DSH","MA_QH","CAN")</f>
        <v>0</v>
      </c>
      <c r="U52" s="35">
        <f>+GETPIVOTDATA("XBT4",'binhtrung (2016)'!$A$3,"MA_HT","DSH","MA_QH","SKK")</f>
        <v>0</v>
      </c>
      <c r="V52" s="35">
        <f>+GETPIVOTDATA("XBT4",'binhtrung (2016)'!$A$3,"MA_HT","DSH","MA_QH","SKT")</f>
        <v>0</v>
      </c>
      <c r="W52" s="35">
        <f>+GETPIVOTDATA("XBT4",'binhtrung (2016)'!$A$3,"MA_HT","DSH","MA_QH","SKN")</f>
        <v>0</v>
      </c>
      <c r="X52" s="35">
        <f>+GETPIVOTDATA("XBT4",'binhtrung (2016)'!$A$3,"MA_HT","DSH","MA_QH","TMD")</f>
        <v>0</v>
      </c>
      <c r="Y52" s="35">
        <f>+GETPIVOTDATA("XBT4",'binhtrung (2016)'!$A$3,"MA_HT","DSH","MA_QH","SKC")</f>
        <v>0</v>
      </c>
      <c r="Z52" s="35">
        <f>+GETPIVOTDATA("XBT4",'binhtrung (2016)'!$A$3,"MA_HT","DSH","MA_QH","SKS")</f>
        <v>0</v>
      </c>
      <c r="AA52" s="64">
        <f t="shared" si="21"/>
        <v>0</v>
      </c>
      <c r="AB52" s="35">
        <f>+GETPIVOTDATA("XBT4",'binhtrung (2016)'!$A$3,"MA_HT","DSH","MA_QH","DGT")</f>
        <v>0</v>
      </c>
      <c r="AC52" s="35">
        <f>+GETPIVOTDATA("XBT4",'binhtrung (2016)'!$A$3,"MA_HT","DSH","MA_QH","DTL")</f>
        <v>0</v>
      </c>
      <c r="AD52" s="35">
        <f>+GETPIVOTDATA("XBT4",'binhtrung (2016)'!$A$3,"MA_HT","DSH","MA_QH","DNL")</f>
        <v>0</v>
      </c>
      <c r="AE52" s="35">
        <f>+GETPIVOTDATA("XBT4",'binhtrung (2016)'!$A$3,"MA_HT","DSH","MA_QH","DBV")</f>
        <v>0</v>
      </c>
      <c r="AF52" s="35">
        <f>+GETPIVOTDATA("XBT4",'binhtrung (2016)'!$A$3,"MA_HT","DSH","MA_QH","DVH")</f>
        <v>0</v>
      </c>
      <c r="AG52" s="35">
        <f>+GETPIVOTDATA("XBT4",'binhtrung (2016)'!$A$3,"MA_HT","DSH","MA_QH","DYT")</f>
        <v>0</v>
      </c>
      <c r="AH52" s="35">
        <f>+GETPIVOTDATA("XBT4",'binhtrung (2016)'!$A$3,"MA_HT","DSH","MA_QH","DGD")</f>
        <v>0</v>
      </c>
      <c r="AI52" s="35">
        <f>+GETPIVOTDATA("XBT4",'binhtrung (2016)'!$A$3,"MA_HT","DSH","MA_QH","DTT")</f>
        <v>0</v>
      </c>
      <c r="AJ52" s="35">
        <f>+GETPIVOTDATA("XBT4",'binhtrung (2016)'!$A$3,"MA_HT","DSH","MA_QH","NCK")</f>
        <v>0</v>
      </c>
      <c r="AK52" s="35">
        <f>+GETPIVOTDATA("XBT4",'binhtrung (2016)'!$A$3,"MA_HT","DSH","MA_QH","DXH")</f>
        <v>0</v>
      </c>
      <c r="AL52" s="35">
        <f>+GETPIVOTDATA("XBT4",'binhtrung (2016)'!$A$3,"MA_HT","DSH","MA_QH","DCH")</f>
        <v>0</v>
      </c>
      <c r="AM52" s="35">
        <f>+GETPIVOTDATA("XBT4",'binhtrung (2016)'!$A$3,"MA_HT","DSH","MA_QH","DKG")</f>
        <v>0</v>
      </c>
      <c r="AN52" s="35">
        <f>+GETPIVOTDATA("XBT4",'binhtrung (2016)'!$A$3,"MA_HT","DSH","MA_QH","DDT")</f>
        <v>0</v>
      </c>
      <c r="AO52" s="35">
        <f>+GETPIVOTDATA("XBT4",'binhtrung (2016)'!$A$3,"MA_HT","DSH","MA_QH","DDL")</f>
        <v>0</v>
      </c>
      <c r="AP52" s="35">
        <f>+GETPIVOTDATA("XBT4",'binhtrung (2016)'!$A$3,"MA_HT","DSH","MA_QH","DRA")</f>
        <v>0</v>
      </c>
      <c r="AQ52" s="35">
        <f>+GETPIVOTDATA("XBT4",'binhtrung (2016)'!$A$3,"MA_HT","DSH","MA_QH","ONT")</f>
        <v>0</v>
      </c>
      <c r="AR52" s="35">
        <f>+GETPIVOTDATA("XBT4",'binhtrung (2016)'!$A$3,"MA_HT","DSH","MA_QH","ODT")</f>
        <v>0</v>
      </c>
      <c r="AS52" s="35">
        <f>+GETPIVOTDATA("XBT4",'binhtrung (2016)'!$A$3,"MA_HT","DSH","MA_QH","TSC")</f>
        <v>0</v>
      </c>
      <c r="AT52" s="35">
        <f>+GETPIVOTDATA("XBT4",'binhtrung (2016)'!$A$3,"MA_HT","DSH","MA_QH","DTS")</f>
        <v>0</v>
      </c>
      <c r="AU52" s="35">
        <f>+GETPIVOTDATA("XBT4",'binhtrung (2016)'!$A$3,"MA_HT","DSH","MA_QH","DNG")</f>
        <v>0</v>
      </c>
      <c r="AV52" s="35">
        <f>+GETPIVOTDATA("XBT4",'binhtrung (2016)'!$A$3,"MA_HT","DSH","MA_QH","TON")</f>
        <v>0</v>
      </c>
      <c r="AW52" s="35">
        <f>+GETPIVOTDATA("XBT4",'binhtrung (2016)'!$A$3,"MA_HT","DSH","MA_QH","NTD")</f>
        <v>0</v>
      </c>
      <c r="AX52" s="35">
        <f>+GETPIVOTDATA("XBT4",'binhtrung (2016)'!$A$3,"MA_HT","DSH","MA_QH","SKX")</f>
        <v>0</v>
      </c>
      <c r="AY52" s="99" t="e">
        <f>$D52-$BF52</f>
        <v>#REF!</v>
      </c>
      <c r="AZ52" s="35">
        <f>+GETPIVOTDATA("XBT4",'binhtrung (2016)'!$A$3,"MA_HT","DSH","MA_QH","DKV")</f>
        <v>0</v>
      </c>
      <c r="BA52" s="140">
        <f>+GETPIVOTDATA("XBT4",'binhtrung (2016)'!$A$3,"MA_HT","DSH","MA_QH","TIN")</f>
        <v>0</v>
      </c>
      <c r="BB52" s="74">
        <f>+GETPIVOTDATA("XBT4",'binhtrung (2016)'!$A$3,"MA_HT","DSH","MA_QH","SON")</f>
        <v>0</v>
      </c>
      <c r="BC52" s="74">
        <f>+GETPIVOTDATA("XBT4",'binhtrung (2016)'!$A$3,"MA_HT","DSH","MA_QH","MNC")</f>
        <v>0</v>
      </c>
      <c r="BD52" s="35">
        <f>+GETPIVOTDATA("XBT4",'binhtrung (2016)'!$A$3,"MA_HT","DSH","MA_QH","PNK")</f>
        <v>0</v>
      </c>
      <c r="BE52" s="58">
        <f>+GETPIVOTDATA("XBT4",'binhtrung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+GETPIVOTDATA("XBT4",'binhtrung (2016)'!$A$3,"MA_HT","DKV","MA_QH","LUC")</f>
        <v>0</v>
      </c>
      <c r="H53" s="35">
        <f>+GETPIVOTDATA("XBT4",'binhtrung (2016)'!$A$3,"MA_HT","DKV","MA_QH","LUK")</f>
        <v>0</v>
      </c>
      <c r="I53" s="35">
        <f>+GETPIVOTDATA("XBT4",'binhtrung (2016)'!$A$3,"MA_HT","DKV","MA_QH","LUN")</f>
        <v>0</v>
      </c>
      <c r="J53" s="35">
        <f>+GETPIVOTDATA("XBT4",'binhtrung (2016)'!$A$3,"MA_HT","DKV","MA_QH","HNK")</f>
        <v>0</v>
      </c>
      <c r="K53" s="35">
        <f>+GETPIVOTDATA("XBT4",'binhtrung (2016)'!$A$3,"MA_HT","DKV","MA_QH","CLN")</f>
        <v>0</v>
      </c>
      <c r="L53" s="35">
        <f>+GETPIVOTDATA("XBT4",'binhtrung (2016)'!$A$3,"MA_HT","DKV","MA_QH","RSX")</f>
        <v>0</v>
      </c>
      <c r="M53" s="35">
        <f>+GETPIVOTDATA("XBT4",'binhtrung (2016)'!$A$3,"MA_HT","DKV","MA_QH","RPH")</f>
        <v>0</v>
      </c>
      <c r="N53" s="35">
        <f>+GETPIVOTDATA("XBT4",'binhtrung (2016)'!$A$3,"MA_HT","DKV","MA_QH","RDD")</f>
        <v>0</v>
      </c>
      <c r="O53" s="35">
        <f>+GETPIVOTDATA("XBT4",'binhtrung (2016)'!$A$3,"MA_HT","DKV","MA_QH","NTS")</f>
        <v>0</v>
      </c>
      <c r="P53" s="35">
        <f>+GETPIVOTDATA("XBT4",'binhtrung (2016)'!$A$3,"MA_HT","DKV","MA_QH","LMU")</f>
        <v>0</v>
      </c>
      <c r="Q53" s="35">
        <f>+GETPIVOTDATA("XBT4",'binhtrung (2016)'!$A$3,"MA_HT","DKV","MA_QH","NKH")</f>
        <v>0</v>
      </c>
      <c r="R53" s="106">
        <f>SUM(S53:AA53,AN53:AY53,BB53:BD53)</f>
        <v>0</v>
      </c>
      <c r="S53" s="35">
        <f>+GETPIVOTDATA("XBT4",'binhtrung (2016)'!$A$3,"MA_HT","DKV","MA_QH","CQP")</f>
        <v>0</v>
      </c>
      <c r="T53" s="35">
        <f>+GETPIVOTDATA("XBT4",'binhtrung (2016)'!$A$3,"MA_HT","DKV","MA_QH","CAN")</f>
        <v>0</v>
      </c>
      <c r="U53" s="35">
        <f>+GETPIVOTDATA("XBT4",'binhtrung (2016)'!$A$3,"MA_HT","DKV","MA_QH","SKK")</f>
        <v>0</v>
      </c>
      <c r="V53" s="35">
        <f>+GETPIVOTDATA("XBT4",'binhtrung (2016)'!$A$3,"MA_HT","DKV","MA_QH","SKT")</f>
        <v>0</v>
      </c>
      <c r="W53" s="35">
        <f>+GETPIVOTDATA("XBT4",'binhtrung (2016)'!$A$3,"MA_HT","DKV","MA_QH","SKN")</f>
        <v>0</v>
      </c>
      <c r="X53" s="35">
        <f>+GETPIVOTDATA("XBT4",'binhtrung (2016)'!$A$3,"MA_HT","DKV","MA_QH","TMD")</f>
        <v>0</v>
      </c>
      <c r="Y53" s="35">
        <f>+GETPIVOTDATA("XBT4",'binhtrung (2016)'!$A$3,"MA_HT","DKV","MA_QH","SKC")</f>
        <v>0</v>
      </c>
      <c r="Z53" s="35">
        <f>+GETPIVOTDATA("XBT4",'binhtrung (2016)'!$A$3,"MA_HT","DKV","MA_QH","SKS")</f>
        <v>0</v>
      </c>
      <c r="AA53" s="64">
        <f t="shared" si="21"/>
        <v>0</v>
      </c>
      <c r="AB53" s="35">
        <f>+GETPIVOTDATA("XBT4",'binhtrung (2016)'!$A$3,"MA_HT","DKV","MA_QH","DGT")</f>
        <v>0</v>
      </c>
      <c r="AC53" s="35">
        <f>+GETPIVOTDATA("XBT4",'binhtrung (2016)'!$A$3,"MA_HT","DKV","MA_QH","DTL")</f>
        <v>0</v>
      </c>
      <c r="AD53" s="35">
        <f>+GETPIVOTDATA("XBT4",'binhtrung (2016)'!$A$3,"MA_HT","DKV","MA_QH","DNL")</f>
        <v>0</v>
      </c>
      <c r="AE53" s="35">
        <f>+GETPIVOTDATA("XBT4",'binhtrung (2016)'!$A$3,"MA_HT","DKV","MA_QH","DBV")</f>
        <v>0</v>
      </c>
      <c r="AF53" s="35">
        <f>+GETPIVOTDATA("XBT4",'binhtrung (2016)'!$A$3,"MA_HT","DKV","MA_QH","DVH")</f>
        <v>0</v>
      </c>
      <c r="AG53" s="35">
        <f>+GETPIVOTDATA("XBT4",'binhtrung (2016)'!$A$3,"MA_HT","DKV","MA_QH","DYT")</f>
        <v>0</v>
      </c>
      <c r="AH53" s="35">
        <f>+GETPIVOTDATA("XBT4",'binhtrung (2016)'!$A$3,"MA_HT","DKV","MA_QH","DGD")</f>
        <v>0</v>
      </c>
      <c r="AI53" s="35">
        <f>+GETPIVOTDATA("XBT4",'binhtrung (2016)'!$A$3,"MA_HT","DKV","MA_QH","DTT")</f>
        <v>0</v>
      </c>
      <c r="AJ53" s="35">
        <f>+GETPIVOTDATA("XBT4",'binhtrung (2016)'!$A$3,"MA_HT","DKV","MA_QH","NCK")</f>
        <v>0</v>
      </c>
      <c r="AK53" s="35">
        <f>+GETPIVOTDATA("XBT4",'binhtrung (2016)'!$A$3,"MA_HT","DKV","MA_QH","DXH")</f>
        <v>0</v>
      </c>
      <c r="AL53" s="35">
        <f>+GETPIVOTDATA("XBT4",'binhtrung (2016)'!$A$3,"MA_HT","DKV","MA_QH","DCH")</f>
        <v>0</v>
      </c>
      <c r="AM53" s="35">
        <f>+GETPIVOTDATA("XBT4",'binhtrung (2016)'!$A$3,"MA_HT","DKV","MA_QH","DKG")</f>
        <v>0</v>
      </c>
      <c r="AN53" s="35">
        <f>+GETPIVOTDATA("XBT4",'binhtrung (2016)'!$A$3,"MA_HT","DKV","MA_QH","DDT")</f>
        <v>0</v>
      </c>
      <c r="AO53" s="35">
        <f>+GETPIVOTDATA("XBT4",'binhtrung (2016)'!$A$3,"MA_HT","DKV","MA_QH","DDL")</f>
        <v>0</v>
      </c>
      <c r="AP53" s="35">
        <f>+GETPIVOTDATA("XBT4",'binhtrung (2016)'!$A$3,"MA_HT","DKV","MA_QH","DRA")</f>
        <v>0</v>
      </c>
      <c r="AQ53" s="35">
        <f>+GETPIVOTDATA("XBT4",'binhtrung (2016)'!$A$3,"MA_HT","DKV","MA_QH","ONT")</f>
        <v>0</v>
      </c>
      <c r="AR53" s="35">
        <f>+GETPIVOTDATA("XBT4",'binhtrung (2016)'!$A$3,"MA_HT","DKV","MA_QH","ODT")</f>
        <v>0</v>
      </c>
      <c r="AS53" s="35">
        <f>+GETPIVOTDATA("XBT4",'binhtrung (2016)'!$A$3,"MA_HT","DKV","MA_QH","TSC")</f>
        <v>0</v>
      </c>
      <c r="AT53" s="35">
        <f>+GETPIVOTDATA("XBT4",'binhtrung (2016)'!$A$3,"MA_HT","DKV","MA_QH","DTS")</f>
        <v>0</v>
      </c>
      <c r="AU53" s="35">
        <f>+GETPIVOTDATA("XBT4",'binhtrung (2016)'!$A$3,"MA_HT","DKV","MA_QH","DNG")</f>
        <v>0</v>
      </c>
      <c r="AV53" s="35">
        <f>+GETPIVOTDATA("XBT4",'binhtrung (2016)'!$A$3,"MA_HT","DKV","MA_QH","TON")</f>
        <v>0</v>
      </c>
      <c r="AW53" s="35">
        <f>+GETPIVOTDATA("XBT4",'binhtrung (2016)'!$A$3,"MA_HT","DKV","MA_QH","NTD")</f>
        <v>0</v>
      </c>
      <c r="AX53" s="35">
        <f>+GETPIVOTDATA("XBT4",'binhtrung (2016)'!$A$3,"MA_HT","DKV","MA_QH","SKX")</f>
        <v>0</v>
      </c>
      <c r="AY53" s="35">
        <f>+GETPIVOTDATA("XBT4",'binhtrung (2016)'!$A$3,"MA_HT","DKV","MA_QH","DSH")</f>
        <v>0</v>
      </c>
      <c r="AZ53" s="99" t="e">
        <f>$D53-$BF53</f>
        <v>#REF!</v>
      </c>
      <c r="BA53" s="140">
        <f>+GETPIVOTDATA("XBT4",'binhtrung (2016)'!$A$3,"MA_HT","DKV","MA_QH","TIN")</f>
        <v>0</v>
      </c>
      <c r="BB53" s="74">
        <f>+GETPIVOTDATA("XBT4",'binhtrung (2016)'!$A$3,"MA_HT","DKV","MA_QH","SON")</f>
        <v>0</v>
      </c>
      <c r="BC53" s="74">
        <f>+GETPIVOTDATA("XBT4",'binhtrung (2016)'!$A$3,"MA_HT","DKV","MA_QH","MNC")</f>
        <v>0</v>
      </c>
      <c r="BD53" s="35">
        <f>+GETPIVOTDATA("XBT4",'binhtrung (2016)'!$A$3,"MA_HT","DKV","MA_QH","PNK")</f>
        <v>0</v>
      </c>
      <c r="BE53" s="58">
        <f>+GETPIVOTDATA("XBT4",'binhtrung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+GETPIVOTDATA("XBT4",'binhtrung (2016)'!$A$3,"MA_HT","TIN","MA_QH","LUC")</f>
        <v>0</v>
      </c>
      <c r="H54" s="35">
        <f>+GETPIVOTDATA("XBT4",'binhtrung (2016)'!$A$3,"MA_HT","TIN","MA_QH","LUK")</f>
        <v>0</v>
      </c>
      <c r="I54" s="35">
        <f>+GETPIVOTDATA("XBT4",'binhtrung (2016)'!$A$3,"MA_HT","TIN","MA_QH","LUN")</f>
        <v>0</v>
      </c>
      <c r="J54" s="35">
        <f>+GETPIVOTDATA("XBT4",'binhtrung (2016)'!$A$3,"MA_HT","TIN","MA_QH","HNK")</f>
        <v>0</v>
      </c>
      <c r="K54" s="35">
        <f>+GETPIVOTDATA("XBT4",'binhtrung (2016)'!$A$3,"MA_HT","TIN","MA_QH","CLN")</f>
        <v>0</v>
      </c>
      <c r="L54" s="35">
        <f>+GETPIVOTDATA("XBT4",'binhtrung (2016)'!$A$3,"MA_HT","TIN","MA_QH","RSX")</f>
        <v>0</v>
      </c>
      <c r="M54" s="35">
        <f>+GETPIVOTDATA("XBT4",'binhtrung (2016)'!$A$3,"MA_HT","TIN","MA_QH","RPH")</f>
        <v>0</v>
      </c>
      <c r="N54" s="35">
        <f>+GETPIVOTDATA("XBT4",'binhtrung (2016)'!$A$3,"MA_HT","TIN","MA_QH","RDD")</f>
        <v>0</v>
      </c>
      <c r="O54" s="35">
        <f>+GETPIVOTDATA("XBT4",'binhtrung (2016)'!$A$3,"MA_HT","TIN","MA_QH","NTS")</f>
        <v>0</v>
      </c>
      <c r="P54" s="35">
        <f>+GETPIVOTDATA("XBT4",'binhtrung (2016)'!$A$3,"MA_HT","TIN","MA_QH","LMU")</f>
        <v>0</v>
      </c>
      <c r="Q54" s="35">
        <f>+GETPIVOTDATA("XBT4",'binhtrung (2016)'!$A$3,"MA_HT","TIN","MA_QH","NKH")</f>
        <v>0</v>
      </c>
      <c r="R54" s="106">
        <f>SUM(S54:AA54,AN54:AZ54,BB54:BD54)</f>
        <v>0</v>
      </c>
      <c r="S54" s="35">
        <f>+GETPIVOTDATA("XBT4",'binhtrung (2016)'!$A$3,"MA_HT","TIN","MA_QH","CQP")</f>
        <v>0</v>
      </c>
      <c r="T54" s="35">
        <f>+GETPIVOTDATA("XBT4",'binhtrung (2016)'!$A$3,"MA_HT","TIN","MA_QH","CAN")</f>
        <v>0</v>
      </c>
      <c r="U54" s="35">
        <f>+GETPIVOTDATA("XBT4",'binhtrung (2016)'!$A$3,"MA_HT","TIN","MA_QH","SKK")</f>
        <v>0</v>
      </c>
      <c r="V54" s="35">
        <f>+GETPIVOTDATA("XBT4",'binhtrung (2016)'!$A$3,"MA_HT","TIN","MA_QH","SKT")</f>
        <v>0</v>
      </c>
      <c r="W54" s="35">
        <f>+GETPIVOTDATA("XBT4",'binhtrung (2016)'!$A$3,"MA_HT","TIN","MA_QH","SKN")</f>
        <v>0</v>
      </c>
      <c r="X54" s="35">
        <f>+GETPIVOTDATA("XBT4",'binhtrung (2016)'!$A$3,"MA_HT","TIN","MA_QH","TMD")</f>
        <v>0</v>
      </c>
      <c r="Y54" s="35">
        <f>+GETPIVOTDATA("XBT4",'binhtrung (2016)'!$A$3,"MA_HT","TIN","MA_QH","SKC")</f>
        <v>0</v>
      </c>
      <c r="Z54" s="35">
        <f>+GETPIVOTDATA("XBT4",'binhtrung (2016)'!$A$3,"MA_HT","TIN","MA_QH","SKS")</f>
        <v>0</v>
      </c>
      <c r="AA54" s="64">
        <f t="shared" si="21"/>
        <v>0</v>
      </c>
      <c r="AB54" s="35">
        <f>+GETPIVOTDATA("XBT4",'binhtrung (2016)'!$A$3,"MA_HT","TIN","MA_QH","DGT")</f>
        <v>0</v>
      </c>
      <c r="AC54" s="35">
        <f>+GETPIVOTDATA("XBT4",'binhtrung (2016)'!$A$3,"MA_HT","TIN","MA_QH","DTL")</f>
        <v>0</v>
      </c>
      <c r="AD54" s="35">
        <f>+GETPIVOTDATA("XBT4",'binhtrung (2016)'!$A$3,"MA_HT","TIN","MA_QH","DNL")</f>
        <v>0</v>
      </c>
      <c r="AE54" s="35">
        <f>+GETPIVOTDATA("XBT4",'binhtrung (2016)'!$A$3,"MA_HT","TIN","MA_QH","DBV")</f>
        <v>0</v>
      </c>
      <c r="AF54" s="35">
        <f>+GETPIVOTDATA("XBT4",'binhtrung (2016)'!$A$3,"MA_HT","TIN","MA_QH","DVH")</f>
        <v>0</v>
      </c>
      <c r="AG54" s="35">
        <f>+GETPIVOTDATA("XBT4",'binhtrung (2016)'!$A$3,"MA_HT","TIN","MA_QH","DYT")</f>
        <v>0</v>
      </c>
      <c r="AH54" s="35">
        <f>+GETPIVOTDATA("XBT4",'binhtrung (2016)'!$A$3,"MA_HT","TIN","MA_QH","DGD")</f>
        <v>0</v>
      </c>
      <c r="AI54" s="35">
        <f>+GETPIVOTDATA("XBT4",'binhtrung (2016)'!$A$3,"MA_HT","TIN","MA_QH","DTT")</f>
        <v>0</v>
      </c>
      <c r="AJ54" s="35">
        <f>+GETPIVOTDATA("XBT4",'binhtrung (2016)'!$A$3,"MA_HT","TIN","MA_QH","NCK")</f>
        <v>0</v>
      </c>
      <c r="AK54" s="35">
        <f>+GETPIVOTDATA("XBT4",'binhtrung (2016)'!$A$3,"MA_HT","TIN","MA_QH","DXH")</f>
        <v>0</v>
      </c>
      <c r="AL54" s="35">
        <f>+GETPIVOTDATA("XBT4",'binhtrung (2016)'!$A$3,"MA_HT","TIN","MA_QH","DCH")</f>
        <v>0</v>
      </c>
      <c r="AM54" s="35">
        <f>+GETPIVOTDATA("XBT4",'binhtrung (2016)'!$A$3,"MA_HT","TIN","MA_QH","DKG")</f>
        <v>0</v>
      </c>
      <c r="AN54" s="35">
        <f>+GETPIVOTDATA("XBT4",'binhtrung (2016)'!$A$3,"MA_HT","TIN","MA_QH","DDT")</f>
        <v>0</v>
      </c>
      <c r="AO54" s="35">
        <f>+GETPIVOTDATA("XBT4",'binhtrung (2016)'!$A$3,"MA_HT","TIN","MA_QH","DDL")</f>
        <v>0</v>
      </c>
      <c r="AP54" s="35">
        <f>+GETPIVOTDATA("XBT4",'binhtrung (2016)'!$A$3,"MA_HT","TIN","MA_QH","DRA")</f>
        <v>0</v>
      </c>
      <c r="AQ54" s="35">
        <f>+GETPIVOTDATA("XBT4",'binhtrung (2016)'!$A$3,"MA_HT","TIN","MA_QH","ONT")</f>
        <v>0</v>
      </c>
      <c r="AR54" s="35">
        <f>+GETPIVOTDATA("XBT4",'binhtrung (2016)'!$A$3,"MA_HT","TIN","MA_QH","ODT")</f>
        <v>0</v>
      </c>
      <c r="AS54" s="35">
        <f>+GETPIVOTDATA("XBT4",'binhtrung (2016)'!$A$3,"MA_HT","TIN","MA_QH","TSC")</f>
        <v>0</v>
      </c>
      <c r="AT54" s="35">
        <f>+GETPIVOTDATA("XBT4",'binhtrung (2016)'!$A$3,"MA_HT","TIN","MA_QH","DTS")</f>
        <v>0</v>
      </c>
      <c r="AU54" s="35">
        <f>+GETPIVOTDATA("XBT4",'binhtrung (2016)'!$A$3,"MA_HT","TIN","MA_QH","DNG")</f>
        <v>0</v>
      </c>
      <c r="AV54" s="35">
        <f>+GETPIVOTDATA("XBT4",'binhtrung (2016)'!$A$3,"MA_HT","TIN","MA_QH","TON")</f>
        <v>0</v>
      </c>
      <c r="AW54" s="35">
        <f>+GETPIVOTDATA("XBT4",'binhtrung (2016)'!$A$3,"MA_HT","TIN","MA_QH","NTD")</f>
        <v>0</v>
      </c>
      <c r="AX54" s="35">
        <f>+GETPIVOTDATA("XBT4",'binhtrung (2016)'!$A$3,"MA_HT","TIN","MA_QH","SKX")</f>
        <v>0</v>
      </c>
      <c r="AY54" s="35">
        <f>+GETPIVOTDATA("XBT4",'binhtrung (2016)'!$A$3,"MA_HT","TIN","MA_QH","DSH")</f>
        <v>0</v>
      </c>
      <c r="AZ54" s="35">
        <f>+GETPIVOTDATA("XBT4",'binhtrung (2016)'!$A$3,"MA_HT","TIN","MA_QH","DKV")</f>
        <v>0</v>
      </c>
      <c r="BA54" s="99" t="e">
        <f>$D54-$BF54</f>
        <v>#REF!</v>
      </c>
      <c r="BB54" s="35">
        <f>+GETPIVOTDATA("XBT4",'binhtrung (2016)'!$A$3,"MA_HT","TIN","MA_QH","SON")</f>
        <v>0</v>
      </c>
      <c r="BC54" s="35">
        <f>+GETPIVOTDATA("XBT4",'binhtrung (2016)'!$A$3,"MA_HT","TIN","MA_QH","MNC")</f>
        <v>0</v>
      </c>
      <c r="BD54" s="35">
        <f>+GETPIVOTDATA("XBT4",'binhtrung (2016)'!$A$3,"MA_HT","TIN","MA_QH","PNK")</f>
        <v>0</v>
      </c>
      <c r="BE54" s="58">
        <f>+GETPIVOTDATA("XBT4",'binhtrung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+GETPIVOTDATA("XBT4",'binhtrung (2016)'!$A$3,"MA_HT","SON","MA_QH","LUC")</f>
        <v>0</v>
      </c>
      <c r="H55" s="35">
        <f>+GETPIVOTDATA("XBT4",'binhtrung (2016)'!$A$3,"MA_HT","SON","MA_QH","LUK")</f>
        <v>0</v>
      </c>
      <c r="I55" s="35">
        <f>+GETPIVOTDATA("XBT4",'binhtrung (2016)'!$A$3,"MA_HT","SON","MA_QH","LUN")</f>
        <v>0</v>
      </c>
      <c r="J55" s="35">
        <f>+GETPIVOTDATA("XBT4",'binhtrung (2016)'!$A$3,"MA_HT","SON","MA_QH","HNK")</f>
        <v>0</v>
      </c>
      <c r="K55" s="35">
        <f>+GETPIVOTDATA("XBT4",'binhtrung (2016)'!$A$3,"MA_HT","SON","MA_QH","CLN")</f>
        <v>0</v>
      </c>
      <c r="L55" s="35">
        <f>+GETPIVOTDATA("XBT4",'binhtrung (2016)'!$A$3,"MA_HT","SON","MA_QH","RSX")</f>
        <v>0</v>
      </c>
      <c r="M55" s="35">
        <f>+GETPIVOTDATA("XBT4",'binhtrung (2016)'!$A$3,"MA_HT","SON","MA_QH","RPH")</f>
        <v>0</v>
      </c>
      <c r="N55" s="35">
        <f>+GETPIVOTDATA("XBT4",'binhtrung (2016)'!$A$3,"MA_HT","SON","MA_QH","RDD")</f>
        <v>0</v>
      </c>
      <c r="O55" s="35">
        <f>+GETPIVOTDATA("XBT4",'binhtrung (2016)'!$A$3,"MA_HT","SON","MA_QH","NTS")</f>
        <v>0</v>
      </c>
      <c r="P55" s="35">
        <f>+GETPIVOTDATA("XBT4",'binhtrung (2016)'!$A$3,"MA_HT","SON","MA_QH","LMU")</f>
        <v>0</v>
      </c>
      <c r="Q55" s="35">
        <f>+GETPIVOTDATA("XBT4",'binhtrung (2016)'!$A$3,"MA_HT","SON","MA_QH","NKH")</f>
        <v>0</v>
      </c>
      <c r="R55" s="106">
        <f>SUM(S55:AA55,AN55:AZ55,BC55:BD55)</f>
        <v>0</v>
      </c>
      <c r="S55" s="35">
        <f>+GETPIVOTDATA("XBT4",'binhtrung (2016)'!$A$3,"MA_HT","SON","MA_QH","CQP")</f>
        <v>0</v>
      </c>
      <c r="T55" s="35">
        <f>+GETPIVOTDATA("XBT4",'binhtrung (2016)'!$A$3,"MA_HT","SON","MA_QH","CAN")</f>
        <v>0</v>
      </c>
      <c r="U55" s="35">
        <f>+GETPIVOTDATA("XBT4",'binhtrung (2016)'!$A$3,"MA_HT","SON","MA_QH","SKK")</f>
        <v>0</v>
      </c>
      <c r="V55" s="35">
        <f>+GETPIVOTDATA("XBT4",'binhtrung (2016)'!$A$3,"MA_HT","SON","MA_QH","SKT")</f>
        <v>0</v>
      </c>
      <c r="W55" s="35">
        <f>+GETPIVOTDATA("XBT4",'binhtrung (2016)'!$A$3,"MA_HT","SON","MA_QH","SKN")</f>
        <v>0</v>
      </c>
      <c r="X55" s="35">
        <f>+GETPIVOTDATA("XBT4",'binhtrung (2016)'!$A$3,"MA_HT","SON","MA_QH","TMD")</f>
        <v>0</v>
      </c>
      <c r="Y55" s="35">
        <f>+GETPIVOTDATA("XBT4",'binhtrung (2016)'!$A$3,"MA_HT","SON","MA_QH","SKC")</f>
        <v>0</v>
      </c>
      <c r="Z55" s="35">
        <f>+GETPIVOTDATA("XBT4",'binhtrung (2016)'!$A$3,"MA_HT","SON","MA_QH","SKS")</f>
        <v>0</v>
      </c>
      <c r="AA55" s="64">
        <f t="shared" si="21"/>
        <v>0</v>
      </c>
      <c r="AB55" s="35">
        <f>+GETPIVOTDATA("XBT4",'binhtrung (2016)'!$A$3,"MA_HT","SON","MA_QH","DGT")</f>
        <v>0</v>
      </c>
      <c r="AC55" s="35">
        <f>+GETPIVOTDATA("XBT4",'binhtrung (2016)'!$A$3,"MA_HT","SON","MA_QH","DTL")</f>
        <v>0</v>
      </c>
      <c r="AD55" s="35">
        <f>+GETPIVOTDATA("XBT4",'binhtrung (2016)'!$A$3,"MA_HT","SON","MA_QH","DNL")</f>
        <v>0</v>
      </c>
      <c r="AE55" s="35">
        <f>+GETPIVOTDATA("XBT4",'binhtrung (2016)'!$A$3,"MA_HT","SON","MA_QH","DBV")</f>
        <v>0</v>
      </c>
      <c r="AF55" s="35">
        <f>+GETPIVOTDATA("XBT4",'binhtrung (2016)'!$A$3,"MA_HT","SON","MA_QH","DVH")</f>
        <v>0</v>
      </c>
      <c r="AG55" s="35">
        <f>+GETPIVOTDATA("XBT4",'binhtrung (2016)'!$A$3,"MA_HT","SON","MA_QH","DYT")</f>
        <v>0</v>
      </c>
      <c r="AH55" s="35">
        <f>+GETPIVOTDATA("XBT4",'binhtrung (2016)'!$A$3,"MA_HT","SON","MA_QH","DGD")</f>
        <v>0</v>
      </c>
      <c r="AI55" s="35">
        <f>+GETPIVOTDATA("XBT4",'binhtrung (2016)'!$A$3,"MA_HT","SON","MA_QH","DTT")</f>
        <v>0</v>
      </c>
      <c r="AJ55" s="35">
        <f>+GETPIVOTDATA("XBT4",'binhtrung (2016)'!$A$3,"MA_HT","SON","MA_QH","NCK")</f>
        <v>0</v>
      </c>
      <c r="AK55" s="35">
        <f>+GETPIVOTDATA("XBT4",'binhtrung (2016)'!$A$3,"MA_HT","SON","MA_QH","DXH")</f>
        <v>0</v>
      </c>
      <c r="AL55" s="35">
        <f>+GETPIVOTDATA("XBT4",'binhtrung (2016)'!$A$3,"MA_HT","SON","MA_QH","DCH")</f>
        <v>0</v>
      </c>
      <c r="AM55" s="35">
        <f>+GETPIVOTDATA("XBT4",'binhtrung (2016)'!$A$3,"MA_HT","SON","MA_QH","DKG")</f>
        <v>0</v>
      </c>
      <c r="AN55" s="35">
        <f>+GETPIVOTDATA("XBT4",'binhtrung (2016)'!$A$3,"MA_HT","SON","MA_QH","DDT")</f>
        <v>0</v>
      </c>
      <c r="AO55" s="35">
        <f>+GETPIVOTDATA("XBT4",'binhtrung (2016)'!$A$3,"MA_HT","SON","MA_QH","DDL")</f>
        <v>0</v>
      </c>
      <c r="AP55" s="35">
        <f>+GETPIVOTDATA("XBT4",'binhtrung (2016)'!$A$3,"MA_HT","SON","MA_QH","DRA")</f>
        <v>0</v>
      </c>
      <c r="AQ55" s="35">
        <f>+GETPIVOTDATA("XBT4",'binhtrung (2016)'!$A$3,"MA_HT","SON","MA_QH","ONT")</f>
        <v>0</v>
      </c>
      <c r="AR55" s="35">
        <f>+GETPIVOTDATA("XBT4",'binhtrung (2016)'!$A$3,"MA_HT","SON","MA_QH","ODT")</f>
        <v>0</v>
      </c>
      <c r="AS55" s="35">
        <f>+GETPIVOTDATA("XBT4",'binhtrung (2016)'!$A$3,"MA_HT","SON","MA_QH","TSC")</f>
        <v>0</v>
      </c>
      <c r="AT55" s="35">
        <f>+GETPIVOTDATA("XBT4",'binhtrung (2016)'!$A$3,"MA_HT","SON","MA_QH","DTS")</f>
        <v>0</v>
      </c>
      <c r="AU55" s="35">
        <f>+GETPIVOTDATA("XBT4",'binhtrung (2016)'!$A$3,"MA_HT","SON","MA_QH","DNG")</f>
        <v>0</v>
      </c>
      <c r="AV55" s="35">
        <f>+GETPIVOTDATA("XBT4",'binhtrung (2016)'!$A$3,"MA_HT","SON","MA_QH","TON")</f>
        <v>0</v>
      </c>
      <c r="AW55" s="35">
        <f>+GETPIVOTDATA("XBT4",'binhtrung (2016)'!$A$3,"MA_HT","SON","MA_QH","NTD")</f>
        <v>0</v>
      </c>
      <c r="AX55" s="35">
        <f>+GETPIVOTDATA("XBT4",'binhtrung (2016)'!$A$3,"MA_HT","SON","MA_QH","SKX")</f>
        <v>0</v>
      </c>
      <c r="AY55" s="35">
        <f>+GETPIVOTDATA("XBT4",'binhtrung (2016)'!$A$3,"MA_HT","SON","MA_QH","DSH")</f>
        <v>0</v>
      </c>
      <c r="AZ55" s="35">
        <f>+GETPIVOTDATA("XBT4",'binhtrung (2016)'!$A$3,"MA_HT","SON","MA_QH","DKV")</f>
        <v>0</v>
      </c>
      <c r="BA55" s="140">
        <f>+GETPIVOTDATA("XBT4",'binhtrung (2016)'!$A$3,"MA_HT","SON","MA_QH","TIN")</f>
        <v>0</v>
      </c>
      <c r="BB55" s="99" t="e">
        <f>$D55-$BF55</f>
        <v>#REF!</v>
      </c>
      <c r="BC55" s="74">
        <f>+GETPIVOTDATA("XBT4",'binhtrung (2016)'!$A$3,"MA_HT","SON","MA_QH","MNC")</f>
        <v>0</v>
      </c>
      <c r="BD55" s="35">
        <f>+GETPIVOTDATA("XBT4",'binhtrung (2016)'!$A$3,"MA_HT","SON","MA_QH","PNK")</f>
        <v>0</v>
      </c>
      <c r="BE55" s="58">
        <f>+GETPIVOTDATA("XBT4",'binhtrung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+GETPIVOTDATA("XBT4",'binhtrung (2016)'!$A$3,"MA_HT","MNC","MA_QH","LUC")</f>
        <v>0</v>
      </c>
      <c r="H56" s="35">
        <f>+GETPIVOTDATA("XBT4",'binhtrung (2016)'!$A$3,"MA_HT","MNC","MA_QH","LUK")</f>
        <v>0</v>
      </c>
      <c r="I56" s="35">
        <f>+GETPIVOTDATA("XBT4",'binhtrung (2016)'!$A$3,"MA_HT","MNC","MA_QH","LUN")</f>
        <v>0</v>
      </c>
      <c r="J56" s="35">
        <f>+GETPIVOTDATA("XBT4",'binhtrung (2016)'!$A$3,"MA_HT","MNC","MA_QH","HNK")</f>
        <v>0</v>
      </c>
      <c r="K56" s="35">
        <f>+GETPIVOTDATA("XBT4",'binhtrung (2016)'!$A$3,"MA_HT","MNC","MA_QH","CLN")</f>
        <v>0</v>
      </c>
      <c r="L56" s="35">
        <f>+GETPIVOTDATA("XBT4",'binhtrung (2016)'!$A$3,"MA_HT","MNC","MA_QH","RSX")</f>
        <v>0</v>
      </c>
      <c r="M56" s="35">
        <f>+GETPIVOTDATA("XBT4",'binhtrung (2016)'!$A$3,"MA_HT","MNC","MA_QH","RPH")</f>
        <v>0</v>
      </c>
      <c r="N56" s="35">
        <f>+GETPIVOTDATA("XBT4",'binhtrung (2016)'!$A$3,"MA_HT","MNC","MA_QH","RDD")</f>
        <v>0</v>
      </c>
      <c r="O56" s="35">
        <f>+GETPIVOTDATA("XBT4",'binhtrung (2016)'!$A$3,"MA_HT","MNC","MA_QH","NTS")</f>
        <v>0</v>
      </c>
      <c r="P56" s="35">
        <f>+GETPIVOTDATA("XBT4",'binhtrung (2016)'!$A$3,"MA_HT","MNC","MA_QH","LMU")</f>
        <v>0</v>
      </c>
      <c r="Q56" s="35">
        <f>+GETPIVOTDATA("XBT4",'binhtrung (2016)'!$A$3,"MA_HT","MNC","MA_QH","NKH")</f>
        <v>0</v>
      </c>
      <c r="R56" s="106">
        <f>SUM(S56:AA56,AN56:BB56,BD56)</f>
        <v>0</v>
      </c>
      <c r="S56" s="35">
        <f>+GETPIVOTDATA("XBT4",'binhtrung (2016)'!$A$3,"MA_HT","MNC","MA_QH","CQP")</f>
        <v>0</v>
      </c>
      <c r="T56" s="35">
        <f>+GETPIVOTDATA("XBT4",'binhtrung (2016)'!$A$3,"MA_HT","MNC","MA_QH","CAN")</f>
        <v>0</v>
      </c>
      <c r="U56" s="35">
        <f>+GETPIVOTDATA("XBT4",'binhtrung (2016)'!$A$3,"MA_HT","MNC","MA_QH","SKK")</f>
        <v>0</v>
      </c>
      <c r="V56" s="35">
        <f>+GETPIVOTDATA("XBT4",'binhtrung (2016)'!$A$3,"MA_HT","MNC","MA_QH","SKT")</f>
        <v>0</v>
      </c>
      <c r="W56" s="35">
        <f>+GETPIVOTDATA("XBT4",'binhtrung (2016)'!$A$3,"MA_HT","MNC","MA_QH","SKN")</f>
        <v>0</v>
      </c>
      <c r="X56" s="35">
        <f>+GETPIVOTDATA("XBT4",'binhtrung (2016)'!$A$3,"MA_HT","MNC","MA_QH","TMD")</f>
        <v>0</v>
      </c>
      <c r="Y56" s="35">
        <f>+GETPIVOTDATA("XBT4",'binhtrung (2016)'!$A$3,"MA_HT","MNC","MA_QH","SKC")</f>
        <v>0</v>
      </c>
      <c r="Z56" s="35">
        <f>+GETPIVOTDATA("XBT4",'binhtrung (2016)'!$A$3,"MA_HT","MNC","MA_QH","SKS")</f>
        <v>0</v>
      </c>
      <c r="AA56" s="64">
        <f t="shared" si="21"/>
        <v>0</v>
      </c>
      <c r="AB56" s="35">
        <f>+GETPIVOTDATA("XBT4",'binhtrung (2016)'!$A$3,"MA_HT","MNC","MA_QH","DGT")</f>
        <v>0</v>
      </c>
      <c r="AC56" s="35">
        <f>+GETPIVOTDATA("XBT4",'binhtrung (2016)'!$A$3,"MA_HT","MNC","MA_QH","DTL")</f>
        <v>0</v>
      </c>
      <c r="AD56" s="35">
        <f>+GETPIVOTDATA("XBT4",'binhtrung (2016)'!$A$3,"MA_HT","MNC","MA_QH","DNL")</f>
        <v>0</v>
      </c>
      <c r="AE56" s="35">
        <f>+GETPIVOTDATA("XBT4",'binhtrung (2016)'!$A$3,"MA_HT","MNC","MA_QH","DBV")</f>
        <v>0</v>
      </c>
      <c r="AF56" s="35">
        <f>+GETPIVOTDATA("XBT4",'binhtrung (2016)'!$A$3,"MA_HT","MNC","MA_QH","DVH")</f>
        <v>0</v>
      </c>
      <c r="AG56" s="35">
        <f>+GETPIVOTDATA("XBT4",'binhtrung (2016)'!$A$3,"MA_HT","MNC","MA_QH","DYT")</f>
        <v>0</v>
      </c>
      <c r="AH56" s="35">
        <f>+GETPIVOTDATA("XBT4",'binhtrung (2016)'!$A$3,"MA_HT","MNC","MA_QH","DGD")</f>
        <v>0</v>
      </c>
      <c r="AI56" s="35">
        <f>+GETPIVOTDATA("XBT4",'binhtrung (2016)'!$A$3,"MA_HT","MNC","MA_QH","DTT")</f>
        <v>0</v>
      </c>
      <c r="AJ56" s="35">
        <f>+GETPIVOTDATA("XBT4",'binhtrung (2016)'!$A$3,"MA_HT","MNC","MA_QH","NCK")</f>
        <v>0</v>
      </c>
      <c r="AK56" s="35">
        <f>+GETPIVOTDATA("XBT4",'binhtrung (2016)'!$A$3,"MA_HT","MNC","MA_QH","DXH")</f>
        <v>0</v>
      </c>
      <c r="AL56" s="35">
        <f>+GETPIVOTDATA("XBT4",'binhtrung (2016)'!$A$3,"MA_HT","MNC","MA_QH","DCH")</f>
        <v>0</v>
      </c>
      <c r="AM56" s="35">
        <f>+GETPIVOTDATA("XBT4",'binhtrung (2016)'!$A$3,"MA_HT","MNC","MA_QH","DKG")</f>
        <v>0</v>
      </c>
      <c r="AN56" s="35">
        <f>+GETPIVOTDATA("XBT4",'binhtrung (2016)'!$A$3,"MA_HT","MNC","MA_QH","DDT")</f>
        <v>0</v>
      </c>
      <c r="AO56" s="35">
        <f>+GETPIVOTDATA("XBT4",'binhtrung (2016)'!$A$3,"MA_HT","MNC","MA_QH","DDL")</f>
        <v>0</v>
      </c>
      <c r="AP56" s="35">
        <f>+GETPIVOTDATA("XBT4",'binhtrung (2016)'!$A$3,"MA_HT","MNC","MA_QH","DRA")</f>
        <v>0</v>
      </c>
      <c r="AQ56" s="35">
        <f>+GETPIVOTDATA("XBT4",'binhtrung (2016)'!$A$3,"MA_HT","MNC","MA_QH","ONT")</f>
        <v>0</v>
      </c>
      <c r="AR56" s="35">
        <f>+GETPIVOTDATA("XBT4",'binhtrung (2016)'!$A$3,"MA_HT","MNC","MA_QH","ODT")</f>
        <v>0</v>
      </c>
      <c r="AS56" s="35">
        <f>+GETPIVOTDATA("XBT4",'binhtrung (2016)'!$A$3,"MA_HT","MNC","MA_QH","TSC")</f>
        <v>0</v>
      </c>
      <c r="AT56" s="35">
        <f>+GETPIVOTDATA("XBT4",'binhtrung (2016)'!$A$3,"MA_HT","MNC","MA_QH","DTS")</f>
        <v>0</v>
      </c>
      <c r="AU56" s="35">
        <f>+GETPIVOTDATA("XBT4",'binhtrung (2016)'!$A$3,"MA_HT","MNC","MA_QH","DNG")</f>
        <v>0</v>
      </c>
      <c r="AV56" s="35">
        <f>+GETPIVOTDATA("XBT4",'binhtrung (2016)'!$A$3,"MA_HT","MNC","MA_QH","TON")</f>
        <v>0</v>
      </c>
      <c r="AW56" s="35">
        <f>+GETPIVOTDATA("XBT4",'binhtrung (2016)'!$A$3,"MA_HT","MNC","MA_QH","NTD")</f>
        <v>0</v>
      </c>
      <c r="AX56" s="35">
        <f>+GETPIVOTDATA("XBT4",'binhtrung (2016)'!$A$3,"MA_HT","MNC","MA_QH","SKX")</f>
        <v>0</v>
      </c>
      <c r="AY56" s="35">
        <f>+GETPIVOTDATA("XBT4",'binhtrung (2016)'!$A$3,"MA_HT","MNC","MA_QH","DSH")</f>
        <v>0</v>
      </c>
      <c r="AZ56" s="35">
        <f>+GETPIVOTDATA("XBT4",'binhtrung (2016)'!$A$3,"MA_HT","MNC","MA_QH","DKV")</f>
        <v>0</v>
      </c>
      <c r="BA56" s="140">
        <f>+GETPIVOTDATA("XBT4",'binhtrung (2016)'!$A$3,"MA_HT","MNC","MA_QH","TIN")</f>
        <v>0</v>
      </c>
      <c r="BB56" s="74">
        <f>+GETPIVOTDATA("XBT4",'binhtrung (2016)'!$A$3,"MA_HT","MNC","MA_QH","SON")</f>
        <v>0</v>
      </c>
      <c r="BC56" s="99" t="e">
        <f>$D56-$BF56</f>
        <v>#REF!</v>
      </c>
      <c r="BD56" s="35">
        <f>+GETPIVOTDATA("XBT4",'binhtrung (2016)'!$A$3,"MA_HT","MNC","MA_QH","PNK")</f>
        <v>0</v>
      </c>
      <c r="BE56" s="58">
        <f>+GETPIVOTDATA("XBT4",'binhtrung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+GETPIVOTDATA("XBT4",'binhtrung (2016)'!$A$3,"MA_HT","PNK","MA_QH","LUC")</f>
        <v>0</v>
      </c>
      <c r="H57" s="35">
        <f>+GETPIVOTDATA("XBT4",'binhtrung (2016)'!$A$3,"MA_HT","PNK","MA_QH","LUK")</f>
        <v>0</v>
      </c>
      <c r="I57" s="35">
        <f>+GETPIVOTDATA("XBT4",'binhtrung (2016)'!$A$3,"MA_HT","PNK","MA_QH","LUN")</f>
        <v>0</v>
      </c>
      <c r="J57" s="35">
        <f>+GETPIVOTDATA("XBT4",'binhtrung (2016)'!$A$3,"MA_HT","PNK","MA_QH","HNK")</f>
        <v>0</v>
      </c>
      <c r="K57" s="35">
        <f>+GETPIVOTDATA("XBT4",'binhtrung (2016)'!$A$3,"MA_HT","PNK","MA_QH","CLN")</f>
        <v>0</v>
      </c>
      <c r="L57" s="35">
        <f>+GETPIVOTDATA("XBT4",'binhtrung (2016)'!$A$3,"MA_HT","PNK","MA_QH","RSX")</f>
        <v>0</v>
      </c>
      <c r="M57" s="35">
        <f>+GETPIVOTDATA("XBT4",'binhtrung (2016)'!$A$3,"MA_HT","PNK","MA_QH","RPH")</f>
        <v>0</v>
      </c>
      <c r="N57" s="35">
        <f>+GETPIVOTDATA("XBT4",'binhtrung (2016)'!$A$3,"MA_HT","PNK","MA_QH","RDD")</f>
        <v>0</v>
      </c>
      <c r="O57" s="35">
        <f>+GETPIVOTDATA("XBT4",'binhtrung (2016)'!$A$3,"MA_HT","PNK","MA_QH","NTS")</f>
        <v>0</v>
      </c>
      <c r="P57" s="35">
        <f>+GETPIVOTDATA("XBT4",'binhtrung (2016)'!$A$3,"MA_HT","PNK","MA_QH","LMU")</f>
        <v>0</v>
      </c>
      <c r="Q57" s="35">
        <f>+GETPIVOTDATA("XBT4",'binhtrung (2016)'!$A$3,"MA_HT","PNK","MA_QH","NKH")</f>
        <v>0</v>
      </c>
      <c r="R57" s="106">
        <f>SUM(S57:AA57,AN57:BC57)</f>
        <v>0</v>
      </c>
      <c r="S57" s="35">
        <f>+GETPIVOTDATA("XBT4",'binhtrung (2016)'!$A$3,"MA_HT","PNK","MA_QH","CQP")</f>
        <v>0</v>
      </c>
      <c r="T57" s="35">
        <f>+GETPIVOTDATA("XBT4",'binhtrung (2016)'!$A$3,"MA_HT","PNK","MA_QH","CAN")</f>
        <v>0</v>
      </c>
      <c r="U57" s="35">
        <f>+GETPIVOTDATA("XBT4",'binhtrung (2016)'!$A$3,"MA_HT","PNK","MA_QH","SKK")</f>
        <v>0</v>
      </c>
      <c r="V57" s="35">
        <f>+GETPIVOTDATA("XBT4",'binhtrung (2016)'!$A$3,"MA_HT","PNK","MA_QH","SKT")</f>
        <v>0</v>
      </c>
      <c r="W57" s="35">
        <f>+GETPIVOTDATA("XBT4",'binhtrung (2016)'!$A$3,"MA_HT","PNK","MA_QH","SKN")</f>
        <v>0</v>
      </c>
      <c r="X57" s="35">
        <f>+GETPIVOTDATA("XBT4",'binhtrung (2016)'!$A$3,"MA_HT","PNK","MA_QH","TMD")</f>
        <v>0</v>
      </c>
      <c r="Y57" s="35">
        <f>+GETPIVOTDATA("XBT4",'binhtrung (2016)'!$A$3,"MA_HT","PNK","MA_QH","SKC")</f>
        <v>0</v>
      </c>
      <c r="Z57" s="35">
        <f>+GETPIVOTDATA("XBT4",'binhtrung (2016)'!$A$3,"MA_HT","PNK","MA_QH","SKS")</f>
        <v>0</v>
      </c>
      <c r="AA57" s="64">
        <f t="shared" si="21"/>
        <v>0</v>
      </c>
      <c r="AB57" s="35">
        <f>+GETPIVOTDATA("XBT4",'binhtrung (2016)'!$A$3,"MA_HT","PNK","MA_QH","DGT")</f>
        <v>0</v>
      </c>
      <c r="AC57" s="35">
        <f>+GETPIVOTDATA("XBT4",'binhtrung (2016)'!$A$3,"MA_HT","PNK","MA_QH","DTL")</f>
        <v>0</v>
      </c>
      <c r="AD57" s="35">
        <f>+GETPIVOTDATA("XBT4",'binhtrung (2016)'!$A$3,"MA_HT","PNK","MA_QH","DNL")</f>
        <v>0</v>
      </c>
      <c r="AE57" s="35">
        <f>+GETPIVOTDATA("XBT4",'binhtrung (2016)'!$A$3,"MA_HT","PNK","MA_QH","DBV")</f>
        <v>0</v>
      </c>
      <c r="AF57" s="35">
        <f>+GETPIVOTDATA("XBT4",'binhtrung (2016)'!$A$3,"MA_HT","PNK","MA_QH","DVH")</f>
        <v>0</v>
      </c>
      <c r="AG57" s="35">
        <f>+GETPIVOTDATA("XBT4",'binhtrung (2016)'!$A$3,"MA_HT","PNK","MA_QH","DYT")</f>
        <v>0</v>
      </c>
      <c r="AH57" s="35">
        <f>+GETPIVOTDATA("XBT4",'binhtrung (2016)'!$A$3,"MA_HT","PNK","MA_QH","DGD")</f>
        <v>0</v>
      </c>
      <c r="AI57" s="35">
        <f>+GETPIVOTDATA("XBT4",'binhtrung (2016)'!$A$3,"MA_HT","PNK","MA_QH","DTT")</f>
        <v>0</v>
      </c>
      <c r="AJ57" s="35">
        <f>+GETPIVOTDATA("XBT4",'binhtrung (2016)'!$A$3,"MA_HT","PNK","MA_QH","NCK")</f>
        <v>0</v>
      </c>
      <c r="AK57" s="35">
        <f>+GETPIVOTDATA("XBT4",'binhtrung (2016)'!$A$3,"MA_HT","PNK","MA_QH","DXH")</f>
        <v>0</v>
      </c>
      <c r="AL57" s="35">
        <f>+GETPIVOTDATA("XBT4",'binhtrung (2016)'!$A$3,"MA_HT","PNK","MA_QH","DCH")</f>
        <v>0</v>
      </c>
      <c r="AM57" s="35">
        <f>+GETPIVOTDATA("XBT4",'binhtrung (2016)'!$A$3,"MA_HT","PNK","MA_QH","DKG")</f>
        <v>0</v>
      </c>
      <c r="AN57" s="35">
        <f>+GETPIVOTDATA("XBT4",'binhtrung (2016)'!$A$3,"MA_HT","PNK","MA_QH","DDT")</f>
        <v>0</v>
      </c>
      <c r="AO57" s="35">
        <f>+GETPIVOTDATA("XBT4",'binhtrung (2016)'!$A$3,"MA_HT","PNK","MA_QH","DDL")</f>
        <v>0</v>
      </c>
      <c r="AP57" s="35">
        <f>+GETPIVOTDATA("XBT4",'binhtrung (2016)'!$A$3,"MA_HT","PNK","MA_QH","DRA")</f>
        <v>0</v>
      </c>
      <c r="AQ57" s="35">
        <f>+GETPIVOTDATA("XBT4",'binhtrung (2016)'!$A$3,"MA_HT","PNK","MA_QH","ONT")</f>
        <v>0</v>
      </c>
      <c r="AR57" s="35">
        <f>+GETPIVOTDATA("XBT4",'binhtrung (2016)'!$A$3,"MA_HT","PNK","MA_QH","ODT")</f>
        <v>0</v>
      </c>
      <c r="AS57" s="35">
        <f>+GETPIVOTDATA("XBT4",'binhtrung (2016)'!$A$3,"MA_HT","PNK","MA_QH","TSC")</f>
        <v>0</v>
      </c>
      <c r="AT57" s="35">
        <f>+GETPIVOTDATA("XBT4",'binhtrung (2016)'!$A$3,"MA_HT","PNK","MA_QH","DTS")</f>
        <v>0</v>
      </c>
      <c r="AU57" s="35">
        <f>+GETPIVOTDATA("XBT4",'binhtrung (2016)'!$A$3,"MA_HT","PNK","MA_QH","DNG")</f>
        <v>0</v>
      </c>
      <c r="AV57" s="35">
        <f>+GETPIVOTDATA("XBT4",'binhtrung (2016)'!$A$3,"MA_HT","PNK","MA_QH","TON")</f>
        <v>0</v>
      </c>
      <c r="AW57" s="35">
        <f>+GETPIVOTDATA("XBT4",'binhtrung (2016)'!$A$3,"MA_HT","PNK","MA_QH","NTD")</f>
        <v>0</v>
      </c>
      <c r="AX57" s="35">
        <f>+GETPIVOTDATA("XBT4",'binhtrung (2016)'!$A$3,"MA_HT","PNK","MA_QH","SKX")</f>
        <v>0</v>
      </c>
      <c r="AY57" s="35">
        <f>+GETPIVOTDATA("XBT4",'binhtrung (2016)'!$A$3,"MA_HT","PNK","MA_QH","DSH")</f>
        <v>0</v>
      </c>
      <c r="AZ57" s="35">
        <f>+GETPIVOTDATA("XBT4",'binhtrung (2016)'!$A$3,"MA_HT","PNK","MA_QH","DKV")</f>
        <v>0</v>
      </c>
      <c r="BA57" s="140">
        <f>+GETPIVOTDATA("XBT4",'binhtrung (2016)'!$A$3,"MA_HT","PNK","MA_QH","TIN")</f>
        <v>0</v>
      </c>
      <c r="BB57" s="74">
        <f>+GETPIVOTDATA("XBT4",'binhtrung (2016)'!$A$3,"MA_HT","PNK","MA_QH","SON")</f>
        <v>0</v>
      </c>
      <c r="BC57" s="74">
        <f>+GETPIVOTDATA("XBT4",'binhtrung (2016)'!$A$3,"MA_HT","PNK","MA_QH","MNC")</f>
        <v>0</v>
      </c>
      <c r="BD57" s="99" t="e">
        <f>$D57-$BF57</f>
        <v>#REF!</v>
      </c>
      <c r="BE57" s="58">
        <f>+GETPIVOTDATA("XBT4",'binhtrung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+GETPIVOTDATA("XBT4",'binhtrung (2016)'!$A$3,"MA_HT","CSD","MA_QH","LUC")</f>
        <v>0</v>
      </c>
      <c r="H58" s="58">
        <f>+GETPIVOTDATA("XBT4",'binhtrung (2016)'!$A$3,"MA_HT","CSD","MA_QH","LUK")</f>
        <v>0</v>
      </c>
      <c r="I58" s="58">
        <f>+GETPIVOTDATA("XBT4",'binhtrung (2016)'!$A$3,"MA_HT","CSD","MA_QH","LUN")</f>
        <v>0</v>
      </c>
      <c r="J58" s="58">
        <f>+GETPIVOTDATA("XBT4",'binhtrung (2016)'!$A$3,"MA_HT","CSD","MA_QH","HNK")</f>
        <v>0</v>
      </c>
      <c r="K58" s="58">
        <f>+GETPIVOTDATA("XBT4",'binhtrung (2016)'!$A$3,"MA_HT","CSD","MA_QH","CLN")</f>
        <v>0</v>
      </c>
      <c r="L58" s="58">
        <f>+GETPIVOTDATA("XBT4",'binhtrung (2016)'!$A$3,"MA_HT","CSD","MA_QH","RSX")</f>
        <v>0</v>
      </c>
      <c r="M58" s="58">
        <f>+GETPIVOTDATA("XBT4",'binhtrung (2016)'!$A$3,"MA_HT","CSD","MA_QH","RPH")</f>
        <v>0</v>
      </c>
      <c r="N58" s="58">
        <f>+GETPIVOTDATA("XBT4",'binhtrung (2016)'!$A$3,"MA_HT","CSD","MA_QH","RDD")</f>
        <v>0</v>
      </c>
      <c r="O58" s="58">
        <f>+GETPIVOTDATA("XBT4",'binhtrung (2016)'!$A$3,"MA_HT","CSD","MA_QH","NTS")</f>
        <v>0</v>
      </c>
      <c r="P58" s="58">
        <f>+GETPIVOTDATA("XBT4",'binhtrung (2016)'!$A$3,"MA_HT","CSD","MA_QH","LMU")</f>
        <v>0</v>
      </c>
      <c r="Q58" s="58">
        <f>+GETPIVOTDATA("XBT4",'binhtrung (2016)'!$A$3,"MA_HT","CSD","MA_QH","NKH")</f>
        <v>0</v>
      </c>
      <c r="R58" s="106">
        <f>SUM(S58:AA58,AN58:BD58)</f>
        <v>0</v>
      </c>
      <c r="S58" s="102">
        <f>+GETPIVOTDATA("XBT4",'binhtrung (2016)'!$A$3,"MA_HT","CSD","MA_QH","CQP")</f>
        <v>0</v>
      </c>
      <c r="T58" s="102">
        <f>+GETPIVOTDATA("XBT4",'binhtrung (2016)'!$A$3,"MA_HT","CSD","MA_QH","CAN")</f>
        <v>0</v>
      </c>
      <c r="U58" s="58">
        <f>+GETPIVOTDATA("XBT4",'binhtrung (2016)'!$A$3,"MA_HT","CSD","MA_QH","SKK")</f>
        <v>0</v>
      </c>
      <c r="V58" s="58">
        <f>+GETPIVOTDATA("XBT4",'binhtrung (2016)'!$A$3,"MA_HT","CSD","MA_QH","SKT")</f>
        <v>0</v>
      </c>
      <c r="W58" s="58">
        <f>+GETPIVOTDATA("XBT4",'binhtrung (2016)'!$A$3,"MA_HT","CSD","MA_QH","SKN")</f>
        <v>0</v>
      </c>
      <c r="X58" s="58">
        <f>+GETPIVOTDATA("XBT4",'binhtrung (2016)'!$A$3,"MA_HT","CSD","MA_QH","TMD")</f>
        <v>0</v>
      </c>
      <c r="Y58" s="58">
        <f>+GETPIVOTDATA("XBT4",'binhtrung (2016)'!$A$3,"MA_HT","CSD","MA_QH","SKC")</f>
        <v>0</v>
      </c>
      <c r="Z58" s="58">
        <f>+GETPIVOTDATA("XBT4",'binhtrung (2016)'!$A$3,"MA_HT","CSD","MA_QH","SKS")</f>
        <v>0</v>
      </c>
      <c r="AA58" s="64">
        <f t="shared" si="21"/>
        <v>0</v>
      </c>
      <c r="AB58" s="102">
        <f>+GETPIVOTDATA("XBT4",'binhtrung (2016)'!$A$3,"MA_HT","CSD","MA_QH","DGT")</f>
        <v>0</v>
      </c>
      <c r="AC58" s="102">
        <f>+GETPIVOTDATA("XBT4",'binhtrung (2016)'!$A$3,"MA_HT","CSD","MA_QH","DTL")</f>
        <v>0</v>
      </c>
      <c r="AD58" s="102">
        <f>+GETPIVOTDATA("XBT4",'binhtrung (2016)'!$A$3,"MA_HT","CSD","MA_QH","DNL")</f>
        <v>0</v>
      </c>
      <c r="AE58" s="102">
        <f>+GETPIVOTDATA("XBT4",'binhtrung (2016)'!$A$3,"MA_HT","CSD","MA_QH","DBV")</f>
        <v>0</v>
      </c>
      <c r="AF58" s="102">
        <f>+GETPIVOTDATA("XBT4",'binhtrung (2016)'!$A$3,"MA_HT","CSD","MA_QH","DVH")</f>
        <v>0</v>
      </c>
      <c r="AG58" s="102">
        <f>+GETPIVOTDATA("XBT4",'binhtrung (2016)'!$A$3,"MA_HT","CSD","MA_QH","DYT")</f>
        <v>0</v>
      </c>
      <c r="AH58" s="102">
        <f>+GETPIVOTDATA("XBT4",'binhtrung (2016)'!$A$3,"MA_HT","CSD","MA_QH","DGD")</f>
        <v>0</v>
      </c>
      <c r="AI58" s="102">
        <f>+GETPIVOTDATA("XBT4",'binhtrung (2016)'!$A$3,"MA_HT","CSD","MA_QH","DTT")</f>
        <v>0</v>
      </c>
      <c r="AJ58" s="102">
        <f>+GETPIVOTDATA("XBT4",'binhtrung (2016)'!$A$3,"MA_HT","CSD","MA_QH","NCK")</f>
        <v>0</v>
      </c>
      <c r="AK58" s="102">
        <f>+GETPIVOTDATA("XBT4",'binhtrung (2016)'!$A$3,"MA_HT","CSD","MA_QH","DXH")</f>
        <v>0</v>
      </c>
      <c r="AL58" s="102">
        <f>+GETPIVOTDATA("XBT4",'binhtrung (2016)'!$A$3,"MA_HT","CSD","MA_QH","DCH")</f>
        <v>0</v>
      </c>
      <c r="AM58" s="102">
        <f>+GETPIVOTDATA("XBT4",'binhtrung (2016)'!$A$3,"MA_HT","CSD","MA_QH","DKG")</f>
        <v>0</v>
      </c>
      <c r="AN58" s="58">
        <f>+GETPIVOTDATA("XBT4",'binhtrung (2016)'!$A$3,"MA_HT","CSD","MA_QH","DDT")</f>
        <v>0</v>
      </c>
      <c r="AO58" s="58">
        <f>+GETPIVOTDATA("XBT4",'binhtrung (2016)'!$A$3,"MA_HT","CSD","MA_QH","DDL")</f>
        <v>0</v>
      </c>
      <c r="AP58" s="58">
        <f>+GETPIVOTDATA("XBT4",'binhtrung (2016)'!$A$3,"MA_HT","CSD","MA_QH","DRA")</f>
        <v>0</v>
      </c>
      <c r="AQ58" s="58">
        <f>+GETPIVOTDATA("XBT4",'binhtrung (2016)'!$A$3,"MA_HT","CSD","MA_QH","ONT")</f>
        <v>0</v>
      </c>
      <c r="AR58" s="58">
        <f>+GETPIVOTDATA("XBT4",'binhtrung (2016)'!$A$3,"MA_HT","CSD","MA_QH","ODT")</f>
        <v>0</v>
      </c>
      <c r="AS58" s="58">
        <f>+GETPIVOTDATA("XBT4",'binhtrung (2016)'!$A$3,"MA_HT","CSD","MA_QH","TSC")</f>
        <v>0</v>
      </c>
      <c r="AT58" s="58">
        <f>+GETPIVOTDATA("XBT4",'binhtrung (2016)'!$A$3,"MA_HT","CSD","MA_QH","DTS")</f>
        <v>0</v>
      </c>
      <c r="AU58" s="58">
        <f>+GETPIVOTDATA("XBT4",'binhtrung (2016)'!$A$3,"MA_HT","CSD","MA_QH","DNG")</f>
        <v>0</v>
      </c>
      <c r="AV58" s="58">
        <f>+GETPIVOTDATA("XBT4",'binhtrung (2016)'!$A$3,"MA_HT","CSD","MA_QH","TON")</f>
        <v>0</v>
      </c>
      <c r="AW58" s="58">
        <f>+GETPIVOTDATA("XBT4",'binhtrung (2016)'!$A$3,"MA_HT","CSD","MA_QH","NTD")</f>
        <v>0</v>
      </c>
      <c r="AX58" s="58">
        <f>+GETPIVOTDATA("XBT4",'binhtrung (2016)'!$A$3,"MA_HT","CSD","MA_QH","SKX")</f>
        <v>0</v>
      </c>
      <c r="AY58" s="58">
        <f>+GETPIVOTDATA("XBT4",'binhtrung (2016)'!$A$3,"MA_HT","CSD","MA_QH","DSH")</f>
        <v>0</v>
      </c>
      <c r="AZ58" s="58">
        <f>+GETPIVOTDATA("XBT4",'binhtrung (2016)'!$A$3,"MA_HT","CSD","MA_QH","DKV")</f>
        <v>0</v>
      </c>
      <c r="BA58" s="140">
        <f>+GETPIVOTDATA("XBT4",'binhtrung (2016)'!$A$3,"MA_HT","CSD","MA_QH","TIN")</f>
        <v>0</v>
      </c>
      <c r="BB58" s="102">
        <f>+GETPIVOTDATA("XBT4",'binhtrung (2016)'!$A$3,"MA_HT","CSD","MA_QH","SON")</f>
        <v>0</v>
      </c>
      <c r="BC58" s="102">
        <f>+GETPIVOTDATA("XBT4",'binhtrung (2016)'!$A$3,"MA_HT","CSD","MA_QH","MNC")</f>
        <v>0</v>
      </c>
      <c r="BD58" s="58">
        <f>+GETPIVOTDATA("XBT4",'binhtrung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4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+GETPIVOTDATA("XCB4",'cubi (2016)'!$A$3,"MA_HT","LUC","MA_QH","LUK")</f>
        <v>0</v>
      </c>
      <c r="I8" s="74">
        <f>+GETPIVOTDATA("XCB4",'cubi (2016)'!$A$3,"MA_HT","LUC","MA_QH","LUN")</f>
        <v>0</v>
      </c>
      <c r="J8" s="74">
        <f>+GETPIVOTDATA("XCB4",'cubi (2016)'!$A$3,"MA_HT","LUC","MA_QH","HNK")</f>
        <v>0</v>
      </c>
      <c r="K8" s="74">
        <f>+GETPIVOTDATA("XCB4",'cubi (2016)'!$A$3,"MA_HT","LUC","MA_QH","CLN")</f>
        <v>0</v>
      </c>
      <c r="L8" s="74">
        <f>+GETPIVOTDATA("XCB4",'cubi (2016)'!$A$3,"MA_HT","LUC","MA_QH","RSX")</f>
        <v>0</v>
      </c>
      <c r="M8" s="74">
        <f>+GETPIVOTDATA("XCB4",'cubi (2016)'!$A$3,"MA_HT","LUC","MA_QH","RPH")</f>
        <v>0</v>
      </c>
      <c r="N8" s="74">
        <f>+GETPIVOTDATA("XCB4",'cubi (2016)'!$A$3,"MA_HT","LUC","MA_QH","RDD")</f>
        <v>0</v>
      </c>
      <c r="O8" s="74">
        <f>+GETPIVOTDATA("XCB4",'cubi (2016)'!$A$3,"MA_HT","LUC","MA_QH","NTS")</f>
        <v>0</v>
      </c>
      <c r="P8" s="74">
        <f>+GETPIVOTDATA("XCB4",'cubi (2016)'!$A$3,"MA_HT","LUC","MA_QH","LMU")</f>
        <v>0</v>
      </c>
      <c r="Q8" s="74">
        <f>+GETPIVOTDATA("XCB4",'cubi (2016)'!$A$3,"MA_HT","LUC","MA_QH","NKH")</f>
        <v>0</v>
      </c>
      <c r="R8" s="72">
        <f>SUM(S8:AA8,AN8:BD8)</f>
        <v>0</v>
      </c>
      <c r="S8" s="74">
        <f>+GETPIVOTDATA("XCB4",'cubi (2016)'!$A$3,"MA_HT","LUC","MA_QH","CQP")</f>
        <v>0</v>
      </c>
      <c r="T8" s="74">
        <f>+GETPIVOTDATA("XCB4",'cubi (2016)'!$A$3,"MA_HT","LUC","MA_QH","CAN")</f>
        <v>0</v>
      </c>
      <c r="U8" s="74">
        <f>+GETPIVOTDATA("XCB4",'cubi (2016)'!$A$3,"MA_HT","LUC","MA_QH","SKK")</f>
        <v>0</v>
      </c>
      <c r="V8" s="74">
        <f>+GETPIVOTDATA("XCB4",'cubi (2016)'!$A$3,"MA_HT","LUC","MA_QH","SKT")</f>
        <v>0</v>
      </c>
      <c r="W8" s="74">
        <f>+GETPIVOTDATA("XCB4",'cubi (2016)'!$A$3,"MA_HT","LUC","MA_QH","SKN")</f>
        <v>0</v>
      </c>
      <c r="X8" s="74">
        <f>+GETPIVOTDATA("XCB4",'cubi (2016)'!$A$3,"MA_HT","LUC","MA_QH","TMD")</f>
        <v>0</v>
      </c>
      <c r="Y8" s="74">
        <f>+GETPIVOTDATA("XCB4",'cubi (2016)'!$A$3,"MA_HT","LUC","MA_QH","SKC")</f>
        <v>0</v>
      </c>
      <c r="Z8" s="74">
        <f>+GETPIVOTDATA("XCB4",'cubi (2016)'!$A$3,"MA_HT","LUC","MA_QH","SKS")</f>
        <v>0</v>
      </c>
      <c r="AA8" s="64">
        <f t="shared" si="4"/>
        <v>0</v>
      </c>
      <c r="AB8" s="74">
        <f>+GETPIVOTDATA("XCB4",'cubi (2016)'!$A$3,"MA_HT","LUC","MA_QH","DGT")</f>
        <v>0</v>
      </c>
      <c r="AC8" s="74">
        <f>+GETPIVOTDATA("XCB4",'cubi (2016)'!$A$3,"MA_HT","LUC","MA_QH","DTL")</f>
        <v>0</v>
      </c>
      <c r="AD8" s="74">
        <f>+GETPIVOTDATA("XCB4",'cubi (2016)'!$A$3,"MA_HT","LUC","MA_QH","DNL")</f>
        <v>0</v>
      </c>
      <c r="AE8" s="74">
        <f>+GETPIVOTDATA("XCB4",'cubi (2016)'!$A$3,"MA_HT","LUC","MA_QH","DBV")</f>
        <v>0</v>
      </c>
      <c r="AF8" s="74">
        <f>+GETPIVOTDATA("XCB4",'cubi (2016)'!$A$3,"MA_HT","LUC","MA_QH","DVH")</f>
        <v>0</v>
      </c>
      <c r="AG8" s="74">
        <f>+GETPIVOTDATA("XCB4",'cubi (2016)'!$A$3,"MA_HT","LUC","MA_QH","DYT")</f>
        <v>0</v>
      </c>
      <c r="AH8" s="74">
        <f>+GETPIVOTDATA("XCB4",'cubi (2016)'!$A$3,"MA_HT","LUC","MA_QH","DGD")</f>
        <v>0</v>
      </c>
      <c r="AI8" s="74">
        <f>+GETPIVOTDATA("XCB4",'cubi (2016)'!$A$3,"MA_HT","LUC","MA_QH","DTT")</f>
        <v>0</v>
      </c>
      <c r="AJ8" s="74">
        <f>+GETPIVOTDATA("XCB4",'cubi (2016)'!$A$3,"MA_HT","LUC","MA_QH","NCK")</f>
        <v>0</v>
      </c>
      <c r="AK8" s="74">
        <f>+GETPIVOTDATA("XCB4",'cubi (2016)'!$A$3,"MA_HT","LUC","MA_QH","DXH")</f>
        <v>0</v>
      </c>
      <c r="AL8" s="74">
        <f>+GETPIVOTDATA("XCB4",'cubi (2016)'!$A$3,"MA_HT","LUC","MA_QH","DCH")</f>
        <v>0</v>
      </c>
      <c r="AM8" s="74">
        <f>+GETPIVOTDATA("XCB4",'cubi (2016)'!$A$3,"MA_HT","LUC","MA_QH","DKG")</f>
        <v>0</v>
      </c>
      <c r="AN8" s="74">
        <f>+GETPIVOTDATA("XCB4",'cubi (2016)'!$A$3,"MA_HT","LUC","MA_QH","DDT")</f>
        <v>0</v>
      </c>
      <c r="AO8" s="74">
        <f>+GETPIVOTDATA("XCB4",'cubi (2016)'!$A$3,"MA_HT","LUC","MA_QH","DDL")</f>
        <v>0</v>
      </c>
      <c r="AP8" s="74">
        <f>+GETPIVOTDATA("XCB4",'cubi (2016)'!$A$3,"MA_HT","LUC","MA_QH","DRA")</f>
        <v>0</v>
      </c>
      <c r="AQ8" s="74">
        <f>+GETPIVOTDATA("XCB4",'cubi (2016)'!$A$3,"MA_HT","LUC","MA_QH","ONT")</f>
        <v>0</v>
      </c>
      <c r="AR8" s="74">
        <f>+GETPIVOTDATA("XCB4",'cubi (2016)'!$A$3,"MA_HT","LUC","MA_QH","ODT")</f>
        <v>0</v>
      </c>
      <c r="AS8" s="74">
        <f>+GETPIVOTDATA("XCB4",'cubi (2016)'!$A$3,"MA_HT","LUC","MA_QH","TSC")</f>
        <v>0</v>
      </c>
      <c r="AT8" s="74">
        <f>+GETPIVOTDATA("XCB4",'cubi (2016)'!$A$3,"MA_HT","LUC","MA_QH","DTS")</f>
        <v>0</v>
      </c>
      <c r="AU8" s="74">
        <f>+GETPIVOTDATA("XCB4",'cubi (2016)'!$A$3,"MA_HT","LUC","MA_QH","DNG")</f>
        <v>0</v>
      </c>
      <c r="AV8" s="74">
        <f>+GETPIVOTDATA("XCB4",'cubi (2016)'!$A$3,"MA_HT","LUC","MA_QH","TON")</f>
        <v>0</v>
      </c>
      <c r="AW8" s="74">
        <f>+GETPIVOTDATA("XCB4",'cubi (2016)'!$A$3,"MA_HT","LUC","MA_QH","NTD")</f>
        <v>0</v>
      </c>
      <c r="AX8" s="74">
        <f>+GETPIVOTDATA("XCB4",'cubi (2016)'!$A$3,"MA_HT","LUC","MA_QH","SKX")</f>
        <v>0</v>
      </c>
      <c r="AY8" s="74">
        <f>+GETPIVOTDATA("XCB4",'cubi (2016)'!$A$3,"MA_HT","LUC","MA_QH","DSH")</f>
        <v>0</v>
      </c>
      <c r="AZ8" s="74">
        <f>+GETPIVOTDATA("XCB4",'cubi (2016)'!$A$3,"MA_HT","LUC","MA_QH","DKV")</f>
        <v>0</v>
      </c>
      <c r="BA8" s="139">
        <f>+GETPIVOTDATA("XCB4",'cubi (2016)'!$A$3,"MA_HT","LUC","MA_QH","TIN")</f>
        <v>0</v>
      </c>
      <c r="BB8" s="74">
        <f>+GETPIVOTDATA("XCB4",'cubi (2016)'!$A$3,"MA_HT","LUC","MA_QH","SON")</f>
        <v>0</v>
      </c>
      <c r="BC8" s="74">
        <f>+GETPIVOTDATA("XCB4",'cubi (2016)'!$A$3,"MA_HT","LUC","MA_QH","MNC")</f>
        <v>0</v>
      </c>
      <c r="BD8" s="74">
        <f>+GETPIVOTDATA("XCB4",'cubi (2016)'!$A$3,"MA_HT","LUC","MA_QH","PNK")</f>
        <v>0</v>
      </c>
      <c r="BE8" s="102">
        <f>+GETPIVOTDATA("XCB4",'cubi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+GETPIVOTDATA("XCB4",'cubi (2016)'!$A$3,"MA_HT","LUK","MA_QH","LUC")</f>
        <v>0</v>
      </c>
      <c r="H9" s="100" t="e">
        <f>$D9-$BF9</f>
        <v>#REF!</v>
      </c>
      <c r="I9" s="74">
        <f>+GETPIVOTDATA("XCB4",'cubi (2016)'!$A$3,"MA_HT","LUK","MA_QH","LUN")</f>
        <v>0</v>
      </c>
      <c r="J9" s="74">
        <f>+GETPIVOTDATA("XCB4",'cubi (2016)'!$A$3,"MA_HT","LUK","MA_QH","HNK")</f>
        <v>0</v>
      </c>
      <c r="K9" s="74">
        <f>+GETPIVOTDATA("XCB4",'cubi (2016)'!$A$3,"MA_HT","LUK","MA_QH","CLN")</f>
        <v>0</v>
      </c>
      <c r="L9" s="74">
        <f>+GETPIVOTDATA("XCB4",'cubi (2016)'!$A$3,"MA_HT","LUK","MA_QH","RSX")</f>
        <v>0</v>
      </c>
      <c r="M9" s="74">
        <f>+GETPIVOTDATA("XCB4",'cubi (2016)'!$A$3,"MA_HT","LUK","MA_QH","RPH")</f>
        <v>0</v>
      </c>
      <c r="N9" s="74">
        <f>+GETPIVOTDATA("XCB4",'cubi (2016)'!$A$3,"MA_HT","LUK","MA_QH","RDD")</f>
        <v>0</v>
      </c>
      <c r="O9" s="74">
        <f>+GETPIVOTDATA("XCB4",'cubi (2016)'!$A$3,"MA_HT","LUK","MA_QH","NTS")</f>
        <v>0</v>
      </c>
      <c r="P9" s="74">
        <f>+GETPIVOTDATA("XCB4",'cubi (2016)'!$A$3,"MA_HT","LUK","MA_QH","LMU")</f>
        <v>0</v>
      </c>
      <c r="Q9" s="74">
        <f>+GETPIVOTDATA("XCB4",'cubi (2016)'!$A$3,"MA_HT","LUK","MA_QH","NKH")</f>
        <v>0</v>
      </c>
      <c r="R9" s="72">
        <f t="shared" si="2"/>
        <v>0</v>
      </c>
      <c r="S9" s="74">
        <f>+GETPIVOTDATA("XCB4",'cubi (2016)'!$A$3,"MA_HT","LUK","MA_QH","CQP")</f>
        <v>0</v>
      </c>
      <c r="T9" s="74">
        <f>+GETPIVOTDATA("XCB4",'cubi (2016)'!$A$3,"MA_HT","LUK","MA_QH","CAN")</f>
        <v>0</v>
      </c>
      <c r="U9" s="74">
        <f>+GETPIVOTDATA("XCB4",'cubi (2016)'!$A$3,"MA_HT","LUK","MA_QH","SKK")</f>
        <v>0</v>
      </c>
      <c r="V9" s="74">
        <f>+GETPIVOTDATA("XCB4",'cubi (2016)'!$A$3,"MA_HT","LUK","MA_QH","SKT")</f>
        <v>0</v>
      </c>
      <c r="W9" s="74">
        <f>+GETPIVOTDATA("XCB4",'cubi (2016)'!$A$3,"MA_HT","LUK","MA_QH","SKN")</f>
        <v>0</v>
      </c>
      <c r="X9" s="74">
        <f>+GETPIVOTDATA("XCB4",'cubi (2016)'!$A$3,"MA_HT","LUK","MA_QH","TMD")</f>
        <v>0</v>
      </c>
      <c r="Y9" s="74">
        <f>+GETPIVOTDATA("XCB4",'cubi (2016)'!$A$3,"MA_HT","LUK","MA_QH","SKC")</f>
        <v>0</v>
      </c>
      <c r="Z9" s="74">
        <f>+GETPIVOTDATA("XCB4",'cubi (2016)'!$A$3,"MA_HT","LUK","MA_QH","SKS")</f>
        <v>0</v>
      </c>
      <c r="AA9" s="64">
        <f t="shared" si="4"/>
        <v>0</v>
      </c>
      <c r="AB9" s="74">
        <f>+GETPIVOTDATA("XCB4",'cubi (2016)'!$A$3,"MA_HT","LUK","MA_QH","DGT")</f>
        <v>0</v>
      </c>
      <c r="AC9" s="74">
        <f>+GETPIVOTDATA("XCB4",'cubi (2016)'!$A$3,"MA_HT","LUK","MA_QH","DTL")</f>
        <v>0</v>
      </c>
      <c r="AD9" s="74">
        <f>+GETPIVOTDATA("XCB4",'cubi (2016)'!$A$3,"MA_HT","LUK","MA_QH","DNL")</f>
        <v>0</v>
      </c>
      <c r="AE9" s="74">
        <f>+GETPIVOTDATA("XCB4",'cubi (2016)'!$A$3,"MA_HT","LUK","MA_QH","DBV")</f>
        <v>0</v>
      </c>
      <c r="AF9" s="74">
        <f>+GETPIVOTDATA("XCB4",'cubi (2016)'!$A$3,"MA_HT","LUK","MA_QH","DVH")</f>
        <v>0</v>
      </c>
      <c r="AG9" s="74">
        <f>+GETPIVOTDATA("XCB4",'cubi (2016)'!$A$3,"MA_HT","LUK","MA_QH","DYT")</f>
        <v>0</v>
      </c>
      <c r="AH9" s="74">
        <f>+GETPIVOTDATA("XCB4",'cubi (2016)'!$A$3,"MA_HT","LUK","MA_QH","DGD")</f>
        <v>0</v>
      </c>
      <c r="AI9" s="74">
        <f>+GETPIVOTDATA("XCB4",'cubi (2016)'!$A$3,"MA_HT","LUK","MA_QH","DTT")</f>
        <v>0</v>
      </c>
      <c r="AJ9" s="74">
        <f>+GETPIVOTDATA("XCB4",'cubi (2016)'!$A$3,"MA_HT","LUK","MA_QH","NCK")</f>
        <v>0</v>
      </c>
      <c r="AK9" s="74">
        <f>+GETPIVOTDATA("XCB4",'cubi (2016)'!$A$3,"MA_HT","LUK","MA_QH","DXH")</f>
        <v>0</v>
      </c>
      <c r="AL9" s="74">
        <f>+GETPIVOTDATA("XCB4",'cubi (2016)'!$A$3,"MA_HT","LUK","MA_QH","DCH")</f>
        <v>0</v>
      </c>
      <c r="AM9" s="74">
        <f>+GETPIVOTDATA("XCB4",'cubi (2016)'!$A$3,"MA_HT","LUK","MA_QH","DKG")</f>
        <v>0</v>
      </c>
      <c r="AN9" s="74">
        <f>+GETPIVOTDATA("XCB4",'cubi (2016)'!$A$3,"MA_HT","LUK","MA_QH","DDT")</f>
        <v>0</v>
      </c>
      <c r="AO9" s="74">
        <f>+GETPIVOTDATA("XCB4",'cubi (2016)'!$A$3,"MA_HT","LUK","MA_QH","DDL")</f>
        <v>0</v>
      </c>
      <c r="AP9" s="74">
        <f>+GETPIVOTDATA("XCB4",'cubi (2016)'!$A$3,"MA_HT","LUK","MA_QH","DRA")</f>
        <v>0</v>
      </c>
      <c r="AQ9" s="74">
        <f>+GETPIVOTDATA("XCB4",'cubi (2016)'!$A$3,"MA_HT","LUK","MA_QH","ONT")</f>
        <v>0</v>
      </c>
      <c r="AR9" s="74">
        <f>+GETPIVOTDATA("XCB4",'cubi (2016)'!$A$3,"MA_HT","LUK","MA_QH","ODT")</f>
        <v>0</v>
      </c>
      <c r="AS9" s="74">
        <f>+GETPIVOTDATA("XCB4",'cubi (2016)'!$A$3,"MA_HT","LUK","MA_QH","TSC")</f>
        <v>0</v>
      </c>
      <c r="AT9" s="74">
        <f>+GETPIVOTDATA("XCB4",'cubi (2016)'!$A$3,"MA_HT","LUK","MA_QH","DTS")</f>
        <v>0</v>
      </c>
      <c r="AU9" s="74">
        <f>+GETPIVOTDATA("XCB4",'cubi (2016)'!$A$3,"MA_HT","LUK","MA_QH","DNG")</f>
        <v>0</v>
      </c>
      <c r="AV9" s="74">
        <f>+GETPIVOTDATA("XCB4",'cubi (2016)'!$A$3,"MA_HT","LUK","MA_QH","TON")</f>
        <v>0</v>
      </c>
      <c r="AW9" s="74">
        <f>+GETPIVOTDATA("XCB4",'cubi (2016)'!$A$3,"MA_HT","LUK","MA_QH","NTD")</f>
        <v>0</v>
      </c>
      <c r="AX9" s="74">
        <f>+GETPIVOTDATA("XCB4",'cubi (2016)'!$A$3,"MA_HT","LUK","MA_QH","SKX")</f>
        <v>0</v>
      </c>
      <c r="AY9" s="74">
        <f>+GETPIVOTDATA("XCB4",'cubi (2016)'!$A$3,"MA_HT","LUK","MA_QH","DSH")</f>
        <v>0</v>
      </c>
      <c r="AZ9" s="74">
        <f>+GETPIVOTDATA("XCB4",'cubi (2016)'!$A$3,"MA_HT","LUK","MA_QH","DKV")</f>
        <v>0</v>
      </c>
      <c r="BA9" s="139">
        <f>+GETPIVOTDATA("XCB4",'cubi (2016)'!$A$3,"MA_HT","LUK","MA_QH","TIN")</f>
        <v>0</v>
      </c>
      <c r="BB9" s="74">
        <f>+GETPIVOTDATA("XCB4",'cubi (2016)'!$A$3,"MA_HT","LUK","MA_QH","SON")</f>
        <v>0</v>
      </c>
      <c r="BC9" s="74">
        <f>+GETPIVOTDATA("XCB4",'cubi (2016)'!$A$3,"MA_HT","LUK","MA_QH","MNC")</f>
        <v>0</v>
      </c>
      <c r="BD9" s="74">
        <f>+GETPIVOTDATA("XCB4",'cubi (2016)'!$A$3,"MA_HT","LUK","MA_QH","PNK")</f>
        <v>0</v>
      </c>
      <c r="BE9" s="102">
        <f>+GETPIVOTDATA("XCB4",'cubi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+GETPIVOTDATA("XCB4",'cubi (2016)'!$A$3,"MA_HT","LUN","MA_QH","LUC")</f>
        <v>0</v>
      </c>
      <c r="H10" s="74">
        <f>+GETPIVOTDATA("XCB4",'cubi (2016)'!$A$3,"MA_HT","LUN","MA_QH","LUK")</f>
        <v>0</v>
      </c>
      <c r="I10" s="100" t="e">
        <f>$D10-$BF10</f>
        <v>#REF!</v>
      </c>
      <c r="J10" s="74">
        <f>+GETPIVOTDATA("XCB4",'cubi (2016)'!$A$3,"MA_HT","LUN","MA_QH","HNK")</f>
        <v>0</v>
      </c>
      <c r="K10" s="74">
        <f>+GETPIVOTDATA("XCB4",'cubi (2016)'!$A$3,"MA_HT","LUN","MA_QH","CLN")</f>
        <v>0</v>
      </c>
      <c r="L10" s="74">
        <f>+GETPIVOTDATA("XCB4",'cubi (2016)'!$A$3,"MA_HT","LUN","MA_QH","RSX")</f>
        <v>0</v>
      </c>
      <c r="M10" s="74">
        <f>+GETPIVOTDATA("XCB4",'cubi (2016)'!$A$3,"MA_HT","LUN","MA_QH","RPH")</f>
        <v>0</v>
      </c>
      <c r="N10" s="74">
        <f>+GETPIVOTDATA("XCB4",'cubi (2016)'!$A$3,"MA_HT","LUN","MA_QH","RDD")</f>
        <v>0</v>
      </c>
      <c r="O10" s="74">
        <f>+GETPIVOTDATA("XCB4",'cubi (2016)'!$A$3,"MA_HT","LUN","MA_QH","NTS")</f>
        <v>0</v>
      </c>
      <c r="P10" s="74">
        <f>+GETPIVOTDATA("XCB4",'cubi (2016)'!$A$3,"MA_HT","LUN","MA_QH","LMU")</f>
        <v>0</v>
      </c>
      <c r="Q10" s="74">
        <f>+GETPIVOTDATA("XCB4",'cubi (2016)'!$A$3,"MA_HT","LUN","MA_QH","NKH")</f>
        <v>0</v>
      </c>
      <c r="R10" s="72">
        <f t="shared" si="2"/>
        <v>0</v>
      </c>
      <c r="S10" s="74">
        <f>+GETPIVOTDATA("XCB4",'cubi (2016)'!$A$3,"MA_HT","LUN","MA_QH","CQP")</f>
        <v>0</v>
      </c>
      <c r="T10" s="74">
        <f>+GETPIVOTDATA("XCB4",'cubi (2016)'!$A$3,"MA_HT","LUN","MA_QH","CAN")</f>
        <v>0</v>
      </c>
      <c r="U10" s="74">
        <f>+GETPIVOTDATA("XCB4",'cubi (2016)'!$A$3,"MA_HT","LUN","MA_QH","SKK")</f>
        <v>0</v>
      </c>
      <c r="V10" s="74">
        <f>+GETPIVOTDATA("XCB4",'cubi (2016)'!$A$3,"MA_HT","LUN","MA_QH","SKT")</f>
        <v>0</v>
      </c>
      <c r="W10" s="74">
        <f>+GETPIVOTDATA("XCB4",'cubi (2016)'!$A$3,"MA_HT","LUN","MA_QH","SKN")</f>
        <v>0</v>
      </c>
      <c r="X10" s="74">
        <f>+GETPIVOTDATA("XCB4",'cubi (2016)'!$A$3,"MA_HT","LUN","MA_QH","TMD")</f>
        <v>0</v>
      </c>
      <c r="Y10" s="74">
        <f>+GETPIVOTDATA("XCB4",'cubi (2016)'!$A$3,"MA_HT","LUN","MA_QH","SKC")</f>
        <v>0</v>
      </c>
      <c r="Z10" s="74">
        <f>+GETPIVOTDATA("XCB4",'cubi (2016)'!$A$3,"MA_HT","LUN","MA_QH","SKS")</f>
        <v>0</v>
      </c>
      <c r="AA10" s="64">
        <f t="shared" si="4"/>
        <v>0</v>
      </c>
      <c r="AB10" s="74">
        <f>+GETPIVOTDATA("XCB4",'cubi (2016)'!$A$3,"MA_HT","LUN","MA_QH","DGT")</f>
        <v>0</v>
      </c>
      <c r="AC10" s="74">
        <f>+GETPIVOTDATA("XCB4",'cubi (2016)'!$A$3,"MA_HT","LUN","MA_QH","DTL")</f>
        <v>0</v>
      </c>
      <c r="AD10" s="74">
        <f>+GETPIVOTDATA("XCB4",'cubi (2016)'!$A$3,"MA_HT","LUN","MA_QH","DNL")</f>
        <v>0</v>
      </c>
      <c r="AE10" s="74">
        <f>+GETPIVOTDATA("XCB4",'cubi (2016)'!$A$3,"MA_HT","LUN","MA_QH","DBV")</f>
        <v>0</v>
      </c>
      <c r="AF10" s="74">
        <f>+GETPIVOTDATA("XCB4",'cubi (2016)'!$A$3,"MA_HT","LUN","MA_QH","DVH")</f>
        <v>0</v>
      </c>
      <c r="AG10" s="74">
        <f>+GETPIVOTDATA("XCB4",'cubi (2016)'!$A$3,"MA_HT","LUN","MA_QH","DYT")</f>
        <v>0</v>
      </c>
      <c r="AH10" s="74">
        <f>+GETPIVOTDATA("XCB4",'cubi (2016)'!$A$3,"MA_HT","LUN","MA_QH","DGD")</f>
        <v>0</v>
      </c>
      <c r="AI10" s="74">
        <f>+GETPIVOTDATA("XCB4",'cubi (2016)'!$A$3,"MA_HT","LUN","MA_QH","DTT")</f>
        <v>0</v>
      </c>
      <c r="AJ10" s="74">
        <f>+GETPIVOTDATA("XCB4",'cubi (2016)'!$A$3,"MA_HT","LUN","MA_QH","NCK")</f>
        <v>0</v>
      </c>
      <c r="AK10" s="74">
        <f>+GETPIVOTDATA("XCB4",'cubi (2016)'!$A$3,"MA_HT","LUN","MA_QH","DXH")</f>
        <v>0</v>
      </c>
      <c r="AL10" s="74">
        <f>+GETPIVOTDATA("XCB4",'cubi (2016)'!$A$3,"MA_HT","LUN","MA_QH","DCH")</f>
        <v>0</v>
      </c>
      <c r="AM10" s="74">
        <f>+GETPIVOTDATA("XCB4",'cubi (2016)'!$A$3,"MA_HT","LUN","MA_QH","DKG")</f>
        <v>0</v>
      </c>
      <c r="AN10" s="74">
        <f>+GETPIVOTDATA("XCB4",'cubi (2016)'!$A$3,"MA_HT","LUN","MA_QH","DDT")</f>
        <v>0</v>
      </c>
      <c r="AO10" s="74">
        <f>+GETPIVOTDATA("XCB4",'cubi (2016)'!$A$3,"MA_HT","LUN","MA_QH","DDL")</f>
        <v>0</v>
      </c>
      <c r="AP10" s="74">
        <f>+GETPIVOTDATA("XCB4",'cubi (2016)'!$A$3,"MA_HT","LUN","MA_QH","DRA")</f>
        <v>0</v>
      </c>
      <c r="AQ10" s="74">
        <f>+GETPIVOTDATA("XCB4",'cubi (2016)'!$A$3,"MA_HT","LUN","MA_QH","ONT")</f>
        <v>0</v>
      </c>
      <c r="AR10" s="74">
        <f>+GETPIVOTDATA("XCB4",'cubi (2016)'!$A$3,"MA_HT","LUN","MA_QH","ODT")</f>
        <v>0</v>
      </c>
      <c r="AS10" s="74">
        <f>+GETPIVOTDATA("XCB4",'cubi (2016)'!$A$3,"MA_HT","LUN","MA_QH","TSC")</f>
        <v>0</v>
      </c>
      <c r="AT10" s="74">
        <f>+GETPIVOTDATA("XCB4",'cubi (2016)'!$A$3,"MA_HT","LUN","MA_QH","DTS")</f>
        <v>0</v>
      </c>
      <c r="AU10" s="74">
        <f>+GETPIVOTDATA("XCB4",'cubi (2016)'!$A$3,"MA_HT","LUN","MA_QH","DNG")</f>
        <v>0</v>
      </c>
      <c r="AV10" s="74">
        <f>+GETPIVOTDATA("XCB4",'cubi (2016)'!$A$3,"MA_HT","LUN","MA_QH","TON")</f>
        <v>0</v>
      </c>
      <c r="AW10" s="74">
        <f>+GETPIVOTDATA("XCB4",'cubi (2016)'!$A$3,"MA_HT","LUN","MA_QH","NTD")</f>
        <v>0</v>
      </c>
      <c r="AX10" s="74">
        <f>+GETPIVOTDATA("XCB4",'cubi (2016)'!$A$3,"MA_HT","LUN","MA_QH","SKX")</f>
        <v>0</v>
      </c>
      <c r="AY10" s="74">
        <f>+GETPIVOTDATA("XCB4",'cubi (2016)'!$A$3,"MA_HT","LUN","MA_QH","DSH")</f>
        <v>0</v>
      </c>
      <c r="AZ10" s="74">
        <f>+GETPIVOTDATA("XCB4",'cubi (2016)'!$A$3,"MA_HT","LUN","MA_QH","DKV")</f>
        <v>0</v>
      </c>
      <c r="BA10" s="139">
        <f>+GETPIVOTDATA("XCB4",'cubi (2016)'!$A$3,"MA_HT","LUN","MA_QH","TIN")</f>
        <v>0</v>
      </c>
      <c r="BB10" s="74">
        <f>+GETPIVOTDATA("XCB4",'cubi (2016)'!$A$3,"MA_HT","LUN","MA_QH","SON")</f>
        <v>0</v>
      </c>
      <c r="BC10" s="74">
        <f>+GETPIVOTDATA("XCB4",'cubi (2016)'!$A$3,"MA_HT","LUN","MA_QH","MNC")</f>
        <v>0</v>
      </c>
      <c r="BD10" s="74">
        <f>+GETPIVOTDATA("XCB4",'cubi (2016)'!$A$3,"MA_HT","LUN","MA_QH","PNK")</f>
        <v>0</v>
      </c>
      <c r="BE10" s="102">
        <f>+GETPIVOTDATA("XCB4",'cubi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+GETPIVOTDATA("XCB4",'cubi (2016)'!$A$3,"MA_HT","HNK","MA_QH","LUC")</f>
        <v>0</v>
      </c>
      <c r="H11" s="35">
        <f>+GETPIVOTDATA("XCB4",'cubi (2016)'!$A$3,"MA_HT","HNK","MA_QH","LUK")</f>
        <v>0</v>
      </c>
      <c r="I11" s="35">
        <f>+GETPIVOTDATA("XCB4",'cubi (2016)'!$A$3,"MA_HT","HNK","MA_QH","LUN")</f>
        <v>0</v>
      </c>
      <c r="J11" s="99" t="e">
        <f>$D11-$BF11</f>
        <v>#REF!</v>
      </c>
      <c r="K11" s="35">
        <f>+GETPIVOTDATA("XCB4",'cubi (2016)'!$A$3,"MA_HT","HNK","MA_QH","CLN")</f>
        <v>0</v>
      </c>
      <c r="L11" s="35">
        <f>+GETPIVOTDATA("XCB4",'cubi (2016)'!$A$3,"MA_HT","HNK","MA_QH","RSX")</f>
        <v>0</v>
      </c>
      <c r="M11" s="35">
        <f>+GETPIVOTDATA("XCB4",'cubi (2016)'!$A$3,"MA_HT","HNK","MA_QH","RPH")</f>
        <v>0</v>
      </c>
      <c r="N11" s="35">
        <f>+GETPIVOTDATA("XCB4",'cubi (2016)'!$A$3,"MA_HT","HNK","MA_QH","RDD")</f>
        <v>0</v>
      </c>
      <c r="O11" s="35">
        <f>+GETPIVOTDATA("XCB4",'cubi (2016)'!$A$3,"MA_HT","HNK","MA_QH","NTS")</f>
        <v>0</v>
      </c>
      <c r="P11" s="35">
        <f>+GETPIVOTDATA("XCB4",'cubi (2016)'!$A$3,"MA_HT","HNK","MA_QH","LMU")</f>
        <v>0</v>
      </c>
      <c r="Q11" s="35">
        <f>+GETPIVOTDATA("XCB4",'cubi (2016)'!$A$3,"MA_HT","HNK","MA_QH","NKH")</f>
        <v>0</v>
      </c>
      <c r="R11" s="63">
        <f t="shared" si="2"/>
        <v>0</v>
      </c>
      <c r="S11" s="35">
        <f>+GETPIVOTDATA("XCB4",'cubi (2016)'!$A$3,"MA_HT","HNK","MA_QH","CQP")</f>
        <v>0</v>
      </c>
      <c r="T11" s="35">
        <f>+GETPIVOTDATA("XCB4",'cubi (2016)'!$A$3,"MA_HT","HNK","MA_QH","CAN")</f>
        <v>0</v>
      </c>
      <c r="U11" s="35">
        <f>+GETPIVOTDATA("XCB4",'cubi (2016)'!$A$3,"MA_HT","HNK","MA_QH","SKK")</f>
        <v>0</v>
      </c>
      <c r="V11" s="35">
        <f>+GETPIVOTDATA("XCB4",'cubi (2016)'!$A$3,"MA_HT","HNK","MA_QH","SKT")</f>
        <v>0</v>
      </c>
      <c r="W11" s="35">
        <f>+GETPIVOTDATA("XCB4",'cubi (2016)'!$A$3,"MA_HT","HNK","MA_QH","SKN")</f>
        <v>0</v>
      </c>
      <c r="X11" s="35">
        <f>+GETPIVOTDATA("XCB4",'cubi (2016)'!$A$3,"MA_HT","HNK","MA_QH","TMD")</f>
        <v>0</v>
      </c>
      <c r="Y11" s="35">
        <f>+GETPIVOTDATA("XCB4",'cubi (2016)'!$A$3,"MA_HT","HNK","MA_QH","SKC")</f>
        <v>0</v>
      </c>
      <c r="Z11" s="35">
        <f>+GETPIVOTDATA("XCB4",'cubi (2016)'!$A$3,"MA_HT","HNK","MA_QH","SKS")</f>
        <v>0</v>
      </c>
      <c r="AA11" s="64">
        <f t="shared" si="4"/>
        <v>0</v>
      </c>
      <c r="AB11" s="35">
        <f>+GETPIVOTDATA("XCB4",'cubi (2016)'!$A$3,"MA_HT","HNK","MA_QH","DGT")</f>
        <v>0</v>
      </c>
      <c r="AC11" s="35">
        <f>+GETPIVOTDATA("XCB4",'cubi (2016)'!$A$3,"MA_HT","HNK","MA_QH","DTL")</f>
        <v>0</v>
      </c>
      <c r="AD11" s="35">
        <f>+GETPIVOTDATA("XCB4",'cubi (2016)'!$A$3,"MA_HT","HNK","MA_QH","DNL")</f>
        <v>0</v>
      </c>
      <c r="AE11" s="35">
        <f>+GETPIVOTDATA("XCB4",'cubi (2016)'!$A$3,"MA_HT","HNK","MA_QH","DBV")</f>
        <v>0</v>
      </c>
      <c r="AF11" s="35">
        <f>+GETPIVOTDATA("XCB4",'cubi (2016)'!$A$3,"MA_HT","HNK","MA_QH","DVH")</f>
        <v>0</v>
      </c>
      <c r="AG11" s="35">
        <f>+GETPIVOTDATA("XCB4",'cubi (2016)'!$A$3,"MA_HT","HNK","MA_QH","DYT")</f>
        <v>0</v>
      </c>
      <c r="AH11" s="35">
        <f>+GETPIVOTDATA("XCB4",'cubi (2016)'!$A$3,"MA_HT","HNK","MA_QH","DGD")</f>
        <v>0</v>
      </c>
      <c r="AI11" s="35">
        <f>+GETPIVOTDATA("XCB4",'cubi (2016)'!$A$3,"MA_HT","HNK","MA_QH","DTT")</f>
        <v>0</v>
      </c>
      <c r="AJ11" s="35">
        <f>+GETPIVOTDATA("XCB4",'cubi (2016)'!$A$3,"MA_HT","HNK","MA_QH","NCK")</f>
        <v>0</v>
      </c>
      <c r="AK11" s="35">
        <f>+GETPIVOTDATA("XCB4",'cubi (2016)'!$A$3,"MA_HT","HNK","MA_QH","DXH")</f>
        <v>0</v>
      </c>
      <c r="AL11" s="35">
        <f>+GETPIVOTDATA("XCB4",'cubi (2016)'!$A$3,"MA_HT","HNK","MA_QH","DCH")</f>
        <v>0</v>
      </c>
      <c r="AM11" s="35">
        <f>+GETPIVOTDATA("XCB4",'cubi (2016)'!$A$3,"MA_HT","HNK","MA_QH","DKG")</f>
        <v>0</v>
      </c>
      <c r="AN11" s="35">
        <f>+GETPIVOTDATA("XCB4",'cubi (2016)'!$A$3,"MA_HT","HNK","MA_QH","DDT")</f>
        <v>0</v>
      </c>
      <c r="AO11" s="35">
        <f>+GETPIVOTDATA("XCB4",'cubi (2016)'!$A$3,"MA_HT","HNK","MA_QH","DDL")</f>
        <v>0</v>
      </c>
      <c r="AP11" s="35">
        <f>+GETPIVOTDATA("XCB4",'cubi (2016)'!$A$3,"MA_HT","HNK","MA_QH","DRA")</f>
        <v>0</v>
      </c>
      <c r="AQ11" s="35">
        <f>+GETPIVOTDATA("XCB4",'cubi (2016)'!$A$3,"MA_HT","HNK","MA_QH","ONT")</f>
        <v>0</v>
      </c>
      <c r="AR11" s="35">
        <f>+GETPIVOTDATA("XCB4",'cubi (2016)'!$A$3,"MA_HT","HNK","MA_QH","ODT")</f>
        <v>0</v>
      </c>
      <c r="AS11" s="35">
        <f>+GETPIVOTDATA("XCB4",'cubi (2016)'!$A$3,"MA_HT","HNK","MA_QH","TSC")</f>
        <v>0</v>
      </c>
      <c r="AT11" s="35">
        <f>+GETPIVOTDATA("XCB4",'cubi (2016)'!$A$3,"MA_HT","HNK","MA_QH","DTS")</f>
        <v>0</v>
      </c>
      <c r="AU11" s="35">
        <f>+GETPIVOTDATA("XCB4",'cubi (2016)'!$A$3,"MA_HT","HNK","MA_QH","DNG")</f>
        <v>0</v>
      </c>
      <c r="AV11" s="35">
        <f>+GETPIVOTDATA("XCB4",'cubi (2016)'!$A$3,"MA_HT","HNK","MA_QH","TON")</f>
        <v>0</v>
      </c>
      <c r="AW11" s="35">
        <f>+GETPIVOTDATA("XCB4",'cubi (2016)'!$A$3,"MA_HT","HNK","MA_QH","NTD")</f>
        <v>0</v>
      </c>
      <c r="AX11" s="35">
        <f>+GETPIVOTDATA("XCB4",'cubi (2016)'!$A$3,"MA_HT","HNK","MA_QH","SKX")</f>
        <v>0</v>
      </c>
      <c r="AY11" s="35">
        <f>+GETPIVOTDATA("XCB4",'cubi (2016)'!$A$3,"MA_HT","HNK","MA_QH","DSH")</f>
        <v>0</v>
      </c>
      <c r="AZ11" s="35">
        <f>+GETPIVOTDATA("XCB4",'cubi (2016)'!$A$3,"MA_HT","HNK","MA_QH","DKV")</f>
        <v>0</v>
      </c>
      <c r="BA11" s="140">
        <f>+GETPIVOTDATA("XCB4",'cubi (2016)'!$A$3,"MA_HT","HNK","MA_QH","TIN")</f>
        <v>0</v>
      </c>
      <c r="BB11" s="74">
        <f>+GETPIVOTDATA("XCB4",'cubi (2016)'!$A$3,"MA_HT","HNK","MA_QH","SON")</f>
        <v>0</v>
      </c>
      <c r="BC11" s="74">
        <f>+GETPIVOTDATA("XCB4",'cubi (2016)'!$A$3,"MA_HT","HNK","MA_QH","MNC")</f>
        <v>0</v>
      </c>
      <c r="BD11" s="35">
        <f>+GETPIVOTDATA("XCB4",'cubi (2016)'!$A$3,"MA_HT","HNK","MA_QH","PNK")</f>
        <v>0</v>
      </c>
      <c r="BE11" s="58">
        <f>+GETPIVOTDATA("XCB4",'cubi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+GETPIVOTDATA("XCB4",'cubi (2016)'!$A$3,"MA_HT","CLN","MA_QH","LUC")</f>
        <v>0</v>
      </c>
      <c r="H12" s="35">
        <f>+GETPIVOTDATA("XCB4",'cubi (2016)'!$A$3,"MA_HT","CLN","MA_QH","LUK")</f>
        <v>0</v>
      </c>
      <c r="I12" s="35">
        <f>+GETPIVOTDATA("XCB4",'cubi (2016)'!$A$3,"MA_HT","CLN","MA_QH","LUN")</f>
        <v>0</v>
      </c>
      <c r="J12" s="35">
        <f>+GETPIVOTDATA("XCB4",'cubi (2016)'!$A$3,"MA_HT","CLN","MA_QH","HNK")</f>
        <v>0</v>
      </c>
      <c r="K12" s="99" t="e">
        <f>$D12-$BF12</f>
        <v>#REF!</v>
      </c>
      <c r="L12" s="35">
        <f>+GETPIVOTDATA("XCB4",'cubi (2016)'!$A$3,"MA_HT","CLN","MA_QH","RSX")</f>
        <v>0</v>
      </c>
      <c r="M12" s="35">
        <f>+GETPIVOTDATA("XCB4",'cubi (2016)'!$A$3,"MA_HT","CLN","MA_QH","RPH")</f>
        <v>0</v>
      </c>
      <c r="N12" s="35">
        <f>+GETPIVOTDATA("XCB4",'cubi (2016)'!$A$3,"MA_HT","CLN","MA_QH","RDD")</f>
        <v>0</v>
      </c>
      <c r="O12" s="35">
        <f>+GETPIVOTDATA("XCB4",'cubi (2016)'!$A$3,"MA_HT","CLN","MA_QH","NTS")</f>
        <v>0</v>
      </c>
      <c r="P12" s="35">
        <f>+GETPIVOTDATA("XCB4",'cubi (2016)'!$A$3,"MA_HT","CLN","MA_QH","LMU")</f>
        <v>0</v>
      </c>
      <c r="Q12" s="35">
        <f>+GETPIVOTDATA("XCB4",'cubi (2016)'!$A$3,"MA_HT","CLN","MA_QH","NKH")</f>
        <v>0</v>
      </c>
      <c r="R12" s="63">
        <f t="shared" si="2"/>
        <v>0</v>
      </c>
      <c r="S12" s="35">
        <f>+GETPIVOTDATA("XCB4",'cubi (2016)'!$A$3,"MA_HT","CLN","MA_QH","CQP")</f>
        <v>0</v>
      </c>
      <c r="T12" s="35">
        <f>+GETPIVOTDATA("XCB4",'cubi (2016)'!$A$3,"MA_HT","CLN","MA_QH","CAN")</f>
        <v>0</v>
      </c>
      <c r="U12" s="35">
        <f>+GETPIVOTDATA("XCB4",'cubi (2016)'!$A$3,"MA_HT","CLN","MA_QH","SKK")</f>
        <v>0</v>
      </c>
      <c r="V12" s="35">
        <f>+GETPIVOTDATA("XCB4",'cubi (2016)'!$A$3,"MA_HT","CLN","MA_QH","SKT")</f>
        <v>0</v>
      </c>
      <c r="W12" s="35">
        <f>+GETPIVOTDATA("XCB4",'cubi (2016)'!$A$3,"MA_HT","CLN","MA_QH","SKN")</f>
        <v>0</v>
      </c>
      <c r="X12" s="35">
        <f>+GETPIVOTDATA("XCB4",'cubi (2016)'!$A$3,"MA_HT","CLN","MA_QH","TMD")</f>
        <v>0</v>
      </c>
      <c r="Y12" s="35">
        <f>+GETPIVOTDATA("XCB4",'cubi (2016)'!$A$3,"MA_HT","CLN","MA_QH","SKC")</f>
        <v>0</v>
      </c>
      <c r="Z12" s="35">
        <f>+GETPIVOTDATA("XCB4",'cubi (2016)'!$A$3,"MA_HT","CLN","MA_QH","SKS")</f>
        <v>0</v>
      </c>
      <c r="AA12" s="64">
        <f t="shared" si="4"/>
        <v>0</v>
      </c>
      <c r="AB12" s="35">
        <f>+GETPIVOTDATA("XCB4",'cubi (2016)'!$A$3,"MA_HT","CLN","MA_QH","DGT")</f>
        <v>0</v>
      </c>
      <c r="AC12" s="35">
        <f>+GETPIVOTDATA("XCB4",'cubi (2016)'!$A$3,"MA_HT","CLN","MA_QH","DTL")</f>
        <v>0</v>
      </c>
      <c r="AD12" s="35">
        <f>+GETPIVOTDATA("XCB4",'cubi (2016)'!$A$3,"MA_HT","CLN","MA_QH","DNL")</f>
        <v>0</v>
      </c>
      <c r="AE12" s="35">
        <f>+GETPIVOTDATA("XCB4",'cubi (2016)'!$A$3,"MA_HT","CLN","MA_QH","DBV")</f>
        <v>0</v>
      </c>
      <c r="AF12" s="35">
        <f>+GETPIVOTDATA("XCB4",'cubi (2016)'!$A$3,"MA_HT","CLN","MA_QH","DVH")</f>
        <v>0</v>
      </c>
      <c r="AG12" s="35">
        <f>+GETPIVOTDATA("XCB4",'cubi (2016)'!$A$3,"MA_HT","CLN","MA_QH","DYT")</f>
        <v>0</v>
      </c>
      <c r="AH12" s="35">
        <f>+GETPIVOTDATA("XCB4",'cubi (2016)'!$A$3,"MA_HT","CLN","MA_QH","DGD")</f>
        <v>0</v>
      </c>
      <c r="AI12" s="35">
        <f>+GETPIVOTDATA("XCB4",'cubi (2016)'!$A$3,"MA_HT","CLN","MA_QH","DTT")</f>
        <v>0</v>
      </c>
      <c r="AJ12" s="35">
        <f>+GETPIVOTDATA("XCB4",'cubi (2016)'!$A$3,"MA_HT","CLN","MA_QH","NCK")</f>
        <v>0</v>
      </c>
      <c r="AK12" s="35">
        <f>+GETPIVOTDATA("XCB4",'cubi (2016)'!$A$3,"MA_HT","CLN","MA_QH","DXH")</f>
        <v>0</v>
      </c>
      <c r="AL12" s="35">
        <f>+GETPIVOTDATA("XCB4",'cubi (2016)'!$A$3,"MA_HT","CLN","MA_QH","DCH")</f>
        <v>0</v>
      </c>
      <c r="AM12" s="35">
        <f>+GETPIVOTDATA("XCB4",'cubi (2016)'!$A$3,"MA_HT","CLN","MA_QH","DKG")</f>
        <v>0</v>
      </c>
      <c r="AN12" s="35">
        <f>+GETPIVOTDATA("XCB4",'cubi (2016)'!$A$3,"MA_HT","CLN","MA_QH","DDT")</f>
        <v>0</v>
      </c>
      <c r="AO12" s="35">
        <f>+GETPIVOTDATA("XCB4",'cubi (2016)'!$A$3,"MA_HT","CLN","MA_QH","DDL")</f>
        <v>0</v>
      </c>
      <c r="AP12" s="35">
        <f>+GETPIVOTDATA("XCB4",'cubi (2016)'!$A$3,"MA_HT","CLN","MA_QH","DRA")</f>
        <v>0</v>
      </c>
      <c r="AQ12" s="35">
        <f>+GETPIVOTDATA("XCB4",'cubi (2016)'!$A$3,"MA_HT","CLN","MA_QH","ONT")</f>
        <v>0</v>
      </c>
      <c r="AR12" s="35">
        <f>+GETPIVOTDATA("XCB4",'cubi (2016)'!$A$3,"MA_HT","CLN","MA_QH","ODT")</f>
        <v>0</v>
      </c>
      <c r="AS12" s="35">
        <f>+GETPIVOTDATA("XCB4",'cubi (2016)'!$A$3,"MA_HT","CLN","MA_QH","TSC")</f>
        <v>0</v>
      </c>
      <c r="AT12" s="35">
        <f>+GETPIVOTDATA("XCB4",'cubi (2016)'!$A$3,"MA_HT","CLN","MA_QH","DTS")</f>
        <v>0</v>
      </c>
      <c r="AU12" s="35">
        <f>+GETPIVOTDATA("XCB4",'cubi (2016)'!$A$3,"MA_HT","CLN","MA_QH","DNG")</f>
        <v>0</v>
      </c>
      <c r="AV12" s="35">
        <f>+GETPIVOTDATA("XCB4",'cubi (2016)'!$A$3,"MA_HT","CLN","MA_QH","TON")</f>
        <v>0</v>
      </c>
      <c r="AW12" s="35">
        <f>+GETPIVOTDATA("XCB4",'cubi (2016)'!$A$3,"MA_HT","CLN","MA_QH","NTD")</f>
        <v>0</v>
      </c>
      <c r="AX12" s="35">
        <f>+GETPIVOTDATA("XCB4",'cubi (2016)'!$A$3,"MA_HT","CLN","MA_QH","SKX")</f>
        <v>0</v>
      </c>
      <c r="AY12" s="35">
        <f>+GETPIVOTDATA("XCB4",'cubi (2016)'!$A$3,"MA_HT","CLN","MA_QH","DSH")</f>
        <v>0</v>
      </c>
      <c r="AZ12" s="35">
        <f>+GETPIVOTDATA("XCB4",'cubi (2016)'!$A$3,"MA_HT","CLN","MA_QH","DKV")</f>
        <v>0</v>
      </c>
      <c r="BA12" s="140">
        <f>+GETPIVOTDATA("XCB4",'cubi (2016)'!$A$3,"MA_HT","CLN","MA_QH","TIN")</f>
        <v>0</v>
      </c>
      <c r="BB12" s="74">
        <f>+GETPIVOTDATA("XCB4",'cubi (2016)'!$A$3,"MA_HT","CLN","MA_QH","SON")</f>
        <v>0</v>
      </c>
      <c r="BC12" s="74">
        <f>+GETPIVOTDATA("XCB4",'cubi (2016)'!$A$3,"MA_HT","CLN","MA_QH","MNC")</f>
        <v>0</v>
      </c>
      <c r="BD12" s="35">
        <f>+GETPIVOTDATA("XCB4",'cubi (2016)'!$A$3,"MA_HT","CLN","MA_QH","PNK")</f>
        <v>0</v>
      </c>
      <c r="BE12" s="58">
        <f>+GETPIVOTDATA("XCB4",'cubi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+GETPIVOTDATA("XCB4",'cubi (2016)'!$A$3,"MA_HT","RSX","MA_QH","LUC")</f>
        <v>0</v>
      </c>
      <c r="H13" s="35">
        <f>+GETPIVOTDATA("XCB4",'cubi (2016)'!$A$3,"MA_HT","RSX","MA_QH","LUK")</f>
        <v>0</v>
      </c>
      <c r="I13" s="35">
        <f>+GETPIVOTDATA("XCB4",'cubi (2016)'!$A$3,"MA_HT","RSX","MA_QH","LUN")</f>
        <v>0</v>
      </c>
      <c r="J13" s="35">
        <f>+GETPIVOTDATA("XCB4",'cubi (2016)'!$A$3,"MA_HT","RSX","MA_QH","HNK")</f>
        <v>0</v>
      </c>
      <c r="K13" s="35">
        <f>+GETPIVOTDATA("XCB4",'cubi (2016)'!$A$3,"MA_HT","RSX","MA_QH","CLN")</f>
        <v>0</v>
      </c>
      <c r="L13" s="99" t="e">
        <f>$D13-$BF13</f>
        <v>#REF!</v>
      </c>
      <c r="M13" s="35">
        <f>+GETPIVOTDATA("XCB4",'cubi (2016)'!$A$3,"MA_HT","RSX","MA_QH","RPH")</f>
        <v>0</v>
      </c>
      <c r="N13" s="35">
        <f>+GETPIVOTDATA("XCB4",'cubi (2016)'!$A$3,"MA_HT","RSX","MA_QH","RDD")</f>
        <v>0</v>
      </c>
      <c r="O13" s="35">
        <f>+GETPIVOTDATA("XCB4",'cubi (2016)'!$A$3,"MA_HT","RSX","MA_QH","NTS")</f>
        <v>0</v>
      </c>
      <c r="P13" s="35">
        <f>+GETPIVOTDATA("XCB4",'cubi (2016)'!$A$3,"MA_HT","RSX","MA_QH","LMU")</f>
        <v>0</v>
      </c>
      <c r="Q13" s="35">
        <f>+GETPIVOTDATA("XCB4",'cubi (2016)'!$A$3,"MA_HT","RSX","MA_QH","NKH")</f>
        <v>0</v>
      </c>
      <c r="R13" s="63">
        <f t="shared" si="2"/>
        <v>0</v>
      </c>
      <c r="S13" s="35">
        <f>+GETPIVOTDATA("XCB4",'cubi (2016)'!$A$3,"MA_HT","RSX","MA_QH","CQP")</f>
        <v>0</v>
      </c>
      <c r="T13" s="35">
        <f>+GETPIVOTDATA("XCB4",'cubi (2016)'!$A$3,"MA_HT","RSX","MA_QH","CAN")</f>
        <v>0</v>
      </c>
      <c r="U13" s="35">
        <f>+GETPIVOTDATA("XCB4",'cubi (2016)'!$A$3,"MA_HT","RSX","MA_QH","SKK")</f>
        <v>0</v>
      </c>
      <c r="V13" s="35">
        <f>+GETPIVOTDATA("XCB4",'cubi (2016)'!$A$3,"MA_HT","RSX","MA_QH","SKT")</f>
        <v>0</v>
      </c>
      <c r="W13" s="35">
        <f>+GETPIVOTDATA("XCB4",'cubi (2016)'!$A$3,"MA_HT","RSX","MA_QH","SKN")</f>
        <v>0</v>
      </c>
      <c r="X13" s="35">
        <f>+GETPIVOTDATA("XCB4",'cubi (2016)'!$A$3,"MA_HT","RSX","MA_QH","TMD")</f>
        <v>0</v>
      </c>
      <c r="Y13" s="35">
        <f>+GETPIVOTDATA("XCB4",'cubi (2016)'!$A$3,"MA_HT","RSX","MA_QH","SKC")</f>
        <v>0</v>
      </c>
      <c r="Z13" s="35">
        <f>+GETPIVOTDATA("XCB4",'cubi (2016)'!$A$3,"MA_HT","RSX","MA_QH","SKS")</f>
        <v>0</v>
      </c>
      <c r="AA13" s="64">
        <f t="shared" si="4"/>
        <v>0</v>
      </c>
      <c r="AB13" s="35">
        <f>+GETPIVOTDATA("XCB4",'cubi (2016)'!$A$3,"MA_HT","RSX","MA_QH","DGT")</f>
        <v>0</v>
      </c>
      <c r="AC13" s="35">
        <f>+GETPIVOTDATA("XCB4",'cubi (2016)'!$A$3,"MA_HT","RSX","MA_QH","DTL")</f>
        <v>0</v>
      </c>
      <c r="AD13" s="35">
        <f>+GETPIVOTDATA("XCB4",'cubi (2016)'!$A$3,"MA_HT","RSX","MA_QH","DNL")</f>
        <v>0</v>
      </c>
      <c r="AE13" s="35">
        <f>+GETPIVOTDATA("XCB4",'cubi (2016)'!$A$3,"MA_HT","RSX","MA_QH","DBV")</f>
        <v>0</v>
      </c>
      <c r="AF13" s="35">
        <f>+GETPIVOTDATA("XCB4",'cubi (2016)'!$A$3,"MA_HT","RSX","MA_QH","DVH")</f>
        <v>0</v>
      </c>
      <c r="AG13" s="35">
        <f>+GETPIVOTDATA("XCB4",'cubi (2016)'!$A$3,"MA_HT","RSX","MA_QH","DYT")</f>
        <v>0</v>
      </c>
      <c r="AH13" s="35">
        <f>+GETPIVOTDATA("XCB4",'cubi (2016)'!$A$3,"MA_HT","RSX","MA_QH","DGD")</f>
        <v>0</v>
      </c>
      <c r="AI13" s="35">
        <f>+GETPIVOTDATA("XCB4",'cubi (2016)'!$A$3,"MA_HT","RSX","MA_QH","DTT")</f>
        <v>0</v>
      </c>
      <c r="AJ13" s="35">
        <f>+GETPIVOTDATA("XCB4",'cubi (2016)'!$A$3,"MA_HT","RSX","MA_QH","NCK")</f>
        <v>0</v>
      </c>
      <c r="AK13" s="35">
        <f>+GETPIVOTDATA("XCB4",'cubi (2016)'!$A$3,"MA_HT","RSX","MA_QH","DXH")</f>
        <v>0</v>
      </c>
      <c r="AL13" s="35">
        <f>+GETPIVOTDATA("XCB4",'cubi (2016)'!$A$3,"MA_HT","RSX","MA_QH","DCH")</f>
        <v>0</v>
      </c>
      <c r="AM13" s="35">
        <f>+GETPIVOTDATA("XCB4",'cubi (2016)'!$A$3,"MA_HT","RSX","MA_QH","DKG")</f>
        <v>0</v>
      </c>
      <c r="AN13" s="35">
        <f>+GETPIVOTDATA("XCB4",'cubi (2016)'!$A$3,"MA_HT","RSX","MA_QH","DDT")</f>
        <v>0</v>
      </c>
      <c r="AO13" s="35">
        <f>+GETPIVOTDATA("XCB4",'cubi (2016)'!$A$3,"MA_HT","RSX","MA_QH","DDL")</f>
        <v>0</v>
      </c>
      <c r="AP13" s="35">
        <f>+GETPIVOTDATA("XCB4",'cubi (2016)'!$A$3,"MA_HT","RSX","MA_QH","DRA")</f>
        <v>0</v>
      </c>
      <c r="AQ13" s="35">
        <f>+GETPIVOTDATA("XCB4",'cubi (2016)'!$A$3,"MA_HT","RSX","MA_QH","ONT")</f>
        <v>0</v>
      </c>
      <c r="AR13" s="35">
        <f>+GETPIVOTDATA("XCB4",'cubi (2016)'!$A$3,"MA_HT","RSX","MA_QH","ODT")</f>
        <v>0</v>
      </c>
      <c r="AS13" s="35">
        <f>+GETPIVOTDATA("XCB4",'cubi (2016)'!$A$3,"MA_HT","RSX","MA_QH","TSC")</f>
        <v>0</v>
      </c>
      <c r="AT13" s="35">
        <f>+GETPIVOTDATA("XCB4",'cubi (2016)'!$A$3,"MA_HT","RSX","MA_QH","DTS")</f>
        <v>0</v>
      </c>
      <c r="AU13" s="35">
        <f>+GETPIVOTDATA("XCB4",'cubi (2016)'!$A$3,"MA_HT","RSX","MA_QH","DNG")</f>
        <v>0</v>
      </c>
      <c r="AV13" s="35">
        <f>+GETPIVOTDATA("XCB4",'cubi (2016)'!$A$3,"MA_HT","RSX","MA_QH","TON")</f>
        <v>0</v>
      </c>
      <c r="AW13" s="35">
        <f>+GETPIVOTDATA("XCB4",'cubi (2016)'!$A$3,"MA_HT","RSX","MA_QH","NTD")</f>
        <v>0</v>
      </c>
      <c r="AX13" s="35">
        <f>+GETPIVOTDATA("XCB4",'cubi (2016)'!$A$3,"MA_HT","RSX","MA_QH","SKX")</f>
        <v>0</v>
      </c>
      <c r="AY13" s="35">
        <f>+GETPIVOTDATA("XCB4",'cubi (2016)'!$A$3,"MA_HT","RSX","MA_QH","DSH")</f>
        <v>0</v>
      </c>
      <c r="AZ13" s="35">
        <f>+GETPIVOTDATA("XCB4",'cubi (2016)'!$A$3,"MA_HT","RSX","MA_QH","DKV")</f>
        <v>0</v>
      </c>
      <c r="BA13" s="140">
        <f>+GETPIVOTDATA("XCB4",'cubi (2016)'!$A$3,"MA_HT","RSX","MA_QH","TIN")</f>
        <v>0</v>
      </c>
      <c r="BB13" s="74">
        <f>+GETPIVOTDATA("XCB4",'cubi (2016)'!$A$3,"MA_HT","RSX","MA_QH","SON")</f>
        <v>0</v>
      </c>
      <c r="BC13" s="74">
        <f>+GETPIVOTDATA("XCB4",'cubi (2016)'!$A$3,"MA_HT","RSX","MA_QH","MNC")</f>
        <v>0</v>
      </c>
      <c r="BD13" s="35">
        <f>+GETPIVOTDATA("XCB4",'cubi (2016)'!$A$3,"MA_HT","RSX","MA_QH","PNK")</f>
        <v>0</v>
      </c>
      <c r="BE13" s="58">
        <f>+GETPIVOTDATA("XCB4",'cubi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+GETPIVOTDATA("XCB4",'cubi (2016)'!$A$3,"MA_HT","RPH","MA_QH","LUC")</f>
        <v>0</v>
      </c>
      <c r="H14" s="35">
        <f>+GETPIVOTDATA("XCB4",'cubi (2016)'!$A$3,"MA_HT","RPH","MA_QH","LUK")</f>
        <v>0</v>
      </c>
      <c r="I14" s="35">
        <f>+GETPIVOTDATA("XCB4",'cubi (2016)'!$A$3,"MA_HT","RPH","MA_QH","LUN")</f>
        <v>0</v>
      </c>
      <c r="J14" s="35">
        <f>+GETPIVOTDATA("XCB4",'cubi (2016)'!$A$3,"MA_HT","RPH","MA_QH","HNK")</f>
        <v>0</v>
      </c>
      <c r="K14" s="35">
        <f>+GETPIVOTDATA("XCB4",'cubi (2016)'!$A$3,"MA_HT","RPH","MA_QH","CLN")</f>
        <v>0</v>
      </c>
      <c r="L14" s="35">
        <f>+GETPIVOTDATA("XCB4",'cubi (2016)'!$A$3,"MA_HT","RPH","MA_QH","RSX")</f>
        <v>0</v>
      </c>
      <c r="M14" s="99" t="e">
        <f>$D14-$BF14</f>
        <v>#REF!</v>
      </c>
      <c r="N14" s="35">
        <f>+GETPIVOTDATA("XCB4",'cubi (2016)'!$A$3,"MA_HT","RPH","MA_QH","RDD")</f>
        <v>0</v>
      </c>
      <c r="O14" s="35">
        <f>+GETPIVOTDATA("XCB4",'cubi (2016)'!$A$3,"MA_HT","RPH","MA_QH","NTS")</f>
        <v>0</v>
      </c>
      <c r="P14" s="35">
        <f>+GETPIVOTDATA("XCB4",'cubi (2016)'!$A$3,"MA_HT","RPH","MA_QH","LMU")</f>
        <v>0</v>
      </c>
      <c r="Q14" s="35">
        <f>+GETPIVOTDATA("XCB4",'cubi (2016)'!$A$3,"MA_HT","RPH","MA_QH","NKH")</f>
        <v>0</v>
      </c>
      <c r="R14" s="63">
        <f t="shared" si="2"/>
        <v>0</v>
      </c>
      <c r="S14" s="35">
        <f>+GETPIVOTDATA("XCB4",'cubi (2016)'!$A$3,"MA_HT","RPH","MA_QH","CQP")</f>
        <v>0</v>
      </c>
      <c r="T14" s="35">
        <f>+GETPIVOTDATA("XCB4",'cubi (2016)'!$A$3,"MA_HT","RPH","MA_QH","CAN")</f>
        <v>0</v>
      </c>
      <c r="U14" s="35">
        <f>+GETPIVOTDATA("XCB4",'cubi (2016)'!$A$3,"MA_HT","RPH","MA_QH","SKK")</f>
        <v>0</v>
      </c>
      <c r="V14" s="35">
        <f>+GETPIVOTDATA("XCB4",'cubi (2016)'!$A$3,"MA_HT","RPH","MA_QH","SKT")</f>
        <v>0</v>
      </c>
      <c r="W14" s="35">
        <f>+GETPIVOTDATA("XCB4",'cubi (2016)'!$A$3,"MA_HT","RPH","MA_QH","SKN")</f>
        <v>0</v>
      </c>
      <c r="X14" s="35">
        <f>+GETPIVOTDATA("XCB4",'cubi (2016)'!$A$3,"MA_HT","RPH","MA_QH","TMD")</f>
        <v>0</v>
      </c>
      <c r="Y14" s="35">
        <f>+GETPIVOTDATA("XCB4",'cubi (2016)'!$A$3,"MA_HT","RPH","MA_QH","SKC")</f>
        <v>0</v>
      </c>
      <c r="Z14" s="35">
        <f>+GETPIVOTDATA("XCB4",'cubi (2016)'!$A$3,"MA_HT","RPH","MA_QH","SKS")</f>
        <v>0</v>
      </c>
      <c r="AA14" s="64">
        <f t="shared" si="4"/>
        <v>0</v>
      </c>
      <c r="AB14" s="35">
        <f>+GETPIVOTDATA("XCB4",'cubi (2016)'!$A$3,"MA_HT","RPH","MA_QH","DGT")</f>
        <v>0</v>
      </c>
      <c r="AC14" s="35">
        <f>+GETPIVOTDATA("XCB4",'cubi (2016)'!$A$3,"MA_HT","RPH","MA_QH","DTL")</f>
        <v>0</v>
      </c>
      <c r="AD14" s="35">
        <f>+GETPIVOTDATA("XCB4",'cubi (2016)'!$A$3,"MA_HT","RPH","MA_QH","DNL")</f>
        <v>0</v>
      </c>
      <c r="AE14" s="35">
        <f>+GETPIVOTDATA("XCB4",'cubi (2016)'!$A$3,"MA_HT","RPH","MA_QH","DBV")</f>
        <v>0</v>
      </c>
      <c r="AF14" s="35">
        <f>+GETPIVOTDATA("XCB4",'cubi (2016)'!$A$3,"MA_HT","RPH","MA_QH","DVH")</f>
        <v>0</v>
      </c>
      <c r="AG14" s="35">
        <f>+GETPIVOTDATA("XCB4",'cubi (2016)'!$A$3,"MA_HT","RPH","MA_QH","DYT")</f>
        <v>0</v>
      </c>
      <c r="AH14" s="35">
        <f>+GETPIVOTDATA("XCB4",'cubi (2016)'!$A$3,"MA_HT","RPH","MA_QH","DGD")</f>
        <v>0</v>
      </c>
      <c r="AI14" s="35">
        <f>+GETPIVOTDATA("XCB4",'cubi (2016)'!$A$3,"MA_HT","RPH","MA_QH","DTT")</f>
        <v>0</v>
      </c>
      <c r="AJ14" s="35">
        <f>+GETPIVOTDATA("XCB4",'cubi (2016)'!$A$3,"MA_HT","RPH","MA_QH","NCK")</f>
        <v>0</v>
      </c>
      <c r="AK14" s="35">
        <f>+GETPIVOTDATA("XCB4",'cubi (2016)'!$A$3,"MA_HT","RPH","MA_QH","DXH")</f>
        <v>0</v>
      </c>
      <c r="AL14" s="35">
        <f>+GETPIVOTDATA("XCB4",'cubi (2016)'!$A$3,"MA_HT","RPH","MA_QH","DCH")</f>
        <v>0</v>
      </c>
      <c r="AM14" s="35">
        <f>+GETPIVOTDATA("XCB4",'cubi (2016)'!$A$3,"MA_HT","RPH","MA_QH","DKG")</f>
        <v>0</v>
      </c>
      <c r="AN14" s="35">
        <f>+GETPIVOTDATA("XCB4",'cubi (2016)'!$A$3,"MA_HT","RPH","MA_QH","DDT")</f>
        <v>0</v>
      </c>
      <c r="AO14" s="35">
        <f>+GETPIVOTDATA("XCB4",'cubi (2016)'!$A$3,"MA_HT","RPH","MA_QH","DDL")</f>
        <v>0</v>
      </c>
      <c r="AP14" s="35">
        <f>+GETPIVOTDATA("XCB4",'cubi (2016)'!$A$3,"MA_HT","RPH","MA_QH","DRA")</f>
        <v>0</v>
      </c>
      <c r="AQ14" s="35">
        <f>+GETPIVOTDATA("XCB4",'cubi (2016)'!$A$3,"MA_HT","RPH","MA_QH","ONT")</f>
        <v>0</v>
      </c>
      <c r="AR14" s="35">
        <f>+GETPIVOTDATA("XCB4",'cubi (2016)'!$A$3,"MA_HT","RPH","MA_QH","ODT")</f>
        <v>0</v>
      </c>
      <c r="AS14" s="35">
        <f>+GETPIVOTDATA("XCB4",'cubi (2016)'!$A$3,"MA_HT","RPH","MA_QH","TSC")</f>
        <v>0</v>
      </c>
      <c r="AT14" s="35">
        <f>+GETPIVOTDATA("XCB4",'cubi (2016)'!$A$3,"MA_HT","RPH","MA_QH","DTS")</f>
        <v>0</v>
      </c>
      <c r="AU14" s="35">
        <f>+GETPIVOTDATA("XCB4",'cubi (2016)'!$A$3,"MA_HT","RPH","MA_QH","DNG")</f>
        <v>0</v>
      </c>
      <c r="AV14" s="35">
        <f>+GETPIVOTDATA("XCB4",'cubi (2016)'!$A$3,"MA_HT","RPH","MA_QH","TON")</f>
        <v>0</v>
      </c>
      <c r="AW14" s="35">
        <f>+GETPIVOTDATA("XCB4",'cubi (2016)'!$A$3,"MA_HT","RPH","MA_QH","NTD")</f>
        <v>0</v>
      </c>
      <c r="AX14" s="35">
        <f>+GETPIVOTDATA("XCB4",'cubi (2016)'!$A$3,"MA_HT","RPH","MA_QH","SKX")</f>
        <v>0</v>
      </c>
      <c r="AY14" s="35">
        <f>+GETPIVOTDATA("XCB4",'cubi (2016)'!$A$3,"MA_HT","RPH","MA_QH","DSH")</f>
        <v>0</v>
      </c>
      <c r="AZ14" s="35">
        <f>+GETPIVOTDATA("XCB4",'cubi (2016)'!$A$3,"MA_HT","RPH","MA_QH","DKV")</f>
        <v>0</v>
      </c>
      <c r="BA14" s="140">
        <f>+GETPIVOTDATA("XCB4",'cubi (2016)'!$A$3,"MA_HT","RPH","MA_QH","TIN")</f>
        <v>0</v>
      </c>
      <c r="BB14" s="74">
        <f>+GETPIVOTDATA("XCB4",'cubi (2016)'!$A$3,"MA_HT","RPH","MA_QH","SON")</f>
        <v>0</v>
      </c>
      <c r="BC14" s="74">
        <f>+GETPIVOTDATA("XCB4",'cubi (2016)'!$A$3,"MA_HT","RPH","MA_QH","MNC")</f>
        <v>0</v>
      </c>
      <c r="BD14" s="35">
        <f>+GETPIVOTDATA("XCB4",'cubi (2016)'!$A$3,"MA_HT","RPH","MA_QH","PNK")</f>
        <v>0</v>
      </c>
      <c r="BE14" s="58">
        <f>+GETPIVOTDATA("XCB4",'cubi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+GETPIVOTDATA("XCB4",'cubi (2016)'!$A$3,"MA_HT","RDD","MA_QH","LUC")</f>
        <v>0</v>
      </c>
      <c r="H15" s="35">
        <f>+GETPIVOTDATA("XCB4",'cubi (2016)'!$A$3,"MA_HT","RDD","MA_QH","LUK")</f>
        <v>0</v>
      </c>
      <c r="I15" s="35">
        <f>+GETPIVOTDATA("XCB4",'cubi (2016)'!$A$3,"MA_HT","RDD","MA_QH","LUN")</f>
        <v>0</v>
      </c>
      <c r="J15" s="35">
        <f>+GETPIVOTDATA("XCB4",'cubi (2016)'!$A$3,"MA_HT","RDD","MA_QH","HNK")</f>
        <v>0</v>
      </c>
      <c r="K15" s="35">
        <f>+GETPIVOTDATA("XCB4",'cubi (2016)'!$A$3,"MA_HT","RDD","MA_QH","CLN")</f>
        <v>0</v>
      </c>
      <c r="L15" s="35">
        <f>+GETPIVOTDATA("XCB4",'cubi (2016)'!$A$3,"MA_HT","RDD","MA_QH","RSX")</f>
        <v>0</v>
      </c>
      <c r="M15" s="35">
        <f>+GETPIVOTDATA("XCB4",'cubi (2016)'!$A$3,"MA_HT","RDD","MA_QH","RPH")</f>
        <v>0</v>
      </c>
      <c r="N15" s="99" t="e">
        <f>$D15-$BF15</f>
        <v>#REF!</v>
      </c>
      <c r="O15" s="35">
        <f>+GETPIVOTDATA("XCB4",'cubi (2016)'!$A$3,"MA_HT","RDD","MA_QH","NTS")</f>
        <v>0</v>
      </c>
      <c r="P15" s="35">
        <f>+GETPIVOTDATA("XCB4",'cubi (2016)'!$A$3,"MA_HT","RDD","MA_QH","LMU")</f>
        <v>0</v>
      </c>
      <c r="Q15" s="35">
        <f>+GETPIVOTDATA("XCB4",'cubi (2016)'!$A$3,"MA_HT","RDD","MA_QH","NKH")</f>
        <v>0</v>
      </c>
      <c r="R15" s="63">
        <f t="shared" si="2"/>
        <v>0</v>
      </c>
      <c r="S15" s="35">
        <f>+GETPIVOTDATA("XCB4",'cubi (2016)'!$A$3,"MA_HT","RDD","MA_QH","CQP")</f>
        <v>0</v>
      </c>
      <c r="T15" s="35">
        <f>+GETPIVOTDATA("XCB4",'cubi (2016)'!$A$3,"MA_HT","RDD","MA_QH","CAN")</f>
        <v>0</v>
      </c>
      <c r="U15" s="35">
        <f>+GETPIVOTDATA("XCB4",'cubi (2016)'!$A$3,"MA_HT","RDD","MA_QH","SKK")</f>
        <v>0</v>
      </c>
      <c r="V15" s="35">
        <f>+GETPIVOTDATA("XCB4",'cubi (2016)'!$A$3,"MA_HT","RDD","MA_QH","SKT")</f>
        <v>0</v>
      </c>
      <c r="W15" s="35">
        <f>+GETPIVOTDATA("XCB4",'cubi (2016)'!$A$3,"MA_HT","RDD","MA_QH","SKN")</f>
        <v>0</v>
      </c>
      <c r="X15" s="35">
        <f>+GETPIVOTDATA("XCB4",'cubi (2016)'!$A$3,"MA_HT","RDD","MA_QH","TMD")</f>
        <v>0</v>
      </c>
      <c r="Y15" s="35">
        <f>+GETPIVOTDATA("XCB4",'cubi (2016)'!$A$3,"MA_HT","RDD","MA_QH","SKC")</f>
        <v>0</v>
      </c>
      <c r="Z15" s="35">
        <f>+GETPIVOTDATA("XCB4",'cubi (2016)'!$A$3,"MA_HT","RDD","MA_QH","SKS")</f>
        <v>0</v>
      </c>
      <c r="AA15" s="64">
        <f t="shared" si="4"/>
        <v>0</v>
      </c>
      <c r="AB15" s="35">
        <f>+GETPIVOTDATA("XCB4",'cubi (2016)'!$A$3,"MA_HT","RDD","MA_QH","DGT")</f>
        <v>0</v>
      </c>
      <c r="AC15" s="35">
        <f>+GETPIVOTDATA("XCB4",'cubi (2016)'!$A$3,"MA_HT","RDD","MA_QH","DTL")</f>
        <v>0</v>
      </c>
      <c r="AD15" s="35">
        <f>+GETPIVOTDATA("XCB4",'cubi (2016)'!$A$3,"MA_HT","RDD","MA_QH","DNL")</f>
        <v>0</v>
      </c>
      <c r="AE15" s="35">
        <f>+GETPIVOTDATA("XCB4",'cubi (2016)'!$A$3,"MA_HT","RDD","MA_QH","DBV")</f>
        <v>0</v>
      </c>
      <c r="AF15" s="35">
        <f>+GETPIVOTDATA("XCB4",'cubi (2016)'!$A$3,"MA_HT","RDD","MA_QH","DVH")</f>
        <v>0</v>
      </c>
      <c r="AG15" s="35">
        <f>+GETPIVOTDATA("XCB4",'cubi (2016)'!$A$3,"MA_HT","RDD","MA_QH","DYT")</f>
        <v>0</v>
      </c>
      <c r="AH15" s="35">
        <f>+GETPIVOTDATA("XCB4",'cubi (2016)'!$A$3,"MA_HT","RDD","MA_QH","DGD")</f>
        <v>0</v>
      </c>
      <c r="AI15" s="35">
        <f>+GETPIVOTDATA("XCB4",'cubi (2016)'!$A$3,"MA_HT","RDD","MA_QH","DTT")</f>
        <v>0</v>
      </c>
      <c r="AJ15" s="35">
        <f>+GETPIVOTDATA("XCB4",'cubi (2016)'!$A$3,"MA_HT","RDD","MA_QH","NCK")</f>
        <v>0</v>
      </c>
      <c r="AK15" s="35">
        <f>+GETPIVOTDATA("XCB4",'cubi (2016)'!$A$3,"MA_HT","RDD","MA_QH","DXH")</f>
        <v>0</v>
      </c>
      <c r="AL15" s="35">
        <f>+GETPIVOTDATA("XCB4",'cubi (2016)'!$A$3,"MA_HT","RDD","MA_QH","DCH")</f>
        <v>0</v>
      </c>
      <c r="AM15" s="35">
        <f>+GETPIVOTDATA("XCB4",'cubi (2016)'!$A$3,"MA_HT","RDD","MA_QH","DKG")</f>
        <v>0</v>
      </c>
      <c r="AN15" s="35">
        <f>+GETPIVOTDATA("XCB4",'cubi (2016)'!$A$3,"MA_HT","RDD","MA_QH","DDT")</f>
        <v>0</v>
      </c>
      <c r="AO15" s="35">
        <f>+GETPIVOTDATA("XCB4",'cubi (2016)'!$A$3,"MA_HT","RDD","MA_QH","DDL")</f>
        <v>0</v>
      </c>
      <c r="AP15" s="35">
        <f>+GETPIVOTDATA("XCB4",'cubi (2016)'!$A$3,"MA_HT","RDD","MA_QH","DRA")</f>
        <v>0</v>
      </c>
      <c r="AQ15" s="35">
        <f>+GETPIVOTDATA("XCB4",'cubi (2016)'!$A$3,"MA_HT","RDD","MA_QH","ONT")</f>
        <v>0</v>
      </c>
      <c r="AR15" s="35">
        <f>+GETPIVOTDATA("XCB4",'cubi (2016)'!$A$3,"MA_HT","RDD","MA_QH","ODT")</f>
        <v>0</v>
      </c>
      <c r="AS15" s="35">
        <f>+GETPIVOTDATA("XCB4",'cubi (2016)'!$A$3,"MA_HT","RDD","MA_QH","TSC")</f>
        <v>0</v>
      </c>
      <c r="AT15" s="35">
        <f>+GETPIVOTDATA("XCB4",'cubi (2016)'!$A$3,"MA_HT","RDD","MA_QH","DTS")</f>
        <v>0</v>
      </c>
      <c r="AU15" s="35">
        <f>+GETPIVOTDATA("XCB4",'cubi (2016)'!$A$3,"MA_HT","RDD","MA_QH","DNG")</f>
        <v>0</v>
      </c>
      <c r="AV15" s="35">
        <f>+GETPIVOTDATA("XCB4",'cubi (2016)'!$A$3,"MA_HT","RDD","MA_QH","TON")</f>
        <v>0</v>
      </c>
      <c r="AW15" s="35">
        <f>+GETPIVOTDATA("XCB4",'cubi (2016)'!$A$3,"MA_HT","RDD","MA_QH","NTD")</f>
        <v>0</v>
      </c>
      <c r="AX15" s="35">
        <f>+GETPIVOTDATA("XCB4",'cubi (2016)'!$A$3,"MA_HT","RDD","MA_QH","SKX")</f>
        <v>0</v>
      </c>
      <c r="AY15" s="35">
        <f>+GETPIVOTDATA("XCB4",'cubi (2016)'!$A$3,"MA_HT","RDD","MA_QH","DSH")</f>
        <v>0</v>
      </c>
      <c r="AZ15" s="35">
        <f>+GETPIVOTDATA("XCB4",'cubi (2016)'!$A$3,"MA_HT","RDD","MA_QH","DKV")</f>
        <v>0</v>
      </c>
      <c r="BA15" s="140">
        <f>+GETPIVOTDATA("XCB4",'cubi (2016)'!$A$3,"MA_HT","RDD","MA_QH","TIN")</f>
        <v>0</v>
      </c>
      <c r="BB15" s="74">
        <f>+GETPIVOTDATA("XCB4",'cubi (2016)'!$A$3,"MA_HT","RDD","MA_QH","SON")</f>
        <v>0</v>
      </c>
      <c r="BC15" s="74">
        <f>+GETPIVOTDATA("XCB4",'cubi (2016)'!$A$3,"MA_HT","RDD","MA_QH","MNC")</f>
        <v>0</v>
      </c>
      <c r="BD15" s="35">
        <f>+GETPIVOTDATA("XCB4",'cubi (2016)'!$A$3,"MA_HT","RDD","MA_QH","PNK")</f>
        <v>0</v>
      </c>
      <c r="BE15" s="58">
        <f>+GETPIVOTDATA("XCB4",'cubi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+GETPIVOTDATA("XCB4",'cubi (2016)'!$A$3,"MA_HT","NTS","MA_QH","LUC")</f>
        <v>0</v>
      </c>
      <c r="H16" s="35">
        <f>+GETPIVOTDATA("XCB4",'cubi (2016)'!$A$3,"MA_HT","NTS","MA_QH","LUK")</f>
        <v>0</v>
      </c>
      <c r="I16" s="35">
        <f>+GETPIVOTDATA("XCB4",'cubi (2016)'!$A$3,"MA_HT","NTS","MA_QH","LUN")</f>
        <v>0</v>
      </c>
      <c r="J16" s="35">
        <f>+GETPIVOTDATA("XCB4",'cubi (2016)'!$A$3,"MA_HT","NTS","MA_QH","HNK")</f>
        <v>0</v>
      </c>
      <c r="K16" s="35">
        <f>+GETPIVOTDATA("XCB4",'cubi (2016)'!$A$3,"MA_HT","NTS","MA_QH","CLN")</f>
        <v>0</v>
      </c>
      <c r="L16" s="35">
        <f>+GETPIVOTDATA("XCB4",'cubi (2016)'!$A$3,"MA_HT","NTS","MA_QH","RSX")</f>
        <v>0</v>
      </c>
      <c r="M16" s="35">
        <f>+GETPIVOTDATA("XCB4",'cubi (2016)'!$A$3,"MA_HT","NTS","MA_QH","RPH")</f>
        <v>0</v>
      </c>
      <c r="N16" s="35">
        <f>+GETPIVOTDATA("XCB4",'cubi (2016)'!$A$3,"MA_HT","NTS","MA_QH","RDD")</f>
        <v>0</v>
      </c>
      <c r="O16" s="99" t="e">
        <f>$D16-$BF16</f>
        <v>#REF!</v>
      </c>
      <c r="P16" s="35">
        <f>+GETPIVOTDATA("XCB4",'cubi (2016)'!$A$3,"MA_HT","NTS","MA_QH","LMU")</f>
        <v>0</v>
      </c>
      <c r="Q16" s="35">
        <f>+GETPIVOTDATA("XCB4",'cubi (2016)'!$A$3,"MA_HT","NTS","MA_QH","NKH")</f>
        <v>0</v>
      </c>
      <c r="R16" s="63">
        <f t="shared" si="2"/>
        <v>0</v>
      </c>
      <c r="S16" s="35">
        <f>+GETPIVOTDATA("XCB4",'cubi (2016)'!$A$3,"MA_HT","NTS","MA_QH","CQP")</f>
        <v>0</v>
      </c>
      <c r="T16" s="35">
        <f>+GETPIVOTDATA("XCB4",'cubi (2016)'!$A$3,"MA_HT","NTS","MA_QH","CAN")</f>
        <v>0</v>
      </c>
      <c r="U16" s="35">
        <f>+GETPIVOTDATA("XCB4",'cubi (2016)'!$A$3,"MA_HT","NTS","MA_QH","SKK")</f>
        <v>0</v>
      </c>
      <c r="V16" s="35">
        <f>+GETPIVOTDATA("XCB4",'cubi (2016)'!$A$3,"MA_HT","NTS","MA_QH","SKT")</f>
        <v>0</v>
      </c>
      <c r="W16" s="35">
        <f>+GETPIVOTDATA("XCB4",'cubi (2016)'!$A$3,"MA_HT","NTS","MA_QH","SKN")</f>
        <v>0</v>
      </c>
      <c r="X16" s="35">
        <f>+GETPIVOTDATA("XCB4",'cubi (2016)'!$A$3,"MA_HT","NTS","MA_QH","TMD")</f>
        <v>0</v>
      </c>
      <c r="Y16" s="35">
        <f>+GETPIVOTDATA("XCB4",'cubi (2016)'!$A$3,"MA_HT","NTS","MA_QH","SKC")</f>
        <v>0</v>
      </c>
      <c r="Z16" s="35">
        <f>+GETPIVOTDATA("XCB4",'cubi (2016)'!$A$3,"MA_HT","NTS","MA_QH","SKS")</f>
        <v>0</v>
      </c>
      <c r="AA16" s="64">
        <f t="shared" si="4"/>
        <v>0</v>
      </c>
      <c r="AB16" s="35">
        <f>+GETPIVOTDATA("XCB4",'cubi (2016)'!$A$3,"MA_HT","NTS","MA_QH","DGT")</f>
        <v>0</v>
      </c>
      <c r="AC16" s="35">
        <f>+GETPIVOTDATA("XCB4",'cubi (2016)'!$A$3,"MA_HT","NTS","MA_QH","DTL")</f>
        <v>0</v>
      </c>
      <c r="AD16" s="35">
        <f>+GETPIVOTDATA("XCB4",'cubi (2016)'!$A$3,"MA_HT","NTS","MA_QH","DNL")</f>
        <v>0</v>
      </c>
      <c r="AE16" s="35">
        <f>+GETPIVOTDATA("XCB4",'cubi (2016)'!$A$3,"MA_HT","NTS","MA_QH","DBV")</f>
        <v>0</v>
      </c>
      <c r="AF16" s="35">
        <f>+GETPIVOTDATA("XCB4",'cubi (2016)'!$A$3,"MA_HT","NTS","MA_QH","DVH")</f>
        <v>0</v>
      </c>
      <c r="AG16" s="35">
        <f>+GETPIVOTDATA("XCB4",'cubi (2016)'!$A$3,"MA_HT","NTS","MA_QH","DYT")</f>
        <v>0</v>
      </c>
      <c r="AH16" s="35">
        <f>+GETPIVOTDATA("XCB4",'cubi (2016)'!$A$3,"MA_HT","NTS","MA_QH","DGD")</f>
        <v>0</v>
      </c>
      <c r="AI16" s="35">
        <f>+GETPIVOTDATA("XCB4",'cubi (2016)'!$A$3,"MA_HT","NTS","MA_QH","DTT")</f>
        <v>0</v>
      </c>
      <c r="AJ16" s="35">
        <f>+GETPIVOTDATA("XCB4",'cubi (2016)'!$A$3,"MA_HT","NTS","MA_QH","NCK")</f>
        <v>0</v>
      </c>
      <c r="AK16" s="35">
        <f>+GETPIVOTDATA("XCB4",'cubi (2016)'!$A$3,"MA_HT","NTS","MA_QH","DXH")</f>
        <v>0</v>
      </c>
      <c r="AL16" s="35">
        <f>+GETPIVOTDATA("XCB4",'cubi (2016)'!$A$3,"MA_HT","NTS","MA_QH","DCH")</f>
        <v>0</v>
      </c>
      <c r="AM16" s="35">
        <f>+GETPIVOTDATA("XCB4",'cubi (2016)'!$A$3,"MA_HT","NTS","MA_QH","DKG")</f>
        <v>0</v>
      </c>
      <c r="AN16" s="35">
        <f>+GETPIVOTDATA("XCB4",'cubi (2016)'!$A$3,"MA_HT","NTS","MA_QH","DDT")</f>
        <v>0</v>
      </c>
      <c r="AO16" s="35">
        <f>+GETPIVOTDATA("XCB4",'cubi (2016)'!$A$3,"MA_HT","NTS","MA_QH","DDL")</f>
        <v>0</v>
      </c>
      <c r="AP16" s="35">
        <f>+GETPIVOTDATA("XCB4",'cubi (2016)'!$A$3,"MA_HT","NTS","MA_QH","DRA")</f>
        <v>0</v>
      </c>
      <c r="AQ16" s="35">
        <f>+GETPIVOTDATA("XCB4",'cubi (2016)'!$A$3,"MA_HT","NTS","MA_QH","ONT")</f>
        <v>0</v>
      </c>
      <c r="AR16" s="35">
        <f>+GETPIVOTDATA("XCB4",'cubi (2016)'!$A$3,"MA_HT","NTS","MA_QH","ODT")</f>
        <v>0</v>
      </c>
      <c r="AS16" s="35">
        <f>+GETPIVOTDATA("XCB4",'cubi (2016)'!$A$3,"MA_HT","NTS","MA_QH","TSC")</f>
        <v>0</v>
      </c>
      <c r="AT16" s="35">
        <f>+GETPIVOTDATA("XCB4",'cubi (2016)'!$A$3,"MA_HT","NTS","MA_QH","DTS")</f>
        <v>0</v>
      </c>
      <c r="AU16" s="35">
        <f>+GETPIVOTDATA("XCB4",'cubi (2016)'!$A$3,"MA_HT","NTS","MA_QH","DNG")</f>
        <v>0</v>
      </c>
      <c r="AV16" s="35">
        <f>+GETPIVOTDATA("XCB4",'cubi (2016)'!$A$3,"MA_HT","NTS","MA_QH","TON")</f>
        <v>0</v>
      </c>
      <c r="AW16" s="35">
        <f>+GETPIVOTDATA("XCB4",'cubi (2016)'!$A$3,"MA_HT","NTS","MA_QH","NTD")</f>
        <v>0</v>
      </c>
      <c r="AX16" s="35">
        <f>+GETPIVOTDATA("XCB4",'cubi (2016)'!$A$3,"MA_HT","NTS","MA_QH","SKX")</f>
        <v>0</v>
      </c>
      <c r="AY16" s="35">
        <f>+GETPIVOTDATA("XCB4",'cubi (2016)'!$A$3,"MA_HT","NTS","MA_QH","DSH")</f>
        <v>0</v>
      </c>
      <c r="AZ16" s="35">
        <f>+GETPIVOTDATA("XCB4",'cubi (2016)'!$A$3,"MA_HT","NTS","MA_QH","DKV")</f>
        <v>0</v>
      </c>
      <c r="BA16" s="140">
        <f>+GETPIVOTDATA("XCB4",'cubi (2016)'!$A$3,"MA_HT","NTS","MA_QH","TIN")</f>
        <v>0</v>
      </c>
      <c r="BB16" s="74">
        <f>+GETPIVOTDATA("XCB4",'cubi (2016)'!$A$3,"MA_HT","NTS","MA_QH","SON")</f>
        <v>0</v>
      </c>
      <c r="BC16" s="74">
        <f>+GETPIVOTDATA("XCB4",'cubi (2016)'!$A$3,"MA_HT","NTS","MA_QH","MNC")</f>
        <v>0</v>
      </c>
      <c r="BD16" s="35">
        <f>+GETPIVOTDATA("XCB4",'cubi (2016)'!$A$3,"MA_HT","NTS","MA_QH","PNK")</f>
        <v>0</v>
      </c>
      <c r="BE16" s="58">
        <f>+GETPIVOTDATA("XCB4",'cubi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+GETPIVOTDATA("XCB4",'cubi (2016)'!$A$3,"MA_HT","LMU","MA_QH","LUC")</f>
        <v>0</v>
      </c>
      <c r="H17" s="35">
        <f>+GETPIVOTDATA("XCB4",'cubi (2016)'!$A$3,"MA_HT","LMU","MA_QH","LUK")</f>
        <v>0</v>
      </c>
      <c r="I17" s="35">
        <f>+GETPIVOTDATA("XCB4",'cubi (2016)'!$A$3,"MA_HT","LMU","MA_QH","LUN")</f>
        <v>0</v>
      </c>
      <c r="J17" s="35">
        <f>+GETPIVOTDATA("XCB4",'cubi (2016)'!$A$3,"MA_HT","LMU","MA_QH","HNK")</f>
        <v>0</v>
      </c>
      <c r="K17" s="35">
        <f>+GETPIVOTDATA("XCB4",'cubi (2016)'!$A$3,"MA_HT","LMU","MA_QH","CLN")</f>
        <v>0</v>
      </c>
      <c r="L17" s="35">
        <f>+GETPIVOTDATA("XCB4",'cubi (2016)'!$A$3,"MA_HT","LMU","MA_QH","RSX")</f>
        <v>0</v>
      </c>
      <c r="M17" s="35">
        <f>+GETPIVOTDATA("XCB4",'cubi (2016)'!$A$3,"MA_HT","LMU","MA_QH","RPH")</f>
        <v>0</v>
      </c>
      <c r="N17" s="35">
        <f>+GETPIVOTDATA("XCB4",'cubi (2016)'!$A$3,"MA_HT","LMU","MA_QH","RDD")</f>
        <v>0</v>
      </c>
      <c r="O17" s="35">
        <f>+GETPIVOTDATA("XCB4",'cubi (2016)'!$A$3,"MA_HT","LMU","MA_QH","NTS")</f>
        <v>0</v>
      </c>
      <c r="P17" s="99" t="e">
        <f>$D17-$BF17</f>
        <v>#REF!</v>
      </c>
      <c r="Q17" s="35">
        <f>+GETPIVOTDATA("XCB4",'cubi (2016)'!$A$3,"MA_HT","LMU","MA_QH","NKH")</f>
        <v>0</v>
      </c>
      <c r="R17" s="63">
        <f t="shared" si="2"/>
        <v>0</v>
      </c>
      <c r="S17" s="35">
        <f>+GETPIVOTDATA("XCB4",'cubi (2016)'!$A$3,"MA_HT","LMU","MA_QH","CQP")</f>
        <v>0</v>
      </c>
      <c r="T17" s="35">
        <f>+GETPIVOTDATA("XCB4",'cubi (2016)'!$A$3,"MA_HT","LMU","MA_QH","CAN")</f>
        <v>0</v>
      </c>
      <c r="U17" s="35">
        <f>+GETPIVOTDATA("XCB4",'cubi (2016)'!$A$3,"MA_HT","LMU","MA_QH","SKK")</f>
        <v>0</v>
      </c>
      <c r="V17" s="35">
        <f>+GETPIVOTDATA("XCB4",'cubi (2016)'!$A$3,"MA_HT","LMU","MA_QH","SKT")</f>
        <v>0</v>
      </c>
      <c r="W17" s="35">
        <f>+GETPIVOTDATA("XCB4",'cubi (2016)'!$A$3,"MA_HT","LMU","MA_QH","SKN")</f>
        <v>0</v>
      </c>
      <c r="X17" s="35">
        <f>+GETPIVOTDATA("XCB4",'cubi (2016)'!$A$3,"MA_HT","LMU","MA_QH","TMD")</f>
        <v>0</v>
      </c>
      <c r="Y17" s="35">
        <f>+GETPIVOTDATA("XCB4",'cubi (2016)'!$A$3,"MA_HT","LMU","MA_QH","SKC")</f>
        <v>0</v>
      </c>
      <c r="Z17" s="35">
        <f>+GETPIVOTDATA("XCB4",'cubi (2016)'!$A$3,"MA_HT","LMU","MA_QH","SKS")</f>
        <v>0</v>
      </c>
      <c r="AA17" s="64">
        <f t="shared" si="4"/>
        <v>0</v>
      </c>
      <c r="AB17" s="35">
        <f>+GETPIVOTDATA("XCB4",'cubi (2016)'!$A$3,"MA_HT","LMU","MA_QH","DGT")</f>
        <v>0</v>
      </c>
      <c r="AC17" s="35">
        <f>+GETPIVOTDATA("XCB4",'cubi (2016)'!$A$3,"MA_HT","LMU","MA_QH","DTL")</f>
        <v>0</v>
      </c>
      <c r="AD17" s="35">
        <f>+GETPIVOTDATA("XCB4",'cubi (2016)'!$A$3,"MA_HT","LMU","MA_QH","DNL")</f>
        <v>0</v>
      </c>
      <c r="AE17" s="35">
        <f>+GETPIVOTDATA("XCB4",'cubi (2016)'!$A$3,"MA_HT","LMU","MA_QH","DBV")</f>
        <v>0</v>
      </c>
      <c r="AF17" s="35">
        <f>+GETPIVOTDATA("XCB4",'cubi (2016)'!$A$3,"MA_HT","LMU","MA_QH","DVH")</f>
        <v>0</v>
      </c>
      <c r="AG17" s="35">
        <f>+GETPIVOTDATA("XCB4",'cubi (2016)'!$A$3,"MA_HT","LMU","MA_QH","DYT")</f>
        <v>0</v>
      </c>
      <c r="AH17" s="35">
        <f>+GETPIVOTDATA("XCB4",'cubi (2016)'!$A$3,"MA_HT","LMU","MA_QH","DGD")</f>
        <v>0</v>
      </c>
      <c r="AI17" s="35">
        <f>+GETPIVOTDATA("XCB4",'cubi (2016)'!$A$3,"MA_HT","LMU","MA_QH","DTT")</f>
        <v>0</v>
      </c>
      <c r="AJ17" s="35">
        <f>+GETPIVOTDATA("XCB4",'cubi (2016)'!$A$3,"MA_HT","LMU","MA_QH","NCK")</f>
        <v>0</v>
      </c>
      <c r="AK17" s="35">
        <f>+GETPIVOTDATA("XCB4",'cubi (2016)'!$A$3,"MA_HT","LMU","MA_QH","DXH")</f>
        <v>0</v>
      </c>
      <c r="AL17" s="35">
        <f>+GETPIVOTDATA("XCB4",'cubi (2016)'!$A$3,"MA_HT","LMU","MA_QH","DCH")</f>
        <v>0</v>
      </c>
      <c r="AM17" s="35">
        <f>+GETPIVOTDATA("XCB4",'cubi (2016)'!$A$3,"MA_HT","LMU","MA_QH","DKG")</f>
        <v>0</v>
      </c>
      <c r="AN17" s="35">
        <f>+GETPIVOTDATA("XCB4",'cubi (2016)'!$A$3,"MA_HT","LMU","MA_QH","DDT")</f>
        <v>0</v>
      </c>
      <c r="AO17" s="35">
        <f>+GETPIVOTDATA("XCB4",'cubi (2016)'!$A$3,"MA_HT","LMU","MA_QH","DDL")</f>
        <v>0</v>
      </c>
      <c r="AP17" s="35">
        <f>+GETPIVOTDATA("XCB4",'cubi (2016)'!$A$3,"MA_HT","LMU","MA_QH","DRA")</f>
        <v>0</v>
      </c>
      <c r="AQ17" s="35">
        <f>+GETPIVOTDATA("XCB4",'cubi (2016)'!$A$3,"MA_HT","LMU","MA_QH","ONT")</f>
        <v>0</v>
      </c>
      <c r="AR17" s="35">
        <f>+GETPIVOTDATA("XCB4",'cubi (2016)'!$A$3,"MA_HT","LMU","MA_QH","ODT")</f>
        <v>0</v>
      </c>
      <c r="AS17" s="35">
        <f>+GETPIVOTDATA("XCB4",'cubi (2016)'!$A$3,"MA_HT","LMU","MA_QH","TSC")</f>
        <v>0</v>
      </c>
      <c r="AT17" s="35">
        <f>+GETPIVOTDATA("XCB4",'cubi (2016)'!$A$3,"MA_HT","LMU","MA_QH","DTS")</f>
        <v>0</v>
      </c>
      <c r="AU17" s="35">
        <f>+GETPIVOTDATA("XCB4",'cubi (2016)'!$A$3,"MA_HT","LMU","MA_QH","DNG")</f>
        <v>0</v>
      </c>
      <c r="AV17" s="35">
        <f>+GETPIVOTDATA("XCB4",'cubi (2016)'!$A$3,"MA_HT","LMU","MA_QH","TON")</f>
        <v>0</v>
      </c>
      <c r="AW17" s="35">
        <f>+GETPIVOTDATA("XCB4",'cubi (2016)'!$A$3,"MA_HT","LMU","MA_QH","NTD")</f>
        <v>0</v>
      </c>
      <c r="AX17" s="35">
        <f>+GETPIVOTDATA("XCB4",'cubi (2016)'!$A$3,"MA_HT","LMU","MA_QH","SKX")</f>
        <v>0</v>
      </c>
      <c r="AY17" s="35">
        <f>+GETPIVOTDATA("XCB4",'cubi (2016)'!$A$3,"MA_HT","LMU","MA_QH","DSH")</f>
        <v>0</v>
      </c>
      <c r="AZ17" s="35">
        <f>+GETPIVOTDATA("XCB4",'cubi (2016)'!$A$3,"MA_HT","LMU","MA_QH","DKV")</f>
        <v>0</v>
      </c>
      <c r="BA17" s="140">
        <f>+GETPIVOTDATA("XCB4",'cubi (2016)'!$A$3,"MA_HT","LMU","MA_QH","TIN")</f>
        <v>0</v>
      </c>
      <c r="BB17" s="74">
        <f>+GETPIVOTDATA("XCB4",'cubi (2016)'!$A$3,"MA_HT","LMU","MA_QH","SON")</f>
        <v>0</v>
      </c>
      <c r="BC17" s="74">
        <f>+GETPIVOTDATA("XCB4",'cubi (2016)'!$A$3,"MA_HT","LMU","MA_QH","MNC")</f>
        <v>0</v>
      </c>
      <c r="BD17" s="35">
        <f>+GETPIVOTDATA("XCB4",'cubi (2016)'!$A$3,"MA_HT","LMU","MA_QH","PNK")</f>
        <v>0</v>
      </c>
      <c r="BE17" s="58">
        <f>+GETPIVOTDATA("XCB4",'cubi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+GETPIVOTDATA("XCB4",'cubi (2016)'!$A$3,"MA_HT","NKH","MA_QH","LUC")</f>
        <v>0</v>
      </c>
      <c r="H18" s="35">
        <f>+GETPIVOTDATA("XCB4",'cubi (2016)'!$A$3,"MA_HT","NKH","MA_QH","LUK")</f>
        <v>0</v>
      </c>
      <c r="I18" s="35">
        <f>+GETPIVOTDATA("XCB4",'cubi (2016)'!$A$3,"MA_HT","NKH","MA_QH","LUN")</f>
        <v>0</v>
      </c>
      <c r="J18" s="35">
        <f>+GETPIVOTDATA("XCB4",'cubi (2016)'!$A$3,"MA_HT","NKH","MA_QH","HNK")</f>
        <v>0</v>
      </c>
      <c r="K18" s="35">
        <f>+GETPIVOTDATA("XCB4",'cubi (2016)'!$A$3,"MA_HT","NKH","MA_QH","CLN")</f>
        <v>0</v>
      </c>
      <c r="L18" s="35">
        <f>+GETPIVOTDATA("XCB4",'cubi (2016)'!$A$3,"MA_HT","NKH","MA_QH","RSX")</f>
        <v>0</v>
      </c>
      <c r="M18" s="35">
        <f>+GETPIVOTDATA("XCB4",'cubi (2016)'!$A$3,"MA_HT","NKH","MA_QH","RPH")</f>
        <v>0</v>
      </c>
      <c r="N18" s="35">
        <f>+GETPIVOTDATA("XCB4",'cubi (2016)'!$A$3,"MA_HT","NKH","MA_QH","RDD")</f>
        <v>0</v>
      </c>
      <c r="O18" s="35">
        <f>+GETPIVOTDATA("XCB4",'cubi (2016)'!$A$3,"MA_HT","NKH","MA_QH","NTS")</f>
        <v>0</v>
      </c>
      <c r="P18" s="35">
        <f>+GETPIVOTDATA("XCB4",'cubi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+GETPIVOTDATA("XCB4",'cubi (2016)'!$A$3,"MA_HT","NKH","MA_QH","CQP")</f>
        <v>0</v>
      </c>
      <c r="T18" s="35">
        <f>+GETPIVOTDATA("XCB4",'cubi (2016)'!$A$3,"MA_HT","NKH","MA_QH","CAN")</f>
        <v>0</v>
      </c>
      <c r="U18" s="35">
        <f>+GETPIVOTDATA("XCB4",'cubi (2016)'!$A$3,"MA_HT","NKH","MA_QH","SKK")</f>
        <v>0</v>
      </c>
      <c r="V18" s="35">
        <f>+GETPIVOTDATA("XCB4",'cubi (2016)'!$A$3,"MA_HT","NKH","MA_QH","SKT")</f>
        <v>0</v>
      </c>
      <c r="W18" s="35">
        <f>+GETPIVOTDATA("XCB4",'cubi (2016)'!$A$3,"MA_HT","NKH","MA_QH","SKN")</f>
        <v>0</v>
      </c>
      <c r="X18" s="35">
        <f>+GETPIVOTDATA("XCB4",'cubi (2016)'!$A$3,"MA_HT","NKH","MA_QH","TMD")</f>
        <v>0</v>
      </c>
      <c r="Y18" s="35">
        <f>+GETPIVOTDATA("XCB4",'cubi (2016)'!$A$3,"MA_HT","NKH","MA_QH","SKC")</f>
        <v>0</v>
      </c>
      <c r="Z18" s="35">
        <f>+GETPIVOTDATA("XCB4",'cubi (2016)'!$A$3,"MA_HT","NKH","MA_QH","SKS")</f>
        <v>0</v>
      </c>
      <c r="AA18" s="64">
        <f t="shared" si="4"/>
        <v>0</v>
      </c>
      <c r="AB18" s="35">
        <f>+GETPIVOTDATA("XCB4",'cubi (2016)'!$A$3,"MA_HT","NKH","MA_QH","DGT")</f>
        <v>0</v>
      </c>
      <c r="AC18" s="35">
        <f>+GETPIVOTDATA("XCB4",'cubi (2016)'!$A$3,"MA_HT","NKH","MA_QH","DTL")</f>
        <v>0</v>
      </c>
      <c r="AD18" s="35">
        <f>+GETPIVOTDATA("XCB4",'cubi (2016)'!$A$3,"MA_HT","NKH","MA_QH","DNL")</f>
        <v>0</v>
      </c>
      <c r="AE18" s="35">
        <f>+GETPIVOTDATA("XCB4",'cubi (2016)'!$A$3,"MA_HT","NKH","MA_QH","DBV")</f>
        <v>0</v>
      </c>
      <c r="AF18" s="35">
        <f>+GETPIVOTDATA("XCB4",'cubi (2016)'!$A$3,"MA_HT","NKH","MA_QH","DVH")</f>
        <v>0</v>
      </c>
      <c r="AG18" s="35">
        <f>+GETPIVOTDATA("XCB4",'cubi (2016)'!$A$3,"MA_HT","NKH","MA_QH","DYT")</f>
        <v>0</v>
      </c>
      <c r="AH18" s="35">
        <f>+GETPIVOTDATA("XCB4",'cubi (2016)'!$A$3,"MA_HT","NKH","MA_QH","DGD")</f>
        <v>0</v>
      </c>
      <c r="AI18" s="35">
        <f>+GETPIVOTDATA("XCB4",'cubi (2016)'!$A$3,"MA_HT","NKH","MA_QH","DTT")</f>
        <v>0</v>
      </c>
      <c r="AJ18" s="35">
        <f>+GETPIVOTDATA("XCB4",'cubi (2016)'!$A$3,"MA_HT","NKH","MA_QH","NCK")</f>
        <v>0</v>
      </c>
      <c r="AK18" s="35">
        <f>+GETPIVOTDATA("XCB4",'cubi (2016)'!$A$3,"MA_HT","NKH","MA_QH","DXH")</f>
        <v>0</v>
      </c>
      <c r="AL18" s="35">
        <f>+GETPIVOTDATA("XCB4",'cubi (2016)'!$A$3,"MA_HT","NKH","MA_QH","DCH")</f>
        <v>0</v>
      </c>
      <c r="AM18" s="35">
        <f>+GETPIVOTDATA("XCB4",'cubi (2016)'!$A$3,"MA_HT","NKH","MA_QH","DKG")</f>
        <v>0</v>
      </c>
      <c r="AN18" s="35">
        <f>+GETPIVOTDATA("XCB4",'cubi (2016)'!$A$3,"MA_HT","NKH","MA_QH","DDT")</f>
        <v>0</v>
      </c>
      <c r="AO18" s="35">
        <f>+GETPIVOTDATA("XCB4",'cubi (2016)'!$A$3,"MA_HT","NKH","MA_QH","DDL")</f>
        <v>0</v>
      </c>
      <c r="AP18" s="35">
        <f>+GETPIVOTDATA("XCB4",'cubi (2016)'!$A$3,"MA_HT","NKH","MA_QH","DRA")</f>
        <v>0</v>
      </c>
      <c r="AQ18" s="35">
        <f>+GETPIVOTDATA("XCB4",'cubi (2016)'!$A$3,"MA_HT","NKH","MA_QH","ONT")</f>
        <v>0</v>
      </c>
      <c r="AR18" s="35">
        <f>+GETPIVOTDATA("XCB4",'cubi (2016)'!$A$3,"MA_HT","NKH","MA_QH","ODT")</f>
        <v>0</v>
      </c>
      <c r="AS18" s="35">
        <f>+GETPIVOTDATA("XCB4",'cubi (2016)'!$A$3,"MA_HT","NKH","MA_QH","TSC")</f>
        <v>0</v>
      </c>
      <c r="AT18" s="35">
        <f>+GETPIVOTDATA("XCB4",'cubi (2016)'!$A$3,"MA_HT","NKH","MA_QH","DTS")</f>
        <v>0</v>
      </c>
      <c r="AU18" s="35">
        <f>+GETPIVOTDATA("XCB4",'cubi (2016)'!$A$3,"MA_HT","NKH","MA_QH","DNG")</f>
        <v>0</v>
      </c>
      <c r="AV18" s="35">
        <f>+GETPIVOTDATA("XCB4",'cubi (2016)'!$A$3,"MA_HT","NKH","MA_QH","TON")</f>
        <v>0</v>
      </c>
      <c r="AW18" s="35">
        <f>+GETPIVOTDATA("XCB4",'cubi (2016)'!$A$3,"MA_HT","NKH","MA_QH","NTD")</f>
        <v>0</v>
      </c>
      <c r="AX18" s="35">
        <f>+GETPIVOTDATA("XCB4",'cubi (2016)'!$A$3,"MA_HT","NKH","MA_QH","SKX")</f>
        <v>0</v>
      </c>
      <c r="AY18" s="35">
        <f>+GETPIVOTDATA("XCB4",'cubi (2016)'!$A$3,"MA_HT","NKH","MA_QH","DSH")</f>
        <v>0</v>
      </c>
      <c r="AZ18" s="35">
        <f>+GETPIVOTDATA("XCB4",'cubi (2016)'!$A$3,"MA_HT","NKH","MA_QH","DKV")</f>
        <v>0</v>
      </c>
      <c r="BA18" s="140">
        <f>+GETPIVOTDATA("XCB4",'cubi (2016)'!$A$3,"MA_HT","NKH","MA_QH","TIN")</f>
        <v>0</v>
      </c>
      <c r="BB18" s="74">
        <f>+GETPIVOTDATA("XCB4",'cubi (2016)'!$A$3,"MA_HT","NKH","MA_QH","SON")</f>
        <v>0</v>
      </c>
      <c r="BC18" s="74">
        <f>+GETPIVOTDATA("XCB4",'cubi (2016)'!$A$3,"MA_HT","NKH","MA_QH","MNC")</f>
        <v>0</v>
      </c>
      <c r="BD18" s="35">
        <f>+GETPIVOTDATA("XCB4",'cubi (2016)'!$A$3,"MA_HT","NKH","MA_QH","PNK")</f>
        <v>0</v>
      </c>
      <c r="BE18" s="58">
        <f>+GETPIVOTDATA("XCB4",'cubi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+GETPIVOTDATA("XCB4",'cubi (2016)'!$A$3,"MA_HT","CQP","MA_QH","LUC")</f>
        <v>0</v>
      </c>
      <c r="H20" s="35">
        <f>+GETPIVOTDATA("XCB4",'cubi (2016)'!$A$3,"MA_HT","CQP","MA_QH","LUK")</f>
        <v>0</v>
      </c>
      <c r="I20" s="35">
        <f>+GETPIVOTDATA("XCB4",'cubi (2016)'!$A$3,"MA_HT","CQP","MA_QH","LUN")</f>
        <v>0</v>
      </c>
      <c r="J20" s="35">
        <f>+GETPIVOTDATA("XCB4",'cubi (2016)'!$A$3,"MA_HT","CQP","MA_QH","HNK")</f>
        <v>0</v>
      </c>
      <c r="K20" s="35">
        <f>+GETPIVOTDATA("XCB4",'cubi (2016)'!$A$3,"MA_HT","CQP","MA_QH","CLN")</f>
        <v>0</v>
      </c>
      <c r="L20" s="35">
        <f>+GETPIVOTDATA("XCB4",'cubi (2016)'!$A$3,"MA_HT","CQP","MA_QH","RSX")</f>
        <v>0</v>
      </c>
      <c r="M20" s="35">
        <f>+GETPIVOTDATA("XCB4",'cubi (2016)'!$A$3,"MA_HT","CQP","MA_QH","RPH")</f>
        <v>0</v>
      </c>
      <c r="N20" s="35">
        <f>+GETPIVOTDATA("XCB4",'cubi (2016)'!$A$3,"MA_HT","CQP","MA_QH","RDD")</f>
        <v>0</v>
      </c>
      <c r="O20" s="35">
        <f>+GETPIVOTDATA("XCB4",'cubi (2016)'!$A$3,"MA_HT","CQP","MA_QH","NTS")</f>
        <v>0</v>
      </c>
      <c r="P20" s="35">
        <f>+GETPIVOTDATA("XCB4",'cubi (2016)'!$A$3,"MA_HT","CQP","MA_QH","LMU")</f>
        <v>0</v>
      </c>
      <c r="Q20" s="35">
        <f>+GETPIVOTDATA("XCB4",'cubi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+GETPIVOTDATA("XCB4",'cubi (2016)'!$A$3,"MA_HT","CQP","MA_QH","CAN")</f>
        <v>0</v>
      </c>
      <c r="U20" s="35">
        <f>+GETPIVOTDATA("XCB4",'cubi (2016)'!$A$3,"MA_HT","CQP","MA_QH","SKK")</f>
        <v>0</v>
      </c>
      <c r="V20" s="35">
        <f>+GETPIVOTDATA("XCB4",'cubi (2016)'!$A$3,"MA_HT","CQP","MA_QH","SKT")</f>
        <v>0</v>
      </c>
      <c r="W20" s="35">
        <f>+GETPIVOTDATA("XCB4",'cubi (2016)'!$A$3,"MA_HT","CQP","MA_QH","SKN")</f>
        <v>0</v>
      </c>
      <c r="X20" s="35">
        <f>+GETPIVOTDATA("XCB4",'cubi (2016)'!$A$3,"MA_HT","CQP","MA_QH","TMD")</f>
        <v>0</v>
      </c>
      <c r="Y20" s="35">
        <f>+GETPIVOTDATA("XCB4",'cubi (2016)'!$A$3,"MA_HT","CQP","MA_QH","SKC")</f>
        <v>0</v>
      </c>
      <c r="Z20" s="35">
        <f>+GETPIVOTDATA("XCB4",'cubi (2016)'!$A$3,"MA_HT","CQP","MA_QH","SKS")</f>
        <v>0</v>
      </c>
      <c r="AA20" s="64">
        <f t="shared" ref="AA20:AA27" si="12">+SUM(AB20:AM20)</f>
        <v>0</v>
      </c>
      <c r="AB20" s="35">
        <f>+GETPIVOTDATA("XCB4",'cubi (2016)'!$A$3,"MA_HT","CQP","MA_QH","DGT")</f>
        <v>0</v>
      </c>
      <c r="AC20" s="35">
        <f>+GETPIVOTDATA("XCB4",'cubi (2016)'!$A$3,"MA_HT","CQP","MA_QH","DTL")</f>
        <v>0</v>
      </c>
      <c r="AD20" s="35">
        <f>+GETPIVOTDATA("XCB4",'cubi (2016)'!$A$3,"MA_HT","CQP","MA_QH","DNL")</f>
        <v>0</v>
      </c>
      <c r="AE20" s="35">
        <f>+GETPIVOTDATA("XCB4",'cubi (2016)'!$A$3,"MA_HT","CQP","MA_QH","DBV")</f>
        <v>0</v>
      </c>
      <c r="AF20" s="35">
        <f>+GETPIVOTDATA("XCB4",'cubi (2016)'!$A$3,"MA_HT","CQP","MA_QH","DVH")</f>
        <v>0</v>
      </c>
      <c r="AG20" s="35">
        <f>+GETPIVOTDATA("XCB4",'cubi (2016)'!$A$3,"MA_HT","CQP","MA_QH","DYT")</f>
        <v>0</v>
      </c>
      <c r="AH20" s="35">
        <f>+GETPIVOTDATA("XCB4",'cubi (2016)'!$A$3,"MA_HT","CQP","MA_QH","DGD")</f>
        <v>0</v>
      </c>
      <c r="AI20" s="35">
        <f>+GETPIVOTDATA("XCB4",'cubi (2016)'!$A$3,"MA_HT","CQP","MA_QH","DTT")</f>
        <v>0</v>
      </c>
      <c r="AJ20" s="35">
        <f>+GETPIVOTDATA("XCB4",'cubi (2016)'!$A$3,"MA_HT","CQP","MA_QH","NCK")</f>
        <v>0</v>
      </c>
      <c r="AK20" s="35">
        <f>+GETPIVOTDATA("XCB4",'cubi (2016)'!$A$3,"MA_HT","CQP","MA_QH","DXH")</f>
        <v>0</v>
      </c>
      <c r="AL20" s="35">
        <f>+GETPIVOTDATA("XCB4",'cubi (2016)'!$A$3,"MA_HT","CQP","MA_QH","DCH")</f>
        <v>0</v>
      </c>
      <c r="AM20" s="35">
        <f>+GETPIVOTDATA("XCB4",'cubi (2016)'!$A$3,"MA_HT","CQP","MA_QH","DKG")</f>
        <v>0</v>
      </c>
      <c r="AN20" s="35">
        <f>+GETPIVOTDATA("XCB4",'cubi (2016)'!$A$3,"MA_HT","CQP","MA_QH","DDT")</f>
        <v>0</v>
      </c>
      <c r="AO20" s="35">
        <f>+GETPIVOTDATA("XCB4",'cubi (2016)'!$A$3,"MA_HT","CQP","MA_QH","DDL")</f>
        <v>0</v>
      </c>
      <c r="AP20" s="35">
        <f>+GETPIVOTDATA("XCB4",'cubi (2016)'!$A$3,"MA_HT","CQP","MA_QH","DRA")</f>
        <v>0</v>
      </c>
      <c r="AQ20" s="35">
        <f>+GETPIVOTDATA("XCB4",'cubi (2016)'!$A$3,"MA_HT","CQP","MA_QH","ONT")</f>
        <v>0</v>
      </c>
      <c r="AR20" s="35">
        <f>+GETPIVOTDATA("XCB4",'cubi (2016)'!$A$3,"MA_HT","CQP","MA_QH","ODT")</f>
        <v>0</v>
      </c>
      <c r="AS20" s="35">
        <f>+GETPIVOTDATA("XCB4",'cubi (2016)'!$A$3,"MA_HT","CQP","MA_QH","TSC")</f>
        <v>0</v>
      </c>
      <c r="AT20" s="35">
        <f>+GETPIVOTDATA("XCB4",'cubi (2016)'!$A$3,"MA_HT","CQP","MA_QH","DTS")</f>
        <v>0</v>
      </c>
      <c r="AU20" s="35">
        <f>+GETPIVOTDATA("XCB4",'cubi (2016)'!$A$3,"MA_HT","CQP","MA_QH","DNG")</f>
        <v>0</v>
      </c>
      <c r="AV20" s="35">
        <f>+GETPIVOTDATA("XCB4",'cubi (2016)'!$A$3,"MA_HT","CQP","MA_QH","TON")</f>
        <v>0</v>
      </c>
      <c r="AW20" s="35">
        <f>+GETPIVOTDATA("XCB4",'cubi (2016)'!$A$3,"MA_HT","CQP","MA_QH","NTD")</f>
        <v>0</v>
      </c>
      <c r="AX20" s="35">
        <f>+GETPIVOTDATA("XCB4",'cubi (2016)'!$A$3,"MA_HT","CQP","MA_QH","SKX")</f>
        <v>0</v>
      </c>
      <c r="AY20" s="35">
        <f>+GETPIVOTDATA("XCB4",'cubi (2016)'!$A$3,"MA_HT","CQP","MA_QH","DSH")</f>
        <v>0</v>
      </c>
      <c r="AZ20" s="35">
        <f>+GETPIVOTDATA("XCB4",'cubi (2016)'!$A$3,"MA_HT","CQP","MA_QH","DKV")</f>
        <v>0</v>
      </c>
      <c r="BA20" s="140">
        <f>+GETPIVOTDATA("XCB4",'cubi (2016)'!$A$3,"MA_HT","CQP","MA_QH","TIN")</f>
        <v>0</v>
      </c>
      <c r="BB20" s="74">
        <f>+GETPIVOTDATA("XCB4",'cubi (2016)'!$A$3,"MA_HT","CQP","MA_QH","SON")</f>
        <v>0</v>
      </c>
      <c r="BC20" s="74">
        <f>+GETPIVOTDATA("XCB4",'cubi (2016)'!$A$3,"MA_HT","CQP","MA_QH","MNC")</f>
        <v>0</v>
      </c>
      <c r="BD20" s="35">
        <f>+GETPIVOTDATA("XCB4",'cubi (2016)'!$A$3,"MA_HT","CQP","MA_QH","PNK")</f>
        <v>0</v>
      </c>
      <c r="BE20" s="58">
        <f>+GETPIVOTDATA("XCB4",'cubi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+GETPIVOTDATA("XCB4",'cubi (2016)'!$A$3,"MA_HT","CAN","MA_QH","LUC")</f>
        <v>0</v>
      </c>
      <c r="H21" s="35">
        <f>+GETPIVOTDATA("XCB4",'cubi (2016)'!$A$3,"MA_HT","CAN","MA_QH","LUK")</f>
        <v>0</v>
      </c>
      <c r="I21" s="35">
        <f>+GETPIVOTDATA("XCB4",'cubi (2016)'!$A$3,"MA_HT","CAN","MA_QH","LUN")</f>
        <v>0</v>
      </c>
      <c r="J21" s="35">
        <f>+GETPIVOTDATA("XCB4",'cubi (2016)'!$A$3,"MA_HT","CAN","MA_QH","HNK")</f>
        <v>0</v>
      </c>
      <c r="K21" s="35">
        <f>+GETPIVOTDATA("XCB4",'cubi (2016)'!$A$3,"MA_HT","CAN","MA_QH","CLN")</f>
        <v>0</v>
      </c>
      <c r="L21" s="35">
        <f>+GETPIVOTDATA("XCB4",'cubi (2016)'!$A$3,"MA_HT","CAN","MA_QH","RSX")</f>
        <v>0</v>
      </c>
      <c r="M21" s="35">
        <f>+GETPIVOTDATA("XCB4",'cubi (2016)'!$A$3,"MA_HT","CAN","MA_QH","RPH")</f>
        <v>0</v>
      </c>
      <c r="N21" s="35">
        <f>+GETPIVOTDATA("XCB4",'cubi (2016)'!$A$3,"MA_HT","CAN","MA_QH","RDD")</f>
        <v>0</v>
      </c>
      <c r="O21" s="35">
        <f>+GETPIVOTDATA("XCB4",'cubi (2016)'!$A$3,"MA_HT","CAN","MA_QH","NTS")</f>
        <v>0</v>
      </c>
      <c r="P21" s="35">
        <f>+GETPIVOTDATA("XCB4",'cubi (2016)'!$A$3,"MA_HT","CAN","MA_QH","LMU")</f>
        <v>0</v>
      </c>
      <c r="Q21" s="35">
        <f>+GETPIVOTDATA("XCB4",'cubi (2016)'!$A$3,"MA_HT","CAN","MA_QH","NKH")</f>
        <v>0</v>
      </c>
      <c r="R21" s="63">
        <f>SUM(S21,U21:AA21,AN21:BD21)</f>
        <v>0</v>
      </c>
      <c r="S21" s="35">
        <f>+GETPIVOTDATA("XCB4",'cubi (2016)'!$A$3,"MA_HT","CAN","MA_QH","CQP")</f>
        <v>0</v>
      </c>
      <c r="T21" s="99" t="e">
        <f>$D21-$BF21</f>
        <v>#REF!</v>
      </c>
      <c r="U21" s="35">
        <f>+GETPIVOTDATA("XCB4",'cubi (2016)'!$A$3,"MA_HT","CAN","MA_QH","SKK")</f>
        <v>0</v>
      </c>
      <c r="V21" s="35">
        <f>+GETPIVOTDATA("XCB4",'cubi (2016)'!$A$3,"MA_HT","CAN","MA_QH","SKT")</f>
        <v>0</v>
      </c>
      <c r="W21" s="35">
        <f>+GETPIVOTDATA("XCB4",'cubi (2016)'!$A$3,"MA_HT","CAN","MA_QH","SKN")</f>
        <v>0</v>
      </c>
      <c r="X21" s="35">
        <f>+GETPIVOTDATA("XCB4",'cubi (2016)'!$A$3,"MA_HT","CAN","MA_QH","TMD")</f>
        <v>0</v>
      </c>
      <c r="Y21" s="35">
        <f>+GETPIVOTDATA("XCB4",'cubi (2016)'!$A$3,"MA_HT","CAN","MA_QH","SKC")</f>
        <v>0</v>
      </c>
      <c r="Z21" s="35">
        <f>+GETPIVOTDATA("XCB4",'cubi (2016)'!$A$3,"MA_HT","CAN","MA_QH","SKS")</f>
        <v>0</v>
      </c>
      <c r="AA21" s="64">
        <f t="shared" si="12"/>
        <v>0</v>
      </c>
      <c r="AB21" s="35">
        <f>+GETPIVOTDATA("XCB4",'cubi (2016)'!$A$3,"MA_HT","CAN","MA_QH","DGT")</f>
        <v>0</v>
      </c>
      <c r="AC21" s="35">
        <f>+GETPIVOTDATA("XCB4",'cubi (2016)'!$A$3,"MA_HT","CAN","MA_QH","DTL")</f>
        <v>0</v>
      </c>
      <c r="AD21" s="35">
        <f>+GETPIVOTDATA("XCB4",'cubi (2016)'!$A$3,"MA_HT","CAN","MA_QH","DNL")</f>
        <v>0</v>
      </c>
      <c r="AE21" s="35">
        <f>+GETPIVOTDATA("XCB4",'cubi (2016)'!$A$3,"MA_HT","CAN","MA_QH","DBV")</f>
        <v>0</v>
      </c>
      <c r="AF21" s="35">
        <f>+GETPIVOTDATA("XCB4",'cubi (2016)'!$A$3,"MA_HT","CAN","MA_QH","DVH")</f>
        <v>0</v>
      </c>
      <c r="AG21" s="35">
        <f>+GETPIVOTDATA("XCB4",'cubi (2016)'!$A$3,"MA_HT","CAN","MA_QH","DYT")</f>
        <v>0</v>
      </c>
      <c r="AH21" s="35">
        <f>+GETPIVOTDATA("XCB4",'cubi (2016)'!$A$3,"MA_HT","CAN","MA_QH","DGD")</f>
        <v>0</v>
      </c>
      <c r="AI21" s="35">
        <f>+GETPIVOTDATA("XCB4",'cubi (2016)'!$A$3,"MA_HT","CAN","MA_QH","DTT")</f>
        <v>0</v>
      </c>
      <c r="AJ21" s="35">
        <f>+GETPIVOTDATA("XCB4",'cubi (2016)'!$A$3,"MA_HT","CAN","MA_QH","NCK")</f>
        <v>0</v>
      </c>
      <c r="AK21" s="35">
        <f>+GETPIVOTDATA("XCB4",'cubi (2016)'!$A$3,"MA_HT","CAN","MA_QH","DXH")</f>
        <v>0</v>
      </c>
      <c r="AL21" s="35">
        <f>+GETPIVOTDATA("XCB4",'cubi (2016)'!$A$3,"MA_HT","CAN","MA_QH","DCH")</f>
        <v>0</v>
      </c>
      <c r="AM21" s="35">
        <f>+GETPIVOTDATA("XCB4",'cubi (2016)'!$A$3,"MA_HT","CAN","MA_QH","DKG")</f>
        <v>0</v>
      </c>
      <c r="AN21" s="35">
        <f>+GETPIVOTDATA("XCB4",'cubi (2016)'!$A$3,"MA_HT","CAN","MA_QH","DDT")</f>
        <v>0</v>
      </c>
      <c r="AO21" s="35">
        <f>+GETPIVOTDATA("XCB4",'cubi (2016)'!$A$3,"MA_HT","CAN","MA_QH","DDL")</f>
        <v>0</v>
      </c>
      <c r="AP21" s="35">
        <f>+GETPIVOTDATA("XCB4",'cubi (2016)'!$A$3,"MA_HT","CAN","MA_QH","DRA")</f>
        <v>0</v>
      </c>
      <c r="AQ21" s="35">
        <f>+GETPIVOTDATA("XCB4",'cubi (2016)'!$A$3,"MA_HT","CAN","MA_QH","ONT")</f>
        <v>0</v>
      </c>
      <c r="AR21" s="35">
        <f>+GETPIVOTDATA("XCB4",'cubi (2016)'!$A$3,"MA_HT","CAN","MA_QH","ODT")</f>
        <v>0</v>
      </c>
      <c r="AS21" s="35">
        <f>+GETPIVOTDATA("XCB4",'cubi (2016)'!$A$3,"MA_HT","CAN","MA_QH","TSC")</f>
        <v>0</v>
      </c>
      <c r="AT21" s="35">
        <f>+GETPIVOTDATA("XCB4",'cubi (2016)'!$A$3,"MA_HT","CAN","MA_QH","DTS")</f>
        <v>0</v>
      </c>
      <c r="AU21" s="35">
        <f>+GETPIVOTDATA("XCB4",'cubi (2016)'!$A$3,"MA_HT","CAN","MA_QH","DNG")</f>
        <v>0</v>
      </c>
      <c r="AV21" s="35">
        <f>+GETPIVOTDATA("XCB4",'cubi (2016)'!$A$3,"MA_HT","CAN","MA_QH","TON")</f>
        <v>0</v>
      </c>
      <c r="AW21" s="35">
        <f>+GETPIVOTDATA("XCB4",'cubi (2016)'!$A$3,"MA_HT","CAN","MA_QH","NTD")</f>
        <v>0</v>
      </c>
      <c r="AX21" s="35">
        <f>+GETPIVOTDATA("XCB4",'cubi (2016)'!$A$3,"MA_HT","CAN","MA_QH","SKX")</f>
        <v>0</v>
      </c>
      <c r="AY21" s="35">
        <f>+GETPIVOTDATA("XCB4",'cubi (2016)'!$A$3,"MA_HT","CAN","MA_QH","DSH")</f>
        <v>0</v>
      </c>
      <c r="AZ21" s="35">
        <f>+GETPIVOTDATA("XCB4",'cubi (2016)'!$A$3,"MA_HT","CAN","MA_QH","DKV")</f>
        <v>0</v>
      </c>
      <c r="BA21" s="140">
        <f>+GETPIVOTDATA("XCB4",'cubi (2016)'!$A$3,"MA_HT","CAN","MA_QH","TIN")</f>
        <v>0</v>
      </c>
      <c r="BB21" s="74">
        <f>+GETPIVOTDATA("XCB4",'cubi (2016)'!$A$3,"MA_HT","CAN","MA_QH","SON")</f>
        <v>0</v>
      </c>
      <c r="BC21" s="74">
        <f>+GETPIVOTDATA("XCB4",'cubi (2016)'!$A$3,"MA_HT","CAN","MA_QH","MNC")</f>
        <v>0</v>
      </c>
      <c r="BD21" s="35">
        <f>+GETPIVOTDATA("XCB4",'cubi (2016)'!$A$3,"MA_HT","CAN","MA_QH","PNK")</f>
        <v>0</v>
      </c>
      <c r="BE21" s="58">
        <f>+GETPIVOTDATA("XCB4",'cubi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+GETPIVOTDATA("XCB4",'cubi (2016)'!$A$3,"MA_HT","SKK","MA_QH","LUC")</f>
        <v>0</v>
      </c>
      <c r="H22" s="35">
        <f>+GETPIVOTDATA("XCB4",'cubi (2016)'!$A$3,"MA_HT","SKK","MA_QH","LUK")</f>
        <v>0</v>
      </c>
      <c r="I22" s="35">
        <f>+GETPIVOTDATA("XCB4",'cubi (2016)'!$A$3,"MA_HT","SKK","MA_QH","LUN")</f>
        <v>0</v>
      </c>
      <c r="J22" s="35">
        <f>+GETPIVOTDATA("XCB4",'cubi (2016)'!$A$3,"MA_HT","SKK","MA_QH","HNK")</f>
        <v>0</v>
      </c>
      <c r="K22" s="35">
        <f>+GETPIVOTDATA("XCB4",'cubi (2016)'!$A$3,"MA_HT","SKK","MA_QH","CLN")</f>
        <v>0</v>
      </c>
      <c r="L22" s="35">
        <f>+GETPIVOTDATA("XCB4",'cubi (2016)'!$A$3,"MA_HT","SKK","MA_QH","RSX")</f>
        <v>0</v>
      </c>
      <c r="M22" s="35">
        <f>+GETPIVOTDATA("XCB4",'cubi (2016)'!$A$3,"MA_HT","SKK","MA_QH","RPH")</f>
        <v>0</v>
      </c>
      <c r="N22" s="35">
        <f>+GETPIVOTDATA("XCB4",'cubi (2016)'!$A$3,"MA_HT","SKK","MA_QH","RDD")</f>
        <v>0</v>
      </c>
      <c r="O22" s="35">
        <f>+GETPIVOTDATA("XCB4",'cubi (2016)'!$A$3,"MA_HT","SKK","MA_QH","NTS")</f>
        <v>0</v>
      </c>
      <c r="P22" s="35">
        <f>+GETPIVOTDATA("XCB4",'cubi (2016)'!$A$3,"MA_HT","SKK","MA_QH","LMU")</f>
        <v>0</v>
      </c>
      <c r="Q22" s="35">
        <f>+GETPIVOTDATA("XCB4",'cubi (2016)'!$A$3,"MA_HT","SKK","MA_QH","NKH")</f>
        <v>0</v>
      </c>
      <c r="R22" s="63">
        <f>SUM(S22:T22,V22:AA22,AN22:BD22)</f>
        <v>0</v>
      </c>
      <c r="S22" s="35">
        <f>+GETPIVOTDATA("XCB4",'cubi (2016)'!$A$3,"MA_HT","SKK","MA_QH","CQP")</f>
        <v>0</v>
      </c>
      <c r="T22" s="35">
        <f>+GETPIVOTDATA("XCB4",'cubi (2016)'!$A$3,"MA_HT","SKK","MA_QH","CAN")</f>
        <v>0</v>
      </c>
      <c r="U22" s="99" t="e">
        <f>$D22-$BF22</f>
        <v>#REF!</v>
      </c>
      <c r="V22" s="35">
        <f>+GETPIVOTDATA("XCB4",'cubi (2016)'!$A$3,"MA_HT","SKK","MA_QH","SKT")</f>
        <v>0</v>
      </c>
      <c r="W22" s="35">
        <f>+GETPIVOTDATA("XCB4",'cubi (2016)'!$A$3,"MA_HT","SKK","MA_QH","SKN")</f>
        <v>0</v>
      </c>
      <c r="X22" s="35">
        <f>+GETPIVOTDATA("XCB4",'cubi (2016)'!$A$3,"MA_HT","SKK","MA_QH","TMD")</f>
        <v>0</v>
      </c>
      <c r="Y22" s="35">
        <f>+GETPIVOTDATA("XCB4",'cubi (2016)'!$A$3,"MA_HT","SKK","MA_QH","SKC")</f>
        <v>0</v>
      </c>
      <c r="Z22" s="35">
        <f>+GETPIVOTDATA("XCB4",'cubi (2016)'!$A$3,"MA_HT","SKK","MA_QH","SKS")</f>
        <v>0</v>
      </c>
      <c r="AA22" s="64">
        <f t="shared" si="12"/>
        <v>0</v>
      </c>
      <c r="AB22" s="35">
        <f>+GETPIVOTDATA("XCB4",'cubi (2016)'!$A$3,"MA_HT","SKK","MA_QH","DGT")</f>
        <v>0</v>
      </c>
      <c r="AC22" s="35">
        <f>+GETPIVOTDATA("XCB4",'cubi (2016)'!$A$3,"MA_HT","SKK","MA_QH","DTL")</f>
        <v>0</v>
      </c>
      <c r="AD22" s="35">
        <f>+GETPIVOTDATA("XCB4",'cubi (2016)'!$A$3,"MA_HT","SKK","MA_QH","DNL")</f>
        <v>0</v>
      </c>
      <c r="AE22" s="35">
        <f>+GETPIVOTDATA("XCB4",'cubi (2016)'!$A$3,"MA_HT","SKK","MA_QH","DBV")</f>
        <v>0</v>
      </c>
      <c r="AF22" s="35">
        <f>+GETPIVOTDATA("XCB4",'cubi (2016)'!$A$3,"MA_HT","SKK","MA_QH","DVH")</f>
        <v>0</v>
      </c>
      <c r="AG22" s="35">
        <f>+GETPIVOTDATA("XCB4",'cubi (2016)'!$A$3,"MA_HT","SKK","MA_QH","DYT")</f>
        <v>0</v>
      </c>
      <c r="AH22" s="35">
        <f>+GETPIVOTDATA("XCB4",'cubi (2016)'!$A$3,"MA_HT","SKK","MA_QH","DGD")</f>
        <v>0</v>
      </c>
      <c r="AI22" s="35">
        <f>+GETPIVOTDATA("XCB4",'cubi (2016)'!$A$3,"MA_HT","SKK","MA_QH","DTT")</f>
        <v>0</v>
      </c>
      <c r="AJ22" s="35">
        <f>+GETPIVOTDATA("XCB4",'cubi (2016)'!$A$3,"MA_HT","SKK","MA_QH","NCK")</f>
        <v>0</v>
      </c>
      <c r="AK22" s="35">
        <f>+GETPIVOTDATA("XCB4",'cubi (2016)'!$A$3,"MA_HT","SKK","MA_QH","DXH")</f>
        <v>0</v>
      </c>
      <c r="AL22" s="35">
        <f>+GETPIVOTDATA("XCB4",'cubi (2016)'!$A$3,"MA_HT","SKK","MA_QH","DCH")</f>
        <v>0</v>
      </c>
      <c r="AM22" s="35">
        <f>+GETPIVOTDATA("XCB4",'cubi (2016)'!$A$3,"MA_HT","SKK","MA_QH","DKG")</f>
        <v>0</v>
      </c>
      <c r="AN22" s="35">
        <f>+GETPIVOTDATA("XCB4",'cubi (2016)'!$A$3,"MA_HT","SKK","MA_QH","DDT")</f>
        <v>0</v>
      </c>
      <c r="AO22" s="35">
        <f>+GETPIVOTDATA("XCB4",'cubi (2016)'!$A$3,"MA_HT","SKK","MA_QH","DDL")</f>
        <v>0</v>
      </c>
      <c r="AP22" s="35">
        <f>+GETPIVOTDATA("XCB4",'cubi (2016)'!$A$3,"MA_HT","SKK","MA_QH","DRA")</f>
        <v>0</v>
      </c>
      <c r="AQ22" s="35">
        <f>+GETPIVOTDATA("XCB4",'cubi (2016)'!$A$3,"MA_HT","SKK","MA_QH","ONT")</f>
        <v>0</v>
      </c>
      <c r="AR22" s="35">
        <f>+GETPIVOTDATA("XCB4",'cubi (2016)'!$A$3,"MA_HT","SKK","MA_QH","ODT")</f>
        <v>0</v>
      </c>
      <c r="AS22" s="35">
        <f>+GETPIVOTDATA("XCB4",'cubi (2016)'!$A$3,"MA_HT","SKK","MA_QH","TSC")</f>
        <v>0</v>
      </c>
      <c r="AT22" s="35">
        <f>+GETPIVOTDATA("XCB4",'cubi (2016)'!$A$3,"MA_HT","SKK","MA_QH","DTS")</f>
        <v>0</v>
      </c>
      <c r="AU22" s="35">
        <f>+GETPIVOTDATA("XCB4",'cubi (2016)'!$A$3,"MA_HT","SKK","MA_QH","DNG")</f>
        <v>0</v>
      </c>
      <c r="AV22" s="35">
        <f>+GETPIVOTDATA("XCB4",'cubi (2016)'!$A$3,"MA_HT","SKK","MA_QH","TON")</f>
        <v>0</v>
      </c>
      <c r="AW22" s="35">
        <f>+GETPIVOTDATA("XCB4",'cubi (2016)'!$A$3,"MA_HT","SKK","MA_QH","NTD")</f>
        <v>0</v>
      </c>
      <c r="AX22" s="35">
        <f>+GETPIVOTDATA("XCB4",'cubi (2016)'!$A$3,"MA_HT","SKK","MA_QH","SKX")</f>
        <v>0</v>
      </c>
      <c r="AY22" s="35">
        <f>+GETPIVOTDATA("XCB4",'cubi (2016)'!$A$3,"MA_HT","SKK","MA_QH","DSH")</f>
        <v>0</v>
      </c>
      <c r="AZ22" s="35">
        <f>+GETPIVOTDATA("XCB4",'cubi (2016)'!$A$3,"MA_HT","SKK","MA_QH","DKV")</f>
        <v>0</v>
      </c>
      <c r="BA22" s="140">
        <f>+GETPIVOTDATA("XCB4",'cubi (2016)'!$A$3,"MA_HT","SKK","MA_QH","TIN")</f>
        <v>0</v>
      </c>
      <c r="BB22" s="74">
        <f>+GETPIVOTDATA("XCB4",'cubi (2016)'!$A$3,"MA_HT","SKK","MA_QH","SON")</f>
        <v>0</v>
      </c>
      <c r="BC22" s="74">
        <f>+GETPIVOTDATA("XCB4",'cubi (2016)'!$A$3,"MA_HT","SKK","MA_QH","MNC")</f>
        <v>0</v>
      </c>
      <c r="BD22" s="35">
        <f>+GETPIVOTDATA("XCB4",'cubi (2016)'!$A$3,"MA_HT","SKK","MA_QH","PNK")</f>
        <v>0</v>
      </c>
      <c r="BE22" s="58">
        <f>+GETPIVOTDATA("XCB4",'cubi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+GETPIVOTDATA("XCB4",'cubi (2016)'!$A$3,"MA_HT","SKT","MA_QH","LUC")</f>
        <v>0</v>
      </c>
      <c r="H23" s="35">
        <f>+GETPIVOTDATA("XCB4",'cubi (2016)'!$A$3,"MA_HT","SKT","MA_QH","LUK")</f>
        <v>0</v>
      </c>
      <c r="I23" s="35">
        <f>+GETPIVOTDATA("XCB4",'cubi (2016)'!$A$3,"MA_HT","SKT","MA_QH","LUN")</f>
        <v>0</v>
      </c>
      <c r="J23" s="35">
        <f>+GETPIVOTDATA("XCB4",'cubi (2016)'!$A$3,"MA_HT","SKT","MA_QH","HNK")</f>
        <v>0</v>
      </c>
      <c r="K23" s="35">
        <f>+GETPIVOTDATA("XCB4",'cubi (2016)'!$A$3,"MA_HT","SKT","MA_QH","CLN")</f>
        <v>0</v>
      </c>
      <c r="L23" s="35">
        <f>+GETPIVOTDATA("XCB4",'cubi (2016)'!$A$3,"MA_HT","SKT","MA_QH","RSX")</f>
        <v>0</v>
      </c>
      <c r="M23" s="35">
        <f>+GETPIVOTDATA("XCB4",'cubi (2016)'!$A$3,"MA_HT","SKT","MA_QH","RPH")</f>
        <v>0</v>
      </c>
      <c r="N23" s="35">
        <f>+GETPIVOTDATA("XCB4",'cubi (2016)'!$A$3,"MA_HT","SKT","MA_QH","RDD")</f>
        <v>0</v>
      </c>
      <c r="O23" s="35">
        <f>+GETPIVOTDATA("XCB4",'cubi (2016)'!$A$3,"MA_HT","SKT","MA_QH","NTS")</f>
        <v>0</v>
      </c>
      <c r="P23" s="35">
        <f>+GETPIVOTDATA("XCB4",'cubi (2016)'!$A$3,"MA_HT","SKT","MA_QH","LMU")</f>
        <v>0</v>
      </c>
      <c r="Q23" s="35">
        <f>+GETPIVOTDATA("XCB4",'cubi (2016)'!$A$3,"MA_HT","SKT","MA_QH","NKH")</f>
        <v>0</v>
      </c>
      <c r="R23" s="63">
        <f>SUM(S23:U23,W23:AA23,AN23:BD23)</f>
        <v>0</v>
      </c>
      <c r="S23" s="35">
        <f>+GETPIVOTDATA("XCB4",'cubi (2016)'!$A$3,"MA_HT","SKT","MA_QH","CQP")</f>
        <v>0</v>
      </c>
      <c r="T23" s="35">
        <f>+GETPIVOTDATA("XCB4",'cubi (2016)'!$A$3,"MA_HT","SKT","MA_QH","CAN")</f>
        <v>0</v>
      </c>
      <c r="U23" s="35">
        <f>+GETPIVOTDATA("XCB4",'cubi (2016)'!$A$3,"MA_HT","SKT","MA_QH","SKK")</f>
        <v>0</v>
      </c>
      <c r="V23" s="99" t="e">
        <f>$D23-$BF23</f>
        <v>#REF!</v>
      </c>
      <c r="W23" s="35">
        <f>+GETPIVOTDATA("XCB4",'cubi (2016)'!$A$3,"MA_HT","SKT","MA_QH","SKN")</f>
        <v>0</v>
      </c>
      <c r="X23" s="35">
        <f>+GETPIVOTDATA("XCB4",'cubi (2016)'!$A$3,"MA_HT","SKT","MA_QH","TMD")</f>
        <v>0</v>
      </c>
      <c r="Y23" s="35">
        <f>+GETPIVOTDATA("XCB4",'cubi (2016)'!$A$3,"MA_HT","SKT","MA_QH","SKC")</f>
        <v>0</v>
      </c>
      <c r="Z23" s="35">
        <f>+GETPIVOTDATA("XCB4",'cubi (2016)'!$A$3,"MA_HT","SKT","MA_QH","SKS")</f>
        <v>0</v>
      </c>
      <c r="AA23" s="64">
        <f t="shared" si="12"/>
        <v>0</v>
      </c>
      <c r="AB23" s="35">
        <f>+GETPIVOTDATA("XCB4",'cubi (2016)'!$A$3,"MA_HT","SKT","MA_QH","DGT")</f>
        <v>0</v>
      </c>
      <c r="AC23" s="35">
        <f>+GETPIVOTDATA("XCB4",'cubi (2016)'!$A$3,"MA_HT","SKT","MA_QH","DTL")</f>
        <v>0</v>
      </c>
      <c r="AD23" s="35">
        <f>+GETPIVOTDATA("XCB4",'cubi (2016)'!$A$3,"MA_HT","SKT","MA_QH","DNL")</f>
        <v>0</v>
      </c>
      <c r="AE23" s="35">
        <f>+GETPIVOTDATA("XCB4",'cubi (2016)'!$A$3,"MA_HT","SKT","MA_QH","DBV")</f>
        <v>0</v>
      </c>
      <c r="AF23" s="35">
        <f>+GETPIVOTDATA("XCB4",'cubi (2016)'!$A$3,"MA_HT","SKT","MA_QH","DVH")</f>
        <v>0</v>
      </c>
      <c r="AG23" s="35">
        <f>+GETPIVOTDATA("XCB4",'cubi (2016)'!$A$3,"MA_HT","SKT","MA_QH","DYT")</f>
        <v>0</v>
      </c>
      <c r="AH23" s="35">
        <f>+GETPIVOTDATA("XCB4",'cubi (2016)'!$A$3,"MA_HT","SKT","MA_QH","DGD")</f>
        <v>0</v>
      </c>
      <c r="AI23" s="35">
        <f>+GETPIVOTDATA("XCB4",'cubi (2016)'!$A$3,"MA_HT","SKT","MA_QH","DTT")</f>
        <v>0</v>
      </c>
      <c r="AJ23" s="35">
        <f>+GETPIVOTDATA("XCB4",'cubi (2016)'!$A$3,"MA_HT","SKT","MA_QH","NCK")</f>
        <v>0</v>
      </c>
      <c r="AK23" s="35">
        <f>+GETPIVOTDATA("XCB4",'cubi (2016)'!$A$3,"MA_HT","SKT","MA_QH","DXH")</f>
        <v>0</v>
      </c>
      <c r="AL23" s="35">
        <f>+GETPIVOTDATA("XCB4",'cubi (2016)'!$A$3,"MA_HT","SKT","MA_QH","DCH")</f>
        <v>0</v>
      </c>
      <c r="AM23" s="35">
        <f>+GETPIVOTDATA("XCB4",'cubi (2016)'!$A$3,"MA_HT","SKT","MA_QH","DKG")</f>
        <v>0</v>
      </c>
      <c r="AN23" s="35">
        <f>+GETPIVOTDATA("XCB4",'cubi (2016)'!$A$3,"MA_HT","SKT","MA_QH","DDT")</f>
        <v>0</v>
      </c>
      <c r="AO23" s="35">
        <f>+GETPIVOTDATA("XCB4",'cubi (2016)'!$A$3,"MA_HT","SKT","MA_QH","DDL")</f>
        <v>0</v>
      </c>
      <c r="AP23" s="35">
        <f>+GETPIVOTDATA("XCB4",'cubi (2016)'!$A$3,"MA_HT","SKT","MA_QH","DRA")</f>
        <v>0</v>
      </c>
      <c r="AQ23" s="35">
        <f>+GETPIVOTDATA("XCB4",'cubi (2016)'!$A$3,"MA_HT","SKT","MA_QH","ONT")</f>
        <v>0</v>
      </c>
      <c r="AR23" s="35">
        <f>+GETPIVOTDATA("XCB4",'cubi (2016)'!$A$3,"MA_HT","SKT","MA_QH","ODT")</f>
        <v>0</v>
      </c>
      <c r="AS23" s="35">
        <f>+GETPIVOTDATA("XCB4",'cubi (2016)'!$A$3,"MA_HT","SKT","MA_QH","TSC")</f>
        <v>0</v>
      </c>
      <c r="AT23" s="35">
        <f>+GETPIVOTDATA("XCB4",'cubi (2016)'!$A$3,"MA_HT","SKT","MA_QH","DTS")</f>
        <v>0</v>
      </c>
      <c r="AU23" s="35">
        <f>+GETPIVOTDATA("XCB4",'cubi (2016)'!$A$3,"MA_HT","SKT","MA_QH","DNG")</f>
        <v>0</v>
      </c>
      <c r="AV23" s="35">
        <f>+GETPIVOTDATA("XCB4",'cubi (2016)'!$A$3,"MA_HT","SKT","MA_QH","TON")</f>
        <v>0</v>
      </c>
      <c r="AW23" s="35">
        <f>+GETPIVOTDATA("XCB4",'cubi (2016)'!$A$3,"MA_HT","SKT","MA_QH","NTD")</f>
        <v>0</v>
      </c>
      <c r="AX23" s="35">
        <f>+GETPIVOTDATA("XCB4",'cubi (2016)'!$A$3,"MA_HT","SKT","MA_QH","SKX")</f>
        <v>0</v>
      </c>
      <c r="AY23" s="35">
        <f>+GETPIVOTDATA("XCB4",'cubi (2016)'!$A$3,"MA_HT","SKT","MA_QH","DSH")</f>
        <v>0</v>
      </c>
      <c r="AZ23" s="35">
        <f>+GETPIVOTDATA("XCB4",'cubi (2016)'!$A$3,"MA_HT","SKT","MA_QH","DKV")</f>
        <v>0</v>
      </c>
      <c r="BA23" s="140">
        <f>+GETPIVOTDATA("XCB4",'cubi (2016)'!$A$3,"MA_HT","SKT","MA_QH","TIN")</f>
        <v>0</v>
      </c>
      <c r="BB23" s="74">
        <f>+GETPIVOTDATA("XCB4",'cubi (2016)'!$A$3,"MA_HT","SKT","MA_QH","SON")</f>
        <v>0</v>
      </c>
      <c r="BC23" s="74">
        <f>+GETPIVOTDATA("XCB4",'cubi (2016)'!$A$3,"MA_HT","SKT","MA_QH","MNC")</f>
        <v>0</v>
      </c>
      <c r="BD23" s="35">
        <f>+GETPIVOTDATA("XCB4",'cubi (2016)'!$A$3,"MA_HT","SKT","MA_QH","PNK")</f>
        <v>0</v>
      </c>
      <c r="BE23" s="58">
        <f>+GETPIVOTDATA("XCB4",'cubi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+GETPIVOTDATA("XCB4",'cubi (2016)'!$A$3,"MA_HT","SKN","MA_QH","LUC")</f>
        <v>0</v>
      </c>
      <c r="H24" s="35">
        <f>+GETPIVOTDATA("XCB4",'cubi (2016)'!$A$3,"MA_HT","SKN","MA_QH","LUK")</f>
        <v>0</v>
      </c>
      <c r="I24" s="35">
        <f>+GETPIVOTDATA("XCB4",'cubi (2016)'!$A$3,"MA_HT","SKN","MA_QH","LUN")</f>
        <v>0</v>
      </c>
      <c r="J24" s="35">
        <f>+GETPIVOTDATA("XCB4",'cubi (2016)'!$A$3,"MA_HT","SKN","MA_QH","HNK")</f>
        <v>0</v>
      </c>
      <c r="K24" s="35">
        <f>+GETPIVOTDATA("XCB4",'cubi (2016)'!$A$3,"MA_HT","SKN","MA_QH","CLN")</f>
        <v>0</v>
      </c>
      <c r="L24" s="35">
        <f>+GETPIVOTDATA("XCB4",'cubi (2016)'!$A$3,"MA_HT","SKN","MA_QH","RSX")</f>
        <v>0</v>
      </c>
      <c r="M24" s="35">
        <f>+GETPIVOTDATA("XCB4",'cubi (2016)'!$A$3,"MA_HT","SKN","MA_QH","RPH")</f>
        <v>0</v>
      </c>
      <c r="N24" s="35">
        <f>+GETPIVOTDATA("XCB4",'cubi (2016)'!$A$3,"MA_HT","SKN","MA_QH","RDD")</f>
        <v>0</v>
      </c>
      <c r="O24" s="35">
        <f>+GETPIVOTDATA("XCB4",'cubi (2016)'!$A$3,"MA_HT","SKN","MA_QH","NTS")</f>
        <v>0</v>
      </c>
      <c r="P24" s="35">
        <f>+GETPIVOTDATA("XCB4",'cubi (2016)'!$A$3,"MA_HT","SKN","MA_QH","LMU")</f>
        <v>0</v>
      </c>
      <c r="Q24" s="35">
        <f>+GETPIVOTDATA("XCB4",'cubi (2016)'!$A$3,"MA_HT","SKN","MA_QH","NKH")</f>
        <v>0</v>
      </c>
      <c r="R24" s="63">
        <f>SUM(S24:V24,X24:AA24,AN24:BD24)</f>
        <v>0</v>
      </c>
      <c r="S24" s="35">
        <f>+GETPIVOTDATA("XCB4",'cubi (2016)'!$A$3,"MA_HT","SKN","MA_QH","CQP")</f>
        <v>0</v>
      </c>
      <c r="T24" s="35">
        <f>+GETPIVOTDATA("XCB4",'cubi (2016)'!$A$3,"MA_HT","SKN","MA_QH","CAN")</f>
        <v>0</v>
      </c>
      <c r="U24" s="35">
        <f>+GETPIVOTDATA("XCB4",'cubi (2016)'!$A$3,"MA_HT","SKN","MA_QH","SKK")</f>
        <v>0</v>
      </c>
      <c r="V24" s="35">
        <f>+GETPIVOTDATA("XCB4",'cubi (2016)'!$A$3,"MA_HT","SKN","MA_QH","SKT")</f>
        <v>0</v>
      </c>
      <c r="W24" s="99" t="e">
        <f>$D24-$BF24</f>
        <v>#REF!</v>
      </c>
      <c r="X24" s="35">
        <f>+GETPIVOTDATA("XCB4",'cubi (2016)'!$A$3,"MA_HT","SKN","MA_QH","TMD")</f>
        <v>0</v>
      </c>
      <c r="Y24" s="35">
        <f>+GETPIVOTDATA("XCB4",'cubi (2016)'!$A$3,"MA_HT","SKN","MA_QH","SKC")</f>
        <v>0</v>
      </c>
      <c r="Z24" s="35">
        <f>+GETPIVOTDATA("XCB4",'cubi (2016)'!$A$3,"MA_HT","SKN","MA_QH","SKS")</f>
        <v>0</v>
      </c>
      <c r="AA24" s="64">
        <f t="shared" si="12"/>
        <v>0</v>
      </c>
      <c r="AB24" s="35">
        <f>+GETPIVOTDATA("XCB4",'cubi (2016)'!$A$3,"MA_HT","SKN","MA_QH","DGT")</f>
        <v>0</v>
      </c>
      <c r="AC24" s="35">
        <f>+GETPIVOTDATA("XCB4",'cubi (2016)'!$A$3,"MA_HT","SKN","MA_QH","DTL")</f>
        <v>0</v>
      </c>
      <c r="AD24" s="35">
        <f>+GETPIVOTDATA("XCB4",'cubi (2016)'!$A$3,"MA_HT","SKN","MA_QH","DNL")</f>
        <v>0</v>
      </c>
      <c r="AE24" s="35">
        <f>+GETPIVOTDATA("XCB4",'cubi (2016)'!$A$3,"MA_HT","SKN","MA_QH","DBV")</f>
        <v>0</v>
      </c>
      <c r="AF24" s="35">
        <f>+GETPIVOTDATA("XCB4",'cubi (2016)'!$A$3,"MA_HT","SKN","MA_QH","DVH")</f>
        <v>0</v>
      </c>
      <c r="AG24" s="35">
        <f>+GETPIVOTDATA("XCB4",'cubi (2016)'!$A$3,"MA_HT","SKN","MA_QH","DYT")</f>
        <v>0</v>
      </c>
      <c r="AH24" s="35">
        <f>+GETPIVOTDATA("XCB4",'cubi (2016)'!$A$3,"MA_HT","SKN","MA_QH","DGD")</f>
        <v>0</v>
      </c>
      <c r="AI24" s="35">
        <f>+GETPIVOTDATA("XCB4",'cubi (2016)'!$A$3,"MA_HT","SKN","MA_QH","DTT")</f>
        <v>0</v>
      </c>
      <c r="AJ24" s="35">
        <f>+GETPIVOTDATA("XCB4",'cubi (2016)'!$A$3,"MA_HT","SKN","MA_QH","NCK")</f>
        <v>0</v>
      </c>
      <c r="AK24" s="35">
        <f>+GETPIVOTDATA("XCB4",'cubi (2016)'!$A$3,"MA_HT","SKN","MA_QH","DXH")</f>
        <v>0</v>
      </c>
      <c r="AL24" s="35">
        <f>+GETPIVOTDATA("XCB4",'cubi (2016)'!$A$3,"MA_HT","SKN","MA_QH","DCH")</f>
        <v>0</v>
      </c>
      <c r="AM24" s="35">
        <f>+GETPIVOTDATA("XCB4",'cubi (2016)'!$A$3,"MA_HT","SKN","MA_QH","DKG")</f>
        <v>0</v>
      </c>
      <c r="AN24" s="35">
        <f>+GETPIVOTDATA("XCB4",'cubi (2016)'!$A$3,"MA_HT","SKN","MA_QH","DDT")</f>
        <v>0</v>
      </c>
      <c r="AO24" s="35">
        <f>+GETPIVOTDATA("XCB4",'cubi (2016)'!$A$3,"MA_HT","SKN","MA_QH","DDL")</f>
        <v>0</v>
      </c>
      <c r="AP24" s="35">
        <f>+GETPIVOTDATA("XCB4",'cubi (2016)'!$A$3,"MA_HT","SKN","MA_QH","DRA")</f>
        <v>0</v>
      </c>
      <c r="AQ24" s="35">
        <f>+GETPIVOTDATA("XCB4",'cubi (2016)'!$A$3,"MA_HT","SKN","MA_QH","ONT")</f>
        <v>0</v>
      </c>
      <c r="AR24" s="35">
        <f>+GETPIVOTDATA("XCB4",'cubi (2016)'!$A$3,"MA_HT","SKN","MA_QH","ODT")</f>
        <v>0</v>
      </c>
      <c r="AS24" s="35">
        <f>+GETPIVOTDATA("XCB4",'cubi (2016)'!$A$3,"MA_HT","SKN","MA_QH","TSC")</f>
        <v>0</v>
      </c>
      <c r="AT24" s="35">
        <f>+GETPIVOTDATA("XCB4",'cubi (2016)'!$A$3,"MA_HT","SKN","MA_QH","DTS")</f>
        <v>0</v>
      </c>
      <c r="AU24" s="35">
        <f>+GETPIVOTDATA("XCB4",'cubi (2016)'!$A$3,"MA_HT","SKN","MA_QH","DNG")</f>
        <v>0</v>
      </c>
      <c r="AV24" s="35">
        <f>+GETPIVOTDATA("XCB4",'cubi (2016)'!$A$3,"MA_HT","SKN","MA_QH","TON")</f>
        <v>0</v>
      </c>
      <c r="AW24" s="35">
        <f>+GETPIVOTDATA("XCB4",'cubi (2016)'!$A$3,"MA_HT","SKN","MA_QH","NTD")</f>
        <v>0</v>
      </c>
      <c r="AX24" s="35">
        <f>+GETPIVOTDATA("XCB4",'cubi (2016)'!$A$3,"MA_HT","SKN","MA_QH","SKX")</f>
        <v>0</v>
      </c>
      <c r="AY24" s="35">
        <f>+GETPIVOTDATA("XCB4",'cubi (2016)'!$A$3,"MA_HT","SKN","MA_QH","DSH")</f>
        <v>0</v>
      </c>
      <c r="AZ24" s="35">
        <f>+GETPIVOTDATA("XCB4",'cubi (2016)'!$A$3,"MA_HT","SKN","MA_QH","DKV")</f>
        <v>0</v>
      </c>
      <c r="BA24" s="140">
        <f>+GETPIVOTDATA("XCB4",'cubi (2016)'!$A$3,"MA_HT","SKN","MA_QH","TIN")</f>
        <v>0</v>
      </c>
      <c r="BB24" s="74">
        <f>+GETPIVOTDATA("XCB4",'cubi (2016)'!$A$3,"MA_HT","SKN","MA_QH","SON")</f>
        <v>0</v>
      </c>
      <c r="BC24" s="74">
        <f>+GETPIVOTDATA("XCB4",'cubi (2016)'!$A$3,"MA_HT","SKN","MA_QH","MNC")</f>
        <v>0</v>
      </c>
      <c r="BD24" s="35">
        <f>+GETPIVOTDATA("XCB4",'cubi (2016)'!$A$3,"MA_HT","SKN","MA_QH","PNK")</f>
        <v>0</v>
      </c>
      <c r="BE24" s="58">
        <f>+GETPIVOTDATA("XCB4",'cubi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+GETPIVOTDATA("XCB4",'cubi (2016)'!$A$3,"MA_HT","TMD","MA_QH","LUC")</f>
        <v>0</v>
      </c>
      <c r="H25" s="35">
        <f>+GETPIVOTDATA("XCB4",'cubi (2016)'!$A$3,"MA_HT","TMD","MA_QH","LUK")</f>
        <v>0</v>
      </c>
      <c r="I25" s="35">
        <f>+GETPIVOTDATA("XCB4",'cubi (2016)'!$A$3,"MA_HT","TMD","MA_QH","LUN")</f>
        <v>0</v>
      </c>
      <c r="J25" s="35">
        <f>+GETPIVOTDATA("XCB4",'cubi (2016)'!$A$3,"MA_HT","TMD","MA_QH","HNK")</f>
        <v>0</v>
      </c>
      <c r="K25" s="35">
        <f>+GETPIVOTDATA("XCB4",'cubi (2016)'!$A$3,"MA_HT","TMD","MA_QH","CLN")</f>
        <v>0</v>
      </c>
      <c r="L25" s="35">
        <f>+GETPIVOTDATA("XCB4",'cubi (2016)'!$A$3,"MA_HT","TMD","MA_QH","RSX")</f>
        <v>0</v>
      </c>
      <c r="M25" s="35">
        <f>+GETPIVOTDATA("XCB4",'cubi (2016)'!$A$3,"MA_HT","TMD","MA_QH","RPH")</f>
        <v>0</v>
      </c>
      <c r="N25" s="35">
        <f>+GETPIVOTDATA("XCB4",'cubi (2016)'!$A$3,"MA_HT","TMD","MA_QH","RDD")</f>
        <v>0</v>
      </c>
      <c r="O25" s="35">
        <f>+GETPIVOTDATA("XCB4",'cubi (2016)'!$A$3,"MA_HT","TMD","MA_QH","NTS")</f>
        <v>0</v>
      </c>
      <c r="P25" s="35">
        <f>+GETPIVOTDATA("XCB4",'cubi (2016)'!$A$3,"MA_HT","TMD","MA_QH","LMU")</f>
        <v>0</v>
      </c>
      <c r="Q25" s="35">
        <f>+GETPIVOTDATA("XCB4",'cubi (2016)'!$A$3,"MA_HT","TMD","MA_QH","NKH")</f>
        <v>0</v>
      </c>
      <c r="R25" s="63">
        <f>SUM(S25:W25,Y25:AA25,AN25:BD25)</f>
        <v>0</v>
      </c>
      <c r="S25" s="35">
        <f>+GETPIVOTDATA("XCB4",'cubi (2016)'!$A$3,"MA_HT","TMD","MA_QH","CQP")</f>
        <v>0</v>
      </c>
      <c r="T25" s="35">
        <f>+GETPIVOTDATA("XCB4",'cubi (2016)'!$A$3,"MA_HT","TMD","MA_QH","CAN")</f>
        <v>0</v>
      </c>
      <c r="U25" s="35">
        <f>+GETPIVOTDATA("XCB4",'cubi (2016)'!$A$3,"MA_HT","TMD","MA_QH","SKK")</f>
        <v>0</v>
      </c>
      <c r="V25" s="35">
        <f>+GETPIVOTDATA("XCB4",'cubi (2016)'!$A$3,"MA_HT","TMD","MA_QH","SKT")</f>
        <v>0</v>
      </c>
      <c r="W25" s="35">
        <f>+GETPIVOTDATA("XCB4",'cubi (2016)'!$A$3,"MA_HT","TMD","MA_QH","SKN")</f>
        <v>0</v>
      </c>
      <c r="X25" s="99" t="e">
        <f>$D25-$BF25</f>
        <v>#REF!</v>
      </c>
      <c r="Y25" s="35">
        <f>+GETPIVOTDATA("XCB4",'cubi (2016)'!$A$3,"MA_HT","TMD","MA_QH","SKC")</f>
        <v>0</v>
      </c>
      <c r="Z25" s="35">
        <f>+GETPIVOTDATA("XCB4",'cubi (2016)'!$A$3,"MA_HT","TMD","MA_QH","SKS")</f>
        <v>0</v>
      </c>
      <c r="AA25" s="64">
        <f t="shared" si="12"/>
        <v>0</v>
      </c>
      <c r="AB25" s="35">
        <f>+GETPIVOTDATA("XCB4",'cubi (2016)'!$A$3,"MA_HT","TMD","MA_QH","DGT")</f>
        <v>0</v>
      </c>
      <c r="AC25" s="35">
        <f>+GETPIVOTDATA("XCB4",'cubi (2016)'!$A$3,"MA_HT","TMD","MA_QH","DTL")</f>
        <v>0</v>
      </c>
      <c r="AD25" s="35">
        <f>+GETPIVOTDATA("XCB4",'cubi (2016)'!$A$3,"MA_HT","TMD","MA_QH","DNL")</f>
        <v>0</v>
      </c>
      <c r="AE25" s="35">
        <f>+GETPIVOTDATA("XCB4",'cubi (2016)'!$A$3,"MA_HT","TMD","MA_QH","DBV")</f>
        <v>0</v>
      </c>
      <c r="AF25" s="35">
        <f>+GETPIVOTDATA("XCB4",'cubi (2016)'!$A$3,"MA_HT","TMD","MA_QH","DVH")</f>
        <v>0</v>
      </c>
      <c r="AG25" s="35">
        <f>+GETPIVOTDATA("XCB4",'cubi (2016)'!$A$3,"MA_HT","TMD","MA_QH","DYT")</f>
        <v>0</v>
      </c>
      <c r="AH25" s="35">
        <f>+GETPIVOTDATA("XCB4",'cubi (2016)'!$A$3,"MA_HT","TMD","MA_QH","DGD")</f>
        <v>0</v>
      </c>
      <c r="AI25" s="35">
        <f>+GETPIVOTDATA("XCB4",'cubi (2016)'!$A$3,"MA_HT","TMD","MA_QH","DTT")</f>
        <v>0</v>
      </c>
      <c r="AJ25" s="35">
        <f>+GETPIVOTDATA("XCB4",'cubi (2016)'!$A$3,"MA_HT","TMD","MA_QH","NCK")</f>
        <v>0</v>
      </c>
      <c r="AK25" s="35">
        <f>+GETPIVOTDATA("XCB4",'cubi (2016)'!$A$3,"MA_HT","TMD","MA_QH","DXH")</f>
        <v>0</v>
      </c>
      <c r="AL25" s="35">
        <f>+GETPIVOTDATA("XCB4",'cubi (2016)'!$A$3,"MA_HT","TMD","MA_QH","DCH")</f>
        <v>0</v>
      </c>
      <c r="AM25" s="35">
        <f>+GETPIVOTDATA("XCB4",'cubi (2016)'!$A$3,"MA_HT","TMD","MA_QH","DKG")</f>
        <v>0</v>
      </c>
      <c r="AN25" s="35">
        <f>+GETPIVOTDATA("XCB4",'cubi (2016)'!$A$3,"MA_HT","TMD","MA_QH","DDT")</f>
        <v>0</v>
      </c>
      <c r="AO25" s="35">
        <f>+GETPIVOTDATA("XCB4",'cubi (2016)'!$A$3,"MA_HT","TMD","MA_QH","DDL")</f>
        <v>0</v>
      </c>
      <c r="AP25" s="35">
        <f>+GETPIVOTDATA("XCB4",'cubi (2016)'!$A$3,"MA_HT","TMD","MA_QH","DRA")</f>
        <v>0</v>
      </c>
      <c r="AQ25" s="35">
        <f>+GETPIVOTDATA("XCB4",'cubi (2016)'!$A$3,"MA_HT","TMD","MA_QH","ONT")</f>
        <v>0</v>
      </c>
      <c r="AR25" s="35">
        <f>+GETPIVOTDATA("XCB4",'cubi (2016)'!$A$3,"MA_HT","TMD","MA_QH","ODT")</f>
        <v>0</v>
      </c>
      <c r="AS25" s="35">
        <f>+GETPIVOTDATA("XCB4",'cubi (2016)'!$A$3,"MA_HT","TMD","MA_QH","TSC")</f>
        <v>0</v>
      </c>
      <c r="AT25" s="35">
        <f>+GETPIVOTDATA("XCB4",'cubi (2016)'!$A$3,"MA_HT","TMD","MA_QH","DTS")</f>
        <v>0</v>
      </c>
      <c r="AU25" s="35">
        <f>+GETPIVOTDATA("XCB4",'cubi (2016)'!$A$3,"MA_HT","TMD","MA_QH","DNG")</f>
        <v>0</v>
      </c>
      <c r="AV25" s="35">
        <f>+GETPIVOTDATA("XCB4",'cubi (2016)'!$A$3,"MA_HT","TMD","MA_QH","TON")</f>
        <v>0</v>
      </c>
      <c r="AW25" s="35">
        <f>+GETPIVOTDATA("XCB4",'cubi (2016)'!$A$3,"MA_HT","TMD","MA_QH","NTD")</f>
        <v>0</v>
      </c>
      <c r="AX25" s="35">
        <f>+GETPIVOTDATA("XCB4",'cubi (2016)'!$A$3,"MA_HT","TMD","MA_QH","SKX")</f>
        <v>0</v>
      </c>
      <c r="AY25" s="35">
        <f>+GETPIVOTDATA("XCB4",'cubi (2016)'!$A$3,"MA_HT","TMD","MA_QH","DSH")</f>
        <v>0</v>
      </c>
      <c r="AZ25" s="35">
        <f>+GETPIVOTDATA("XCB4",'cubi (2016)'!$A$3,"MA_HT","TMD","MA_QH","DKV")</f>
        <v>0</v>
      </c>
      <c r="BA25" s="140">
        <f>+GETPIVOTDATA("XCB4",'cubi (2016)'!$A$3,"MA_HT","TMD","MA_QH","TIN")</f>
        <v>0</v>
      </c>
      <c r="BB25" s="74">
        <f>+GETPIVOTDATA("XCB4",'cubi (2016)'!$A$3,"MA_HT","TMD","MA_QH","SON")</f>
        <v>0</v>
      </c>
      <c r="BC25" s="74">
        <f>+GETPIVOTDATA("XCB4",'cubi (2016)'!$A$3,"MA_HT","TMD","MA_QH","MNC")</f>
        <v>0</v>
      </c>
      <c r="BD25" s="35">
        <f>+GETPIVOTDATA("XCB4",'cubi (2016)'!$A$3,"MA_HT","TMD","MA_QH","PNK")</f>
        <v>0</v>
      </c>
      <c r="BE25" s="58">
        <f>+GETPIVOTDATA("XCB4",'cubi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+GETPIVOTDATA("XCB4",'cubi (2016)'!$A$3,"MA_HT","SKC","MA_QH","LUC")</f>
        <v>0</v>
      </c>
      <c r="H26" s="35">
        <f>+GETPIVOTDATA("XCB4",'cubi (2016)'!$A$3,"MA_HT","SKC","MA_QH","LUK")</f>
        <v>0</v>
      </c>
      <c r="I26" s="35">
        <f>+GETPIVOTDATA("XCB4",'cubi (2016)'!$A$3,"MA_HT","SKC","MA_QH","LUN")</f>
        <v>0</v>
      </c>
      <c r="J26" s="35">
        <f>+GETPIVOTDATA("XCB4",'cubi (2016)'!$A$3,"MA_HT","SKC","MA_QH","HNK")</f>
        <v>0</v>
      </c>
      <c r="K26" s="35">
        <f>+GETPIVOTDATA("XCB4",'cubi (2016)'!$A$3,"MA_HT","SKC","MA_QH","CLN")</f>
        <v>0</v>
      </c>
      <c r="L26" s="35">
        <f>+GETPIVOTDATA("XCB4",'cubi (2016)'!$A$3,"MA_HT","SKC","MA_QH","RSX")</f>
        <v>0</v>
      </c>
      <c r="M26" s="35">
        <f>+GETPIVOTDATA("XCB4",'cubi (2016)'!$A$3,"MA_HT","SKC","MA_QH","RPH")</f>
        <v>0</v>
      </c>
      <c r="N26" s="35">
        <f>+GETPIVOTDATA("XCB4",'cubi (2016)'!$A$3,"MA_HT","SKC","MA_QH","RDD")</f>
        <v>0</v>
      </c>
      <c r="O26" s="35">
        <f>+GETPIVOTDATA("XCB4",'cubi (2016)'!$A$3,"MA_HT","SKC","MA_QH","NTS")</f>
        <v>0</v>
      </c>
      <c r="P26" s="35">
        <f>+GETPIVOTDATA("XCB4",'cubi (2016)'!$A$3,"MA_HT","SKC","MA_QH","LMU")</f>
        <v>0</v>
      </c>
      <c r="Q26" s="35">
        <f>+GETPIVOTDATA("XCB4",'cubi (2016)'!$A$3,"MA_HT","SKC","MA_QH","NKH")</f>
        <v>0</v>
      </c>
      <c r="R26" s="63">
        <f>SUM(S26:X26,Z26,AN26:BD26)</f>
        <v>0</v>
      </c>
      <c r="S26" s="35">
        <f>+GETPIVOTDATA("XCB4",'cubi (2016)'!$A$3,"MA_HT","SKC","MA_QH","CQP")</f>
        <v>0</v>
      </c>
      <c r="T26" s="35">
        <f>+GETPIVOTDATA("XCB4",'cubi (2016)'!$A$3,"MA_HT","SKC","MA_QH","CAN")</f>
        <v>0</v>
      </c>
      <c r="U26" s="35">
        <f>+GETPIVOTDATA("XCB4",'cubi (2016)'!$A$3,"MA_HT","SKC","MA_QH","SKK")</f>
        <v>0</v>
      </c>
      <c r="V26" s="35">
        <f>+GETPIVOTDATA("XCB4",'cubi (2016)'!$A$3,"MA_HT","SKC","MA_QH","SKT")</f>
        <v>0</v>
      </c>
      <c r="W26" s="35">
        <f>+GETPIVOTDATA("XCB4",'cubi (2016)'!$A$3,"MA_HT","SKC","MA_QH","SKN")</f>
        <v>0</v>
      </c>
      <c r="X26" s="35">
        <f>+GETPIVOTDATA("XCB4",'cubi (2016)'!$A$3,"MA_HT","SKC","MA_QH","TMD")</f>
        <v>0</v>
      </c>
      <c r="Y26" s="99" t="e">
        <f>$D26-$BF26</f>
        <v>#REF!</v>
      </c>
      <c r="Z26" s="35">
        <f>+GETPIVOTDATA("XCB4",'cubi (2016)'!$A$3,"MA_HT","SKC","MA_QH","SKS")</f>
        <v>0</v>
      </c>
      <c r="AA26" s="64">
        <f t="shared" si="12"/>
        <v>0</v>
      </c>
      <c r="AB26" s="35">
        <f>+GETPIVOTDATA("XCB4",'cubi (2016)'!$A$3,"MA_HT","SKC","MA_QH","DGT")</f>
        <v>0</v>
      </c>
      <c r="AC26" s="35">
        <f>+GETPIVOTDATA("XCB4",'cubi (2016)'!$A$3,"MA_HT","SKC","MA_QH","DTL")</f>
        <v>0</v>
      </c>
      <c r="AD26" s="35">
        <f>+GETPIVOTDATA("XCB4",'cubi (2016)'!$A$3,"MA_HT","SKC","MA_QH","DNL")</f>
        <v>0</v>
      </c>
      <c r="AE26" s="35">
        <f>+GETPIVOTDATA("XCB4",'cubi (2016)'!$A$3,"MA_HT","SKC","MA_QH","DBV")</f>
        <v>0</v>
      </c>
      <c r="AF26" s="35">
        <f>+GETPIVOTDATA("XCB4",'cubi (2016)'!$A$3,"MA_HT","SKC","MA_QH","DVH")</f>
        <v>0</v>
      </c>
      <c r="AG26" s="35">
        <f>+GETPIVOTDATA("XCB4",'cubi (2016)'!$A$3,"MA_HT","SKC","MA_QH","DYT")</f>
        <v>0</v>
      </c>
      <c r="AH26" s="35">
        <f>+GETPIVOTDATA("XCB4",'cubi (2016)'!$A$3,"MA_HT","SKC","MA_QH","DGD")</f>
        <v>0</v>
      </c>
      <c r="AI26" s="35">
        <f>+GETPIVOTDATA("XCB4",'cubi (2016)'!$A$3,"MA_HT","SKC","MA_QH","DTT")</f>
        <v>0</v>
      </c>
      <c r="AJ26" s="35">
        <f>+GETPIVOTDATA("XCB4",'cubi (2016)'!$A$3,"MA_HT","SKC","MA_QH","NCK")</f>
        <v>0</v>
      </c>
      <c r="AK26" s="35">
        <f>+GETPIVOTDATA("XCB4",'cubi (2016)'!$A$3,"MA_HT","SKC","MA_QH","DXH")</f>
        <v>0</v>
      </c>
      <c r="AL26" s="35">
        <f>+GETPIVOTDATA("XCB4",'cubi (2016)'!$A$3,"MA_HT","SKC","MA_QH","DCH")</f>
        <v>0</v>
      </c>
      <c r="AM26" s="35">
        <f>+GETPIVOTDATA("XCB4",'cubi (2016)'!$A$3,"MA_HT","SKC","MA_QH","DKG")</f>
        <v>0</v>
      </c>
      <c r="AN26" s="35">
        <f>+GETPIVOTDATA("XCB4",'cubi (2016)'!$A$3,"MA_HT","SKC","MA_QH","DDT")</f>
        <v>0</v>
      </c>
      <c r="AO26" s="35">
        <f>+GETPIVOTDATA("XCB4",'cubi (2016)'!$A$3,"MA_HT","SKC","MA_QH","DDL")</f>
        <v>0</v>
      </c>
      <c r="AP26" s="35">
        <f>+GETPIVOTDATA("XCB4",'cubi (2016)'!$A$3,"MA_HT","SKC","MA_QH","DRA")</f>
        <v>0</v>
      </c>
      <c r="AQ26" s="35">
        <f>+GETPIVOTDATA("XCB4",'cubi (2016)'!$A$3,"MA_HT","SKC","MA_QH","ONT")</f>
        <v>0</v>
      </c>
      <c r="AR26" s="35">
        <f>+GETPIVOTDATA("XCB4",'cubi (2016)'!$A$3,"MA_HT","SKC","MA_QH","ODT")</f>
        <v>0</v>
      </c>
      <c r="AS26" s="35">
        <f>+GETPIVOTDATA("XCB4",'cubi (2016)'!$A$3,"MA_HT","SKC","MA_QH","TSC")</f>
        <v>0</v>
      </c>
      <c r="AT26" s="35">
        <f>+GETPIVOTDATA("XCB4",'cubi (2016)'!$A$3,"MA_HT","SKC","MA_QH","DTS")</f>
        <v>0</v>
      </c>
      <c r="AU26" s="35">
        <f>+GETPIVOTDATA("XCB4",'cubi (2016)'!$A$3,"MA_HT","SKC","MA_QH","DNG")</f>
        <v>0</v>
      </c>
      <c r="AV26" s="35">
        <f>+GETPIVOTDATA("XCB4",'cubi (2016)'!$A$3,"MA_HT","SKC","MA_QH","TON")</f>
        <v>0</v>
      </c>
      <c r="AW26" s="35">
        <f>+GETPIVOTDATA("XCB4",'cubi (2016)'!$A$3,"MA_HT","SKC","MA_QH","NTD")</f>
        <v>0</v>
      </c>
      <c r="AX26" s="35">
        <f>+GETPIVOTDATA("XCB4",'cubi (2016)'!$A$3,"MA_HT","SKC","MA_QH","SKX")</f>
        <v>0</v>
      </c>
      <c r="AY26" s="35">
        <f>+GETPIVOTDATA("XCB4",'cubi (2016)'!$A$3,"MA_HT","SKC","MA_QH","DSH")</f>
        <v>0</v>
      </c>
      <c r="AZ26" s="35">
        <f>+GETPIVOTDATA("XCB4",'cubi (2016)'!$A$3,"MA_HT","SKC","MA_QH","DKV")</f>
        <v>0</v>
      </c>
      <c r="BA26" s="140">
        <f>+GETPIVOTDATA("XCB4",'cubi (2016)'!$A$3,"MA_HT","SKC","MA_QH","TIN")</f>
        <v>0</v>
      </c>
      <c r="BB26" s="74">
        <f>+GETPIVOTDATA("XCB4",'cubi (2016)'!$A$3,"MA_HT","SKC","MA_QH","SON")</f>
        <v>0</v>
      </c>
      <c r="BC26" s="74">
        <f>+GETPIVOTDATA("XCB4",'cubi (2016)'!$A$3,"MA_HT","SKC","MA_QH","MNC")</f>
        <v>0</v>
      </c>
      <c r="BD26" s="35">
        <f>+GETPIVOTDATA("XCB4",'cubi (2016)'!$A$3,"MA_HT","SKC","MA_QH","PNK")</f>
        <v>0</v>
      </c>
      <c r="BE26" s="58">
        <f>+GETPIVOTDATA("XCB4",'cubi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+GETPIVOTDATA("XCB4",'cubi (2016)'!$A$3,"MA_HT","SKS","MA_QH","LUC")</f>
        <v>0</v>
      </c>
      <c r="H27" s="35">
        <f>+GETPIVOTDATA("XCB4",'cubi (2016)'!$A$3,"MA_HT","SKS","MA_QH","LUK")</f>
        <v>0</v>
      </c>
      <c r="I27" s="35">
        <f>+GETPIVOTDATA("XCB4",'cubi (2016)'!$A$3,"MA_HT","SKS","MA_QH","LUN")</f>
        <v>0</v>
      </c>
      <c r="J27" s="35">
        <f>+GETPIVOTDATA("XCB4",'cubi (2016)'!$A$3,"MA_HT","SKS","MA_QH","HNK")</f>
        <v>0</v>
      </c>
      <c r="K27" s="35">
        <f>+GETPIVOTDATA("XCB4",'cubi (2016)'!$A$3,"MA_HT","SKS","MA_QH","CLN")</f>
        <v>0</v>
      </c>
      <c r="L27" s="35">
        <f>+GETPIVOTDATA("XCB4",'cubi (2016)'!$A$3,"MA_HT","SKS","MA_QH","RSX")</f>
        <v>0</v>
      </c>
      <c r="M27" s="35">
        <f>+GETPIVOTDATA("XCB4",'cubi (2016)'!$A$3,"MA_HT","SKS","MA_QH","RPH")</f>
        <v>0</v>
      </c>
      <c r="N27" s="35">
        <f>+GETPIVOTDATA("XCB4",'cubi (2016)'!$A$3,"MA_HT","SKS","MA_QH","RDD")</f>
        <v>0</v>
      </c>
      <c r="O27" s="35">
        <f>+GETPIVOTDATA("XCB4",'cubi (2016)'!$A$3,"MA_HT","SKS","MA_QH","NTS")</f>
        <v>0</v>
      </c>
      <c r="P27" s="35">
        <f>+GETPIVOTDATA("XCB4",'cubi (2016)'!$A$3,"MA_HT","SKS","MA_QH","LMU")</f>
        <v>0</v>
      </c>
      <c r="Q27" s="35">
        <f>+GETPIVOTDATA("XCB4",'cubi (2016)'!$A$3,"MA_HT","SKS","MA_QH","NKH")</f>
        <v>0</v>
      </c>
      <c r="R27" s="63">
        <f>SUM(S27:Y27,AA27,AN27:BD27)</f>
        <v>0</v>
      </c>
      <c r="S27" s="35">
        <f>+GETPIVOTDATA("XCB4",'cubi (2016)'!$A$3,"MA_HT","SKS","MA_QH","CQP")</f>
        <v>0</v>
      </c>
      <c r="T27" s="35">
        <f>+GETPIVOTDATA("XCB4",'cubi (2016)'!$A$3,"MA_HT","SKS","MA_QH","CAN")</f>
        <v>0</v>
      </c>
      <c r="U27" s="35">
        <f>+GETPIVOTDATA("XCB4",'cubi (2016)'!$A$3,"MA_HT","SKS","MA_QH","SKK")</f>
        <v>0</v>
      </c>
      <c r="V27" s="35">
        <f>+GETPIVOTDATA("XCB4",'cubi (2016)'!$A$3,"MA_HT","SKS","MA_QH","SKT")</f>
        <v>0</v>
      </c>
      <c r="W27" s="35">
        <f>+GETPIVOTDATA("XCB4",'cubi (2016)'!$A$3,"MA_HT","SKS","MA_QH","SKN")</f>
        <v>0</v>
      </c>
      <c r="X27" s="35">
        <f>+GETPIVOTDATA("XCB4",'cubi (2016)'!$A$3,"MA_HT","SKS","MA_QH","TMD")</f>
        <v>0</v>
      </c>
      <c r="Y27" s="35">
        <f>+GETPIVOTDATA("XCB4",'cubi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+GETPIVOTDATA("XCB4",'cubi (2016)'!$A$3,"MA_HT","SKS","MA_QH","DGT")</f>
        <v>0</v>
      </c>
      <c r="AC27" s="35">
        <f>+GETPIVOTDATA("XCB4",'cubi (2016)'!$A$3,"MA_HT","SKS","MA_QH","DTL")</f>
        <v>0</v>
      </c>
      <c r="AD27" s="35">
        <f>+GETPIVOTDATA("XCB4",'cubi (2016)'!$A$3,"MA_HT","SKS","MA_QH","DNL")</f>
        <v>0</v>
      </c>
      <c r="AE27" s="35">
        <f>+GETPIVOTDATA("XCB4",'cubi (2016)'!$A$3,"MA_HT","SKS","MA_QH","DBV")</f>
        <v>0</v>
      </c>
      <c r="AF27" s="35">
        <f>+GETPIVOTDATA("XCB4",'cubi (2016)'!$A$3,"MA_HT","SKS","MA_QH","DVH")</f>
        <v>0</v>
      </c>
      <c r="AG27" s="35">
        <f>+GETPIVOTDATA("XCB4",'cubi (2016)'!$A$3,"MA_HT","SKS","MA_QH","DYT")</f>
        <v>0</v>
      </c>
      <c r="AH27" s="35">
        <f>+GETPIVOTDATA("XCB4",'cubi (2016)'!$A$3,"MA_HT","SKS","MA_QH","DGD")</f>
        <v>0</v>
      </c>
      <c r="AI27" s="35">
        <f>+GETPIVOTDATA("XCB4",'cubi (2016)'!$A$3,"MA_HT","SKS","MA_QH","DTT")</f>
        <v>0</v>
      </c>
      <c r="AJ27" s="35">
        <f>+GETPIVOTDATA("XCB4",'cubi (2016)'!$A$3,"MA_HT","SKS","MA_QH","NCK")</f>
        <v>0</v>
      </c>
      <c r="AK27" s="35">
        <f>+GETPIVOTDATA("XCB4",'cubi (2016)'!$A$3,"MA_HT","SKS","MA_QH","DXH")</f>
        <v>0</v>
      </c>
      <c r="AL27" s="35">
        <f>+GETPIVOTDATA("XCB4",'cubi (2016)'!$A$3,"MA_HT","SKS","MA_QH","DCH")</f>
        <v>0</v>
      </c>
      <c r="AM27" s="35">
        <f>+GETPIVOTDATA("XCB4",'cubi (2016)'!$A$3,"MA_HT","SKS","MA_QH","DKG")</f>
        <v>0</v>
      </c>
      <c r="AN27" s="35">
        <f>+GETPIVOTDATA("XCB4",'cubi (2016)'!$A$3,"MA_HT","SKS","MA_QH","DDT")</f>
        <v>0</v>
      </c>
      <c r="AO27" s="35">
        <f>+GETPIVOTDATA("XCB4",'cubi (2016)'!$A$3,"MA_HT","SKS","MA_QH","DDL")</f>
        <v>0</v>
      </c>
      <c r="AP27" s="35">
        <f>+GETPIVOTDATA("XCB4",'cubi (2016)'!$A$3,"MA_HT","SKS","MA_QH","DRA")</f>
        <v>0</v>
      </c>
      <c r="AQ27" s="35">
        <f>+GETPIVOTDATA("XCB4",'cubi (2016)'!$A$3,"MA_HT","SKS","MA_QH","ONT")</f>
        <v>0</v>
      </c>
      <c r="AR27" s="35">
        <f>+GETPIVOTDATA("XCB4",'cubi (2016)'!$A$3,"MA_HT","SKS","MA_QH","ODT")</f>
        <v>0</v>
      </c>
      <c r="AS27" s="35">
        <f>+GETPIVOTDATA("XCB4",'cubi (2016)'!$A$3,"MA_HT","SKS","MA_QH","TSC")</f>
        <v>0</v>
      </c>
      <c r="AT27" s="35">
        <f>+GETPIVOTDATA("XCB4",'cubi (2016)'!$A$3,"MA_HT","SKS","MA_QH","DTS")</f>
        <v>0</v>
      </c>
      <c r="AU27" s="35">
        <f>+GETPIVOTDATA("XCB4",'cubi (2016)'!$A$3,"MA_HT","SKS","MA_QH","DNG")</f>
        <v>0</v>
      </c>
      <c r="AV27" s="35">
        <f>+GETPIVOTDATA("XCB4",'cubi (2016)'!$A$3,"MA_HT","SKS","MA_QH","TON")</f>
        <v>0</v>
      </c>
      <c r="AW27" s="35">
        <f>+GETPIVOTDATA("XCB4",'cubi (2016)'!$A$3,"MA_HT","SKS","MA_QH","NTD")</f>
        <v>0</v>
      </c>
      <c r="AX27" s="35">
        <f>+GETPIVOTDATA("XCB4",'cubi (2016)'!$A$3,"MA_HT","SKS","MA_QH","SKX")</f>
        <v>0</v>
      </c>
      <c r="AY27" s="35">
        <f>+GETPIVOTDATA("XCB4",'cubi (2016)'!$A$3,"MA_HT","SKS","MA_QH","DSH")</f>
        <v>0</v>
      </c>
      <c r="AZ27" s="35">
        <f>+GETPIVOTDATA("XCB4",'cubi (2016)'!$A$3,"MA_HT","SKS","MA_QH","DKV")</f>
        <v>0</v>
      </c>
      <c r="BA27" s="140">
        <f>+GETPIVOTDATA("XCB4",'cubi (2016)'!$A$3,"MA_HT","SKS","MA_QH","TIN")</f>
        <v>0</v>
      </c>
      <c r="BB27" s="74">
        <f>+GETPIVOTDATA("XCB4",'cubi (2016)'!$A$3,"MA_HT","SKS","MA_QH","SON")</f>
        <v>0</v>
      </c>
      <c r="BC27" s="74">
        <f>+GETPIVOTDATA("XCB4",'cubi (2016)'!$A$3,"MA_HT","SKS","MA_QH","MNC")</f>
        <v>0</v>
      </c>
      <c r="BD27" s="35">
        <f>+GETPIVOTDATA("XCB4",'cubi (2016)'!$A$3,"MA_HT","SKS","MA_QH","PNK")</f>
        <v>0</v>
      </c>
      <c r="BE27" s="58">
        <f>+GETPIVOTDATA("XCB4",'cubi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+GETPIVOTDATA("XCB4",'cubi (2016)'!$A$3,"MA_HT","DGT","MA_QH","LUC")</f>
        <v>0</v>
      </c>
      <c r="H29" s="74">
        <f>+GETPIVOTDATA("XCB4",'cubi (2016)'!$A$3,"MA_HT","DGT","MA_QH","LUK")</f>
        <v>0</v>
      </c>
      <c r="I29" s="74">
        <f>+GETPIVOTDATA("XCB4",'cubi (2016)'!$A$3,"MA_HT","DGT","MA_QH","LUN")</f>
        <v>0</v>
      </c>
      <c r="J29" s="74">
        <f>+GETPIVOTDATA("XCB4",'cubi (2016)'!$A$3,"MA_HT","DGT","MA_QH","HNK")</f>
        <v>0</v>
      </c>
      <c r="K29" s="74">
        <f>+GETPIVOTDATA("XCB4",'cubi (2016)'!$A$3,"MA_HT","DGT","MA_QH","CLN")</f>
        <v>0</v>
      </c>
      <c r="L29" s="74">
        <f>+GETPIVOTDATA("XCB4",'cubi (2016)'!$A$3,"MA_HT","DGT","MA_QH","RSX")</f>
        <v>0</v>
      </c>
      <c r="M29" s="74">
        <f>+GETPIVOTDATA("XCB4",'cubi (2016)'!$A$3,"MA_HT","DGT","MA_QH","RPH")</f>
        <v>0</v>
      </c>
      <c r="N29" s="74">
        <f>+GETPIVOTDATA("XCB4",'cubi (2016)'!$A$3,"MA_HT","DGT","MA_QH","RDD")</f>
        <v>0</v>
      </c>
      <c r="O29" s="74">
        <f>+GETPIVOTDATA("XCB4",'cubi (2016)'!$A$3,"MA_HT","DGT","MA_QH","NTS")</f>
        <v>0</v>
      </c>
      <c r="P29" s="74">
        <f>+GETPIVOTDATA("XCB4",'cubi (2016)'!$A$3,"MA_HT","DGT","MA_QH","LMU")</f>
        <v>0</v>
      </c>
      <c r="Q29" s="74">
        <f>+GETPIVOTDATA("XCB4",'cubi (2016)'!$A$3,"MA_HT","DGT","MA_QH","NKH")</f>
        <v>0</v>
      </c>
      <c r="R29" s="72">
        <f>SUM(S29:AA29,AN29:BD29)</f>
        <v>0</v>
      </c>
      <c r="S29" s="74">
        <f>+GETPIVOTDATA("XCB4",'cubi (2016)'!$A$3,"MA_HT","DGT","MA_QH","CQP")</f>
        <v>0</v>
      </c>
      <c r="T29" s="74">
        <f>+GETPIVOTDATA("XCB4",'cubi (2016)'!$A$3,"MA_HT","DGT","MA_QH","CAN")</f>
        <v>0</v>
      </c>
      <c r="U29" s="74">
        <f>+GETPIVOTDATA("XCB4",'cubi (2016)'!$A$3,"MA_HT","DGT","MA_QH","SKK")</f>
        <v>0</v>
      </c>
      <c r="V29" s="74">
        <f>+GETPIVOTDATA("XCB4",'cubi (2016)'!$A$3,"MA_HT","DGT","MA_QH","SKT")</f>
        <v>0</v>
      </c>
      <c r="W29" s="74">
        <f>+GETPIVOTDATA("XCB4",'cubi (2016)'!$A$3,"MA_HT","DGT","MA_QH","SKN")</f>
        <v>0</v>
      </c>
      <c r="X29" s="74">
        <f>+GETPIVOTDATA("XCB4",'cubi (2016)'!$A$3,"MA_HT","DGT","MA_QH","TMD")</f>
        <v>0</v>
      </c>
      <c r="Y29" s="74">
        <f>+GETPIVOTDATA("XCB4",'cubi (2016)'!$A$3,"MA_HT","DGT","MA_QH","SKC")</f>
        <v>0</v>
      </c>
      <c r="Z29" s="74">
        <f>+GETPIVOTDATA("XCB4",'cubi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+GETPIVOTDATA("XCB4",'cubi (2016)'!$A$3,"MA_HT","DGT","MA_QH","DTL")</f>
        <v>0</v>
      </c>
      <c r="AD29" s="74">
        <f>+GETPIVOTDATA("XCB4",'cubi (2016)'!$A$3,"MA_HT","DGT","MA_QH","DNL")</f>
        <v>0</v>
      </c>
      <c r="AE29" s="74">
        <f>+GETPIVOTDATA("XCB4",'cubi (2016)'!$A$3,"MA_HT","DGT","MA_QH","DBV")</f>
        <v>0</v>
      </c>
      <c r="AF29" s="74">
        <f>+GETPIVOTDATA("XCB4",'cubi (2016)'!$A$3,"MA_HT","DGT","MA_QH","DVH")</f>
        <v>0</v>
      </c>
      <c r="AG29" s="74">
        <f>+GETPIVOTDATA("XCB4",'cubi (2016)'!$A$3,"MA_HT","DGT","MA_QH","DYT")</f>
        <v>0</v>
      </c>
      <c r="AH29" s="74">
        <f>+GETPIVOTDATA("XCB4",'cubi (2016)'!$A$3,"MA_HT","DGT","MA_QH","DGD")</f>
        <v>0</v>
      </c>
      <c r="AI29" s="74">
        <f>+GETPIVOTDATA("XCB4",'cubi (2016)'!$A$3,"MA_HT","DGT","MA_QH","DTT")</f>
        <v>0</v>
      </c>
      <c r="AJ29" s="74">
        <f>+GETPIVOTDATA("XCB4",'cubi (2016)'!$A$3,"MA_HT","DGT","MA_QH","NCK")</f>
        <v>0</v>
      </c>
      <c r="AK29" s="74">
        <f>+GETPIVOTDATA("XCB4",'cubi (2016)'!$A$3,"MA_HT","DGT","MA_QH","DXH")</f>
        <v>0</v>
      </c>
      <c r="AL29" s="74">
        <f>+GETPIVOTDATA("XCB4",'cubi (2016)'!$A$3,"MA_HT","DGT","MA_QH","DCH")</f>
        <v>0</v>
      </c>
      <c r="AM29" s="74">
        <f>+GETPIVOTDATA("XCB4",'cubi (2016)'!$A$3,"MA_HT","DGT","MA_QH","DKG")</f>
        <v>0</v>
      </c>
      <c r="AN29" s="74">
        <f>+GETPIVOTDATA("XCB4",'cubi (2016)'!$A$3,"MA_HT","DGT","MA_QH","DDT")</f>
        <v>0</v>
      </c>
      <c r="AO29" s="74">
        <f>+GETPIVOTDATA("XCB4",'cubi (2016)'!$A$3,"MA_HT","DGT","MA_QH","DDL")</f>
        <v>0</v>
      </c>
      <c r="AP29" s="74">
        <f>+GETPIVOTDATA("XCB4",'cubi (2016)'!$A$3,"MA_HT","DGT","MA_QH","DRA")</f>
        <v>0</v>
      </c>
      <c r="AQ29" s="74">
        <f>+GETPIVOTDATA("XCB4",'cubi (2016)'!$A$3,"MA_HT","DGT","MA_QH","ONT")</f>
        <v>0</v>
      </c>
      <c r="AR29" s="74">
        <f>+GETPIVOTDATA("XCB4",'cubi (2016)'!$A$3,"MA_HT","DGT","MA_QH","ODT")</f>
        <v>0</v>
      </c>
      <c r="AS29" s="74">
        <f>+GETPIVOTDATA("XCB4",'cubi (2016)'!$A$3,"MA_HT","DGT","MA_QH","TSC")</f>
        <v>0</v>
      </c>
      <c r="AT29" s="74">
        <f>+GETPIVOTDATA("XCB4",'cubi (2016)'!$A$3,"MA_HT","DGT","MA_QH","DTS")</f>
        <v>0</v>
      </c>
      <c r="AU29" s="74">
        <f>+GETPIVOTDATA("XCB4",'cubi (2016)'!$A$3,"MA_HT","DGT","MA_QH","DNG")</f>
        <v>0</v>
      </c>
      <c r="AV29" s="74">
        <f>+GETPIVOTDATA("XCB4",'cubi (2016)'!$A$3,"MA_HT","DGT","MA_QH","TON")</f>
        <v>0</v>
      </c>
      <c r="AW29" s="74">
        <f>+GETPIVOTDATA("XCB4",'cubi (2016)'!$A$3,"MA_HT","DGT","MA_QH","NTD")</f>
        <v>0</v>
      </c>
      <c r="AX29" s="74">
        <f>+GETPIVOTDATA("XCB4",'cubi (2016)'!$A$3,"MA_HT","DGT","MA_QH","SKX")</f>
        <v>0</v>
      </c>
      <c r="AY29" s="74">
        <f>+GETPIVOTDATA("XCB4",'cubi (2016)'!$A$3,"MA_HT","DGT","MA_QH","DSH")</f>
        <v>0</v>
      </c>
      <c r="AZ29" s="74">
        <f>+GETPIVOTDATA("XCB4",'cubi (2016)'!$A$3,"MA_HT","DGT","MA_QH","DKV")</f>
        <v>0</v>
      </c>
      <c r="BA29" s="139">
        <f>+GETPIVOTDATA("XCB4",'cubi (2016)'!$A$3,"MA_HT","DGT","MA_QH","TIN")</f>
        <v>0</v>
      </c>
      <c r="BB29" s="74">
        <f>+GETPIVOTDATA("XCB4",'cubi (2016)'!$A$3,"MA_HT","DGT","MA_QH","SON")</f>
        <v>0</v>
      </c>
      <c r="BC29" s="74">
        <f>+GETPIVOTDATA("XCB4",'cubi (2016)'!$A$3,"MA_HT","DGT","MA_QH","MNC")</f>
        <v>0</v>
      </c>
      <c r="BD29" s="74">
        <f>+GETPIVOTDATA("XCB4",'cubi (2016)'!$A$3,"MA_HT","DGT","MA_QH","PNK")</f>
        <v>0</v>
      </c>
      <c r="BE29" s="102">
        <f>+GETPIVOTDATA("XCB4",'cubi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+GETPIVOTDATA("XCB4",'cubi (2016)'!$A$3,"MA_HT","DTL","MA_QH","LUC")</f>
        <v>0</v>
      </c>
      <c r="H30" s="74">
        <f>+GETPIVOTDATA("XCB4",'cubi (2016)'!$A$3,"MA_HT","DTL","MA_QH","LUK")</f>
        <v>0</v>
      </c>
      <c r="I30" s="74">
        <f>+GETPIVOTDATA("XCB4",'cubi (2016)'!$A$3,"MA_HT","DTL","MA_QH","LUN")</f>
        <v>0</v>
      </c>
      <c r="J30" s="74">
        <f>+GETPIVOTDATA("XCB4",'cubi (2016)'!$A$3,"MA_HT","DTL","MA_QH","HNK")</f>
        <v>0</v>
      </c>
      <c r="K30" s="74">
        <f>+GETPIVOTDATA("XCB4",'cubi (2016)'!$A$3,"MA_HT","DTL","MA_QH","CLN")</f>
        <v>0</v>
      </c>
      <c r="L30" s="74">
        <f>+GETPIVOTDATA("XCB4",'cubi (2016)'!$A$3,"MA_HT","DTL","MA_QH","RSX")</f>
        <v>0</v>
      </c>
      <c r="M30" s="74">
        <f>+GETPIVOTDATA("XCB4",'cubi (2016)'!$A$3,"MA_HT","DTL","MA_QH","RPH")</f>
        <v>0</v>
      </c>
      <c r="N30" s="74">
        <f>+GETPIVOTDATA("XCB4",'cubi (2016)'!$A$3,"MA_HT","DTL","MA_QH","RDD")</f>
        <v>0</v>
      </c>
      <c r="O30" s="74">
        <f>+GETPIVOTDATA("XCB4",'cubi (2016)'!$A$3,"MA_HT","DTL","MA_QH","NTS")</f>
        <v>0</v>
      </c>
      <c r="P30" s="74">
        <f>+GETPIVOTDATA("XCB4",'cubi (2016)'!$A$3,"MA_HT","DTL","MA_QH","LMU")</f>
        <v>0</v>
      </c>
      <c r="Q30" s="74">
        <f>+GETPIVOTDATA("XCB4",'cubi (2016)'!$A$3,"MA_HT","DTL","MA_QH","NKH")</f>
        <v>0</v>
      </c>
      <c r="R30" s="72">
        <f t="shared" ref="R30:R39" si="20">SUM(S30:AA30,AN30:BD30)</f>
        <v>0</v>
      </c>
      <c r="S30" s="74">
        <f>+GETPIVOTDATA("XCB4",'cubi (2016)'!$A$3,"MA_HT","DTL","MA_QH","CQP")</f>
        <v>0</v>
      </c>
      <c r="T30" s="74">
        <f>+GETPIVOTDATA("XCB4",'cubi (2016)'!$A$3,"MA_HT","DTL","MA_QH","CAN")</f>
        <v>0</v>
      </c>
      <c r="U30" s="74">
        <f>+GETPIVOTDATA("XCB4",'cubi (2016)'!$A$3,"MA_HT","DTL","MA_QH","SKK")</f>
        <v>0</v>
      </c>
      <c r="V30" s="74">
        <f>+GETPIVOTDATA("XCB4",'cubi (2016)'!$A$3,"MA_HT","DTL","MA_QH","SKT")</f>
        <v>0</v>
      </c>
      <c r="W30" s="74">
        <f>+GETPIVOTDATA("XCB4",'cubi (2016)'!$A$3,"MA_HT","DTL","MA_QH","SKN")</f>
        <v>0</v>
      </c>
      <c r="X30" s="74">
        <f>+GETPIVOTDATA("XCB4",'cubi (2016)'!$A$3,"MA_HT","DTL","MA_QH","TMD")</f>
        <v>0</v>
      </c>
      <c r="Y30" s="74">
        <f>+GETPIVOTDATA("XCB4",'cubi (2016)'!$A$3,"MA_HT","DTL","MA_QH","SKC")</f>
        <v>0</v>
      </c>
      <c r="Z30" s="74">
        <f>+GETPIVOTDATA("XCB4",'cubi (2016)'!$A$3,"MA_HT","DTL","MA_QH","SKS")</f>
        <v>0</v>
      </c>
      <c r="AA30" s="64">
        <f>+SUM(AB30,AD30:AM30)</f>
        <v>0</v>
      </c>
      <c r="AB30" s="74">
        <f>+GETPIVOTDATA("XCB4",'cubi (2016)'!$A$3,"MA_HT","DTL","MA_QH","DGT")</f>
        <v>0</v>
      </c>
      <c r="AC30" s="100" t="e">
        <f>$D30-$BF30</f>
        <v>#REF!</v>
      </c>
      <c r="AD30" s="74">
        <f>+GETPIVOTDATA("XCB4",'cubi (2016)'!$A$3,"MA_HT","DTL","MA_QH","DNL")</f>
        <v>0</v>
      </c>
      <c r="AE30" s="74">
        <f>+GETPIVOTDATA("XCB4",'cubi (2016)'!$A$3,"MA_HT","DTL","MA_QH","DBV")</f>
        <v>0</v>
      </c>
      <c r="AF30" s="74">
        <f>+GETPIVOTDATA("XCB4",'cubi (2016)'!$A$3,"MA_HT","DTL","MA_QH","DVH")</f>
        <v>0</v>
      </c>
      <c r="AG30" s="74">
        <f>+GETPIVOTDATA("XCB4",'cubi (2016)'!$A$3,"MA_HT","DTL","MA_QH","DYT")</f>
        <v>0</v>
      </c>
      <c r="AH30" s="74">
        <f>+GETPIVOTDATA("XCB4",'cubi (2016)'!$A$3,"MA_HT","DTL","MA_QH","DGD")</f>
        <v>0</v>
      </c>
      <c r="AI30" s="74">
        <f>+GETPIVOTDATA("XCB4",'cubi (2016)'!$A$3,"MA_HT","DTL","MA_QH","DTT")</f>
        <v>0</v>
      </c>
      <c r="AJ30" s="74">
        <f>+GETPIVOTDATA("XCB4",'cubi (2016)'!$A$3,"MA_HT","DTL","MA_QH","NCK")</f>
        <v>0</v>
      </c>
      <c r="AK30" s="74">
        <f>+GETPIVOTDATA("XCB4",'cubi (2016)'!$A$3,"MA_HT","DTL","MA_QH","DXH")</f>
        <v>0</v>
      </c>
      <c r="AL30" s="74">
        <f>+GETPIVOTDATA("XCB4",'cubi (2016)'!$A$3,"MA_HT","DTL","MA_QH","DCH")</f>
        <v>0</v>
      </c>
      <c r="AM30" s="74">
        <f>+GETPIVOTDATA("XCB4",'cubi (2016)'!$A$3,"MA_HT","DTL","MA_QH","DKG")</f>
        <v>0</v>
      </c>
      <c r="AN30" s="74">
        <f>+GETPIVOTDATA("XCB4",'cubi (2016)'!$A$3,"MA_HT","DTL","MA_QH","DDT")</f>
        <v>0</v>
      </c>
      <c r="AO30" s="74">
        <f>+GETPIVOTDATA("XCB4",'cubi (2016)'!$A$3,"MA_HT","DTL","MA_QH","DDL")</f>
        <v>0</v>
      </c>
      <c r="AP30" s="74">
        <f>+GETPIVOTDATA("XCB4",'cubi (2016)'!$A$3,"MA_HT","DTL","MA_QH","DRA")</f>
        <v>0</v>
      </c>
      <c r="AQ30" s="74">
        <f>+GETPIVOTDATA("XCB4",'cubi (2016)'!$A$3,"MA_HT","DTL","MA_QH","ONT")</f>
        <v>0</v>
      </c>
      <c r="AR30" s="74">
        <f>+GETPIVOTDATA("XCB4",'cubi (2016)'!$A$3,"MA_HT","DTL","MA_QH","ODT")</f>
        <v>0</v>
      </c>
      <c r="AS30" s="74">
        <f>+GETPIVOTDATA("XCB4",'cubi (2016)'!$A$3,"MA_HT","DTL","MA_QH","TSC")</f>
        <v>0</v>
      </c>
      <c r="AT30" s="74">
        <f>+GETPIVOTDATA("XCB4",'cubi (2016)'!$A$3,"MA_HT","DTL","MA_QH","DTS")</f>
        <v>0</v>
      </c>
      <c r="AU30" s="74">
        <f>+GETPIVOTDATA("XCB4",'cubi (2016)'!$A$3,"MA_HT","DTL","MA_QH","DNG")</f>
        <v>0</v>
      </c>
      <c r="AV30" s="74">
        <f>+GETPIVOTDATA("XCB4",'cubi (2016)'!$A$3,"MA_HT","DTL","MA_QH","TON")</f>
        <v>0</v>
      </c>
      <c r="AW30" s="74">
        <f>+GETPIVOTDATA("XCB4",'cubi (2016)'!$A$3,"MA_HT","DTL","MA_QH","NTD")</f>
        <v>0</v>
      </c>
      <c r="AX30" s="74">
        <f>+GETPIVOTDATA("XCB4",'cubi (2016)'!$A$3,"MA_HT","DTL","MA_QH","SKX")</f>
        <v>0</v>
      </c>
      <c r="AY30" s="74">
        <f>+GETPIVOTDATA("XCB4",'cubi (2016)'!$A$3,"MA_HT","DTL","MA_QH","DSH")</f>
        <v>0</v>
      </c>
      <c r="AZ30" s="74">
        <f>+GETPIVOTDATA("XCB4",'cubi (2016)'!$A$3,"MA_HT","DTL","MA_QH","DKV")</f>
        <v>0</v>
      </c>
      <c r="BA30" s="139">
        <f>+GETPIVOTDATA("XCB4",'cubi (2016)'!$A$3,"MA_HT","DTL","MA_QH","TIN")</f>
        <v>0</v>
      </c>
      <c r="BB30" s="74">
        <f>+GETPIVOTDATA("XCB4",'cubi (2016)'!$A$3,"MA_HT","DTL","MA_QH","SON")</f>
        <v>0</v>
      </c>
      <c r="BC30" s="74">
        <f>+GETPIVOTDATA("XCB4",'cubi (2016)'!$A$3,"MA_HT","DTL","MA_QH","MNC")</f>
        <v>0</v>
      </c>
      <c r="BD30" s="74">
        <f>+GETPIVOTDATA("XCB4",'cubi (2016)'!$A$3,"MA_HT","DTL","MA_QH","PNK")</f>
        <v>0</v>
      </c>
      <c r="BE30" s="102">
        <f>+GETPIVOTDATA("XCB4",'cubi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+GETPIVOTDATA("XCB4",'cubi (2016)'!$A$3,"MA_HT","DNL","MA_QH","LUC")</f>
        <v>0</v>
      </c>
      <c r="H31" s="74">
        <f>+GETPIVOTDATA("XCB4",'cubi (2016)'!$A$3,"MA_HT","DNL","MA_QH","LUK")</f>
        <v>0</v>
      </c>
      <c r="I31" s="74">
        <f>+GETPIVOTDATA("XCB4",'cubi (2016)'!$A$3,"MA_HT","DNL","MA_QH","LUN")</f>
        <v>0</v>
      </c>
      <c r="J31" s="74">
        <f>+GETPIVOTDATA("XCB4",'cubi (2016)'!$A$3,"MA_HT","DNL","MA_QH","HNK")</f>
        <v>0</v>
      </c>
      <c r="K31" s="74">
        <f>+GETPIVOTDATA("XCB4",'cubi (2016)'!$A$3,"MA_HT","DNL","MA_QH","CLN")</f>
        <v>0</v>
      </c>
      <c r="L31" s="74">
        <f>+GETPIVOTDATA("XCB4",'cubi (2016)'!$A$3,"MA_HT","DNL","MA_QH","RSX")</f>
        <v>0</v>
      </c>
      <c r="M31" s="74">
        <f>+GETPIVOTDATA("XCB4",'cubi (2016)'!$A$3,"MA_HT","DNL","MA_QH","RPH")</f>
        <v>0</v>
      </c>
      <c r="N31" s="74">
        <f>+GETPIVOTDATA("XCB4",'cubi (2016)'!$A$3,"MA_HT","DNL","MA_QH","RDD")</f>
        <v>0</v>
      </c>
      <c r="O31" s="74">
        <f>+GETPIVOTDATA("XCB4",'cubi (2016)'!$A$3,"MA_HT","DNL","MA_QH","NTS")</f>
        <v>0</v>
      </c>
      <c r="P31" s="74">
        <f>+GETPIVOTDATA("XCB4",'cubi (2016)'!$A$3,"MA_HT","DNL","MA_QH","LMU")</f>
        <v>0</v>
      </c>
      <c r="Q31" s="74">
        <f>+GETPIVOTDATA("XCB4",'cubi (2016)'!$A$3,"MA_HT","DNL","MA_QH","NKH")</f>
        <v>0</v>
      </c>
      <c r="R31" s="72">
        <f t="shared" si="20"/>
        <v>0</v>
      </c>
      <c r="S31" s="74">
        <f>+GETPIVOTDATA("XCB4",'cubi (2016)'!$A$3,"MA_HT","DNL","MA_QH","CQP")</f>
        <v>0</v>
      </c>
      <c r="T31" s="74">
        <f>+GETPIVOTDATA("XCB4",'cubi (2016)'!$A$3,"MA_HT","DNL","MA_QH","CAN")</f>
        <v>0</v>
      </c>
      <c r="U31" s="74">
        <f>+GETPIVOTDATA("XCB4",'cubi (2016)'!$A$3,"MA_HT","DNL","MA_QH","SKK")</f>
        <v>0</v>
      </c>
      <c r="V31" s="74">
        <f>+GETPIVOTDATA("XCB4",'cubi (2016)'!$A$3,"MA_HT","DNL","MA_QH","SKT")</f>
        <v>0</v>
      </c>
      <c r="W31" s="74">
        <f>+GETPIVOTDATA("XCB4",'cubi (2016)'!$A$3,"MA_HT","DNL","MA_QH","SKN")</f>
        <v>0</v>
      </c>
      <c r="X31" s="74">
        <f>+GETPIVOTDATA("XCB4",'cubi (2016)'!$A$3,"MA_HT","DNL","MA_QH","TMD")</f>
        <v>0</v>
      </c>
      <c r="Y31" s="74">
        <f>+GETPIVOTDATA("XCB4",'cubi (2016)'!$A$3,"MA_HT","DNL","MA_QH","SKC")</f>
        <v>0</v>
      </c>
      <c r="Z31" s="74">
        <f>+GETPIVOTDATA("XCB4",'cubi (2016)'!$A$3,"MA_HT","DNL","MA_QH","SKS")</f>
        <v>0</v>
      </c>
      <c r="AA31" s="64">
        <f>+SUM(AB31:AC31,AE31:AM31)</f>
        <v>0</v>
      </c>
      <c r="AB31" s="74">
        <f>+GETPIVOTDATA("XCB4",'cubi (2016)'!$A$3,"MA_HT","DNL","MA_QH","DGT")</f>
        <v>0</v>
      </c>
      <c r="AC31" s="74">
        <f>+GETPIVOTDATA("XCB4",'cubi (2016)'!$A$3,"MA_HT","DNL","MA_QH","DTL")</f>
        <v>0</v>
      </c>
      <c r="AD31" s="100" t="e">
        <f>$D31-$BF31</f>
        <v>#REF!</v>
      </c>
      <c r="AE31" s="74">
        <f>+GETPIVOTDATA("XCB4",'cubi (2016)'!$A$3,"MA_HT","DNL","MA_QH","DBV")</f>
        <v>0</v>
      </c>
      <c r="AF31" s="74">
        <f>+GETPIVOTDATA("XCB4",'cubi (2016)'!$A$3,"MA_HT","DNL","MA_QH","DVH")</f>
        <v>0</v>
      </c>
      <c r="AG31" s="74">
        <f>+GETPIVOTDATA("XCB4",'cubi (2016)'!$A$3,"MA_HT","DNL","MA_QH","DYT")</f>
        <v>0</v>
      </c>
      <c r="AH31" s="74">
        <f>+GETPIVOTDATA("XCB4",'cubi (2016)'!$A$3,"MA_HT","DNL","MA_QH","DGD")</f>
        <v>0</v>
      </c>
      <c r="AI31" s="74">
        <f>+GETPIVOTDATA("XCB4",'cubi (2016)'!$A$3,"MA_HT","DNL","MA_QH","DTT")</f>
        <v>0</v>
      </c>
      <c r="AJ31" s="74">
        <f>+GETPIVOTDATA("XCB4",'cubi (2016)'!$A$3,"MA_HT","DNL","MA_QH","NCK")</f>
        <v>0</v>
      </c>
      <c r="AK31" s="74">
        <f>+GETPIVOTDATA("XCB4",'cubi (2016)'!$A$3,"MA_HT","DNL","MA_QH","DXH")</f>
        <v>0</v>
      </c>
      <c r="AL31" s="74">
        <f>+GETPIVOTDATA("XCB4",'cubi (2016)'!$A$3,"MA_HT","DNL","MA_QH","DCH")</f>
        <v>0</v>
      </c>
      <c r="AM31" s="74">
        <f>+GETPIVOTDATA("XCB4",'cubi (2016)'!$A$3,"MA_HT","DNL","MA_QH","DKG")</f>
        <v>0</v>
      </c>
      <c r="AN31" s="74">
        <f>+GETPIVOTDATA("XCB4",'cubi (2016)'!$A$3,"MA_HT","DNL","MA_QH","DDT")</f>
        <v>0</v>
      </c>
      <c r="AO31" s="74">
        <f>+GETPIVOTDATA("XCB4",'cubi (2016)'!$A$3,"MA_HT","DNL","MA_QH","DDL")</f>
        <v>0</v>
      </c>
      <c r="AP31" s="74">
        <f>+GETPIVOTDATA("XCB4",'cubi (2016)'!$A$3,"MA_HT","DNL","MA_QH","DRA")</f>
        <v>0</v>
      </c>
      <c r="AQ31" s="74">
        <f>+GETPIVOTDATA("XCB4",'cubi (2016)'!$A$3,"MA_HT","DNL","MA_QH","ONT")</f>
        <v>0</v>
      </c>
      <c r="AR31" s="74">
        <f>+GETPIVOTDATA("XCB4",'cubi (2016)'!$A$3,"MA_HT","DNL","MA_QH","ODT")</f>
        <v>0</v>
      </c>
      <c r="AS31" s="74">
        <f>+GETPIVOTDATA("XCB4",'cubi (2016)'!$A$3,"MA_HT","DNL","MA_QH","TSC")</f>
        <v>0</v>
      </c>
      <c r="AT31" s="74">
        <f>+GETPIVOTDATA("XCB4",'cubi (2016)'!$A$3,"MA_HT","DNL","MA_QH","DTS")</f>
        <v>0</v>
      </c>
      <c r="AU31" s="74">
        <f>+GETPIVOTDATA("XCB4",'cubi (2016)'!$A$3,"MA_HT","DNL","MA_QH","DNG")</f>
        <v>0</v>
      </c>
      <c r="AV31" s="74">
        <f>+GETPIVOTDATA("XCB4",'cubi (2016)'!$A$3,"MA_HT","DNL","MA_QH","TON")</f>
        <v>0</v>
      </c>
      <c r="AW31" s="74">
        <f>+GETPIVOTDATA("XCB4",'cubi (2016)'!$A$3,"MA_HT","DNL","MA_QH","NTD")</f>
        <v>0</v>
      </c>
      <c r="AX31" s="74">
        <f>+GETPIVOTDATA("XCB4",'cubi (2016)'!$A$3,"MA_HT","DNL","MA_QH","SKX")</f>
        <v>0</v>
      </c>
      <c r="AY31" s="74">
        <f>+GETPIVOTDATA("XCB4",'cubi (2016)'!$A$3,"MA_HT","DNL","MA_QH","DSH")</f>
        <v>0</v>
      </c>
      <c r="AZ31" s="74">
        <f>+GETPIVOTDATA("XCB4",'cubi (2016)'!$A$3,"MA_HT","DNL","MA_QH","DKV")</f>
        <v>0</v>
      </c>
      <c r="BA31" s="139">
        <f>+GETPIVOTDATA("XCB4",'cubi (2016)'!$A$3,"MA_HT","DNL","MA_QH","TIN")</f>
        <v>0</v>
      </c>
      <c r="BB31" s="74">
        <f>+GETPIVOTDATA("XCB4",'cubi (2016)'!$A$3,"MA_HT","DNL","MA_QH","SON")</f>
        <v>0</v>
      </c>
      <c r="BC31" s="74">
        <f>+GETPIVOTDATA("XCB4",'cubi (2016)'!$A$3,"MA_HT","DNL","MA_QH","MNC")</f>
        <v>0</v>
      </c>
      <c r="BD31" s="74">
        <f>+GETPIVOTDATA("XCB4",'cubi (2016)'!$A$3,"MA_HT","DNL","MA_QH","PNK")</f>
        <v>0</v>
      </c>
      <c r="BE31" s="102">
        <f>+GETPIVOTDATA("XCB4",'cubi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+GETPIVOTDATA("XCB4",'cubi (2016)'!$A$3,"MA_HT","DBV","MA_QH","LUC")</f>
        <v>0</v>
      </c>
      <c r="H32" s="74">
        <f>+GETPIVOTDATA("XCB4",'cubi (2016)'!$A$3,"MA_HT","DBV","MA_QH","LUK")</f>
        <v>0</v>
      </c>
      <c r="I32" s="74">
        <f>+GETPIVOTDATA("XCB4",'cubi (2016)'!$A$3,"MA_HT","DBV","MA_QH","LUN")</f>
        <v>0</v>
      </c>
      <c r="J32" s="74">
        <f>+GETPIVOTDATA("XCB4",'cubi (2016)'!$A$3,"MA_HT","DBV","MA_QH","HNK")</f>
        <v>0</v>
      </c>
      <c r="K32" s="74">
        <f>+GETPIVOTDATA("XCB4",'cubi (2016)'!$A$3,"MA_HT","DBV","MA_QH","CLN")</f>
        <v>0</v>
      </c>
      <c r="L32" s="74">
        <f>+GETPIVOTDATA("XCB4",'cubi (2016)'!$A$3,"MA_HT","DBV","MA_QH","RSX")</f>
        <v>0</v>
      </c>
      <c r="M32" s="74">
        <f>+GETPIVOTDATA("XCB4",'cubi (2016)'!$A$3,"MA_HT","DBV","MA_QH","RPH")</f>
        <v>0</v>
      </c>
      <c r="N32" s="74">
        <f>+GETPIVOTDATA("XCB4",'cubi (2016)'!$A$3,"MA_HT","DBV","MA_QH","RDD")</f>
        <v>0</v>
      </c>
      <c r="O32" s="74">
        <f>+GETPIVOTDATA("XCB4",'cubi (2016)'!$A$3,"MA_HT","DBV","MA_QH","NTS")</f>
        <v>0</v>
      </c>
      <c r="P32" s="74">
        <f>+GETPIVOTDATA("XCB4",'cubi (2016)'!$A$3,"MA_HT","DBV","MA_QH","LMU")</f>
        <v>0</v>
      </c>
      <c r="Q32" s="74">
        <f>+GETPIVOTDATA("XCB4",'cubi (2016)'!$A$3,"MA_HT","DBV","MA_QH","NKH")</f>
        <v>0</v>
      </c>
      <c r="R32" s="72">
        <f t="shared" si="20"/>
        <v>0</v>
      </c>
      <c r="S32" s="74">
        <f>+GETPIVOTDATA("XCB4",'cubi (2016)'!$A$3,"MA_HT","DBV","MA_QH","CQP")</f>
        <v>0</v>
      </c>
      <c r="T32" s="74">
        <f>+GETPIVOTDATA("XCB4",'cubi (2016)'!$A$3,"MA_HT","DBV","MA_QH","CAN")</f>
        <v>0</v>
      </c>
      <c r="U32" s="74">
        <f>+GETPIVOTDATA("XCB4",'cubi (2016)'!$A$3,"MA_HT","DBV","MA_QH","SKK")</f>
        <v>0</v>
      </c>
      <c r="V32" s="74">
        <f>+GETPIVOTDATA("XCB4",'cubi (2016)'!$A$3,"MA_HT","DBV","MA_QH","SKT")</f>
        <v>0</v>
      </c>
      <c r="W32" s="74">
        <f>+GETPIVOTDATA("XCB4",'cubi (2016)'!$A$3,"MA_HT","DBV","MA_QH","SKN")</f>
        <v>0</v>
      </c>
      <c r="X32" s="74">
        <f>+GETPIVOTDATA("XCB4",'cubi (2016)'!$A$3,"MA_HT","DBV","MA_QH","TMD")</f>
        <v>0</v>
      </c>
      <c r="Y32" s="74">
        <f>+GETPIVOTDATA("XCB4",'cubi (2016)'!$A$3,"MA_HT","DBV","MA_QH","SKC")</f>
        <v>0</v>
      </c>
      <c r="Z32" s="74">
        <f>+GETPIVOTDATA("XCB4",'cubi (2016)'!$A$3,"MA_HT","DBV","MA_QH","SKS")</f>
        <v>0</v>
      </c>
      <c r="AA32" s="64">
        <f>+SUM(AB32:AD32,AF32:AM32)</f>
        <v>0</v>
      </c>
      <c r="AB32" s="74">
        <f>+GETPIVOTDATA("XCB4",'cubi (2016)'!$A$3,"MA_HT","DBV","MA_QH","DGT")</f>
        <v>0</v>
      </c>
      <c r="AC32" s="74">
        <f>+GETPIVOTDATA("XCB4",'cubi (2016)'!$A$3,"MA_HT","DBV","MA_QH","DTL")</f>
        <v>0</v>
      </c>
      <c r="AD32" s="74">
        <f>+GETPIVOTDATA("XCB4",'cubi (2016)'!$A$3,"MA_HT","DBV","MA_QH","DNL")</f>
        <v>0</v>
      </c>
      <c r="AE32" s="100" t="e">
        <f>$D32-$BF32</f>
        <v>#REF!</v>
      </c>
      <c r="AF32" s="74">
        <f>+GETPIVOTDATA("XCB4",'cubi (2016)'!$A$3,"MA_HT","DBV","MA_QH","DVH")</f>
        <v>0</v>
      </c>
      <c r="AG32" s="74">
        <f>+GETPIVOTDATA("XCB4",'cubi (2016)'!$A$3,"MA_HT","DBV","MA_QH","DYT")</f>
        <v>0</v>
      </c>
      <c r="AH32" s="74">
        <f>+GETPIVOTDATA("XCB4",'cubi (2016)'!$A$3,"MA_HT","DBV","MA_QH","DGD")</f>
        <v>0</v>
      </c>
      <c r="AI32" s="74">
        <f>+GETPIVOTDATA("XCB4",'cubi (2016)'!$A$3,"MA_HT","DBV","MA_QH","DTT")</f>
        <v>0</v>
      </c>
      <c r="AJ32" s="74">
        <f>+GETPIVOTDATA("XCB4",'cubi (2016)'!$A$3,"MA_HT","DBV","MA_QH","NCK")</f>
        <v>0</v>
      </c>
      <c r="AK32" s="74">
        <f>+GETPIVOTDATA("XCB4",'cubi (2016)'!$A$3,"MA_HT","DBV","MA_QH","DXH")</f>
        <v>0</v>
      </c>
      <c r="AL32" s="74">
        <f>+GETPIVOTDATA("XCB4",'cubi (2016)'!$A$3,"MA_HT","DBV","MA_QH","DCH")</f>
        <v>0</v>
      </c>
      <c r="AM32" s="74">
        <f>+GETPIVOTDATA("XCB4",'cubi (2016)'!$A$3,"MA_HT","DBV","MA_QH","DKG")</f>
        <v>0</v>
      </c>
      <c r="AN32" s="74">
        <f>+GETPIVOTDATA("XCB4",'cubi (2016)'!$A$3,"MA_HT","DBV","MA_QH","DDT")</f>
        <v>0</v>
      </c>
      <c r="AO32" s="74">
        <f>+GETPIVOTDATA("XCB4",'cubi (2016)'!$A$3,"MA_HT","DBV","MA_QH","DDL")</f>
        <v>0</v>
      </c>
      <c r="AP32" s="74">
        <f>+GETPIVOTDATA("XCB4",'cubi (2016)'!$A$3,"MA_HT","DBV","MA_QH","DRA")</f>
        <v>0</v>
      </c>
      <c r="AQ32" s="74">
        <f>+GETPIVOTDATA("XCB4",'cubi (2016)'!$A$3,"MA_HT","DBV","MA_QH","ONT")</f>
        <v>0</v>
      </c>
      <c r="AR32" s="74">
        <f>+GETPIVOTDATA("XCB4",'cubi (2016)'!$A$3,"MA_HT","DBV","MA_QH","ODT")</f>
        <v>0</v>
      </c>
      <c r="AS32" s="74">
        <f>+GETPIVOTDATA("XCB4",'cubi (2016)'!$A$3,"MA_HT","DBV","MA_QH","TSC")</f>
        <v>0</v>
      </c>
      <c r="AT32" s="74">
        <f>+GETPIVOTDATA("XCB4",'cubi (2016)'!$A$3,"MA_HT","DBV","MA_QH","DTS")</f>
        <v>0</v>
      </c>
      <c r="AU32" s="74">
        <f>+GETPIVOTDATA("XCB4",'cubi (2016)'!$A$3,"MA_HT","DBV","MA_QH","DNG")</f>
        <v>0</v>
      </c>
      <c r="AV32" s="74">
        <f>+GETPIVOTDATA("XCB4",'cubi (2016)'!$A$3,"MA_HT","DBV","MA_QH","TON")</f>
        <v>0</v>
      </c>
      <c r="AW32" s="74">
        <f>+GETPIVOTDATA("XCB4",'cubi (2016)'!$A$3,"MA_HT","DBV","MA_QH","NTD")</f>
        <v>0</v>
      </c>
      <c r="AX32" s="74">
        <f>+GETPIVOTDATA("XCB4",'cubi (2016)'!$A$3,"MA_HT","DBV","MA_QH","SKX")</f>
        <v>0</v>
      </c>
      <c r="AY32" s="74">
        <f>+GETPIVOTDATA("XCB4",'cubi (2016)'!$A$3,"MA_HT","DBV","MA_QH","DSH")</f>
        <v>0</v>
      </c>
      <c r="AZ32" s="74">
        <f>+GETPIVOTDATA("XCB4",'cubi (2016)'!$A$3,"MA_HT","DBV","MA_QH","DKV")</f>
        <v>0</v>
      </c>
      <c r="BA32" s="139">
        <f>+GETPIVOTDATA("XCB4",'cubi (2016)'!$A$3,"MA_HT","DBV","MA_QH","TIN")</f>
        <v>0</v>
      </c>
      <c r="BB32" s="74">
        <f>+GETPIVOTDATA("XCB4",'cubi (2016)'!$A$3,"MA_HT","DBV","MA_QH","SON")</f>
        <v>0</v>
      </c>
      <c r="BC32" s="74">
        <f>+GETPIVOTDATA("XCB4",'cubi (2016)'!$A$3,"MA_HT","DBV","MA_QH","MNC")</f>
        <v>0</v>
      </c>
      <c r="BD32" s="74">
        <f>+GETPIVOTDATA("XCB4",'cubi (2016)'!$A$3,"MA_HT","DBV","MA_QH","PNK")</f>
        <v>0</v>
      </c>
      <c r="BE32" s="102">
        <f>+GETPIVOTDATA("XCB4",'cubi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+GETPIVOTDATA("XCB4",'cubi (2016)'!$A$3,"MA_HT","DVH","MA_QH","LUC")</f>
        <v>0</v>
      </c>
      <c r="H33" s="74">
        <f>+GETPIVOTDATA("XCB4",'cubi (2016)'!$A$3,"MA_HT","DVH","MA_QH","LUK")</f>
        <v>0</v>
      </c>
      <c r="I33" s="74">
        <f>+GETPIVOTDATA("XCB4",'cubi (2016)'!$A$3,"MA_HT","DVH","MA_QH","LUN")</f>
        <v>0</v>
      </c>
      <c r="J33" s="74">
        <f>+GETPIVOTDATA("XCB4",'cubi (2016)'!$A$3,"MA_HT","DVH","MA_QH","HNK")</f>
        <v>0</v>
      </c>
      <c r="K33" s="74">
        <f>+GETPIVOTDATA("XCB4",'cubi (2016)'!$A$3,"MA_HT","DVH","MA_QH","CLN")</f>
        <v>0</v>
      </c>
      <c r="L33" s="74">
        <f>+GETPIVOTDATA("XCB4",'cubi (2016)'!$A$3,"MA_HT","DVH","MA_QH","RSX")</f>
        <v>0</v>
      </c>
      <c r="M33" s="74">
        <f>+GETPIVOTDATA("XCB4",'cubi (2016)'!$A$3,"MA_HT","DVH","MA_QH","RPH")</f>
        <v>0</v>
      </c>
      <c r="N33" s="74">
        <f>+GETPIVOTDATA("XCB4",'cubi (2016)'!$A$3,"MA_HT","DVH","MA_QH","RDD")</f>
        <v>0</v>
      </c>
      <c r="O33" s="74">
        <f>+GETPIVOTDATA("XCB4",'cubi (2016)'!$A$3,"MA_HT","DVH","MA_QH","NTS")</f>
        <v>0</v>
      </c>
      <c r="P33" s="74">
        <f>+GETPIVOTDATA("XCB4",'cubi (2016)'!$A$3,"MA_HT","DVH","MA_QH","LMU")</f>
        <v>0</v>
      </c>
      <c r="Q33" s="74">
        <f>+GETPIVOTDATA("XCB4",'cubi (2016)'!$A$3,"MA_HT","DVH","MA_QH","NKH")</f>
        <v>0</v>
      </c>
      <c r="R33" s="72">
        <f t="shared" si="20"/>
        <v>0</v>
      </c>
      <c r="S33" s="74">
        <f>+GETPIVOTDATA("XCB4",'cubi (2016)'!$A$3,"MA_HT","DVH","MA_QH","CQP")</f>
        <v>0</v>
      </c>
      <c r="T33" s="74">
        <f>+GETPIVOTDATA("XCB4",'cubi (2016)'!$A$3,"MA_HT","DVH","MA_QH","CAN")</f>
        <v>0</v>
      </c>
      <c r="U33" s="74">
        <f>+GETPIVOTDATA("XCB4",'cubi (2016)'!$A$3,"MA_HT","DVH","MA_QH","SKK")</f>
        <v>0</v>
      </c>
      <c r="V33" s="74">
        <f>+GETPIVOTDATA("XCB4",'cubi (2016)'!$A$3,"MA_HT","DVH","MA_QH","SKT")</f>
        <v>0</v>
      </c>
      <c r="W33" s="74">
        <f>+GETPIVOTDATA("XCB4",'cubi (2016)'!$A$3,"MA_HT","DVH","MA_QH","SKN")</f>
        <v>0</v>
      </c>
      <c r="X33" s="74">
        <f>+GETPIVOTDATA("XCB4",'cubi (2016)'!$A$3,"MA_HT","DVH","MA_QH","TMD")</f>
        <v>0</v>
      </c>
      <c r="Y33" s="74">
        <f>+GETPIVOTDATA("XCB4",'cubi (2016)'!$A$3,"MA_HT","DVH","MA_QH","SKC")</f>
        <v>0</v>
      </c>
      <c r="Z33" s="74">
        <f>+GETPIVOTDATA("XCB4",'cubi (2016)'!$A$3,"MA_HT","DVH","MA_QH","SKS")</f>
        <v>0</v>
      </c>
      <c r="AA33" s="64">
        <f>+SUM(AB33:AE33,AG33:AM33)</f>
        <v>0</v>
      </c>
      <c r="AB33" s="74">
        <f>+GETPIVOTDATA("XCB4",'cubi (2016)'!$A$3,"MA_HT","DVH","MA_QH","DGT")</f>
        <v>0</v>
      </c>
      <c r="AC33" s="74">
        <f>+GETPIVOTDATA("XCB4",'cubi (2016)'!$A$3,"MA_HT","DVH","MA_QH","DTL")</f>
        <v>0</v>
      </c>
      <c r="AD33" s="74">
        <f>+GETPIVOTDATA("XCB4",'cubi (2016)'!$A$3,"MA_HT","DVH","MA_QH","DNL")</f>
        <v>0</v>
      </c>
      <c r="AE33" s="74">
        <f>+GETPIVOTDATA("XCB4",'cubi (2016)'!$A$3,"MA_HT","DVH","MA_QH","DBV")</f>
        <v>0</v>
      </c>
      <c r="AF33" s="100" t="e">
        <f>$D33-$BF33</f>
        <v>#REF!</v>
      </c>
      <c r="AG33" s="74">
        <f>+GETPIVOTDATA("XCB4",'cubi (2016)'!$A$3,"MA_HT","DVH","MA_QH","DYT")</f>
        <v>0</v>
      </c>
      <c r="AH33" s="74">
        <f>+GETPIVOTDATA("XCB4",'cubi (2016)'!$A$3,"MA_HT","DVH","MA_QH","DGD")</f>
        <v>0</v>
      </c>
      <c r="AI33" s="74">
        <f>+GETPIVOTDATA("XCB4",'cubi (2016)'!$A$3,"MA_HT","DVH","MA_QH","DTT")</f>
        <v>0</v>
      </c>
      <c r="AJ33" s="74">
        <f>+GETPIVOTDATA("XCB4",'cubi (2016)'!$A$3,"MA_HT","DVH","MA_QH","NCK")</f>
        <v>0</v>
      </c>
      <c r="AK33" s="74">
        <f>+GETPIVOTDATA("XCB4",'cubi (2016)'!$A$3,"MA_HT","DVH","MA_QH","DXH")</f>
        <v>0</v>
      </c>
      <c r="AL33" s="74">
        <f>+GETPIVOTDATA("XCB4",'cubi (2016)'!$A$3,"MA_HT","DVH","MA_QH","DCH")</f>
        <v>0</v>
      </c>
      <c r="AM33" s="74">
        <f>+GETPIVOTDATA("XCB4",'cubi (2016)'!$A$3,"MA_HT","DVH","MA_QH","DKG")</f>
        <v>0</v>
      </c>
      <c r="AN33" s="74">
        <f>+GETPIVOTDATA("XCB4",'cubi (2016)'!$A$3,"MA_HT","DVH","MA_QH","DDT")</f>
        <v>0</v>
      </c>
      <c r="AO33" s="74">
        <f>+GETPIVOTDATA("XCB4",'cubi (2016)'!$A$3,"MA_HT","DVH","MA_QH","DDL")</f>
        <v>0</v>
      </c>
      <c r="AP33" s="74">
        <f>+GETPIVOTDATA("XCB4",'cubi (2016)'!$A$3,"MA_HT","DVH","MA_QH","DRA")</f>
        <v>0</v>
      </c>
      <c r="AQ33" s="74">
        <f>+GETPIVOTDATA("XCB4",'cubi (2016)'!$A$3,"MA_HT","DVH","MA_QH","ONT")</f>
        <v>0</v>
      </c>
      <c r="AR33" s="74">
        <f>+GETPIVOTDATA("XCB4",'cubi (2016)'!$A$3,"MA_HT","DVH","MA_QH","ODT")</f>
        <v>0</v>
      </c>
      <c r="AS33" s="74">
        <f>+GETPIVOTDATA("XCB4",'cubi (2016)'!$A$3,"MA_HT","DVH","MA_QH","TSC")</f>
        <v>0</v>
      </c>
      <c r="AT33" s="74">
        <f>+GETPIVOTDATA("XCB4",'cubi (2016)'!$A$3,"MA_HT","DVH","MA_QH","DTS")</f>
        <v>0</v>
      </c>
      <c r="AU33" s="74">
        <f>+GETPIVOTDATA("XCB4",'cubi (2016)'!$A$3,"MA_HT","DVH","MA_QH","DNG")</f>
        <v>0</v>
      </c>
      <c r="AV33" s="74">
        <f>+GETPIVOTDATA("XCB4",'cubi (2016)'!$A$3,"MA_HT","DVH","MA_QH","TON")</f>
        <v>0</v>
      </c>
      <c r="AW33" s="74">
        <f>+GETPIVOTDATA("XCB4",'cubi (2016)'!$A$3,"MA_HT","DVH","MA_QH","NTD")</f>
        <v>0</v>
      </c>
      <c r="AX33" s="74">
        <f>+GETPIVOTDATA("XCB4",'cubi (2016)'!$A$3,"MA_HT","DVH","MA_QH","SKX")</f>
        <v>0</v>
      </c>
      <c r="AY33" s="74">
        <f>+GETPIVOTDATA("XCB4",'cubi (2016)'!$A$3,"MA_HT","DVH","MA_QH","DSH")</f>
        <v>0</v>
      </c>
      <c r="AZ33" s="74">
        <f>+GETPIVOTDATA("XCB4",'cubi (2016)'!$A$3,"MA_HT","DVH","MA_QH","DKV")</f>
        <v>0</v>
      </c>
      <c r="BA33" s="139">
        <f>+GETPIVOTDATA("XCB4",'cubi (2016)'!$A$3,"MA_HT","DVH","MA_QH","TIN")</f>
        <v>0</v>
      </c>
      <c r="BB33" s="74">
        <f>+GETPIVOTDATA("XCB4",'cubi (2016)'!$A$3,"MA_HT","DVH","MA_QH","SON")</f>
        <v>0</v>
      </c>
      <c r="BC33" s="74">
        <f>+GETPIVOTDATA("XCB4",'cubi (2016)'!$A$3,"MA_HT","DVH","MA_QH","MNC")</f>
        <v>0</v>
      </c>
      <c r="BD33" s="74">
        <f>+GETPIVOTDATA("XCB4",'cubi (2016)'!$A$3,"MA_HT","DVH","MA_QH","PNK")</f>
        <v>0</v>
      </c>
      <c r="BE33" s="102">
        <f>+GETPIVOTDATA("XCB4",'cubi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+GETPIVOTDATA("XCB4",'cubi (2016)'!$A$3,"MA_HT","DYT","MA_QH","LUC")</f>
        <v>0</v>
      </c>
      <c r="H34" s="74">
        <f>+GETPIVOTDATA("XCB4",'cubi (2016)'!$A$3,"MA_HT","DYT","MA_QH","LUK")</f>
        <v>0</v>
      </c>
      <c r="I34" s="74">
        <f>+GETPIVOTDATA("XCB4",'cubi (2016)'!$A$3,"MA_HT","DYT","MA_QH","LUN")</f>
        <v>0</v>
      </c>
      <c r="J34" s="74">
        <f>+GETPIVOTDATA("XCB4",'cubi (2016)'!$A$3,"MA_HT","DYT","MA_QH","HNK")</f>
        <v>0</v>
      </c>
      <c r="K34" s="74">
        <f>+GETPIVOTDATA("XCB4",'cubi (2016)'!$A$3,"MA_HT","DYT","MA_QH","CLN")</f>
        <v>0</v>
      </c>
      <c r="L34" s="74">
        <f>+GETPIVOTDATA("XCB4",'cubi (2016)'!$A$3,"MA_HT","DYT","MA_QH","RSX")</f>
        <v>0</v>
      </c>
      <c r="M34" s="74">
        <f>+GETPIVOTDATA("XCB4",'cubi (2016)'!$A$3,"MA_HT","DYT","MA_QH","RPH")</f>
        <v>0</v>
      </c>
      <c r="N34" s="74">
        <f>+GETPIVOTDATA("XCB4",'cubi (2016)'!$A$3,"MA_HT","DYT","MA_QH","RDD")</f>
        <v>0</v>
      </c>
      <c r="O34" s="74">
        <f>+GETPIVOTDATA("XCB4",'cubi (2016)'!$A$3,"MA_HT","DYT","MA_QH","NTS")</f>
        <v>0</v>
      </c>
      <c r="P34" s="74">
        <f>+GETPIVOTDATA("XCB4",'cubi (2016)'!$A$3,"MA_HT","DYT","MA_QH","LMU")</f>
        <v>0</v>
      </c>
      <c r="Q34" s="74">
        <f>+GETPIVOTDATA("XCB4",'cubi (2016)'!$A$3,"MA_HT","DYT","MA_QH","NKH")</f>
        <v>0</v>
      </c>
      <c r="R34" s="72">
        <f t="shared" si="20"/>
        <v>0</v>
      </c>
      <c r="S34" s="74">
        <f>+GETPIVOTDATA("XCB4",'cubi (2016)'!$A$3,"MA_HT","DYT","MA_QH","CQP")</f>
        <v>0</v>
      </c>
      <c r="T34" s="74">
        <f>+GETPIVOTDATA("XCB4",'cubi (2016)'!$A$3,"MA_HT","DYT","MA_QH","CAN")</f>
        <v>0</v>
      </c>
      <c r="U34" s="74">
        <f>+GETPIVOTDATA("XCB4",'cubi (2016)'!$A$3,"MA_HT","DYT","MA_QH","SKK")</f>
        <v>0</v>
      </c>
      <c r="V34" s="74">
        <f>+GETPIVOTDATA("XCB4",'cubi (2016)'!$A$3,"MA_HT","DYT","MA_QH","SKT")</f>
        <v>0</v>
      </c>
      <c r="W34" s="74">
        <f>+GETPIVOTDATA("XCB4",'cubi (2016)'!$A$3,"MA_HT","DYT","MA_QH","SKN")</f>
        <v>0</v>
      </c>
      <c r="X34" s="74">
        <f>+GETPIVOTDATA("XCB4",'cubi (2016)'!$A$3,"MA_HT","DYT","MA_QH","TMD")</f>
        <v>0</v>
      </c>
      <c r="Y34" s="74">
        <f>+GETPIVOTDATA("XCB4",'cubi (2016)'!$A$3,"MA_HT","DYT","MA_QH","SKC")</f>
        <v>0</v>
      </c>
      <c r="Z34" s="74">
        <f>+GETPIVOTDATA("XCB4",'cubi (2016)'!$A$3,"MA_HT","DYT","MA_QH","SKS")</f>
        <v>0</v>
      </c>
      <c r="AA34" s="64">
        <f>+SUM(AB34:AF34,AH34:AM34)</f>
        <v>0</v>
      </c>
      <c r="AB34" s="74">
        <f>+GETPIVOTDATA("XCB4",'cubi (2016)'!$A$3,"MA_HT","DYT","MA_QH","DGT")</f>
        <v>0</v>
      </c>
      <c r="AC34" s="74">
        <f>+GETPIVOTDATA("XCB4",'cubi (2016)'!$A$3,"MA_HT","DYT","MA_QH","DTL")</f>
        <v>0</v>
      </c>
      <c r="AD34" s="74">
        <f>+GETPIVOTDATA("XCB4",'cubi (2016)'!$A$3,"MA_HT","DYT","MA_QH","DNL")</f>
        <v>0</v>
      </c>
      <c r="AE34" s="74">
        <f>+GETPIVOTDATA("XCB4",'cubi (2016)'!$A$3,"MA_HT","DYT","MA_QH","DBV")</f>
        <v>0</v>
      </c>
      <c r="AF34" s="74">
        <f>+GETPIVOTDATA("XCB4",'cubi (2016)'!$A$3,"MA_HT","DYT","MA_QH","DVH")</f>
        <v>0</v>
      </c>
      <c r="AG34" s="100" t="e">
        <f>$D34-$BF34</f>
        <v>#REF!</v>
      </c>
      <c r="AH34" s="74">
        <f>+GETPIVOTDATA("XCB4",'cubi (2016)'!$A$3,"MA_HT","DYT","MA_QH","DGD")</f>
        <v>0</v>
      </c>
      <c r="AI34" s="74">
        <f>+GETPIVOTDATA("XCB4",'cubi (2016)'!$A$3,"MA_HT","DYT","MA_QH","DTT")</f>
        <v>0</v>
      </c>
      <c r="AJ34" s="74">
        <f>+GETPIVOTDATA("XCB4",'cubi (2016)'!$A$3,"MA_HT","DYT","MA_QH","NCK")</f>
        <v>0</v>
      </c>
      <c r="AK34" s="74">
        <f>+GETPIVOTDATA("XCB4",'cubi (2016)'!$A$3,"MA_HT","DYT","MA_QH","DXH")</f>
        <v>0</v>
      </c>
      <c r="AL34" s="74">
        <f>+GETPIVOTDATA("XCB4",'cubi (2016)'!$A$3,"MA_HT","DYT","MA_QH","DCH")</f>
        <v>0</v>
      </c>
      <c r="AM34" s="74">
        <f>+GETPIVOTDATA("XCB4",'cubi (2016)'!$A$3,"MA_HT","DYT","MA_QH","DKG")</f>
        <v>0</v>
      </c>
      <c r="AN34" s="74">
        <f>+GETPIVOTDATA("XCB4",'cubi (2016)'!$A$3,"MA_HT","DYT","MA_QH","DDT")</f>
        <v>0</v>
      </c>
      <c r="AO34" s="74">
        <f>+GETPIVOTDATA("XCB4",'cubi (2016)'!$A$3,"MA_HT","DYT","MA_QH","DDL")</f>
        <v>0</v>
      </c>
      <c r="AP34" s="74">
        <f>+GETPIVOTDATA("XCB4",'cubi (2016)'!$A$3,"MA_HT","DYT","MA_QH","DRA")</f>
        <v>0</v>
      </c>
      <c r="AQ34" s="74">
        <f>+GETPIVOTDATA("XCB4",'cubi (2016)'!$A$3,"MA_HT","DYT","MA_QH","ONT")</f>
        <v>0</v>
      </c>
      <c r="AR34" s="74">
        <f>+GETPIVOTDATA("XCB4",'cubi (2016)'!$A$3,"MA_HT","DYT","MA_QH","ODT")</f>
        <v>0</v>
      </c>
      <c r="AS34" s="74">
        <f>+GETPIVOTDATA("XCB4",'cubi (2016)'!$A$3,"MA_HT","DYT","MA_QH","TSC")</f>
        <v>0</v>
      </c>
      <c r="AT34" s="74">
        <f>+GETPIVOTDATA("XCB4",'cubi (2016)'!$A$3,"MA_HT","DYT","MA_QH","DTS")</f>
        <v>0</v>
      </c>
      <c r="AU34" s="74">
        <f>+GETPIVOTDATA("XCB4",'cubi (2016)'!$A$3,"MA_HT","DYT","MA_QH","DNG")</f>
        <v>0</v>
      </c>
      <c r="AV34" s="74">
        <f>+GETPIVOTDATA("XCB4",'cubi (2016)'!$A$3,"MA_HT","DYT","MA_QH","TON")</f>
        <v>0</v>
      </c>
      <c r="AW34" s="74">
        <f>+GETPIVOTDATA("XCB4",'cubi (2016)'!$A$3,"MA_HT","DYT","MA_QH","NTD")</f>
        <v>0</v>
      </c>
      <c r="AX34" s="74">
        <f>+GETPIVOTDATA("XCB4",'cubi (2016)'!$A$3,"MA_HT","DYT","MA_QH","SKX")</f>
        <v>0</v>
      </c>
      <c r="AY34" s="74">
        <f>+GETPIVOTDATA("XCB4",'cubi (2016)'!$A$3,"MA_HT","DYT","MA_QH","DSH")</f>
        <v>0</v>
      </c>
      <c r="AZ34" s="74">
        <f>+GETPIVOTDATA("XCB4",'cubi (2016)'!$A$3,"MA_HT","DYT","MA_QH","DKV")</f>
        <v>0</v>
      </c>
      <c r="BA34" s="139">
        <f>+GETPIVOTDATA("XCB4",'cubi (2016)'!$A$3,"MA_HT","DYT","MA_QH","TIN")</f>
        <v>0</v>
      </c>
      <c r="BB34" s="74">
        <f>+GETPIVOTDATA("XCB4",'cubi (2016)'!$A$3,"MA_HT","DYT","MA_QH","SON")</f>
        <v>0</v>
      </c>
      <c r="BC34" s="74">
        <f>+GETPIVOTDATA("XCB4",'cubi (2016)'!$A$3,"MA_HT","DYT","MA_QH","MNC")</f>
        <v>0</v>
      </c>
      <c r="BD34" s="74">
        <f>+GETPIVOTDATA("XCB4",'cubi (2016)'!$A$3,"MA_HT","DYT","MA_QH","PNK")</f>
        <v>0</v>
      </c>
      <c r="BE34" s="102">
        <f>+GETPIVOTDATA("XCB4",'cubi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+GETPIVOTDATA("XCB4",'cubi (2016)'!$A$3,"MA_HT","DGD","MA_QH","LUC")</f>
        <v>0</v>
      </c>
      <c r="H35" s="74">
        <f>+GETPIVOTDATA("XCB4",'cubi (2016)'!$A$3,"MA_HT","DGD","MA_QH","LUK")</f>
        <v>0</v>
      </c>
      <c r="I35" s="74">
        <f>+GETPIVOTDATA("XCB4",'cubi (2016)'!$A$3,"MA_HT","DGD","MA_QH","LUN")</f>
        <v>0</v>
      </c>
      <c r="J35" s="74">
        <f>+GETPIVOTDATA("XCB4",'cubi (2016)'!$A$3,"MA_HT","DGD","MA_QH","HNK")</f>
        <v>0</v>
      </c>
      <c r="K35" s="74">
        <f>+GETPIVOTDATA("XCB4",'cubi (2016)'!$A$3,"MA_HT","DGD","MA_QH","CLN")</f>
        <v>0</v>
      </c>
      <c r="L35" s="74">
        <f>+GETPIVOTDATA("XCB4",'cubi (2016)'!$A$3,"MA_HT","DGD","MA_QH","RSX")</f>
        <v>0</v>
      </c>
      <c r="M35" s="74">
        <f>+GETPIVOTDATA("XCB4",'cubi (2016)'!$A$3,"MA_HT","DGD","MA_QH","RPH")</f>
        <v>0</v>
      </c>
      <c r="N35" s="74">
        <f>+GETPIVOTDATA("XCB4",'cubi (2016)'!$A$3,"MA_HT","DGD","MA_QH","RDD")</f>
        <v>0</v>
      </c>
      <c r="O35" s="74">
        <f>+GETPIVOTDATA("XCB4",'cubi (2016)'!$A$3,"MA_HT","DGD","MA_QH","NTS")</f>
        <v>0</v>
      </c>
      <c r="P35" s="74">
        <f>+GETPIVOTDATA("XCB4",'cubi (2016)'!$A$3,"MA_HT","DGD","MA_QH","LMU")</f>
        <v>0</v>
      </c>
      <c r="Q35" s="74">
        <f>+GETPIVOTDATA("XCB4",'cubi (2016)'!$A$3,"MA_HT","DGD","MA_QH","NKH")</f>
        <v>0</v>
      </c>
      <c r="R35" s="72">
        <f t="shared" si="20"/>
        <v>0</v>
      </c>
      <c r="S35" s="74">
        <f>+GETPIVOTDATA("XCB4",'cubi (2016)'!$A$3,"MA_HT","DGD","MA_QH","CQP")</f>
        <v>0</v>
      </c>
      <c r="T35" s="74">
        <f>+GETPIVOTDATA("XCB4",'cubi (2016)'!$A$3,"MA_HT","DGD","MA_QH","CAN")</f>
        <v>0</v>
      </c>
      <c r="U35" s="74">
        <f>+GETPIVOTDATA("XCB4",'cubi (2016)'!$A$3,"MA_HT","DGD","MA_QH","SKK")</f>
        <v>0</v>
      </c>
      <c r="V35" s="74">
        <f>+GETPIVOTDATA("XCB4",'cubi (2016)'!$A$3,"MA_HT","DGD","MA_QH","SKT")</f>
        <v>0</v>
      </c>
      <c r="W35" s="74">
        <f>+GETPIVOTDATA("XCB4",'cubi (2016)'!$A$3,"MA_HT","DGD","MA_QH","SKN")</f>
        <v>0</v>
      </c>
      <c r="X35" s="74">
        <f>+GETPIVOTDATA("XCB4",'cubi (2016)'!$A$3,"MA_HT","DGD","MA_QH","TMD")</f>
        <v>0</v>
      </c>
      <c r="Y35" s="74">
        <f>+GETPIVOTDATA("XCB4",'cubi (2016)'!$A$3,"MA_HT","DGD","MA_QH","SKC")</f>
        <v>0</v>
      </c>
      <c r="Z35" s="74">
        <f>+GETPIVOTDATA("XCB4",'cubi (2016)'!$A$3,"MA_HT","DGD","MA_QH","SKS")</f>
        <v>0</v>
      </c>
      <c r="AA35" s="64">
        <f>+SUM(AB35:AG35,AI35:AM35)</f>
        <v>0</v>
      </c>
      <c r="AB35" s="74">
        <f>+GETPIVOTDATA("XCB4",'cubi (2016)'!$A$3,"MA_HT","DGD","MA_QH","DGT")</f>
        <v>0</v>
      </c>
      <c r="AC35" s="74">
        <f>+GETPIVOTDATA("XCB4",'cubi (2016)'!$A$3,"MA_HT","DGD","MA_QH","DTL")</f>
        <v>0</v>
      </c>
      <c r="AD35" s="74">
        <f>+GETPIVOTDATA("XCB4",'cubi (2016)'!$A$3,"MA_HT","DGD","MA_QH","DNL")</f>
        <v>0</v>
      </c>
      <c r="AE35" s="74">
        <f>+GETPIVOTDATA("XCB4",'cubi (2016)'!$A$3,"MA_HT","DGD","MA_QH","DBV")</f>
        <v>0</v>
      </c>
      <c r="AF35" s="74">
        <f>+GETPIVOTDATA("XCB4",'cubi (2016)'!$A$3,"MA_HT","DGD","MA_QH","DVH")</f>
        <v>0</v>
      </c>
      <c r="AG35" s="74">
        <f>+GETPIVOTDATA("XCB4",'cubi (2016)'!$A$3,"MA_HT","DGD","MA_QH","DYT")</f>
        <v>0</v>
      </c>
      <c r="AH35" s="100" t="e">
        <f>$D35-$BF35</f>
        <v>#REF!</v>
      </c>
      <c r="AI35" s="74">
        <f>+GETPIVOTDATA("XCB4",'cubi (2016)'!$A$3,"MA_HT","DGD","MA_QH","DTT")</f>
        <v>0</v>
      </c>
      <c r="AJ35" s="74">
        <f>+GETPIVOTDATA("XCB4",'cubi (2016)'!$A$3,"MA_HT","DGD","MA_QH","NCK")</f>
        <v>0</v>
      </c>
      <c r="AK35" s="74">
        <f>+GETPIVOTDATA("XCB4",'cubi (2016)'!$A$3,"MA_HT","DGD","MA_QH","DXH")</f>
        <v>0</v>
      </c>
      <c r="AL35" s="74">
        <f>+GETPIVOTDATA("XCB4",'cubi (2016)'!$A$3,"MA_HT","DGD","MA_QH","DCH")</f>
        <v>0</v>
      </c>
      <c r="AM35" s="74">
        <f>+GETPIVOTDATA("XCB4",'cubi (2016)'!$A$3,"MA_HT","DGD","MA_QH","DKG")</f>
        <v>0</v>
      </c>
      <c r="AN35" s="74">
        <f>+GETPIVOTDATA("XCB4",'cubi (2016)'!$A$3,"MA_HT","DGD","MA_QH","DDT")</f>
        <v>0</v>
      </c>
      <c r="AO35" s="74">
        <f>+GETPIVOTDATA("XCB4",'cubi (2016)'!$A$3,"MA_HT","DGD","MA_QH","DDL")</f>
        <v>0</v>
      </c>
      <c r="AP35" s="74">
        <f>+GETPIVOTDATA("XCB4",'cubi (2016)'!$A$3,"MA_HT","DGD","MA_QH","DRA")</f>
        <v>0</v>
      </c>
      <c r="AQ35" s="74">
        <f>+GETPIVOTDATA("XCB4",'cubi (2016)'!$A$3,"MA_HT","DGD","MA_QH","ONT")</f>
        <v>0</v>
      </c>
      <c r="AR35" s="74">
        <f>+GETPIVOTDATA("XCB4",'cubi (2016)'!$A$3,"MA_HT","DGD","MA_QH","ODT")</f>
        <v>0</v>
      </c>
      <c r="AS35" s="74">
        <f>+GETPIVOTDATA("XCB4",'cubi (2016)'!$A$3,"MA_HT","DGD","MA_QH","TSC")</f>
        <v>0</v>
      </c>
      <c r="AT35" s="74">
        <f>+GETPIVOTDATA("XCB4",'cubi (2016)'!$A$3,"MA_HT","DGD","MA_QH","DTS")</f>
        <v>0</v>
      </c>
      <c r="AU35" s="74">
        <f>+GETPIVOTDATA("XCB4",'cubi (2016)'!$A$3,"MA_HT","DGD","MA_QH","DNG")</f>
        <v>0</v>
      </c>
      <c r="AV35" s="74">
        <f>+GETPIVOTDATA("XCB4",'cubi (2016)'!$A$3,"MA_HT","DGD","MA_QH","TON")</f>
        <v>0</v>
      </c>
      <c r="AW35" s="74">
        <f>+GETPIVOTDATA("XCB4",'cubi (2016)'!$A$3,"MA_HT","DGD","MA_QH","NTD")</f>
        <v>0</v>
      </c>
      <c r="AX35" s="74">
        <f>+GETPIVOTDATA("XCB4",'cubi (2016)'!$A$3,"MA_HT","DGD","MA_QH","SKX")</f>
        <v>0</v>
      </c>
      <c r="AY35" s="74">
        <f>+GETPIVOTDATA("XCB4",'cubi (2016)'!$A$3,"MA_HT","DGD","MA_QH","DSH")</f>
        <v>0</v>
      </c>
      <c r="AZ35" s="74">
        <f>+GETPIVOTDATA("XCB4",'cubi (2016)'!$A$3,"MA_HT","DGD","MA_QH","DKV")</f>
        <v>0</v>
      </c>
      <c r="BA35" s="139">
        <f>+GETPIVOTDATA("XCB4",'cubi (2016)'!$A$3,"MA_HT","DGD","MA_QH","TIN")</f>
        <v>0</v>
      </c>
      <c r="BB35" s="74">
        <f>+GETPIVOTDATA("XCB4",'cubi (2016)'!$A$3,"MA_HT","DGD","MA_QH","SON")</f>
        <v>0</v>
      </c>
      <c r="BC35" s="74">
        <f>+GETPIVOTDATA("XCB4",'cubi (2016)'!$A$3,"MA_HT","DGD","MA_QH","MNC")</f>
        <v>0</v>
      </c>
      <c r="BD35" s="74">
        <f>+GETPIVOTDATA("XCB4",'cubi (2016)'!$A$3,"MA_HT","DGD","MA_QH","PNK")</f>
        <v>0</v>
      </c>
      <c r="BE35" s="102">
        <f>+GETPIVOTDATA("XCB4",'cubi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+GETPIVOTDATA("XCB4",'cubi (2016)'!$A$3,"MA_HT","DTT","MA_QH","LUC")</f>
        <v>0</v>
      </c>
      <c r="H36" s="74">
        <f>+GETPIVOTDATA("XCB4",'cubi (2016)'!$A$3,"MA_HT","DTT","MA_QH","LUK")</f>
        <v>0</v>
      </c>
      <c r="I36" s="74">
        <f>+GETPIVOTDATA("XCB4",'cubi (2016)'!$A$3,"MA_HT","DTT","MA_QH","LUN")</f>
        <v>0</v>
      </c>
      <c r="J36" s="74">
        <f>+GETPIVOTDATA("XCB4",'cubi (2016)'!$A$3,"MA_HT","DTT","MA_QH","HNK")</f>
        <v>0</v>
      </c>
      <c r="K36" s="74">
        <f>+GETPIVOTDATA("XCB4",'cubi (2016)'!$A$3,"MA_HT","DTT","MA_QH","CLN")</f>
        <v>0</v>
      </c>
      <c r="L36" s="74">
        <f>+GETPIVOTDATA("XCB4",'cubi (2016)'!$A$3,"MA_HT","DTT","MA_QH","RSX")</f>
        <v>0</v>
      </c>
      <c r="M36" s="74">
        <f>+GETPIVOTDATA("XCB4",'cubi (2016)'!$A$3,"MA_HT","DTT","MA_QH","RPH")</f>
        <v>0</v>
      </c>
      <c r="N36" s="74">
        <f>+GETPIVOTDATA("XCB4",'cubi (2016)'!$A$3,"MA_HT","DTT","MA_QH","RDD")</f>
        <v>0</v>
      </c>
      <c r="O36" s="74">
        <f>+GETPIVOTDATA("XCB4",'cubi (2016)'!$A$3,"MA_HT","DTT","MA_QH","NTS")</f>
        <v>0</v>
      </c>
      <c r="P36" s="74">
        <f>+GETPIVOTDATA("XCB4",'cubi (2016)'!$A$3,"MA_HT","DTT","MA_QH","LMU")</f>
        <v>0</v>
      </c>
      <c r="Q36" s="74">
        <f>+GETPIVOTDATA("XCB4",'cubi (2016)'!$A$3,"MA_HT","DTT","MA_QH","NKH")</f>
        <v>0</v>
      </c>
      <c r="R36" s="72">
        <f>SUM(S36:AA36,AN36:BD36)</f>
        <v>0</v>
      </c>
      <c r="S36" s="74">
        <f>+GETPIVOTDATA("XCB4",'cubi (2016)'!$A$3,"MA_HT","DTT","MA_QH","CQP")</f>
        <v>0</v>
      </c>
      <c r="T36" s="74">
        <f>+GETPIVOTDATA("XCB4",'cubi (2016)'!$A$3,"MA_HT","DTT","MA_QH","CAN")</f>
        <v>0</v>
      </c>
      <c r="U36" s="74">
        <f>+GETPIVOTDATA("XCB4",'cubi (2016)'!$A$3,"MA_HT","DTT","MA_QH","SKK")</f>
        <v>0</v>
      </c>
      <c r="V36" s="74">
        <f>+GETPIVOTDATA("XCB4",'cubi (2016)'!$A$3,"MA_HT","DTT","MA_QH","SKT")</f>
        <v>0</v>
      </c>
      <c r="W36" s="74">
        <f>+GETPIVOTDATA("XCB4",'cubi (2016)'!$A$3,"MA_HT","DTT","MA_QH","SKN")</f>
        <v>0</v>
      </c>
      <c r="X36" s="74">
        <f>+GETPIVOTDATA("XCB4",'cubi (2016)'!$A$3,"MA_HT","DTT","MA_QH","TMD")</f>
        <v>0</v>
      </c>
      <c r="Y36" s="74">
        <f>+GETPIVOTDATA("XCB4",'cubi (2016)'!$A$3,"MA_HT","DTT","MA_QH","SKC")</f>
        <v>0</v>
      </c>
      <c r="Z36" s="74">
        <f>+GETPIVOTDATA("XCB4",'cubi (2016)'!$A$3,"MA_HT","DTT","MA_QH","SKS")</f>
        <v>0</v>
      </c>
      <c r="AA36" s="64">
        <f>+SUM(AB36:AH36,AJ36:AM36)</f>
        <v>0</v>
      </c>
      <c r="AB36" s="74">
        <f>+GETPIVOTDATA("XCB4",'cubi (2016)'!$A$3,"MA_HT","DTT","MA_QH","DGT")</f>
        <v>0</v>
      </c>
      <c r="AC36" s="74">
        <f>+GETPIVOTDATA("XCB4",'cubi (2016)'!$A$3,"MA_HT","DTT","MA_QH","DTL")</f>
        <v>0</v>
      </c>
      <c r="AD36" s="74">
        <f>+GETPIVOTDATA("XCB4",'cubi (2016)'!$A$3,"MA_HT","DTT","MA_QH","DNL")</f>
        <v>0</v>
      </c>
      <c r="AE36" s="74">
        <f>+GETPIVOTDATA("XCB4",'cubi (2016)'!$A$3,"MA_HT","DTT","MA_QH","DBV")</f>
        <v>0</v>
      </c>
      <c r="AF36" s="74">
        <f>+GETPIVOTDATA("XCB4",'cubi (2016)'!$A$3,"MA_HT","DTT","MA_QH","DVH")</f>
        <v>0</v>
      </c>
      <c r="AG36" s="74">
        <f>+GETPIVOTDATA("XCB4",'cubi (2016)'!$A$3,"MA_HT","DTT","MA_QH","DYT")</f>
        <v>0</v>
      </c>
      <c r="AH36" s="74">
        <f>+GETPIVOTDATA("XCB4",'cubi (2016)'!$A$3,"MA_HT","DTT","MA_QH","DGD")</f>
        <v>0</v>
      </c>
      <c r="AI36" s="100" t="e">
        <f>$D36-$BF36</f>
        <v>#REF!</v>
      </c>
      <c r="AJ36" s="74">
        <f>+GETPIVOTDATA("XCB4",'cubi (2016)'!$A$3,"MA_HT","DTT","MA_QH","NCK")</f>
        <v>0</v>
      </c>
      <c r="AK36" s="74">
        <f>+GETPIVOTDATA("XCB4",'cubi (2016)'!$A$3,"MA_HT","DTT","MA_QH","DXH")</f>
        <v>0</v>
      </c>
      <c r="AL36" s="74">
        <f>+GETPIVOTDATA("XCB4",'cubi (2016)'!$A$3,"MA_HT","DTT","MA_QH","DCH")</f>
        <v>0</v>
      </c>
      <c r="AM36" s="74">
        <f>+GETPIVOTDATA("XCB4",'cubi (2016)'!$A$3,"MA_HT","DTT","MA_QH","DKG")</f>
        <v>0</v>
      </c>
      <c r="AN36" s="74">
        <f>+GETPIVOTDATA("XCB4",'cubi (2016)'!$A$3,"MA_HT","DTT","MA_QH","DDT")</f>
        <v>0</v>
      </c>
      <c r="AO36" s="74">
        <f>+GETPIVOTDATA("XCB4",'cubi (2016)'!$A$3,"MA_HT","DTT","MA_QH","DDL")</f>
        <v>0</v>
      </c>
      <c r="AP36" s="74">
        <f>+GETPIVOTDATA("XCB4",'cubi (2016)'!$A$3,"MA_HT","DTT","MA_QH","DRA")</f>
        <v>0</v>
      </c>
      <c r="AQ36" s="74">
        <f>+GETPIVOTDATA("XCB4",'cubi (2016)'!$A$3,"MA_HT","DTT","MA_QH","ONT")</f>
        <v>0</v>
      </c>
      <c r="AR36" s="74">
        <f>+GETPIVOTDATA("XCB4",'cubi (2016)'!$A$3,"MA_HT","DTT","MA_QH","ODT")</f>
        <v>0</v>
      </c>
      <c r="AS36" s="74">
        <f>+GETPIVOTDATA("XCB4",'cubi (2016)'!$A$3,"MA_HT","DTT","MA_QH","TSC")</f>
        <v>0</v>
      </c>
      <c r="AT36" s="74">
        <f>+GETPIVOTDATA("XCB4",'cubi (2016)'!$A$3,"MA_HT","DTT","MA_QH","DTS")</f>
        <v>0</v>
      </c>
      <c r="AU36" s="74">
        <f>+GETPIVOTDATA("XCB4",'cubi (2016)'!$A$3,"MA_HT","DTT","MA_QH","DNG")</f>
        <v>0</v>
      </c>
      <c r="AV36" s="74">
        <f>+GETPIVOTDATA("XCB4",'cubi (2016)'!$A$3,"MA_HT","DTT","MA_QH","TON")</f>
        <v>0</v>
      </c>
      <c r="AW36" s="74">
        <f>+GETPIVOTDATA("XCB4",'cubi (2016)'!$A$3,"MA_HT","DTT","MA_QH","NTD")</f>
        <v>0</v>
      </c>
      <c r="AX36" s="74">
        <f>+GETPIVOTDATA("XCB4",'cubi (2016)'!$A$3,"MA_HT","DTT","MA_QH","SKX")</f>
        <v>0</v>
      </c>
      <c r="AY36" s="74">
        <f>+GETPIVOTDATA("XCB4",'cubi (2016)'!$A$3,"MA_HT","DTT","MA_QH","DSH")</f>
        <v>0</v>
      </c>
      <c r="AZ36" s="74">
        <f>+GETPIVOTDATA("XCB4",'cubi (2016)'!$A$3,"MA_HT","DTT","MA_QH","DKV")</f>
        <v>0</v>
      </c>
      <c r="BA36" s="139">
        <f>+GETPIVOTDATA("XCB4",'cubi (2016)'!$A$3,"MA_HT","DTT","MA_QH","TIN")</f>
        <v>0</v>
      </c>
      <c r="BB36" s="74">
        <f>+GETPIVOTDATA("XCB4",'cubi (2016)'!$A$3,"MA_HT","DTT","MA_QH","SON")</f>
        <v>0</v>
      </c>
      <c r="BC36" s="74">
        <f>+GETPIVOTDATA("XCB4",'cubi (2016)'!$A$3,"MA_HT","DTT","MA_QH","MNC")</f>
        <v>0</v>
      </c>
      <c r="BD36" s="74">
        <f>+GETPIVOTDATA("XCB4",'cubi (2016)'!$A$3,"MA_HT","DTT","MA_QH","PNK")</f>
        <v>0</v>
      </c>
      <c r="BE36" s="102">
        <f>+GETPIVOTDATA("XCB4",'cubi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+GETPIVOTDATA("XCB4",'cubi (2016)'!$A$3,"MA_HT","NCK","MA_QH","LUC")</f>
        <v>0</v>
      </c>
      <c r="H37" s="74">
        <f>+GETPIVOTDATA("XCB4",'cubi (2016)'!$A$3,"MA_HT","NCK","MA_QH","LUK")</f>
        <v>0</v>
      </c>
      <c r="I37" s="74">
        <f>+GETPIVOTDATA("XCB4",'cubi (2016)'!$A$3,"MA_HT","NCK","MA_QH","LUN")</f>
        <v>0</v>
      </c>
      <c r="J37" s="74">
        <f>+GETPIVOTDATA("XCB4",'cubi (2016)'!$A$3,"MA_HT","NCK","MA_QH","HNK")</f>
        <v>0</v>
      </c>
      <c r="K37" s="74">
        <f>+GETPIVOTDATA("XCB4",'cubi (2016)'!$A$3,"MA_HT","NCK","MA_QH","CLN")</f>
        <v>0</v>
      </c>
      <c r="L37" s="74">
        <f>+GETPIVOTDATA("XCB4",'cubi (2016)'!$A$3,"MA_HT","NCK","MA_QH","RSX")</f>
        <v>0</v>
      </c>
      <c r="M37" s="74">
        <f>+GETPIVOTDATA("XCB4",'cubi (2016)'!$A$3,"MA_HT","NCK","MA_QH","RPH")</f>
        <v>0</v>
      </c>
      <c r="N37" s="74">
        <f>+GETPIVOTDATA("XCB4",'cubi (2016)'!$A$3,"MA_HT","NCK","MA_QH","RDD")</f>
        <v>0</v>
      </c>
      <c r="O37" s="74">
        <f>+GETPIVOTDATA("XCB4",'cubi (2016)'!$A$3,"MA_HT","NCK","MA_QH","NTS")</f>
        <v>0</v>
      </c>
      <c r="P37" s="74">
        <f>+GETPIVOTDATA("XCB4",'cubi (2016)'!$A$3,"MA_HT","NCK","MA_QH","LMU")</f>
        <v>0</v>
      </c>
      <c r="Q37" s="74">
        <f>+GETPIVOTDATA("XCB4",'cubi (2016)'!$A$3,"MA_HT","NCK","MA_QH","NKH")</f>
        <v>0</v>
      </c>
      <c r="R37" s="72">
        <f t="shared" si="20"/>
        <v>0</v>
      </c>
      <c r="S37" s="74">
        <f>+GETPIVOTDATA("XCB4",'cubi (2016)'!$A$3,"MA_HT","NCK","MA_QH","CQP")</f>
        <v>0</v>
      </c>
      <c r="T37" s="74">
        <f>+GETPIVOTDATA("XCB4",'cubi (2016)'!$A$3,"MA_HT","NCK","MA_QH","CAN")</f>
        <v>0</v>
      </c>
      <c r="U37" s="74">
        <f>+GETPIVOTDATA("XCB4",'cubi (2016)'!$A$3,"MA_HT","NCK","MA_QH","SKK")</f>
        <v>0</v>
      </c>
      <c r="V37" s="74">
        <f>+GETPIVOTDATA("XCB4",'cubi (2016)'!$A$3,"MA_HT","NCK","MA_QH","SKT")</f>
        <v>0</v>
      </c>
      <c r="W37" s="74">
        <f>+GETPIVOTDATA("XCB4",'cubi (2016)'!$A$3,"MA_HT","NCK","MA_QH","SKN")</f>
        <v>0</v>
      </c>
      <c r="X37" s="74">
        <f>+GETPIVOTDATA("XCB4",'cubi (2016)'!$A$3,"MA_HT","NCK","MA_QH","TMD")</f>
        <v>0</v>
      </c>
      <c r="Y37" s="74">
        <f>+GETPIVOTDATA("XCB4",'cubi (2016)'!$A$3,"MA_HT","NCK","MA_QH","SKC")</f>
        <v>0</v>
      </c>
      <c r="Z37" s="74">
        <f>+GETPIVOTDATA("XCB4",'cubi (2016)'!$A$3,"MA_HT","NCK","MA_QH","SKS")</f>
        <v>0</v>
      </c>
      <c r="AA37" s="64">
        <f>+SUM(AB37:AI37,AK37:AM37)</f>
        <v>0</v>
      </c>
      <c r="AB37" s="74">
        <f>+GETPIVOTDATA("XCB4",'cubi (2016)'!$A$3,"MA_HT","NCK","MA_QH","DGT")</f>
        <v>0</v>
      </c>
      <c r="AC37" s="74">
        <f>+GETPIVOTDATA("XCB4",'cubi (2016)'!$A$3,"MA_HT","NCK","MA_QH","DTL")</f>
        <v>0</v>
      </c>
      <c r="AD37" s="74">
        <f>+GETPIVOTDATA("XCB4",'cubi (2016)'!$A$3,"MA_HT","NCK","MA_QH","DNL")</f>
        <v>0</v>
      </c>
      <c r="AE37" s="74">
        <f>+GETPIVOTDATA("XCB4",'cubi (2016)'!$A$3,"MA_HT","NCK","MA_QH","DBV")</f>
        <v>0</v>
      </c>
      <c r="AF37" s="74">
        <f>+GETPIVOTDATA("XCB4",'cubi (2016)'!$A$3,"MA_HT","NCK","MA_QH","DVH")</f>
        <v>0</v>
      </c>
      <c r="AG37" s="74">
        <f>+GETPIVOTDATA("XCB4",'cubi (2016)'!$A$3,"MA_HT","NCK","MA_QH","DYT")</f>
        <v>0</v>
      </c>
      <c r="AH37" s="74">
        <f>+GETPIVOTDATA("XCB4",'cubi (2016)'!$A$3,"MA_HT","NCK","MA_QH","DGD")</f>
        <v>0</v>
      </c>
      <c r="AI37" s="74">
        <f>+GETPIVOTDATA("XCB4",'cubi (2016)'!$A$3,"MA_HT","NCK","MA_QH","DTT")</f>
        <v>0</v>
      </c>
      <c r="AJ37" s="100" t="e">
        <f>$D37-$BF37</f>
        <v>#REF!</v>
      </c>
      <c r="AK37" s="74">
        <f>+GETPIVOTDATA("XCB4",'cubi (2016)'!$A$3,"MA_HT","NCK","MA_QH","DXH")</f>
        <v>0</v>
      </c>
      <c r="AL37" s="74">
        <f>+GETPIVOTDATA("XCB4",'cubi (2016)'!$A$3,"MA_HT","NCK","MA_QH","DCH")</f>
        <v>0</v>
      </c>
      <c r="AM37" s="74">
        <f>+GETPIVOTDATA("XCB4",'cubi (2016)'!$A$3,"MA_HT","NCK","MA_QH","DKG")</f>
        <v>0</v>
      </c>
      <c r="AN37" s="74">
        <f>+GETPIVOTDATA("XCB4",'cubi (2016)'!$A$3,"MA_HT","NCK","MA_QH","DDT")</f>
        <v>0</v>
      </c>
      <c r="AO37" s="74">
        <f>+GETPIVOTDATA("XCB4",'cubi (2016)'!$A$3,"MA_HT","NCK","MA_QH","DDL")</f>
        <v>0</v>
      </c>
      <c r="AP37" s="74">
        <f>+GETPIVOTDATA("XCB4",'cubi (2016)'!$A$3,"MA_HT","NCK","MA_QH","DRA")</f>
        <v>0</v>
      </c>
      <c r="AQ37" s="74">
        <f>+GETPIVOTDATA("XCB4",'cubi (2016)'!$A$3,"MA_HT","NCK","MA_QH","ONT")</f>
        <v>0</v>
      </c>
      <c r="AR37" s="74">
        <f>+GETPIVOTDATA("XCB4",'cubi (2016)'!$A$3,"MA_HT","NCK","MA_QH","ODT")</f>
        <v>0</v>
      </c>
      <c r="AS37" s="74">
        <f>+GETPIVOTDATA("XCB4",'cubi (2016)'!$A$3,"MA_HT","NCK","MA_QH","TSC")</f>
        <v>0</v>
      </c>
      <c r="AT37" s="74">
        <f>+GETPIVOTDATA("XCB4",'cubi (2016)'!$A$3,"MA_HT","NCK","MA_QH","DTS")</f>
        <v>0</v>
      </c>
      <c r="AU37" s="74">
        <f>+GETPIVOTDATA("XCB4",'cubi (2016)'!$A$3,"MA_HT","NCK","MA_QH","DNG")</f>
        <v>0</v>
      </c>
      <c r="AV37" s="74">
        <f>+GETPIVOTDATA("XCB4",'cubi (2016)'!$A$3,"MA_HT","NCK","MA_QH","TON")</f>
        <v>0</v>
      </c>
      <c r="AW37" s="74">
        <f>+GETPIVOTDATA("XCB4",'cubi (2016)'!$A$3,"MA_HT","NCK","MA_QH","NTD")</f>
        <v>0</v>
      </c>
      <c r="AX37" s="74">
        <f>+GETPIVOTDATA("XCB4",'cubi (2016)'!$A$3,"MA_HT","NCK","MA_QH","SKX")</f>
        <v>0</v>
      </c>
      <c r="AY37" s="74">
        <f>+GETPIVOTDATA("XCB4",'cubi (2016)'!$A$3,"MA_HT","NCK","MA_QH","DSH")</f>
        <v>0</v>
      </c>
      <c r="AZ37" s="74">
        <f>+GETPIVOTDATA("XCB4",'cubi (2016)'!$A$3,"MA_HT","NCK","MA_QH","DKV")</f>
        <v>0</v>
      </c>
      <c r="BA37" s="139">
        <f>+GETPIVOTDATA("XCB4",'cubi (2016)'!$A$3,"MA_HT","NCK","MA_QH","TIN")</f>
        <v>0</v>
      </c>
      <c r="BB37" s="74">
        <f>+GETPIVOTDATA("XCB4",'cubi (2016)'!$A$3,"MA_HT","NCK","MA_QH","SON")</f>
        <v>0</v>
      </c>
      <c r="BC37" s="74">
        <f>+GETPIVOTDATA("XCB4",'cubi (2016)'!$A$3,"MA_HT","NCK","MA_QH","MNC")</f>
        <v>0</v>
      </c>
      <c r="BD37" s="74">
        <f>+GETPIVOTDATA("XCB4",'cubi (2016)'!$A$3,"MA_HT","NCK","MA_QH","PNK")</f>
        <v>0</v>
      </c>
      <c r="BE37" s="102">
        <f>+GETPIVOTDATA("XCB4",'cubi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+GETPIVOTDATA("XCB4",'cubi (2016)'!$A$3,"MA_HT","DXH","MA_QH","LUC")</f>
        <v>0</v>
      </c>
      <c r="H38" s="74">
        <f>+GETPIVOTDATA("XCB4",'cubi (2016)'!$A$3,"MA_HT","DXH","MA_QH","LUK")</f>
        <v>0</v>
      </c>
      <c r="I38" s="74">
        <f>+GETPIVOTDATA("XCB4",'cubi (2016)'!$A$3,"MA_HT","DXH","MA_QH","LUN")</f>
        <v>0</v>
      </c>
      <c r="J38" s="74">
        <f>+GETPIVOTDATA("XCB4",'cubi (2016)'!$A$3,"MA_HT","DXH","MA_QH","HNK")</f>
        <v>0</v>
      </c>
      <c r="K38" s="74">
        <f>+GETPIVOTDATA("XCB4",'cubi (2016)'!$A$3,"MA_HT","DXH","MA_QH","CLN")</f>
        <v>0</v>
      </c>
      <c r="L38" s="74">
        <f>+GETPIVOTDATA("XCB4",'cubi (2016)'!$A$3,"MA_HT","DXH","MA_QH","RSX")</f>
        <v>0</v>
      </c>
      <c r="M38" s="74">
        <f>+GETPIVOTDATA("XCB4",'cubi (2016)'!$A$3,"MA_HT","DXH","MA_QH","RPH")</f>
        <v>0</v>
      </c>
      <c r="N38" s="74">
        <f>+GETPIVOTDATA("XCB4",'cubi (2016)'!$A$3,"MA_HT","DXH","MA_QH","RDD")</f>
        <v>0</v>
      </c>
      <c r="O38" s="74">
        <f>+GETPIVOTDATA("XCB4",'cubi (2016)'!$A$3,"MA_HT","DXH","MA_QH","NTS")</f>
        <v>0</v>
      </c>
      <c r="P38" s="74">
        <f>+GETPIVOTDATA("XCB4",'cubi (2016)'!$A$3,"MA_HT","DXH","MA_QH","LMU")</f>
        <v>0</v>
      </c>
      <c r="Q38" s="74">
        <f>+GETPIVOTDATA("XCB4",'cubi (2016)'!$A$3,"MA_HT","DXH","MA_QH","NKH")</f>
        <v>0</v>
      </c>
      <c r="R38" s="72">
        <f t="shared" si="20"/>
        <v>0</v>
      </c>
      <c r="S38" s="74">
        <f>+GETPIVOTDATA("XCB4",'cubi (2016)'!$A$3,"MA_HT","DXH","MA_QH","CQP")</f>
        <v>0</v>
      </c>
      <c r="T38" s="74">
        <f>+GETPIVOTDATA("XCB4",'cubi (2016)'!$A$3,"MA_HT","DXH","MA_QH","CAN")</f>
        <v>0</v>
      </c>
      <c r="U38" s="74">
        <f>+GETPIVOTDATA("XCB4",'cubi (2016)'!$A$3,"MA_HT","DXH","MA_QH","SKK")</f>
        <v>0</v>
      </c>
      <c r="V38" s="74">
        <f>+GETPIVOTDATA("XCB4",'cubi (2016)'!$A$3,"MA_HT","DXH","MA_QH","SKT")</f>
        <v>0</v>
      </c>
      <c r="W38" s="74">
        <f>+GETPIVOTDATA("XCB4",'cubi (2016)'!$A$3,"MA_HT","DXH","MA_QH","SKN")</f>
        <v>0</v>
      </c>
      <c r="X38" s="74">
        <f>+GETPIVOTDATA("XCB4",'cubi (2016)'!$A$3,"MA_HT","DXH","MA_QH","TMD")</f>
        <v>0</v>
      </c>
      <c r="Y38" s="74">
        <f>+GETPIVOTDATA("XCB4",'cubi (2016)'!$A$3,"MA_HT","DXH","MA_QH","SKC")</f>
        <v>0</v>
      </c>
      <c r="Z38" s="74">
        <f>+GETPIVOTDATA("XCB4",'cubi (2016)'!$A$3,"MA_HT","DXH","MA_QH","SKS")</f>
        <v>0</v>
      </c>
      <c r="AA38" s="64">
        <f>+SUM(AB38:AJ38,AL38:AM38)</f>
        <v>0</v>
      </c>
      <c r="AB38" s="74">
        <f>+GETPIVOTDATA("XCB4",'cubi (2016)'!$A$3,"MA_HT","DXH","MA_QH","DGT")</f>
        <v>0</v>
      </c>
      <c r="AC38" s="74">
        <f>+GETPIVOTDATA("XCB4",'cubi (2016)'!$A$3,"MA_HT","DXH","MA_QH","DTL")</f>
        <v>0</v>
      </c>
      <c r="AD38" s="74">
        <f>+GETPIVOTDATA("XCB4",'cubi (2016)'!$A$3,"MA_HT","DXH","MA_QH","DNL")</f>
        <v>0</v>
      </c>
      <c r="AE38" s="74">
        <f>+GETPIVOTDATA("XCB4",'cubi (2016)'!$A$3,"MA_HT","DXH","MA_QH","DBV")</f>
        <v>0</v>
      </c>
      <c r="AF38" s="74">
        <f>+GETPIVOTDATA("XCB4",'cubi (2016)'!$A$3,"MA_HT","DXH","MA_QH","DVH")</f>
        <v>0</v>
      </c>
      <c r="AG38" s="74">
        <f>+GETPIVOTDATA("XCB4",'cubi (2016)'!$A$3,"MA_HT","DXH","MA_QH","DYT")</f>
        <v>0</v>
      </c>
      <c r="AH38" s="74">
        <f>+GETPIVOTDATA("XCB4",'cubi (2016)'!$A$3,"MA_HT","DXH","MA_QH","DGD")</f>
        <v>0</v>
      </c>
      <c r="AI38" s="74">
        <f>+GETPIVOTDATA("XCB4",'cubi (2016)'!$A$3,"MA_HT","DXH","MA_QH","DTT")</f>
        <v>0</v>
      </c>
      <c r="AJ38" s="74">
        <f>+GETPIVOTDATA("XCB4",'cubi (2016)'!$A$3,"MA_HT","DXH","MA_QH","NCK")</f>
        <v>0</v>
      </c>
      <c r="AK38" s="100" t="e">
        <f>$D38-$BF38</f>
        <v>#REF!</v>
      </c>
      <c r="AL38" s="74">
        <f>+GETPIVOTDATA("XCB4",'cubi (2016)'!$A$3,"MA_HT","DXH","MA_QH","DCH")</f>
        <v>0</v>
      </c>
      <c r="AM38" s="74">
        <f>+GETPIVOTDATA("XCB4",'cubi (2016)'!$A$3,"MA_HT","DXH","MA_QH","DKG")</f>
        <v>0</v>
      </c>
      <c r="AN38" s="74">
        <f>+GETPIVOTDATA("XCB4",'cubi (2016)'!$A$3,"MA_HT","DXH","MA_QH","DDT")</f>
        <v>0</v>
      </c>
      <c r="AO38" s="74">
        <f>+GETPIVOTDATA("XCB4",'cubi (2016)'!$A$3,"MA_HT","DXH","MA_QH","DDL")</f>
        <v>0</v>
      </c>
      <c r="AP38" s="74">
        <f>+GETPIVOTDATA("XCB4",'cubi (2016)'!$A$3,"MA_HT","DXH","MA_QH","DRA")</f>
        <v>0</v>
      </c>
      <c r="AQ38" s="74">
        <f>+GETPIVOTDATA("XCB4",'cubi (2016)'!$A$3,"MA_HT","DXH","MA_QH","ONT")</f>
        <v>0</v>
      </c>
      <c r="AR38" s="74">
        <f>+GETPIVOTDATA("XCB4",'cubi (2016)'!$A$3,"MA_HT","DXH","MA_QH","ODT")</f>
        <v>0</v>
      </c>
      <c r="AS38" s="74">
        <f>+GETPIVOTDATA("XCB4",'cubi (2016)'!$A$3,"MA_HT","DXH","MA_QH","TSC")</f>
        <v>0</v>
      </c>
      <c r="AT38" s="74">
        <f>+GETPIVOTDATA("XCB4",'cubi (2016)'!$A$3,"MA_HT","DXH","MA_QH","DTS")</f>
        <v>0</v>
      </c>
      <c r="AU38" s="74">
        <f>+GETPIVOTDATA("XCB4",'cubi (2016)'!$A$3,"MA_HT","DXH","MA_QH","DNG")</f>
        <v>0</v>
      </c>
      <c r="AV38" s="74">
        <f>+GETPIVOTDATA("XCB4",'cubi (2016)'!$A$3,"MA_HT","DXH","MA_QH","TON")</f>
        <v>0</v>
      </c>
      <c r="AW38" s="74">
        <f>+GETPIVOTDATA("XCB4",'cubi (2016)'!$A$3,"MA_HT","DXH","MA_QH","NTD")</f>
        <v>0</v>
      </c>
      <c r="AX38" s="74">
        <f>+GETPIVOTDATA("XCB4",'cubi (2016)'!$A$3,"MA_HT","DXH","MA_QH","SKX")</f>
        <v>0</v>
      </c>
      <c r="AY38" s="74">
        <f>+GETPIVOTDATA("XCB4",'cubi (2016)'!$A$3,"MA_HT","DXH","MA_QH","DSH")</f>
        <v>0</v>
      </c>
      <c r="AZ38" s="74">
        <f>+GETPIVOTDATA("XCB4",'cubi (2016)'!$A$3,"MA_HT","DXH","MA_QH","DKV")</f>
        <v>0</v>
      </c>
      <c r="BA38" s="139">
        <f>+GETPIVOTDATA("XCB4",'cubi (2016)'!$A$3,"MA_HT","DXH","MA_QH","TIN")</f>
        <v>0</v>
      </c>
      <c r="BB38" s="74">
        <f>+GETPIVOTDATA("XCB4",'cubi (2016)'!$A$3,"MA_HT","DXH","MA_QH","SON")</f>
        <v>0</v>
      </c>
      <c r="BC38" s="74">
        <f>+GETPIVOTDATA("XCB4",'cubi (2016)'!$A$3,"MA_HT","DXH","MA_QH","MNC")</f>
        <v>0</v>
      </c>
      <c r="BD38" s="74">
        <f>+GETPIVOTDATA("XCB4",'cubi (2016)'!$A$3,"MA_HT","DXH","MA_QH","PNK")</f>
        <v>0</v>
      </c>
      <c r="BE38" s="102">
        <f>+GETPIVOTDATA("XCB4",'cubi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+GETPIVOTDATA("XCB4",'cubi (2016)'!$A$3,"MA_HT","DCH","MA_QH","LUC")</f>
        <v>0</v>
      </c>
      <c r="H39" s="74">
        <f>+GETPIVOTDATA("XCB4",'cubi (2016)'!$A$3,"MA_HT","DCH","MA_QH","LUK")</f>
        <v>0</v>
      </c>
      <c r="I39" s="74">
        <f>+GETPIVOTDATA("XCB4",'cubi (2016)'!$A$3,"MA_HT","DCH","MA_QH","LUN")</f>
        <v>0</v>
      </c>
      <c r="J39" s="74">
        <f>+GETPIVOTDATA("XCB4",'cubi (2016)'!$A$3,"MA_HT","DCH","MA_QH","HNK")</f>
        <v>0</v>
      </c>
      <c r="K39" s="74">
        <f>+GETPIVOTDATA("XCB4",'cubi (2016)'!$A$3,"MA_HT","DCH","MA_QH","CLN")</f>
        <v>0</v>
      </c>
      <c r="L39" s="74">
        <f>+GETPIVOTDATA("XCB4",'cubi (2016)'!$A$3,"MA_HT","DCH","MA_QH","RSX")</f>
        <v>0</v>
      </c>
      <c r="M39" s="74">
        <f>+GETPIVOTDATA("XCB4",'cubi (2016)'!$A$3,"MA_HT","DCH","MA_QH","RPH")</f>
        <v>0</v>
      </c>
      <c r="N39" s="74">
        <f>+GETPIVOTDATA("XCB4",'cubi (2016)'!$A$3,"MA_HT","DCH","MA_QH","RDD")</f>
        <v>0</v>
      </c>
      <c r="O39" s="74">
        <f>+GETPIVOTDATA("XCB4",'cubi (2016)'!$A$3,"MA_HT","DCH","MA_QH","NTS")</f>
        <v>0</v>
      </c>
      <c r="P39" s="74">
        <f>+GETPIVOTDATA("XCB4",'cubi (2016)'!$A$3,"MA_HT","DCH","MA_QH","LMU")</f>
        <v>0</v>
      </c>
      <c r="Q39" s="74">
        <f>+GETPIVOTDATA("XCB4",'cubi (2016)'!$A$3,"MA_HT","DCH","MA_QH","NKH")</f>
        <v>0</v>
      </c>
      <c r="R39" s="72">
        <f t="shared" si="20"/>
        <v>0</v>
      </c>
      <c r="S39" s="74">
        <f>+GETPIVOTDATA("XCB4",'cubi (2016)'!$A$3,"MA_HT","DCH","MA_QH","CQP")</f>
        <v>0</v>
      </c>
      <c r="T39" s="74">
        <f>+GETPIVOTDATA("XCB4",'cubi (2016)'!$A$3,"MA_HT","DCH","MA_QH","CAN")</f>
        <v>0</v>
      </c>
      <c r="U39" s="74">
        <f>+GETPIVOTDATA("XCB4",'cubi (2016)'!$A$3,"MA_HT","DCH","MA_QH","SKK")</f>
        <v>0</v>
      </c>
      <c r="V39" s="74">
        <f>+GETPIVOTDATA("XCB4",'cubi (2016)'!$A$3,"MA_HT","DCH","MA_QH","SKT")</f>
        <v>0</v>
      </c>
      <c r="W39" s="74">
        <f>+GETPIVOTDATA("XCB4",'cubi (2016)'!$A$3,"MA_HT","DCH","MA_QH","SKN")</f>
        <v>0</v>
      </c>
      <c r="X39" s="74">
        <f>+GETPIVOTDATA("XCB4",'cubi (2016)'!$A$3,"MA_HT","DCH","MA_QH","TMD")</f>
        <v>0</v>
      </c>
      <c r="Y39" s="74">
        <f>+GETPIVOTDATA("XCB4",'cubi (2016)'!$A$3,"MA_HT","DCH","MA_QH","SKC")</f>
        <v>0</v>
      </c>
      <c r="Z39" s="74">
        <f>+GETPIVOTDATA("XCB4",'cubi (2016)'!$A$3,"MA_HT","DCH","MA_QH","SKS")</f>
        <v>0</v>
      </c>
      <c r="AA39" s="64">
        <f>+SUM(AB39:AK39,AM39)</f>
        <v>0</v>
      </c>
      <c r="AB39" s="74">
        <f>+GETPIVOTDATA("XCB4",'cubi (2016)'!$A$3,"MA_HT","DCH","MA_QH","DGT")</f>
        <v>0</v>
      </c>
      <c r="AC39" s="74">
        <f>+GETPIVOTDATA("XCB4",'cubi (2016)'!$A$3,"MA_HT","DCH","MA_QH","DTL")</f>
        <v>0</v>
      </c>
      <c r="AD39" s="74">
        <f>+GETPIVOTDATA("XCB4",'cubi (2016)'!$A$3,"MA_HT","DCH","MA_QH","DNL")</f>
        <v>0</v>
      </c>
      <c r="AE39" s="74">
        <f>+GETPIVOTDATA("XCB4",'cubi (2016)'!$A$3,"MA_HT","DCH","MA_QH","DBV")</f>
        <v>0</v>
      </c>
      <c r="AF39" s="74">
        <f>+GETPIVOTDATA("XCB4",'cubi (2016)'!$A$3,"MA_HT","DCH","MA_QH","DVH")</f>
        <v>0</v>
      </c>
      <c r="AG39" s="74">
        <f>+GETPIVOTDATA("XCB4",'cubi (2016)'!$A$3,"MA_HT","DCH","MA_QH","DYT")</f>
        <v>0</v>
      </c>
      <c r="AH39" s="74">
        <f>+GETPIVOTDATA("XCB4",'cubi (2016)'!$A$3,"MA_HT","DCH","MA_QH","DGD")</f>
        <v>0</v>
      </c>
      <c r="AI39" s="74">
        <f>+GETPIVOTDATA("XCB4",'cubi (2016)'!$A$3,"MA_HT","DCH","MA_QH","DTT")</f>
        <v>0</v>
      </c>
      <c r="AJ39" s="74">
        <f>+GETPIVOTDATA("XCB4",'cubi (2016)'!$A$3,"MA_HT","DCH","MA_QH","NCK")</f>
        <v>0</v>
      </c>
      <c r="AK39" s="74">
        <f>+GETPIVOTDATA("XCB4",'cubi (2016)'!$A$3,"MA_HT","DCH","MA_QH","DXH")</f>
        <v>0</v>
      </c>
      <c r="AL39" s="100" t="e">
        <f>$D39-$BF39</f>
        <v>#REF!</v>
      </c>
      <c r="AM39" s="74">
        <f>+GETPIVOTDATA("XCB4",'cubi (2016)'!$A$3,"MA_HT","DXH","MA_QH","DKG")</f>
        <v>0</v>
      </c>
      <c r="AN39" s="74">
        <f>+GETPIVOTDATA("XCB4",'cubi (2016)'!$A$3,"MA_HT","DCH","MA_QH","DDT")</f>
        <v>0</v>
      </c>
      <c r="AO39" s="74">
        <f>+GETPIVOTDATA("XCB4",'cubi (2016)'!$A$3,"MA_HT","DCH","MA_QH","DDL")</f>
        <v>0</v>
      </c>
      <c r="AP39" s="74">
        <f>+GETPIVOTDATA("XCB4",'cubi (2016)'!$A$3,"MA_HT","DCH","MA_QH","DRA")</f>
        <v>0</v>
      </c>
      <c r="AQ39" s="74">
        <f>+GETPIVOTDATA("XCB4",'cubi (2016)'!$A$3,"MA_HT","DCH","MA_QH","ONT")</f>
        <v>0</v>
      </c>
      <c r="AR39" s="74">
        <f>+GETPIVOTDATA("XCB4",'cubi (2016)'!$A$3,"MA_HT","DCH","MA_QH","ODT")</f>
        <v>0</v>
      </c>
      <c r="AS39" s="74">
        <f>+GETPIVOTDATA("XCB4",'cubi (2016)'!$A$3,"MA_HT","DCH","MA_QH","TSC")</f>
        <v>0</v>
      </c>
      <c r="AT39" s="74">
        <f>+GETPIVOTDATA("XCB4",'cubi (2016)'!$A$3,"MA_HT","DCH","MA_QH","DTS")</f>
        <v>0</v>
      </c>
      <c r="AU39" s="74">
        <f>+GETPIVOTDATA("XCB4",'cubi (2016)'!$A$3,"MA_HT","DCH","MA_QH","DNG")</f>
        <v>0</v>
      </c>
      <c r="AV39" s="74">
        <f>+GETPIVOTDATA("XCB4",'cubi (2016)'!$A$3,"MA_HT","DCH","MA_QH","TON")</f>
        <v>0</v>
      </c>
      <c r="AW39" s="74">
        <f>+GETPIVOTDATA("XCB4",'cubi (2016)'!$A$3,"MA_HT","DCH","MA_QH","NTD")</f>
        <v>0</v>
      </c>
      <c r="AX39" s="74">
        <f>+GETPIVOTDATA("XCB4",'cubi (2016)'!$A$3,"MA_HT","DCH","MA_QH","SKX")</f>
        <v>0</v>
      </c>
      <c r="AY39" s="74">
        <f>+GETPIVOTDATA("XCB4",'cubi (2016)'!$A$3,"MA_HT","DCH","MA_QH","DSH")</f>
        <v>0</v>
      </c>
      <c r="AZ39" s="74">
        <f>+GETPIVOTDATA("XCB4",'cubi (2016)'!$A$3,"MA_HT","DCH","MA_QH","DKV")</f>
        <v>0</v>
      </c>
      <c r="BA39" s="139">
        <f>+GETPIVOTDATA("XCB4",'cubi (2016)'!$A$3,"MA_HT","DCH","MA_QH","TIN")</f>
        <v>0</v>
      </c>
      <c r="BB39" s="74">
        <f>+GETPIVOTDATA("XCB4",'cubi (2016)'!$A$3,"MA_HT","DCH","MA_QH","SON")</f>
        <v>0</v>
      </c>
      <c r="BC39" s="74">
        <f>+GETPIVOTDATA("XCB4",'cubi (2016)'!$A$3,"MA_HT","DCH","MA_QH","MNC")</f>
        <v>0</v>
      </c>
      <c r="BD39" s="74">
        <f>+GETPIVOTDATA("XCB4",'cubi (2016)'!$A$3,"MA_HT","DCH","MA_QH","PNK")</f>
        <v>0</v>
      </c>
      <c r="BE39" s="102">
        <f>+GETPIVOTDATA("XCB4",'cubi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+GETPIVOTDATA("XCB4",'cubi (2016)'!$A$3,"MA_HT","DKG","MA_QH","LUC")</f>
        <v>0</v>
      </c>
      <c r="H40" s="74">
        <f>+GETPIVOTDATA("XCB4",'cubi (2016)'!$A$3,"MA_HT","DKG","MA_QH","LUK")</f>
        <v>0</v>
      </c>
      <c r="I40" s="74">
        <f>+GETPIVOTDATA("XCB4",'cubi (2016)'!$A$3,"MA_HT","DKG","MA_QH","LUN")</f>
        <v>0</v>
      </c>
      <c r="J40" s="74">
        <f>+GETPIVOTDATA("XCB4",'cubi (2016)'!$A$3,"MA_HT","DKG","MA_QH","HNK")</f>
        <v>0</v>
      </c>
      <c r="K40" s="74">
        <f>+GETPIVOTDATA("XCB4",'cubi (2016)'!$A$3,"MA_HT","DKG","MA_QH","CLN")</f>
        <v>0</v>
      </c>
      <c r="L40" s="74">
        <f>+GETPIVOTDATA("XCB4",'cubi (2016)'!$A$3,"MA_HT","DKG","MA_QH","RSX")</f>
        <v>0</v>
      </c>
      <c r="M40" s="74">
        <f>+GETPIVOTDATA("XCB4",'cubi (2016)'!$A$3,"MA_HT","DKG","MA_QH","RPH")</f>
        <v>0</v>
      </c>
      <c r="N40" s="74">
        <f>+GETPIVOTDATA("XCB4",'cubi (2016)'!$A$3,"MA_HT","DKG","MA_QH","RDD")</f>
        <v>0</v>
      </c>
      <c r="O40" s="74">
        <f>+GETPIVOTDATA("XCB4",'cubi (2016)'!$A$3,"MA_HT","DKG","MA_QH","NTS")</f>
        <v>0</v>
      </c>
      <c r="P40" s="74">
        <f>+GETPIVOTDATA("XCB4",'cubi (2016)'!$A$3,"MA_HT","DKG","MA_QH","LMU")</f>
        <v>0</v>
      </c>
      <c r="Q40" s="74">
        <f>+GETPIVOTDATA("XCB4",'cubi (2016)'!$A$3,"MA_HT","DKG","MA_QH","NKH")</f>
        <v>0</v>
      </c>
      <c r="R40" s="72">
        <f>SUM(S40:AA40,AN40:BD40)</f>
        <v>0</v>
      </c>
      <c r="S40" s="74">
        <f>+GETPIVOTDATA("XCB4",'cubi (2016)'!$A$3,"MA_HT","DKG","MA_QH","CQP")</f>
        <v>0</v>
      </c>
      <c r="T40" s="74">
        <f>+GETPIVOTDATA("XCB4",'cubi (2016)'!$A$3,"MA_HT","DKG","MA_QH","CAN")</f>
        <v>0</v>
      </c>
      <c r="U40" s="74">
        <f>+GETPIVOTDATA("XCB4",'cubi (2016)'!$A$3,"MA_HT","DKG","MA_QH","SKK")</f>
        <v>0</v>
      </c>
      <c r="V40" s="74">
        <f>+GETPIVOTDATA("XCB4",'cubi (2016)'!$A$3,"MA_HT","DKG","MA_QH","SKT")</f>
        <v>0</v>
      </c>
      <c r="W40" s="74">
        <f>+GETPIVOTDATA("XCB4",'cubi (2016)'!$A$3,"MA_HT","DKG","MA_QH","SKN")</f>
        <v>0</v>
      </c>
      <c r="X40" s="74">
        <f>+GETPIVOTDATA("XCB4",'cubi (2016)'!$A$3,"MA_HT","DKG","MA_QH","TMD")</f>
        <v>0</v>
      </c>
      <c r="Y40" s="74">
        <f>+GETPIVOTDATA("XCB4",'cubi (2016)'!$A$3,"MA_HT","DKG","MA_QH","SKC")</f>
        <v>0</v>
      </c>
      <c r="Z40" s="74">
        <f>+GETPIVOTDATA("XCB4",'cubi (2016)'!$A$3,"MA_HT","DKG","MA_QH","SKS")</f>
        <v>0</v>
      </c>
      <c r="AA40" s="64">
        <f>+SUM(AB40:AL40)</f>
        <v>0</v>
      </c>
      <c r="AB40" s="74">
        <f>+GETPIVOTDATA("XCB4",'cubi (2016)'!$A$3,"MA_HT","DKG","MA_QH","DGT")</f>
        <v>0</v>
      </c>
      <c r="AC40" s="74">
        <f>+GETPIVOTDATA("XCB4",'cubi (2016)'!$A$3,"MA_HT","DKG","MA_QH","DTL")</f>
        <v>0</v>
      </c>
      <c r="AD40" s="74">
        <f>+GETPIVOTDATA("XCB4",'cubi (2016)'!$A$3,"MA_HT","DKG","MA_QH","DNL")</f>
        <v>0</v>
      </c>
      <c r="AE40" s="74">
        <f>+GETPIVOTDATA("XCB4",'cubi (2016)'!$A$3,"MA_HT","DKG","MA_QH","DBV")</f>
        <v>0</v>
      </c>
      <c r="AF40" s="74">
        <f>+GETPIVOTDATA("XCB4",'cubi (2016)'!$A$3,"MA_HT","DKG","MA_QH","DVH")</f>
        <v>0</v>
      </c>
      <c r="AG40" s="74">
        <f>+GETPIVOTDATA("XCB4",'cubi (2016)'!$A$3,"MA_HT","DKG","MA_QH","DYT")</f>
        <v>0</v>
      </c>
      <c r="AH40" s="74">
        <f>+GETPIVOTDATA("XCB4",'cubi (2016)'!$A$3,"MA_HT","DKG","MA_QH","DGD")</f>
        <v>0</v>
      </c>
      <c r="AI40" s="74">
        <f>+GETPIVOTDATA("XCB4",'cubi (2016)'!$A$3,"MA_HT","DKG","MA_QH","DTT")</f>
        <v>0</v>
      </c>
      <c r="AJ40" s="74">
        <f>+GETPIVOTDATA("XCB4",'cubi (2016)'!$A$3,"MA_HT","DKG","MA_QH","NCK")</f>
        <v>0</v>
      </c>
      <c r="AK40" s="74">
        <f>+GETPIVOTDATA("XCB4",'cubi (2016)'!$A$3,"MA_HT","DKG","MA_QH","DXH")</f>
        <v>0</v>
      </c>
      <c r="AL40" s="122">
        <f>+GETPIVOTDATA("XCB4",'cubi (2016)'!$A$3,"MA_HT","DDT","MA_QH","DKG")</f>
        <v>0</v>
      </c>
      <c r="AM40" s="100" t="e">
        <f>$D40-$BF40</f>
        <v>#REF!</v>
      </c>
      <c r="AN40" s="74">
        <f>+GETPIVOTDATA("XCB4",'cubi (2016)'!$A$3,"MA_HT","DKG","MA_QH","DDT")</f>
        <v>0</v>
      </c>
      <c r="AO40" s="74">
        <f>+GETPIVOTDATA("XCB4",'cubi (2016)'!$A$3,"MA_HT","DKG","MA_QH","DDL")</f>
        <v>0</v>
      </c>
      <c r="AP40" s="74">
        <f>+GETPIVOTDATA("XCB4",'cubi (2016)'!$A$3,"MA_HT","DKG","MA_QH","DRA")</f>
        <v>0</v>
      </c>
      <c r="AQ40" s="74">
        <f>+GETPIVOTDATA("XCB4",'cubi (2016)'!$A$3,"MA_HT","DKG","MA_QH","ONT")</f>
        <v>0</v>
      </c>
      <c r="AR40" s="74">
        <f>+GETPIVOTDATA("XCB4",'cubi (2016)'!$A$3,"MA_HT","DKG","MA_QH","ODT")</f>
        <v>0</v>
      </c>
      <c r="AS40" s="74">
        <f>+GETPIVOTDATA("XCB4",'cubi (2016)'!$A$3,"MA_HT","DKG","MA_QH","TSC")</f>
        <v>0</v>
      </c>
      <c r="AT40" s="74">
        <f>+GETPIVOTDATA("XCB4",'cubi (2016)'!$A$3,"MA_HT","DKG","MA_QH","DTS")</f>
        <v>0</v>
      </c>
      <c r="AU40" s="74">
        <f>+GETPIVOTDATA("XCB4",'cubi (2016)'!$A$3,"MA_HT","DKG","MA_QH","DNG")</f>
        <v>0</v>
      </c>
      <c r="AV40" s="74">
        <f>+GETPIVOTDATA("XCB4",'cubi (2016)'!$A$3,"MA_HT","DKG","MA_QH","TON")</f>
        <v>0</v>
      </c>
      <c r="AW40" s="74">
        <f>+GETPIVOTDATA("XCB4",'cubi (2016)'!$A$3,"MA_HT","DKG","MA_QH","NTD")</f>
        <v>0</v>
      </c>
      <c r="AX40" s="74">
        <f>+GETPIVOTDATA("XCB4",'cubi (2016)'!$A$3,"MA_HT","DKG","MA_QH","SKX")</f>
        <v>0</v>
      </c>
      <c r="AY40" s="74">
        <f>+GETPIVOTDATA("XCB4",'cubi (2016)'!$A$3,"MA_HT","DKG","MA_QH","DSH")</f>
        <v>0</v>
      </c>
      <c r="AZ40" s="74">
        <f>+GETPIVOTDATA("XCB4",'cubi (2016)'!$A$3,"MA_HT","DKG","MA_QH","DKV")</f>
        <v>0</v>
      </c>
      <c r="BA40" s="139">
        <f>+GETPIVOTDATA("XCB4",'cubi (2016)'!$A$3,"MA_HT","DKG","MA_QH","TIN")</f>
        <v>0</v>
      </c>
      <c r="BB40" s="74">
        <f>+GETPIVOTDATA("XCB4",'cubi (2016)'!$A$3,"MA_HT","DKG","MA_QH","SON")</f>
        <v>0</v>
      </c>
      <c r="BC40" s="74">
        <f>+GETPIVOTDATA("XCB4",'cubi (2016)'!$A$3,"MA_HT","DKG","MA_QH","MNC")</f>
        <v>0</v>
      </c>
      <c r="BD40" s="74">
        <f>+GETPIVOTDATA("XCB4",'cubi (2016)'!$A$3,"MA_HT","DKG","MA_QH","PNK")</f>
        <v>0</v>
      </c>
      <c r="BE40" s="102">
        <f>+GETPIVOTDATA("XCB4",'cubi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+GETPIVOTDATA("XCB4",'cubi (2016)'!$A$3,"MA_HT","DDT","MA_QH","LUC")</f>
        <v>0</v>
      </c>
      <c r="H41" s="122">
        <f>+GETPIVOTDATA("XCB4",'cubi (2016)'!$A$3,"MA_HT","DDT","MA_QH","LUK")</f>
        <v>0</v>
      </c>
      <c r="I41" s="122">
        <f>+GETPIVOTDATA("XCB4",'cubi (2016)'!$A$3,"MA_HT","DDT","MA_QH","LUN")</f>
        <v>0</v>
      </c>
      <c r="J41" s="122">
        <f>+GETPIVOTDATA("XCB4",'cubi (2016)'!$A$3,"MA_HT","DDT","MA_QH","HNK")</f>
        <v>0</v>
      </c>
      <c r="K41" s="122">
        <f>+GETPIVOTDATA("XCB4",'cubi (2016)'!$A$3,"MA_HT","DDT","MA_QH","CLN")</f>
        <v>0</v>
      </c>
      <c r="L41" s="122">
        <f>+GETPIVOTDATA("XCB4",'cubi (2016)'!$A$3,"MA_HT","DDT","MA_QH","RSX")</f>
        <v>0</v>
      </c>
      <c r="M41" s="122">
        <f>+GETPIVOTDATA("XCB4",'cubi (2016)'!$A$3,"MA_HT","DDT","MA_QH","RPH")</f>
        <v>0</v>
      </c>
      <c r="N41" s="122">
        <f>+GETPIVOTDATA("XCB4",'cubi (2016)'!$A$3,"MA_HT","DDT","MA_QH","RDD")</f>
        <v>0</v>
      </c>
      <c r="O41" s="122">
        <f>+GETPIVOTDATA("XCB4",'cubi (2016)'!$A$3,"MA_HT","DDT","MA_QH","NTS")</f>
        <v>0</v>
      </c>
      <c r="P41" s="122">
        <f>+GETPIVOTDATA("XCB4",'cubi (2016)'!$A$3,"MA_HT","DDT","MA_QH","LMU")</f>
        <v>0</v>
      </c>
      <c r="Q41" s="122">
        <f>+GETPIVOTDATA("XCB4",'cubi (2016)'!$A$3,"MA_HT","DDT","MA_QH","NKH")</f>
        <v>0</v>
      </c>
      <c r="R41" s="123">
        <f>SUM(S41:AA41,AO41:BD41)</f>
        <v>0</v>
      </c>
      <c r="S41" s="122">
        <f>+GETPIVOTDATA("XCB4",'cubi (2016)'!$A$3,"MA_HT","DDT","MA_QH","CQP")</f>
        <v>0</v>
      </c>
      <c r="T41" s="122">
        <f>+GETPIVOTDATA("XCB4",'cubi (2016)'!$A$3,"MA_HT","DDT","MA_QH","CAN")</f>
        <v>0</v>
      </c>
      <c r="U41" s="122">
        <f>+GETPIVOTDATA("XCB4",'cubi (2016)'!$A$3,"MA_HT","DDT","MA_QH","SKK")</f>
        <v>0</v>
      </c>
      <c r="V41" s="122">
        <f>+GETPIVOTDATA("XCB4",'cubi (2016)'!$A$3,"MA_HT","DDT","MA_QH","SKT")</f>
        <v>0</v>
      </c>
      <c r="W41" s="122">
        <f>+GETPIVOTDATA("XCB4",'cubi (2016)'!$A$3,"MA_HT","DDT","MA_QH","SKN")</f>
        <v>0</v>
      </c>
      <c r="X41" s="122">
        <f>+GETPIVOTDATA("XCB4",'cubi (2016)'!$A$3,"MA_HT","DDT","MA_QH","TMD")</f>
        <v>0</v>
      </c>
      <c r="Y41" s="122">
        <f>+GETPIVOTDATA("XCB4",'cubi (2016)'!$A$3,"MA_HT","DDT","MA_QH","SKC")</f>
        <v>0</v>
      </c>
      <c r="Z41" s="122">
        <f>+GETPIVOTDATA("XCB4",'cubi (2016)'!$A$3,"MA_HT","DDT","MA_QH","SKS")</f>
        <v>0</v>
      </c>
      <c r="AA41" s="121">
        <f t="shared" ref="AA41:AA58" si="21">+SUM(AB41:AM41)</f>
        <v>0</v>
      </c>
      <c r="AB41" s="122">
        <f>+GETPIVOTDATA("XCB4",'cubi (2016)'!$A$3,"MA_HT","DDT","MA_QH","DGT")</f>
        <v>0</v>
      </c>
      <c r="AC41" s="122">
        <f>+GETPIVOTDATA("XCB4",'cubi (2016)'!$A$3,"MA_HT","DDT","MA_QH","DTL")</f>
        <v>0</v>
      </c>
      <c r="AD41" s="122">
        <f>+GETPIVOTDATA("XCB4",'cubi (2016)'!$A$3,"MA_HT","DDT","MA_QH","DNL")</f>
        <v>0</v>
      </c>
      <c r="AE41" s="122">
        <f>+GETPIVOTDATA("XCB4",'cubi (2016)'!$A$3,"MA_HT","DDT","MA_QH","DBV")</f>
        <v>0</v>
      </c>
      <c r="AF41" s="122">
        <f>+GETPIVOTDATA("XCB4",'cubi (2016)'!$A$3,"MA_HT","DDT","MA_QH","DVH")</f>
        <v>0</v>
      </c>
      <c r="AG41" s="122">
        <f>+GETPIVOTDATA("XCB4",'cubi (2016)'!$A$3,"MA_HT","DDT","MA_QH","DYT")</f>
        <v>0</v>
      </c>
      <c r="AH41" s="122">
        <f>+GETPIVOTDATA("XCB4",'cubi (2016)'!$A$3,"MA_HT","DDT","MA_QH","DGD")</f>
        <v>0</v>
      </c>
      <c r="AI41" s="122">
        <f>+GETPIVOTDATA("XCB4",'cubi (2016)'!$A$3,"MA_HT","DDT","MA_QH","DTT")</f>
        <v>0</v>
      </c>
      <c r="AJ41" s="122">
        <f>+GETPIVOTDATA("XCB4",'cubi (2016)'!$A$3,"MA_HT","DDT","MA_QH","NCK")</f>
        <v>0</v>
      </c>
      <c r="AK41" s="122">
        <f>+GETPIVOTDATA("XCB4",'cubi (2016)'!$A$3,"MA_HT","DDT","MA_QH","DXH")</f>
        <v>0</v>
      </c>
      <c r="AL41" s="122">
        <f>+GETPIVOTDATA("XCB4",'cubi (2016)'!$A$3,"MA_HT","DDT","MA_QH","DCH")</f>
        <v>0</v>
      </c>
      <c r="AM41" s="122">
        <f>+GETPIVOTDATA("XCB4",'cubi (2016)'!$A$3,"MA_HT","DDT","MA_QH","DKG")</f>
        <v>0</v>
      </c>
      <c r="AN41" s="124" t="e">
        <f>$D41-$BF41</f>
        <v>#REF!</v>
      </c>
      <c r="AO41" s="122">
        <f>+GETPIVOTDATA("XCB4",'cubi (2016)'!$A$3,"MA_HT","DDT","MA_QH","DDL")</f>
        <v>0</v>
      </c>
      <c r="AP41" s="122">
        <f>+GETPIVOTDATA("XCB4",'cubi (2016)'!$A$3,"MA_HT","DDT","MA_QH","DRA")</f>
        <v>0</v>
      </c>
      <c r="AQ41" s="122">
        <f>+GETPIVOTDATA("XCB4",'cubi (2016)'!$A$3,"MA_HT","DDT","MA_QH","ONT")</f>
        <v>0</v>
      </c>
      <c r="AR41" s="122">
        <f>+GETPIVOTDATA("XCB4",'cubi (2016)'!$A$3,"MA_HT","DDT","MA_QH","ODT")</f>
        <v>0</v>
      </c>
      <c r="AS41" s="122">
        <f>+GETPIVOTDATA("XCB4",'cubi (2016)'!$A$3,"MA_HT","DDT","MA_QH","TSC")</f>
        <v>0</v>
      </c>
      <c r="AT41" s="122">
        <f>+GETPIVOTDATA("XCB4",'cubi (2016)'!$A$3,"MA_HT","DDT","MA_QH","DTS")</f>
        <v>0</v>
      </c>
      <c r="AU41" s="122">
        <f>+GETPIVOTDATA("XCB4",'cubi (2016)'!$A$3,"MA_HT","DDT","MA_QH","DNG")</f>
        <v>0</v>
      </c>
      <c r="AV41" s="122">
        <f>+GETPIVOTDATA("XCB4",'cubi (2016)'!$A$3,"MA_HT","DDT","MA_QH","TON")</f>
        <v>0</v>
      </c>
      <c r="AW41" s="122">
        <f>+GETPIVOTDATA("XCB4",'cubi (2016)'!$A$3,"MA_HT","DDT","MA_QH","NTD")</f>
        <v>0</v>
      </c>
      <c r="AX41" s="122">
        <f>+GETPIVOTDATA("XCB4",'cubi (2016)'!$A$3,"MA_HT","DDT","MA_QH","SKX")</f>
        <v>0</v>
      </c>
      <c r="AY41" s="122">
        <f>+GETPIVOTDATA("XCB4",'cubi (2016)'!$A$3,"MA_HT","DDT","MA_QH","DSH")</f>
        <v>0</v>
      </c>
      <c r="AZ41" s="122">
        <f>+GETPIVOTDATA("XCB4",'cubi (2016)'!$A$3,"MA_HT","DDT","MA_QH","DKV")</f>
        <v>0</v>
      </c>
      <c r="BA41" s="141">
        <f>+GETPIVOTDATA("XCB4",'cubi (2016)'!$A$3,"MA_HT","DDT","MA_QH","TIN")</f>
        <v>0</v>
      </c>
      <c r="BB41" s="125">
        <f>+GETPIVOTDATA("XCB4",'cubi (2016)'!$A$3,"MA_HT","DDT","MA_QH","SON")</f>
        <v>0</v>
      </c>
      <c r="BC41" s="125">
        <f>+GETPIVOTDATA("XCB4",'cubi (2016)'!$A$3,"MA_HT","DDT","MA_QH","MNC")</f>
        <v>0</v>
      </c>
      <c r="BD41" s="122">
        <f>+GETPIVOTDATA("XCB4",'cubi (2016)'!$A$3,"MA_HT","DDT","MA_QH","PNK")</f>
        <v>0</v>
      </c>
      <c r="BE41" s="126">
        <f>+GETPIVOTDATA("XCB4",'cubi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+GETPIVOTDATA("XCB4",'cubi (2016)'!$A$3,"MA_HT","DDL","MA_QH","LUC")</f>
        <v>0</v>
      </c>
      <c r="H42" s="35">
        <f>+GETPIVOTDATA("XCB4",'cubi (2016)'!$A$3,"MA_HT","DDL","MA_QH","LUK")</f>
        <v>0</v>
      </c>
      <c r="I42" s="35">
        <f>+GETPIVOTDATA("XCB4",'cubi (2016)'!$A$3,"MA_HT","DDL","MA_QH","LUN")</f>
        <v>0</v>
      </c>
      <c r="J42" s="35">
        <f>+GETPIVOTDATA("XCB4",'cubi (2016)'!$A$3,"MA_HT","DDL","MA_QH","HNK")</f>
        <v>0</v>
      </c>
      <c r="K42" s="35">
        <f>+GETPIVOTDATA("XCB4",'cubi (2016)'!$A$3,"MA_HT","DDL","MA_QH","CLN")</f>
        <v>0</v>
      </c>
      <c r="L42" s="35">
        <f>+GETPIVOTDATA("XCB4",'cubi (2016)'!$A$3,"MA_HT","DDL","MA_QH","RSX")</f>
        <v>0</v>
      </c>
      <c r="M42" s="35">
        <f>+GETPIVOTDATA("XCB4",'cubi (2016)'!$A$3,"MA_HT","DDL","MA_QH","RPH")</f>
        <v>0</v>
      </c>
      <c r="N42" s="35">
        <f>+GETPIVOTDATA("XCB4",'cubi (2016)'!$A$3,"MA_HT","DDL","MA_QH","RDD")</f>
        <v>0</v>
      </c>
      <c r="O42" s="35">
        <f>+GETPIVOTDATA("XCB4",'cubi (2016)'!$A$3,"MA_HT","DDL","MA_QH","NTS")</f>
        <v>0</v>
      </c>
      <c r="P42" s="35">
        <f>+GETPIVOTDATA("XCB4",'cubi (2016)'!$A$3,"MA_HT","DDL","MA_QH","LMU")</f>
        <v>0</v>
      </c>
      <c r="Q42" s="35">
        <f>+GETPIVOTDATA("XCB4",'cubi (2016)'!$A$3,"MA_HT","DDL","MA_QH","NKH")</f>
        <v>0</v>
      </c>
      <c r="R42" s="106">
        <f>SUM(S42:AA42,AN42,AP42:BD42)</f>
        <v>0</v>
      </c>
      <c r="S42" s="35">
        <f>+GETPIVOTDATA("XCB4",'cubi (2016)'!$A$3,"MA_HT","DDL","MA_QH","CQP")</f>
        <v>0</v>
      </c>
      <c r="T42" s="35">
        <f>+GETPIVOTDATA("XCB4",'cubi (2016)'!$A$3,"MA_HT","DDL","MA_QH","CAN")</f>
        <v>0</v>
      </c>
      <c r="U42" s="35">
        <f>+GETPIVOTDATA("XCB4",'cubi (2016)'!$A$3,"MA_HT","DDL","MA_QH","SKK")</f>
        <v>0</v>
      </c>
      <c r="V42" s="35">
        <f>+GETPIVOTDATA("XCB4",'cubi (2016)'!$A$3,"MA_HT","DDL","MA_QH","SKT")</f>
        <v>0</v>
      </c>
      <c r="W42" s="35">
        <f>+GETPIVOTDATA("XCB4",'cubi (2016)'!$A$3,"MA_HT","DDL","MA_QH","SKN")</f>
        <v>0</v>
      </c>
      <c r="X42" s="35">
        <f>+GETPIVOTDATA("XCB4",'cubi (2016)'!$A$3,"MA_HT","DDL","MA_QH","TMD")</f>
        <v>0</v>
      </c>
      <c r="Y42" s="35">
        <f>+GETPIVOTDATA("XCB4",'cubi (2016)'!$A$3,"MA_HT","DDL","MA_QH","SKC")</f>
        <v>0</v>
      </c>
      <c r="Z42" s="35">
        <f>+GETPIVOTDATA("XCB4",'cubi (2016)'!$A$3,"MA_HT","DDL","MA_QH","SKS")</f>
        <v>0</v>
      </c>
      <c r="AA42" s="64">
        <f t="shared" si="21"/>
        <v>0</v>
      </c>
      <c r="AB42" s="35">
        <f>+GETPIVOTDATA("XCB4",'cubi (2016)'!$A$3,"MA_HT","DDL","MA_QH","DGT")</f>
        <v>0</v>
      </c>
      <c r="AC42" s="35">
        <f>+GETPIVOTDATA("XCB4",'cubi (2016)'!$A$3,"MA_HT","DDL","MA_QH","DTL")</f>
        <v>0</v>
      </c>
      <c r="AD42" s="35">
        <f>+GETPIVOTDATA("XCB4",'cubi (2016)'!$A$3,"MA_HT","DDL","MA_QH","DNL")</f>
        <v>0</v>
      </c>
      <c r="AE42" s="35">
        <f>+GETPIVOTDATA("XCB4",'cubi (2016)'!$A$3,"MA_HT","DDL","MA_QH","DBV")</f>
        <v>0</v>
      </c>
      <c r="AF42" s="35">
        <f>+GETPIVOTDATA("XCB4",'cubi (2016)'!$A$3,"MA_HT","DDL","MA_QH","DVH")</f>
        <v>0</v>
      </c>
      <c r="AG42" s="35">
        <f>+GETPIVOTDATA("XCB4",'cubi (2016)'!$A$3,"MA_HT","DDL","MA_QH","DYT")</f>
        <v>0</v>
      </c>
      <c r="AH42" s="35">
        <f>+GETPIVOTDATA("XCB4",'cubi (2016)'!$A$3,"MA_HT","DDL","MA_QH","DGD")</f>
        <v>0</v>
      </c>
      <c r="AI42" s="35">
        <f>+GETPIVOTDATA("XCB4",'cubi (2016)'!$A$3,"MA_HT","DDL","MA_QH","DTT")</f>
        <v>0</v>
      </c>
      <c r="AJ42" s="35">
        <f>+GETPIVOTDATA("XCB4",'cubi (2016)'!$A$3,"MA_HT","DDL","MA_QH","NCK")</f>
        <v>0</v>
      </c>
      <c r="AK42" s="35">
        <f>+GETPIVOTDATA("XCB4",'cubi (2016)'!$A$3,"MA_HT","DDL","MA_QH","DXH")</f>
        <v>0</v>
      </c>
      <c r="AL42" s="35">
        <f>+GETPIVOTDATA("XCB4",'cubi (2016)'!$A$3,"MA_HT","DDL","MA_QH","DCH")</f>
        <v>0</v>
      </c>
      <c r="AM42" s="35">
        <f>+GETPIVOTDATA("XCB4",'cubi (2016)'!$A$3,"MA_HT","DDL","MA_QH","DKG")</f>
        <v>0</v>
      </c>
      <c r="AN42" s="35">
        <f>+GETPIVOTDATA("XCB4",'cubi (2016)'!$A$3,"MA_HT","DDL","MA_QH","DDT")</f>
        <v>0</v>
      </c>
      <c r="AO42" s="99" t="e">
        <f>$D42-$BF42</f>
        <v>#REF!</v>
      </c>
      <c r="AP42" s="35">
        <f>+GETPIVOTDATA("XCB4",'cubi (2016)'!$A$3,"MA_HT","DDL","MA_QH","DRA")</f>
        <v>0</v>
      </c>
      <c r="AQ42" s="35">
        <f>+GETPIVOTDATA("XCB4",'cubi (2016)'!$A$3,"MA_HT","DDL","MA_QH","ONT")</f>
        <v>0</v>
      </c>
      <c r="AR42" s="35">
        <f>+GETPIVOTDATA("XCB4",'cubi (2016)'!$A$3,"MA_HT","DDL","MA_QH","ODT")</f>
        <v>0</v>
      </c>
      <c r="AS42" s="35">
        <f>+GETPIVOTDATA("XCB4",'cubi (2016)'!$A$3,"MA_HT","DDL","MA_QH","TSC")</f>
        <v>0</v>
      </c>
      <c r="AT42" s="35">
        <f>+GETPIVOTDATA("XCB4",'cubi (2016)'!$A$3,"MA_HT","DDL","MA_QH","DTS")</f>
        <v>0</v>
      </c>
      <c r="AU42" s="35">
        <f>+GETPIVOTDATA("XCB4",'cubi (2016)'!$A$3,"MA_HT","DDL","MA_QH","DNG")</f>
        <v>0</v>
      </c>
      <c r="AV42" s="35">
        <f>+GETPIVOTDATA("XCB4",'cubi (2016)'!$A$3,"MA_HT","DDL","MA_QH","TON")</f>
        <v>0</v>
      </c>
      <c r="AW42" s="35">
        <f>+GETPIVOTDATA("XCB4",'cubi (2016)'!$A$3,"MA_HT","DDL","MA_QH","NTD")</f>
        <v>0</v>
      </c>
      <c r="AX42" s="35">
        <f>+GETPIVOTDATA("XCB4",'cubi (2016)'!$A$3,"MA_HT","DDL","MA_QH","SKX")</f>
        <v>0</v>
      </c>
      <c r="AY42" s="35">
        <f>+GETPIVOTDATA("XCB4",'cubi (2016)'!$A$3,"MA_HT","DDL","MA_QH","DSH")</f>
        <v>0</v>
      </c>
      <c r="AZ42" s="35">
        <f>+GETPIVOTDATA("XCB4",'cubi (2016)'!$A$3,"MA_HT","DDL","MA_QH","DKV")</f>
        <v>0</v>
      </c>
      <c r="BA42" s="140">
        <f>+GETPIVOTDATA("XCB4",'cubi (2016)'!$A$3,"MA_HT","DDL","MA_QH","TIN")</f>
        <v>0</v>
      </c>
      <c r="BB42" s="74">
        <f>+GETPIVOTDATA("XCB4",'cubi (2016)'!$A$3,"MA_HT","DDL","MA_QH","SON")</f>
        <v>0</v>
      </c>
      <c r="BC42" s="74">
        <f>+GETPIVOTDATA("XCB4",'cubi (2016)'!$A$3,"MA_HT","DDL","MA_QH","MNC")</f>
        <v>0</v>
      </c>
      <c r="BD42" s="35">
        <f>+GETPIVOTDATA("XCB4",'cubi (2016)'!$A$3,"MA_HT","DDL","MA_QH","PNK")</f>
        <v>0</v>
      </c>
      <c r="BE42" s="58">
        <f>+GETPIVOTDATA("XCB4",'cubi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+GETPIVOTDATA("XCB4",'cubi (2016)'!$A$3,"MA_HT","DRA","MA_QH","LUC")</f>
        <v>0</v>
      </c>
      <c r="H43" s="35">
        <f>+GETPIVOTDATA("XCB4",'cubi (2016)'!$A$3,"MA_HT","DRA","MA_QH","LUK")</f>
        <v>0</v>
      </c>
      <c r="I43" s="35">
        <f>+GETPIVOTDATA("XCB4",'cubi (2016)'!$A$3,"MA_HT","DRA","MA_QH","LUN")</f>
        <v>0</v>
      </c>
      <c r="J43" s="35">
        <f>+GETPIVOTDATA("XCB4",'cubi (2016)'!$A$3,"MA_HT","DRA","MA_QH","HNK")</f>
        <v>0</v>
      </c>
      <c r="K43" s="35">
        <f>+GETPIVOTDATA("XCB4",'cubi (2016)'!$A$3,"MA_HT","DRA","MA_QH","CLN")</f>
        <v>0</v>
      </c>
      <c r="L43" s="35">
        <f>+GETPIVOTDATA("XCB4",'cubi (2016)'!$A$3,"MA_HT","DRA","MA_QH","RSX")</f>
        <v>0</v>
      </c>
      <c r="M43" s="35">
        <f>+GETPIVOTDATA("XCB4",'cubi (2016)'!$A$3,"MA_HT","DRA","MA_QH","RPH")</f>
        <v>0</v>
      </c>
      <c r="N43" s="35">
        <f>+GETPIVOTDATA("XCB4",'cubi (2016)'!$A$3,"MA_HT","DRA","MA_QH","RDD")</f>
        <v>0</v>
      </c>
      <c r="O43" s="35">
        <f>+GETPIVOTDATA("XCB4",'cubi (2016)'!$A$3,"MA_HT","DRA","MA_QH","NTS")</f>
        <v>0</v>
      </c>
      <c r="P43" s="35">
        <f>+GETPIVOTDATA("XCB4",'cubi (2016)'!$A$3,"MA_HT","DRA","MA_QH","LMU")</f>
        <v>0</v>
      </c>
      <c r="Q43" s="35">
        <f>+GETPIVOTDATA("XCB4",'cubi (2016)'!$A$3,"MA_HT","DRA","MA_QH","NKH")</f>
        <v>0</v>
      </c>
      <c r="R43" s="106">
        <f>SUM(S43:AA43,AN43:AO43,AQ43:BD43)</f>
        <v>0</v>
      </c>
      <c r="S43" s="35">
        <f>+GETPIVOTDATA("XCB4",'cubi (2016)'!$A$3,"MA_HT","DRA","MA_QH","CQP")</f>
        <v>0</v>
      </c>
      <c r="T43" s="35">
        <f>+GETPIVOTDATA("XCB4",'cubi (2016)'!$A$3,"MA_HT","DRA","MA_QH","CAN")</f>
        <v>0</v>
      </c>
      <c r="U43" s="35">
        <f>+GETPIVOTDATA("XCB4",'cubi (2016)'!$A$3,"MA_HT","DRA","MA_QH","SKK")</f>
        <v>0</v>
      </c>
      <c r="V43" s="35">
        <f>+GETPIVOTDATA("XCB4",'cubi (2016)'!$A$3,"MA_HT","DRA","MA_QH","SKT")</f>
        <v>0</v>
      </c>
      <c r="W43" s="35">
        <f>+GETPIVOTDATA("XCB4",'cubi (2016)'!$A$3,"MA_HT","DRA","MA_QH","SKN")</f>
        <v>0</v>
      </c>
      <c r="X43" s="35">
        <f>+GETPIVOTDATA("XCB4",'cubi (2016)'!$A$3,"MA_HT","DRA","MA_QH","TMD")</f>
        <v>0</v>
      </c>
      <c r="Y43" s="35">
        <f>+GETPIVOTDATA("XCB4",'cubi (2016)'!$A$3,"MA_HT","DRA","MA_QH","SKC")</f>
        <v>0</v>
      </c>
      <c r="Z43" s="35">
        <f>+GETPIVOTDATA("XCB4",'cubi (2016)'!$A$3,"MA_HT","DRA","MA_QH","SKS")</f>
        <v>0</v>
      </c>
      <c r="AA43" s="64">
        <f t="shared" si="21"/>
        <v>0</v>
      </c>
      <c r="AB43" s="35">
        <f>+GETPIVOTDATA("XCB4",'cubi (2016)'!$A$3,"MA_HT","DRA","MA_QH","DGT")</f>
        <v>0</v>
      </c>
      <c r="AC43" s="35">
        <f>+GETPIVOTDATA("XCB4",'cubi (2016)'!$A$3,"MA_HT","DRA","MA_QH","DTL")</f>
        <v>0</v>
      </c>
      <c r="AD43" s="35">
        <f>+GETPIVOTDATA("XCB4",'cubi (2016)'!$A$3,"MA_HT","DRA","MA_QH","DNL")</f>
        <v>0</v>
      </c>
      <c r="AE43" s="35">
        <f>+GETPIVOTDATA("XCB4",'cubi (2016)'!$A$3,"MA_HT","DRA","MA_QH","DBV")</f>
        <v>0</v>
      </c>
      <c r="AF43" s="35">
        <f>+GETPIVOTDATA("XCB4",'cubi (2016)'!$A$3,"MA_HT","DRA","MA_QH","DVH")</f>
        <v>0</v>
      </c>
      <c r="AG43" s="35">
        <f>+GETPIVOTDATA("XCB4",'cubi (2016)'!$A$3,"MA_HT","DRA","MA_QH","DYT")</f>
        <v>0</v>
      </c>
      <c r="AH43" s="35">
        <f>+GETPIVOTDATA("XCB4",'cubi (2016)'!$A$3,"MA_HT","DRA","MA_QH","DGD")</f>
        <v>0</v>
      </c>
      <c r="AI43" s="35">
        <f>+GETPIVOTDATA("XCB4",'cubi (2016)'!$A$3,"MA_HT","DRA","MA_QH","DTT")</f>
        <v>0</v>
      </c>
      <c r="AJ43" s="35">
        <f>+GETPIVOTDATA("XCB4",'cubi (2016)'!$A$3,"MA_HT","DRA","MA_QH","NCK")</f>
        <v>0</v>
      </c>
      <c r="AK43" s="35">
        <f>+GETPIVOTDATA("XCB4",'cubi (2016)'!$A$3,"MA_HT","DRA","MA_QH","DXH")</f>
        <v>0</v>
      </c>
      <c r="AL43" s="35">
        <f>+GETPIVOTDATA("XCB4",'cubi (2016)'!$A$3,"MA_HT","DRA","MA_QH","DCH")</f>
        <v>0</v>
      </c>
      <c r="AM43" s="35">
        <f>+GETPIVOTDATA("XCB4",'cubi (2016)'!$A$3,"MA_HT","DRA","MA_QH","DKG")</f>
        <v>0</v>
      </c>
      <c r="AN43" s="35">
        <f>+GETPIVOTDATA("XCB4",'cubi (2016)'!$A$3,"MA_HT","DRA","MA_QH","DDT")</f>
        <v>0</v>
      </c>
      <c r="AO43" s="35">
        <f>+GETPIVOTDATA("XCB4",'cubi (2016)'!$A$3,"MA_HT","DRA","MA_QH","DDL")</f>
        <v>0</v>
      </c>
      <c r="AP43" s="99" t="e">
        <f>$D43-$BF43</f>
        <v>#REF!</v>
      </c>
      <c r="AQ43" s="35">
        <f>+GETPIVOTDATA("XCB4",'cubi (2016)'!$A$3,"MA_HT","DRA","MA_QH","ONT")</f>
        <v>0</v>
      </c>
      <c r="AR43" s="35">
        <f>+GETPIVOTDATA("XCB4",'cubi (2016)'!$A$3,"MA_HT","DRA","MA_QH","ODT")</f>
        <v>0</v>
      </c>
      <c r="AS43" s="35">
        <f>+GETPIVOTDATA("XCB4",'cubi (2016)'!$A$3,"MA_HT","DRA","MA_QH","TSC")</f>
        <v>0</v>
      </c>
      <c r="AT43" s="35">
        <f>+GETPIVOTDATA("XCB4",'cubi (2016)'!$A$3,"MA_HT","DRA","MA_QH","DTS")</f>
        <v>0</v>
      </c>
      <c r="AU43" s="35">
        <f>+GETPIVOTDATA("XCB4",'cubi (2016)'!$A$3,"MA_HT","DRA","MA_QH","DNG")</f>
        <v>0</v>
      </c>
      <c r="AV43" s="35">
        <f>+GETPIVOTDATA("XCB4",'cubi (2016)'!$A$3,"MA_HT","DRA","MA_QH","TON")</f>
        <v>0</v>
      </c>
      <c r="AW43" s="35">
        <f>+GETPIVOTDATA("XCB4",'cubi (2016)'!$A$3,"MA_HT","DRA","MA_QH","NTD")</f>
        <v>0</v>
      </c>
      <c r="AX43" s="35">
        <f>+GETPIVOTDATA("XCB4",'cubi (2016)'!$A$3,"MA_HT","DRA","MA_QH","SKX")</f>
        <v>0</v>
      </c>
      <c r="AY43" s="35">
        <f>+GETPIVOTDATA("XCB4",'cubi (2016)'!$A$3,"MA_HT","DRA","MA_QH","DSH")</f>
        <v>0</v>
      </c>
      <c r="AZ43" s="35">
        <f>+GETPIVOTDATA("XCB4",'cubi (2016)'!$A$3,"MA_HT","DRA","MA_QH","DKV")</f>
        <v>0</v>
      </c>
      <c r="BA43" s="140">
        <f>+GETPIVOTDATA("XCB4",'cubi (2016)'!$A$3,"MA_HT","DRA","MA_QH","TIN")</f>
        <v>0</v>
      </c>
      <c r="BB43" s="74">
        <f>+GETPIVOTDATA("XCB4",'cubi (2016)'!$A$3,"MA_HT","DRA","MA_QH","SON")</f>
        <v>0</v>
      </c>
      <c r="BC43" s="74">
        <f>+GETPIVOTDATA("XCB4",'cubi (2016)'!$A$3,"MA_HT","DRA","MA_QH","MNC")</f>
        <v>0</v>
      </c>
      <c r="BD43" s="35">
        <f>+GETPIVOTDATA("XCB4",'cubi (2016)'!$A$3,"MA_HT","DRA","MA_QH","PNK")</f>
        <v>0</v>
      </c>
      <c r="BE43" s="58">
        <f>+GETPIVOTDATA("XCB4",'cubi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+GETPIVOTDATA("XCB4",'cubi (2016)'!$A$3,"MA_HT","ONT","MA_QH","LUC")</f>
        <v>0</v>
      </c>
      <c r="H44" s="35">
        <f>+GETPIVOTDATA("XCB4",'cubi (2016)'!$A$3,"MA_HT","ONT","MA_QH","LUK")</f>
        <v>0</v>
      </c>
      <c r="I44" s="35">
        <f>+GETPIVOTDATA("XCB4",'cubi (2016)'!$A$3,"MA_HT","ONT","MA_QH","LUN")</f>
        <v>0</v>
      </c>
      <c r="J44" s="35">
        <f>+GETPIVOTDATA("XCB4",'cubi (2016)'!$A$3,"MA_HT","ONT","MA_QH","HNK")</f>
        <v>0</v>
      </c>
      <c r="K44" s="35">
        <f>+GETPIVOTDATA("XCB4",'cubi (2016)'!$A$3,"MA_HT","ONT","MA_QH","CLN")</f>
        <v>0</v>
      </c>
      <c r="L44" s="35">
        <f>+GETPIVOTDATA("XCB4",'cubi (2016)'!$A$3,"MA_HT","ONT","MA_QH","RSX")</f>
        <v>0</v>
      </c>
      <c r="M44" s="35">
        <f>+GETPIVOTDATA("XCB4",'cubi (2016)'!$A$3,"MA_HT","ONT","MA_QH","RPH")</f>
        <v>0</v>
      </c>
      <c r="N44" s="35">
        <f>+GETPIVOTDATA("XCB4",'cubi (2016)'!$A$3,"MA_HT","ONT","MA_QH","RDD")</f>
        <v>0</v>
      </c>
      <c r="O44" s="35">
        <f>+GETPIVOTDATA("XCB4",'cubi (2016)'!$A$3,"MA_HT","ONT","MA_QH","NTS")</f>
        <v>0</v>
      </c>
      <c r="P44" s="35">
        <f>+GETPIVOTDATA("XCB4",'cubi (2016)'!$A$3,"MA_HT","ONT","MA_QH","LMU")</f>
        <v>0</v>
      </c>
      <c r="Q44" s="35">
        <f>+GETPIVOTDATA("XCB4",'cubi (2016)'!$A$3,"MA_HT","ONT","MA_QH","NKH")</f>
        <v>0</v>
      </c>
      <c r="R44" s="106">
        <f>SUM(S44:AA44,AN44:AP44,AR44:BD44)</f>
        <v>0</v>
      </c>
      <c r="S44" s="35">
        <f>+GETPIVOTDATA("XCB4",'cubi (2016)'!$A$3,"MA_HT","ONT","MA_QH","CQP")</f>
        <v>0</v>
      </c>
      <c r="T44" s="35">
        <f>+GETPIVOTDATA("XCB4",'cubi (2016)'!$A$3,"MA_HT","ONT","MA_QH","CAN")</f>
        <v>0</v>
      </c>
      <c r="U44" s="35">
        <f>+GETPIVOTDATA("XCB4",'cubi (2016)'!$A$3,"MA_HT","ONT","MA_QH","SKK")</f>
        <v>0</v>
      </c>
      <c r="V44" s="35">
        <f>+GETPIVOTDATA("XCB4",'cubi (2016)'!$A$3,"MA_HT","ONT","MA_QH","SKT")</f>
        <v>0</v>
      </c>
      <c r="W44" s="35">
        <f>+GETPIVOTDATA("XCB4",'cubi (2016)'!$A$3,"MA_HT","ONT","MA_QH","SKN")</f>
        <v>0</v>
      </c>
      <c r="X44" s="35">
        <f>+GETPIVOTDATA("XCB4",'cubi (2016)'!$A$3,"MA_HT","ONT","MA_QH","TMD")</f>
        <v>0</v>
      </c>
      <c r="Y44" s="35">
        <f>+GETPIVOTDATA("XCB4",'cubi (2016)'!$A$3,"MA_HT","ONT","MA_QH","SKC")</f>
        <v>0</v>
      </c>
      <c r="Z44" s="35">
        <f>+GETPIVOTDATA("XCB4",'cubi (2016)'!$A$3,"MA_HT","ONT","MA_QH","SKS")</f>
        <v>0</v>
      </c>
      <c r="AA44" s="64">
        <f t="shared" si="21"/>
        <v>0</v>
      </c>
      <c r="AB44" s="35">
        <f>+GETPIVOTDATA("XCB4",'cubi (2016)'!$A$3,"MA_HT","ONT","MA_QH","DGT")</f>
        <v>0</v>
      </c>
      <c r="AC44" s="35">
        <f>+GETPIVOTDATA("XCB4",'cubi (2016)'!$A$3,"MA_HT","ONT","MA_QH","DTL")</f>
        <v>0</v>
      </c>
      <c r="AD44" s="35">
        <f>+GETPIVOTDATA("XCB4",'cubi (2016)'!$A$3,"MA_HT","ONT","MA_QH","DNL")</f>
        <v>0</v>
      </c>
      <c r="AE44" s="35">
        <f>+GETPIVOTDATA("XCB4",'cubi (2016)'!$A$3,"MA_HT","ONT","MA_QH","DBV")</f>
        <v>0</v>
      </c>
      <c r="AF44" s="35">
        <f>+GETPIVOTDATA("XCB4",'cubi (2016)'!$A$3,"MA_HT","ONT","MA_QH","DVH")</f>
        <v>0</v>
      </c>
      <c r="AG44" s="35">
        <f>+GETPIVOTDATA("XCB4",'cubi (2016)'!$A$3,"MA_HT","ONT","MA_QH","DYT")</f>
        <v>0</v>
      </c>
      <c r="AH44" s="35">
        <f>+GETPIVOTDATA("XCB4",'cubi (2016)'!$A$3,"MA_HT","ONT","MA_QH","DGD")</f>
        <v>0</v>
      </c>
      <c r="AI44" s="35">
        <f>+GETPIVOTDATA("XCB4",'cubi (2016)'!$A$3,"MA_HT","ONT","MA_QH","DTT")</f>
        <v>0</v>
      </c>
      <c r="AJ44" s="35">
        <f>+GETPIVOTDATA("XCB4",'cubi (2016)'!$A$3,"MA_HT","ONT","MA_QH","NCK")</f>
        <v>0</v>
      </c>
      <c r="AK44" s="35">
        <f>+GETPIVOTDATA("XCB4",'cubi (2016)'!$A$3,"MA_HT","ONT","MA_QH","DXH")</f>
        <v>0</v>
      </c>
      <c r="AL44" s="35">
        <f>+GETPIVOTDATA("XCB4",'cubi (2016)'!$A$3,"MA_HT","ONT","MA_QH","DCH")</f>
        <v>0</v>
      </c>
      <c r="AM44" s="35">
        <f>+GETPIVOTDATA("XCB4",'cubi (2016)'!$A$3,"MA_HT","ONT","MA_QH","DKG")</f>
        <v>0</v>
      </c>
      <c r="AN44" s="35">
        <f>+GETPIVOTDATA("XCB4",'cubi (2016)'!$A$3,"MA_HT","ONT","MA_QH","DDT")</f>
        <v>0</v>
      </c>
      <c r="AO44" s="35">
        <f>+GETPIVOTDATA("XCB4",'cubi (2016)'!$A$3,"MA_HT","ONT","MA_QH","DDL")</f>
        <v>0</v>
      </c>
      <c r="AP44" s="35">
        <f>+GETPIVOTDATA("XCB4",'cubi (2016)'!$A$3,"MA_HT","ONT","MA_QH","DRA")</f>
        <v>0</v>
      </c>
      <c r="AQ44" s="99" t="e">
        <f>$D44-$BF44</f>
        <v>#REF!</v>
      </c>
      <c r="AR44" s="35">
        <f>+GETPIVOTDATA("XCB4",'cubi (2016)'!$A$3,"MA_HT","ONT","MA_QH","ODT")</f>
        <v>0</v>
      </c>
      <c r="AS44" s="35">
        <f>+GETPIVOTDATA("XCB4",'cubi (2016)'!$A$3,"MA_HT","ONT","MA_QH","TSC")</f>
        <v>0</v>
      </c>
      <c r="AT44" s="35">
        <f>+GETPIVOTDATA("XCB4",'cubi (2016)'!$A$3,"MA_HT","ONT","MA_QH","DTS")</f>
        <v>0</v>
      </c>
      <c r="AU44" s="35">
        <f>+GETPIVOTDATA("XCB4",'cubi (2016)'!$A$3,"MA_HT","ONT","MA_QH","DNG")</f>
        <v>0</v>
      </c>
      <c r="AV44" s="35">
        <f>+GETPIVOTDATA("XCB4",'cubi (2016)'!$A$3,"MA_HT","ONT","MA_QH","TON")</f>
        <v>0</v>
      </c>
      <c r="AW44" s="35">
        <f>+GETPIVOTDATA("XCB4",'cubi (2016)'!$A$3,"MA_HT","ONT","MA_QH","NTD")</f>
        <v>0</v>
      </c>
      <c r="AX44" s="35">
        <f>+GETPIVOTDATA("XCB4",'cubi (2016)'!$A$3,"MA_HT","ONT","MA_QH","SKX")</f>
        <v>0</v>
      </c>
      <c r="AY44" s="35">
        <f>+GETPIVOTDATA("XCB4",'cubi (2016)'!$A$3,"MA_HT","ONT","MA_QH","DSH")</f>
        <v>0</v>
      </c>
      <c r="AZ44" s="35">
        <f>+GETPIVOTDATA("XCB4",'cubi (2016)'!$A$3,"MA_HT","ONT","MA_QH","DKV")</f>
        <v>0</v>
      </c>
      <c r="BA44" s="140">
        <f>+GETPIVOTDATA("XCB4",'cubi (2016)'!$A$3,"MA_HT","ONT","MA_QH","TIN")</f>
        <v>0</v>
      </c>
      <c r="BB44" s="74">
        <f>+GETPIVOTDATA("XCB4",'cubi (2016)'!$A$3,"MA_HT","ONT","MA_QH","SON")</f>
        <v>0</v>
      </c>
      <c r="BC44" s="74">
        <f>+GETPIVOTDATA("XCB4",'cubi (2016)'!$A$3,"MA_HT","ONT","MA_QH","MNC")</f>
        <v>0</v>
      </c>
      <c r="BD44" s="35">
        <f>+GETPIVOTDATA("XCB4",'cubi (2016)'!$A$3,"MA_HT","ONT","MA_QH","PNK")</f>
        <v>0</v>
      </c>
      <c r="BE44" s="58">
        <f>+GETPIVOTDATA("XCB4",'cubi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+GETPIVOTDATA("XCB4",'cubi (2016)'!$A$3,"MA_HT","ODT","MA_QH","LUC")</f>
        <v>0</v>
      </c>
      <c r="H45" s="111">
        <f>+GETPIVOTDATA("XCB4",'cubi (2016)'!$A$3,"MA_HT","ODT","MA_QH","LUK")</f>
        <v>0</v>
      </c>
      <c r="I45" s="111">
        <f>+GETPIVOTDATA("XCB4",'cubi (2016)'!$A$3,"MA_HT","ODT","MA_QH","LUN")</f>
        <v>0</v>
      </c>
      <c r="J45" s="111">
        <f>+GETPIVOTDATA("XCB4",'cubi (2016)'!$A$3,"MA_HT","ODT","MA_QH","HNK")</f>
        <v>0</v>
      </c>
      <c r="K45" s="111">
        <f>+GETPIVOTDATA("XCB4",'cubi (2016)'!$A$3,"MA_HT","ODT","MA_QH","CLN")</f>
        <v>0</v>
      </c>
      <c r="L45" s="111">
        <f>+GETPIVOTDATA("XCB4",'cubi (2016)'!$A$3,"MA_HT","ODT","MA_QH","RSX")</f>
        <v>0</v>
      </c>
      <c r="M45" s="111">
        <f>+GETPIVOTDATA("XCB4",'cubi (2016)'!$A$3,"MA_HT","ODT","MA_QH","RPH")</f>
        <v>0</v>
      </c>
      <c r="N45" s="111">
        <f>+GETPIVOTDATA("XCB4",'cubi (2016)'!$A$3,"MA_HT","ODT","MA_QH","RDD")</f>
        <v>0</v>
      </c>
      <c r="O45" s="111">
        <f>+GETPIVOTDATA("XCB4",'cubi (2016)'!$A$3,"MA_HT","ODT","MA_QH","NTS")</f>
        <v>0</v>
      </c>
      <c r="P45" s="111">
        <f>+GETPIVOTDATA("XCB4",'cubi (2016)'!$A$3,"MA_HT","ODT","MA_QH","LMU")</f>
        <v>0</v>
      </c>
      <c r="Q45" s="111">
        <f>+GETPIVOTDATA("XCB4",'cubi (2016)'!$A$3,"MA_HT","ODT","MA_QH","NKH")</f>
        <v>0</v>
      </c>
      <c r="R45" s="106">
        <f>SUM(S45:AA45,AN45:AQ45,AS45:BD45)</f>
        <v>0</v>
      </c>
      <c r="S45" s="111">
        <f>+GETPIVOTDATA("XCB4",'cubi (2016)'!$A$3,"MA_HT","ODT","MA_QH","CQP")</f>
        <v>0</v>
      </c>
      <c r="T45" s="111">
        <f>+GETPIVOTDATA("XCB4",'cubi (2016)'!$A$3,"MA_HT","ODT","MA_QH","CAN")</f>
        <v>0</v>
      </c>
      <c r="U45" s="111">
        <f>+GETPIVOTDATA("XCB4",'cubi (2016)'!$A$3,"MA_HT","ODT","MA_QH","SKK")</f>
        <v>0</v>
      </c>
      <c r="V45" s="111">
        <f>+GETPIVOTDATA("XCB4",'cubi (2016)'!$A$3,"MA_HT","ODT","MA_QH","SKT")</f>
        <v>0</v>
      </c>
      <c r="W45" s="111">
        <f>+GETPIVOTDATA("XCB4",'cubi (2016)'!$A$3,"MA_HT","ODT","MA_QH","SKN")</f>
        <v>0</v>
      </c>
      <c r="X45" s="111">
        <f>+GETPIVOTDATA("XCB4",'cubi (2016)'!$A$3,"MA_HT","ODT","MA_QH","TMD")</f>
        <v>0</v>
      </c>
      <c r="Y45" s="111">
        <f>+GETPIVOTDATA("XCB4",'cubi (2016)'!$A$3,"MA_HT","ODT","MA_QH","SKC")</f>
        <v>0</v>
      </c>
      <c r="Z45" s="111">
        <f>+GETPIVOTDATA("XCB4",'cubi (2016)'!$A$3,"MA_HT","ODT","MA_QH","SKS")</f>
        <v>0</v>
      </c>
      <c r="AA45" s="104">
        <f t="shared" si="21"/>
        <v>0</v>
      </c>
      <c r="AB45" s="111">
        <f>+GETPIVOTDATA("XCB4",'cubi (2016)'!$A$3,"MA_HT","ODT","MA_QH","DGT")</f>
        <v>0</v>
      </c>
      <c r="AC45" s="111">
        <f>+GETPIVOTDATA("XCB4",'cubi (2016)'!$A$3,"MA_HT","ODT","MA_QH","DTL")</f>
        <v>0</v>
      </c>
      <c r="AD45" s="111">
        <f>+GETPIVOTDATA("XCB4",'cubi (2016)'!$A$3,"MA_HT","ODT","MA_QH","DNL")</f>
        <v>0</v>
      </c>
      <c r="AE45" s="111">
        <f>+GETPIVOTDATA("XCB4",'cubi (2016)'!$A$3,"MA_HT","ODT","MA_QH","DBV")</f>
        <v>0</v>
      </c>
      <c r="AF45" s="111">
        <f>+GETPIVOTDATA("XCB4",'cubi (2016)'!$A$3,"MA_HT","ODT","MA_QH","DVH")</f>
        <v>0</v>
      </c>
      <c r="AG45" s="111">
        <f>+GETPIVOTDATA("XCB4",'cubi (2016)'!$A$3,"MA_HT","ODT","MA_QH","DYT")</f>
        <v>0</v>
      </c>
      <c r="AH45" s="111">
        <f>+GETPIVOTDATA("XCB4",'cubi (2016)'!$A$3,"MA_HT","ODT","MA_QH","DGD")</f>
        <v>0</v>
      </c>
      <c r="AI45" s="111">
        <f>+GETPIVOTDATA("XCB4",'cubi (2016)'!$A$3,"MA_HT","ODT","MA_QH","DTT")</f>
        <v>0</v>
      </c>
      <c r="AJ45" s="111">
        <f>+GETPIVOTDATA("XCB4",'cubi (2016)'!$A$3,"MA_HT","ODT","MA_QH","NCK")</f>
        <v>0</v>
      </c>
      <c r="AK45" s="111">
        <f>+GETPIVOTDATA("XCB4",'cubi (2016)'!$A$3,"MA_HT","ODT","MA_QH","DXH")</f>
        <v>0</v>
      </c>
      <c r="AL45" s="111">
        <f>+GETPIVOTDATA("XCB4",'cubi (2016)'!$A$3,"MA_HT","ODT","MA_QH","DCH")</f>
        <v>0</v>
      </c>
      <c r="AM45" s="111">
        <f>+GETPIVOTDATA("XCB4",'cubi (2016)'!$A$3,"MA_HT","ODT","MA_QH","DKG")</f>
        <v>0</v>
      </c>
      <c r="AN45" s="111">
        <f>+GETPIVOTDATA("XCB4",'cubi (2016)'!$A$3,"MA_HT","ODT","MA_QH","DDT")</f>
        <v>0</v>
      </c>
      <c r="AO45" s="111">
        <f>+GETPIVOTDATA("XCB4",'cubi (2016)'!$A$3,"MA_HT","ODT","MA_QH","DDL")</f>
        <v>0</v>
      </c>
      <c r="AP45" s="111">
        <f>+GETPIVOTDATA("XCB4",'cubi (2016)'!$A$3,"MA_HT","ODT","MA_QH","DRA")</f>
        <v>0</v>
      </c>
      <c r="AQ45" s="111">
        <f>+GETPIVOTDATA("XCB4",'cubi (2016)'!$A$3,"MA_HT","ODT","MA_QH","ONT")</f>
        <v>0</v>
      </c>
      <c r="AR45" s="112" t="e">
        <f>$D45-$BF45</f>
        <v>#REF!</v>
      </c>
      <c r="AS45" s="111">
        <f>+GETPIVOTDATA("XCB4",'cubi (2016)'!$A$3,"MA_HT","ODT","MA_QH","TSC")</f>
        <v>0</v>
      </c>
      <c r="AT45" s="111">
        <f>+GETPIVOTDATA("XCB4",'cubi (2016)'!$A$3,"MA_HT","ODT","MA_QH","DTS")</f>
        <v>0</v>
      </c>
      <c r="AU45" s="111">
        <f>+GETPIVOTDATA("XCB4",'cubi (2016)'!$A$3,"MA_HT","ODT","MA_QH","DNG")</f>
        <v>0</v>
      </c>
      <c r="AV45" s="111">
        <f>+GETPIVOTDATA("XCB4",'cubi (2016)'!$A$3,"MA_HT","ODT","MA_QH","TON")</f>
        <v>0</v>
      </c>
      <c r="AW45" s="111">
        <f>+GETPIVOTDATA("XCB4",'cubi (2016)'!$A$3,"MA_HT","ODT","MA_QH","NTD")</f>
        <v>0</v>
      </c>
      <c r="AX45" s="111">
        <f>+GETPIVOTDATA("XCB4",'cubi (2016)'!$A$3,"MA_HT","ODT","MA_QH","SKX")</f>
        <v>0</v>
      </c>
      <c r="AY45" s="111">
        <f>+GETPIVOTDATA("XCB4",'cubi (2016)'!$A$3,"MA_HT","ODT","MA_QH","DSH")</f>
        <v>0</v>
      </c>
      <c r="AZ45" s="111">
        <f>+GETPIVOTDATA("XCB4",'cubi (2016)'!$A$3,"MA_HT","ODT","MA_QH","DKV")</f>
        <v>0</v>
      </c>
      <c r="BA45" s="142">
        <f>+GETPIVOTDATA("XCB4",'cubi (2016)'!$A$3,"MA_HT","ODT","MA_QH","TIN")</f>
        <v>0</v>
      </c>
      <c r="BB45" s="105">
        <f>+GETPIVOTDATA("XCB4",'cubi (2016)'!$A$3,"MA_HT","ODT","MA_QH","SON")</f>
        <v>0</v>
      </c>
      <c r="BC45" s="105">
        <f>+GETPIVOTDATA("XCB4",'cubi (2016)'!$A$3,"MA_HT","ODT","MA_QH","MNC")</f>
        <v>0</v>
      </c>
      <c r="BD45" s="111">
        <f>+GETPIVOTDATA("XCB4",'cubi (2016)'!$A$3,"MA_HT","ODT","MA_QH","PNK")</f>
        <v>0</v>
      </c>
      <c r="BE45" s="113">
        <f>+GETPIVOTDATA("XCB4",'cubi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+GETPIVOTDATA("XCB4",'cubi (2016)'!$A$3,"MA_HT","TSC","MA_QH","LUC")</f>
        <v>0</v>
      </c>
      <c r="H46" s="35">
        <f>+GETPIVOTDATA("XCB4",'cubi (2016)'!$A$3,"MA_HT","TSC","MA_QH","LUK")</f>
        <v>0</v>
      </c>
      <c r="I46" s="35">
        <f>+GETPIVOTDATA("XCB4",'cubi (2016)'!$A$3,"MA_HT","TSC","MA_QH","LUN")</f>
        <v>0</v>
      </c>
      <c r="J46" s="35">
        <f>+GETPIVOTDATA("XCB4",'cubi (2016)'!$A$3,"MA_HT","TSC","MA_QH","HNK")</f>
        <v>0</v>
      </c>
      <c r="K46" s="35">
        <f>+GETPIVOTDATA("XCB4",'cubi (2016)'!$A$3,"MA_HT","TSC","MA_QH","CLN")</f>
        <v>0</v>
      </c>
      <c r="L46" s="35">
        <f>+GETPIVOTDATA("XCB4",'cubi (2016)'!$A$3,"MA_HT","TSC","MA_QH","RSX")</f>
        <v>0</v>
      </c>
      <c r="M46" s="35">
        <f>+GETPIVOTDATA("XCB4",'cubi (2016)'!$A$3,"MA_HT","TSC","MA_QH","RPH")</f>
        <v>0</v>
      </c>
      <c r="N46" s="35">
        <f>+GETPIVOTDATA("XCB4",'cubi (2016)'!$A$3,"MA_HT","TSC","MA_QH","RDD")</f>
        <v>0</v>
      </c>
      <c r="O46" s="35">
        <f>+GETPIVOTDATA("XCB4",'cubi (2016)'!$A$3,"MA_HT","TSC","MA_QH","NTS")</f>
        <v>0</v>
      </c>
      <c r="P46" s="35">
        <f>+GETPIVOTDATA("XCB4",'cubi (2016)'!$A$3,"MA_HT","TSC","MA_QH","LMU")</f>
        <v>0</v>
      </c>
      <c r="Q46" s="35">
        <f>+GETPIVOTDATA("XCB4",'cubi (2016)'!$A$3,"MA_HT","TSC","MA_QH","NKH")</f>
        <v>0</v>
      </c>
      <c r="R46" s="72">
        <f>SUM(S46:AA46,AN46:AR46,AT46:BD46)</f>
        <v>0</v>
      </c>
      <c r="S46" s="35">
        <f>+GETPIVOTDATA("XCB4",'cubi (2016)'!$A$3,"MA_HT","TSC","MA_QH","CQP")</f>
        <v>0</v>
      </c>
      <c r="T46" s="35">
        <f>+GETPIVOTDATA("XCB4",'cubi (2016)'!$A$3,"MA_HT","TSC","MA_QH","CAN")</f>
        <v>0</v>
      </c>
      <c r="U46" s="35">
        <f>+GETPIVOTDATA("XCB4",'cubi (2016)'!$A$3,"MA_HT","TSC","MA_QH","SKK")</f>
        <v>0</v>
      </c>
      <c r="V46" s="35">
        <f>+GETPIVOTDATA("XCB4",'cubi (2016)'!$A$3,"MA_HT","TSC","MA_QH","SKT")</f>
        <v>0</v>
      </c>
      <c r="W46" s="35">
        <f>+GETPIVOTDATA("XCB4",'cubi (2016)'!$A$3,"MA_HT","TSC","MA_QH","SKN")</f>
        <v>0</v>
      </c>
      <c r="X46" s="35">
        <f>+GETPIVOTDATA("XCB4",'cubi (2016)'!$A$3,"MA_HT","TSC","MA_QH","TMD")</f>
        <v>0</v>
      </c>
      <c r="Y46" s="35">
        <f>+GETPIVOTDATA("XCB4",'cubi (2016)'!$A$3,"MA_HT","TSC","MA_QH","SKC")</f>
        <v>0</v>
      </c>
      <c r="Z46" s="35">
        <f>+GETPIVOTDATA("XCB4",'cubi (2016)'!$A$3,"MA_HT","TSC","MA_QH","SKS")</f>
        <v>0</v>
      </c>
      <c r="AA46" s="64">
        <f t="shared" si="21"/>
        <v>0</v>
      </c>
      <c r="AB46" s="35">
        <f>+GETPIVOTDATA("XCB4",'cubi (2016)'!$A$3,"MA_HT","TSC","MA_QH","DGT")</f>
        <v>0</v>
      </c>
      <c r="AC46" s="35">
        <f>+GETPIVOTDATA("XCB4",'cubi (2016)'!$A$3,"MA_HT","TSC","MA_QH","DTL")</f>
        <v>0</v>
      </c>
      <c r="AD46" s="35">
        <f>+GETPIVOTDATA("XCB4",'cubi (2016)'!$A$3,"MA_HT","TSC","MA_QH","DNL")</f>
        <v>0</v>
      </c>
      <c r="AE46" s="35">
        <f>+GETPIVOTDATA("XCB4",'cubi (2016)'!$A$3,"MA_HT","TSC","MA_QH","DBV")</f>
        <v>0</v>
      </c>
      <c r="AF46" s="35">
        <f>+GETPIVOTDATA("XCB4",'cubi (2016)'!$A$3,"MA_HT","TSC","MA_QH","DVH")</f>
        <v>0</v>
      </c>
      <c r="AG46" s="35">
        <f>+GETPIVOTDATA("XCB4",'cubi (2016)'!$A$3,"MA_HT","TSC","MA_QH","DYT")</f>
        <v>0</v>
      </c>
      <c r="AH46" s="35">
        <f>+GETPIVOTDATA("XCB4",'cubi (2016)'!$A$3,"MA_HT","TSC","MA_QH","DGD")</f>
        <v>0</v>
      </c>
      <c r="AI46" s="35">
        <f>+GETPIVOTDATA("XCB4",'cubi (2016)'!$A$3,"MA_HT","TSC","MA_QH","DTT")</f>
        <v>0</v>
      </c>
      <c r="AJ46" s="35">
        <f>+GETPIVOTDATA("XCB4",'cubi (2016)'!$A$3,"MA_HT","TSC","MA_QH","NCK")</f>
        <v>0</v>
      </c>
      <c r="AK46" s="35">
        <f>+GETPIVOTDATA("XCB4",'cubi (2016)'!$A$3,"MA_HT","TSC","MA_QH","DXH")</f>
        <v>0</v>
      </c>
      <c r="AL46" s="35">
        <f>+GETPIVOTDATA("XCB4",'cubi (2016)'!$A$3,"MA_HT","TSC","MA_QH","DCH")</f>
        <v>0</v>
      </c>
      <c r="AM46" s="35">
        <f>+GETPIVOTDATA("XCB4",'cubi (2016)'!$A$3,"MA_HT","TSC","MA_QH","DKG")</f>
        <v>0</v>
      </c>
      <c r="AN46" s="35">
        <f>+GETPIVOTDATA("XCB4",'cubi (2016)'!$A$3,"MA_HT","TSC","MA_QH","DDT")</f>
        <v>0</v>
      </c>
      <c r="AO46" s="35">
        <f>+GETPIVOTDATA("XCB4",'cubi (2016)'!$A$3,"MA_HT","TSC","MA_QH","DDL")</f>
        <v>0</v>
      </c>
      <c r="AP46" s="35">
        <f>+GETPIVOTDATA("XCB4",'cubi (2016)'!$A$3,"MA_HT","TSC","MA_QH","DRA")</f>
        <v>0</v>
      </c>
      <c r="AQ46" s="35">
        <f>+GETPIVOTDATA("XCB4",'cubi (2016)'!$A$3,"MA_HT","TSC","MA_QH","ONT")</f>
        <v>0</v>
      </c>
      <c r="AR46" s="35">
        <f>+GETPIVOTDATA("XCB4",'cubi (2016)'!$A$3,"MA_HT","TSC","MA_QH","ODT")</f>
        <v>0</v>
      </c>
      <c r="AS46" s="99" t="e">
        <f>$D46-$BF46</f>
        <v>#REF!</v>
      </c>
      <c r="AT46" s="35">
        <f>+GETPIVOTDATA("XCB4",'cubi (2016)'!$A$3,"MA_HT","TSC","MA_QH","DTS")</f>
        <v>0</v>
      </c>
      <c r="AU46" s="35">
        <f>+GETPIVOTDATA("XCB4",'cubi (2016)'!$A$3,"MA_HT","TSC","MA_QH","DNG")</f>
        <v>0</v>
      </c>
      <c r="AV46" s="35">
        <f>+GETPIVOTDATA("XCB4",'cubi (2016)'!$A$3,"MA_HT","TSC","MA_QH","TON")</f>
        <v>0</v>
      </c>
      <c r="AW46" s="35">
        <f>+GETPIVOTDATA("XCB4",'cubi (2016)'!$A$3,"MA_HT","TSC","MA_QH","NTD")</f>
        <v>0</v>
      </c>
      <c r="AX46" s="35">
        <f>+GETPIVOTDATA("XCB4",'cubi (2016)'!$A$3,"MA_HT","TSC","MA_QH","SKX")</f>
        <v>0</v>
      </c>
      <c r="AY46" s="35">
        <f>+GETPIVOTDATA("XCB4",'cubi (2016)'!$A$3,"MA_HT","TSC","MA_QH","DSH")</f>
        <v>0</v>
      </c>
      <c r="AZ46" s="35">
        <f>+GETPIVOTDATA("XCB4",'cubi (2016)'!$A$3,"MA_HT","TSC","MA_QH","DKV")</f>
        <v>0</v>
      </c>
      <c r="BA46" s="140">
        <f>+GETPIVOTDATA("XCB4",'cubi (2016)'!$A$3,"MA_HT","TSC","MA_QH","TIN")</f>
        <v>0</v>
      </c>
      <c r="BB46" s="74">
        <f>+GETPIVOTDATA("XCB4",'cubi (2016)'!$A$3,"MA_HT","TSC","MA_QH","SON")</f>
        <v>0</v>
      </c>
      <c r="BC46" s="74">
        <f>+GETPIVOTDATA("XCB4",'cubi (2016)'!$A$3,"MA_HT","TSC","MA_QH","MNC")</f>
        <v>0</v>
      </c>
      <c r="BD46" s="35">
        <f>+GETPIVOTDATA("XCB4",'cubi (2016)'!$A$3,"MA_HT","TSC","MA_QH","PNK")</f>
        <v>0</v>
      </c>
      <c r="BE46" s="58">
        <f>+GETPIVOTDATA("XCB4",'cubi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+GETPIVOTDATA("XCB4",'cubi (2016)'!$A$3,"MA_HT","DTS","MA_QH","LUC")</f>
        <v>0</v>
      </c>
      <c r="H47" s="122">
        <f>+GETPIVOTDATA("XCB4",'cubi (2016)'!$A$3,"MA_HT","DTS","MA_QH","LUK")</f>
        <v>0</v>
      </c>
      <c r="I47" s="122">
        <f>+GETPIVOTDATA("XCB4",'cubi (2016)'!$A$3,"MA_HT","DTS","MA_QH","LUN")</f>
        <v>0</v>
      </c>
      <c r="J47" s="122">
        <f>+GETPIVOTDATA("XCB4",'cubi (2016)'!$A$3,"MA_HT","DTS","MA_QH","HNK")</f>
        <v>0</v>
      </c>
      <c r="K47" s="122">
        <f>+GETPIVOTDATA("XCB4",'cubi (2016)'!$A$3,"MA_HT","DTS","MA_QH","CLN")</f>
        <v>0</v>
      </c>
      <c r="L47" s="122">
        <f>+GETPIVOTDATA("XCB4",'cubi (2016)'!$A$3,"MA_HT","DTS","MA_QH","RSX")</f>
        <v>0</v>
      </c>
      <c r="M47" s="122">
        <f>+GETPIVOTDATA("XCB4",'cubi (2016)'!$A$3,"MA_HT","DTS","MA_QH","RPH")</f>
        <v>0</v>
      </c>
      <c r="N47" s="122">
        <f>+GETPIVOTDATA("XCB4",'cubi (2016)'!$A$3,"MA_HT","DTS","MA_QH","RDD")</f>
        <v>0</v>
      </c>
      <c r="O47" s="122">
        <f>+GETPIVOTDATA("XCB4",'cubi (2016)'!$A$3,"MA_HT","DTS","MA_QH","NTS")</f>
        <v>0</v>
      </c>
      <c r="P47" s="122">
        <f>+GETPIVOTDATA("XCB4",'cubi (2016)'!$A$3,"MA_HT","DTS","MA_QH","LMU")</f>
        <v>0</v>
      </c>
      <c r="Q47" s="122">
        <f>+GETPIVOTDATA("XCB4",'cubi (2016)'!$A$3,"MA_HT","DTS","MA_QH","NKH")</f>
        <v>0</v>
      </c>
      <c r="R47" s="123">
        <f>SUM(S47:AA47,AN47:AS47,AU47:BD47)</f>
        <v>0</v>
      </c>
      <c r="S47" s="122">
        <f>+GETPIVOTDATA("XCB4",'cubi (2016)'!$A$3,"MA_HT","DTS","MA_QH","CQP")</f>
        <v>0</v>
      </c>
      <c r="T47" s="122">
        <f>+GETPIVOTDATA("XCB4",'cubi (2016)'!$A$3,"MA_HT","DTS","MA_QH","CAN")</f>
        <v>0</v>
      </c>
      <c r="U47" s="122">
        <f>+GETPIVOTDATA("XCB4",'cubi (2016)'!$A$3,"MA_HT","DTS","MA_QH","SKK")</f>
        <v>0</v>
      </c>
      <c r="V47" s="122">
        <f>+GETPIVOTDATA("XCB4",'cubi (2016)'!$A$3,"MA_HT","DTS","MA_QH","SKT")</f>
        <v>0</v>
      </c>
      <c r="W47" s="122">
        <f>+GETPIVOTDATA("XCB4",'cubi (2016)'!$A$3,"MA_HT","DTS","MA_QH","SKN")</f>
        <v>0</v>
      </c>
      <c r="X47" s="122">
        <f>+GETPIVOTDATA("XCB4",'cubi (2016)'!$A$3,"MA_HT","DTS","MA_QH","TMD")</f>
        <v>0</v>
      </c>
      <c r="Y47" s="122">
        <f>+GETPIVOTDATA("XCB4",'cubi (2016)'!$A$3,"MA_HT","DTS","MA_QH","SKC")</f>
        <v>0</v>
      </c>
      <c r="Z47" s="122">
        <f>+GETPIVOTDATA("XCB4",'cubi (2016)'!$A$3,"MA_HT","DTS","MA_QH","SKS")</f>
        <v>0</v>
      </c>
      <c r="AA47" s="121">
        <f t="shared" si="21"/>
        <v>0</v>
      </c>
      <c r="AB47" s="122">
        <f>+GETPIVOTDATA("XCB4",'cubi (2016)'!$A$3,"MA_HT","DTS","MA_QH","DGT")</f>
        <v>0</v>
      </c>
      <c r="AC47" s="122">
        <f>+GETPIVOTDATA("XCB4",'cubi (2016)'!$A$3,"MA_HT","DTS","MA_QH","DTL")</f>
        <v>0</v>
      </c>
      <c r="AD47" s="122">
        <f>+GETPIVOTDATA("XCB4",'cubi (2016)'!$A$3,"MA_HT","DTS","MA_QH","DNL")</f>
        <v>0</v>
      </c>
      <c r="AE47" s="122">
        <f>+GETPIVOTDATA("XCB4",'cubi (2016)'!$A$3,"MA_HT","DTS","MA_QH","DBV")</f>
        <v>0</v>
      </c>
      <c r="AF47" s="122">
        <f>+GETPIVOTDATA("XCB4",'cubi (2016)'!$A$3,"MA_HT","DTS","MA_QH","DVH")</f>
        <v>0</v>
      </c>
      <c r="AG47" s="122">
        <f>+GETPIVOTDATA("XCB4",'cubi (2016)'!$A$3,"MA_HT","DTS","MA_QH","DYT")</f>
        <v>0</v>
      </c>
      <c r="AH47" s="122">
        <f>+GETPIVOTDATA("XCB4",'cubi (2016)'!$A$3,"MA_HT","DTS","MA_QH","DGD")</f>
        <v>0</v>
      </c>
      <c r="AI47" s="122">
        <f>+GETPIVOTDATA("XCB4",'cubi (2016)'!$A$3,"MA_HT","DTS","MA_QH","DTT")</f>
        <v>0</v>
      </c>
      <c r="AJ47" s="122">
        <f>+GETPIVOTDATA("XCB4",'cubi (2016)'!$A$3,"MA_HT","DTS","MA_QH","NCK")</f>
        <v>0</v>
      </c>
      <c r="AK47" s="122">
        <f>+GETPIVOTDATA("XCB4",'cubi (2016)'!$A$3,"MA_HT","DTS","MA_QH","DXH")</f>
        <v>0</v>
      </c>
      <c r="AL47" s="122">
        <f>+GETPIVOTDATA("XCB4",'cubi (2016)'!$A$3,"MA_HT","DTS","MA_QH","DCH")</f>
        <v>0</v>
      </c>
      <c r="AM47" s="122">
        <f>+GETPIVOTDATA("XCB4",'cubi (2016)'!$A$3,"MA_HT","DTS","MA_QH","DKG")</f>
        <v>0</v>
      </c>
      <c r="AN47" s="122">
        <f>+GETPIVOTDATA("XCB4",'cubi (2016)'!$A$3,"MA_HT","DTS","MA_QH","DDT")</f>
        <v>0</v>
      </c>
      <c r="AO47" s="122">
        <f>+GETPIVOTDATA("XCB4",'cubi (2016)'!$A$3,"MA_HT","DTS","MA_QH","DDL")</f>
        <v>0</v>
      </c>
      <c r="AP47" s="122">
        <f>+GETPIVOTDATA("XCB4",'cubi (2016)'!$A$3,"MA_HT","DTS","MA_QH","DRA")</f>
        <v>0</v>
      </c>
      <c r="AQ47" s="122">
        <f>+GETPIVOTDATA("XCB4",'cubi (2016)'!$A$3,"MA_HT","DTS","MA_QH","ONT")</f>
        <v>0</v>
      </c>
      <c r="AR47" s="122">
        <f>+GETPIVOTDATA("XCB4",'cubi (2016)'!$A$3,"MA_HT","DTS","MA_QH","ODT")</f>
        <v>0</v>
      </c>
      <c r="AS47" s="122">
        <f>+GETPIVOTDATA("XCB4",'cubi (2016)'!$A$3,"MA_HT","DTS","MA_QH","TSC")</f>
        <v>0</v>
      </c>
      <c r="AT47" s="124" t="e">
        <f>$D47-$BF47</f>
        <v>#REF!</v>
      </c>
      <c r="AU47" s="122">
        <f>+GETPIVOTDATA("XCB4",'cubi (2016)'!$A$3,"MA_HT","DTS","MA_QH","DNG")</f>
        <v>0</v>
      </c>
      <c r="AV47" s="122">
        <f>+GETPIVOTDATA("XCB4",'cubi (2016)'!$A$3,"MA_HT","DTS","MA_QH","TON")</f>
        <v>0</v>
      </c>
      <c r="AW47" s="122">
        <f>+GETPIVOTDATA("XCB4",'cubi (2016)'!$A$3,"MA_HT","DTS","MA_QH","NTD")</f>
        <v>0</v>
      </c>
      <c r="AX47" s="122">
        <f>+GETPIVOTDATA("XCB4",'cubi (2016)'!$A$3,"MA_HT","DTS","MA_QH","SKX")</f>
        <v>0</v>
      </c>
      <c r="AY47" s="122">
        <f>+GETPIVOTDATA("XCB4",'cubi (2016)'!$A$3,"MA_HT","DTS","MA_QH","DSH")</f>
        <v>0</v>
      </c>
      <c r="AZ47" s="122">
        <f>+GETPIVOTDATA("XCB4",'cubi (2016)'!$A$3,"MA_HT","DTS","MA_QH","DKV")</f>
        <v>0</v>
      </c>
      <c r="BA47" s="141">
        <f>+GETPIVOTDATA("XCB4",'cubi (2016)'!$A$3,"MA_HT","DTS","MA_QH","TIN")</f>
        <v>0</v>
      </c>
      <c r="BB47" s="125">
        <f>+GETPIVOTDATA("XCB4",'cubi (2016)'!$A$3,"MA_HT","DTS","MA_QH","SON")</f>
        <v>0</v>
      </c>
      <c r="BC47" s="125">
        <f>+GETPIVOTDATA("XCB4",'cubi (2016)'!$A$3,"MA_HT","DTS","MA_QH","MNC")</f>
        <v>0</v>
      </c>
      <c r="BD47" s="122">
        <f>+GETPIVOTDATA("XCB4",'cubi (2016)'!$A$3,"MA_HT","DTS","MA_QH","PNK")</f>
        <v>0</v>
      </c>
      <c r="BE47" s="126">
        <f>+GETPIVOTDATA("XCB4",'cubi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+GETPIVOTDATA("XCB4",'cubi (2016)'!$A$3,"MA_HT","DNG","MA_QH","LUC")</f>
        <v>0</v>
      </c>
      <c r="H48" s="35">
        <f>+GETPIVOTDATA("XCB4",'cubi (2016)'!$A$3,"MA_HT","DNG","MA_QH","LUK")</f>
        <v>0</v>
      </c>
      <c r="I48" s="35">
        <f>+GETPIVOTDATA("XCB4",'cubi (2016)'!$A$3,"MA_HT","DNG","MA_QH","LUN")</f>
        <v>0</v>
      </c>
      <c r="J48" s="35">
        <f>+GETPIVOTDATA("XCB4",'cubi (2016)'!$A$3,"MA_HT","DNG","MA_QH","HNK")</f>
        <v>0</v>
      </c>
      <c r="K48" s="35">
        <f>+GETPIVOTDATA("XCB4",'cubi (2016)'!$A$3,"MA_HT","DNG","MA_QH","CLN")</f>
        <v>0</v>
      </c>
      <c r="L48" s="35">
        <f>+GETPIVOTDATA("XCB4",'cubi (2016)'!$A$3,"MA_HT","DNG","MA_QH","RSX")</f>
        <v>0</v>
      </c>
      <c r="M48" s="35">
        <f>+GETPIVOTDATA("XCB4",'cubi (2016)'!$A$3,"MA_HT","DNG","MA_QH","RPH")</f>
        <v>0</v>
      </c>
      <c r="N48" s="35">
        <f>+GETPIVOTDATA("XCB4",'cubi (2016)'!$A$3,"MA_HT","DNG","MA_QH","RDD")</f>
        <v>0</v>
      </c>
      <c r="O48" s="35">
        <f>+GETPIVOTDATA("XCB4",'cubi (2016)'!$A$3,"MA_HT","DNG","MA_QH","NTS")</f>
        <v>0</v>
      </c>
      <c r="P48" s="35">
        <f>+GETPIVOTDATA("XCB4",'cubi (2016)'!$A$3,"MA_HT","DNG","MA_QH","LMU")</f>
        <v>0</v>
      </c>
      <c r="Q48" s="35">
        <f>+GETPIVOTDATA("XCB4",'cubi (2016)'!$A$3,"MA_HT","DNG","MA_QH","NKH")</f>
        <v>0</v>
      </c>
      <c r="R48" s="106">
        <f>SUM(S48:AA48,AN48:AT48,AV48:BD48)</f>
        <v>0</v>
      </c>
      <c r="S48" s="35">
        <f>+GETPIVOTDATA("XCB4",'cubi (2016)'!$A$3,"MA_HT","DNG","MA_QH","CQP")</f>
        <v>0</v>
      </c>
      <c r="T48" s="35">
        <f>+GETPIVOTDATA("XCB4",'cubi (2016)'!$A$3,"MA_HT","DNG","MA_QH","CAN")</f>
        <v>0</v>
      </c>
      <c r="U48" s="35">
        <f>+GETPIVOTDATA("XCB4",'cubi (2016)'!$A$3,"MA_HT","DNG","MA_QH","SKK")</f>
        <v>0</v>
      </c>
      <c r="V48" s="35">
        <f>+GETPIVOTDATA("XCB4",'cubi (2016)'!$A$3,"MA_HT","DNG","MA_QH","SKT")</f>
        <v>0</v>
      </c>
      <c r="W48" s="35">
        <f>+GETPIVOTDATA("XCB4",'cubi (2016)'!$A$3,"MA_HT","DNG","MA_QH","SKN")</f>
        <v>0</v>
      </c>
      <c r="X48" s="35">
        <f>+GETPIVOTDATA("XCB4",'cubi (2016)'!$A$3,"MA_HT","DNG","MA_QH","TMD")</f>
        <v>0</v>
      </c>
      <c r="Y48" s="35">
        <f>+GETPIVOTDATA("XCB4",'cubi (2016)'!$A$3,"MA_HT","DNG","MA_QH","SKC")</f>
        <v>0</v>
      </c>
      <c r="Z48" s="35">
        <f>+GETPIVOTDATA("XCB4",'cubi (2016)'!$A$3,"MA_HT","DNG","MA_QH","SKS")</f>
        <v>0</v>
      </c>
      <c r="AA48" s="64">
        <f t="shared" si="21"/>
        <v>0</v>
      </c>
      <c r="AB48" s="35">
        <f>+GETPIVOTDATA("XCB4",'cubi (2016)'!$A$3,"MA_HT","DNG","MA_QH","DGT")</f>
        <v>0</v>
      </c>
      <c r="AC48" s="35">
        <f>+GETPIVOTDATA("XCB4",'cubi (2016)'!$A$3,"MA_HT","DNG","MA_QH","DTL")</f>
        <v>0</v>
      </c>
      <c r="AD48" s="35">
        <f>+GETPIVOTDATA("XCB4",'cubi (2016)'!$A$3,"MA_HT","DNG","MA_QH","DNL")</f>
        <v>0</v>
      </c>
      <c r="AE48" s="35">
        <f>+GETPIVOTDATA("XCB4",'cubi (2016)'!$A$3,"MA_HT","DNG","MA_QH","DBV")</f>
        <v>0</v>
      </c>
      <c r="AF48" s="35">
        <f>+GETPIVOTDATA("XCB4",'cubi (2016)'!$A$3,"MA_HT","DNG","MA_QH","DVH")</f>
        <v>0</v>
      </c>
      <c r="AG48" s="35">
        <f>+GETPIVOTDATA("XCB4",'cubi (2016)'!$A$3,"MA_HT","DNG","MA_QH","DYT")</f>
        <v>0</v>
      </c>
      <c r="AH48" s="35">
        <f>+GETPIVOTDATA("XCB4",'cubi (2016)'!$A$3,"MA_HT","DNG","MA_QH","DGD")</f>
        <v>0</v>
      </c>
      <c r="AI48" s="35">
        <f>+GETPIVOTDATA("XCB4",'cubi (2016)'!$A$3,"MA_HT","DNG","MA_QH","DTT")</f>
        <v>0</v>
      </c>
      <c r="AJ48" s="35">
        <f>+GETPIVOTDATA("XCB4",'cubi (2016)'!$A$3,"MA_HT","DNG","MA_QH","NCK")</f>
        <v>0</v>
      </c>
      <c r="AK48" s="35">
        <f>+GETPIVOTDATA("XCB4",'cubi (2016)'!$A$3,"MA_HT","DNG","MA_QH","DXH")</f>
        <v>0</v>
      </c>
      <c r="AL48" s="35">
        <f>+GETPIVOTDATA("XCB4",'cubi (2016)'!$A$3,"MA_HT","DNG","MA_QH","DCH")</f>
        <v>0</v>
      </c>
      <c r="AM48" s="35">
        <f>+GETPIVOTDATA("XCB4",'cubi (2016)'!$A$3,"MA_HT","DNG","MA_QH","DKG")</f>
        <v>0</v>
      </c>
      <c r="AN48" s="35">
        <f>+GETPIVOTDATA("XCB4",'cubi (2016)'!$A$3,"MA_HT","DNG","MA_QH","DDT")</f>
        <v>0</v>
      </c>
      <c r="AO48" s="35">
        <f>+GETPIVOTDATA("XCB4",'cubi (2016)'!$A$3,"MA_HT","DNG","MA_QH","DDL")</f>
        <v>0</v>
      </c>
      <c r="AP48" s="35">
        <f>+GETPIVOTDATA("XCB4",'cubi (2016)'!$A$3,"MA_HT","DNG","MA_QH","DRA")</f>
        <v>0</v>
      </c>
      <c r="AQ48" s="35">
        <f>+GETPIVOTDATA("XCB4",'cubi (2016)'!$A$3,"MA_HT","DNG","MA_QH","ONT")</f>
        <v>0</v>
      </c>
      <c r="AR48" s="35">
        <f>+GETPIVOTDATA("XCB4",'cubi (2016)'!$A$3,"MA_HT","DNG","MA_QH","ODT")</f>
        <v>0</v>
      </c>
      <c r="AS48" s="35">
        <f>+GETPIVOTDATA("XCB4",'cubi (2016)'!$A$3,"MA_HT","DNG","MA_QH","TSC")</f>
        <v>0</v>
      </c>
      <c r="AT48" s="35">
        <f>+GETPIVOTDATA("XCB4",'cubi (2016)'!$A$3,"MA_HT","DNG","MA_QH","DTS")</f>
        <v>0</v>
      </c>
      <c r="AU48" s="99" t="e">
        <f>$D48-$BF48</f>
        <v>#REF!</v>
      </c>
      <c r="AV48" s="35">
        <f>+GETPIVOTDATA("XCB4",'cubi (2016)'!$A$3,"MA_HT","DNG","MA_QH","TON")</f>
        <v>0</v>
      </c>
      <c r="AW48" s="35">
        <f>+GETPIVOTDATA("XCB4",'cubi (2016)'!$A$3,"MA_HT","DNG","MA_QH","NTD")</f>
        <v>0</v>
      </c>
      <c r="AX48" s="35">
        <f>+GETPIVOTDATA("XCB4",'cubi (2016)'!$A$3,"MA_HT","DNG","MA_QH","SKX")</f>
        <v>0</v>
      </c>
      <c r="AY48" s="35">
        <f>+GETPIVOTDATA("XCB4",'cubi (2016)'!$A$3,"MA_HT","DNG","MA_QH","DSH")</f>
        <v>0</v>
      </c>
      <c r="AZ48" s="35">
        <f>+GETPIVOTDATA("XCB4",'cubi (2016)'!$A$3,"MA_HT","DNG","MA_QH","DKV")</f>
        <v>0</v>
      </c>
      <c r="BA48" s="140">
        <f>+GETPIVOTDATA("XCB4",'cubi (2016)'!$A$3,"MA_HT","DNG","MA_QH","TIN")</f>
        <v>0</v>
      </c>
      <c r="BB48" s="74">
        <f>+GETPIVOTDATA("XCB4",'cubi (2016)'!$A$3,"MA_HT","DNG","MA_QH","SON")</f>
        <v>0</v>
      </c>
      <c r="BC48" s="74">
        <f>+GETPIVOTDATA("XCB4",'cubi (2016)'!$A$3,"MA_HT","DNG","MA_QH","MNC")</f>
        <v>0</v>
      </c>
      <c r="BD48" s="35">
        <f>+GETPIVOTDATA("XCB4",'cubi (2016)'!$A$3,"MA_HT","DNG","MA_QH","PNK")</f>
        <v>0</v>
      </c>
      <c r="BE48" s="58">
        <f>+GETPIVOTDATA("XCB4",'cubi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+GETPIVOTDATA("XCB4",'cubi (2016)'!$A$3,"MA_HT","TON","MA_QH","LUC")</f>
        <v>0</v>
      </c>
      <c r="H49" s="35">
        <f>+GETPIVOTDATA("XCB4",'cubi (2016)'!$A$3,"MA_HT","TON","MA_QH","LUK")</f>
        <v>0</v>
      </c>
      <c r="I49" s="35">
        <f>+GETPIVOTDATA("XCB4",'cubi (2016)'!$A$3,"MA_HT","TON","MA_QH","LUN")</f>
        <v>0</v>
      </c>
      <c r="J49" s="35">
        <f>+GETPIVOTDATA("XCB4",'cubi (2016)'!$A$3,"MA_HT","TON","MA_QH","HNK")</f>
        <v>0</v>
      </c>
      <c r="K49" s="35">
        <f>+GETPIVOTDATA("XCB4",'cubi (2016)'!$A$3,"MA_HT","TON","MA_QH","CLN")</f>
        <v>0</v>
      </c>
      <c r="L49" s="35">
        <f>+GETPIVOTDATA("XCB4",'cubi (2016)'!$A$3,"MA_HT","TON","MA_QH","RSX")</f>
        <v>0</v>
      </c>
      <c r="M49" s="35">
        <f>+GETPIVOTDATA("XCB4",'cubi (2016)'!$A$3,"MA_HT","TON","MA_QH","RPH")</f>
        <v>0</v>
      </c>
      <c r="N49" s="35">
        <f>+GETPIVOTDATA("XCB4",'cubi (2016)'!$A$3,"MA_HT","TON","MA_QH","RDD")</f>
        <v>0</v>
      </c>
      <c r="O49" s="35">
        <f>+GETPIVOTDATA("XCB4",'cubi (2016)'!$A$3,"MA_HT","TON","MA_QH","NTS")</f>
        <v>0</v>
      </c>
      <c r="P49" s="35">
        <f>+GETPIVOTDATA("XCB4",'cubi (2016)'!$A$3,"MA_HT","TON","MA_QH","LMU")</f>
        <v>0</v>
      </c>
      <c r="Q49" s="35">
        <f>+GETPIVOTDATA("XCB4",'cubi (2016)'!$A$3,"MA_HT","TON","MA_QH","NKH")</f>
        <v>0</v>
      </c>
      <c r="R49" s="106">
        <f>SUM(S49:AA49,AN49:AU49,AW49:BD49)</f>
        <v>0</v>
      </c>
      <c r="S49" s="35">
        <f>+GETPIVOTDATA("XCB4",'cubi (2016)'!$A$3,"MA_HT","TON","MA_QH","CQP")</f>
        <v>0</v>
      </c>
      <c r="T49" s="35">
        <f>+GETPIVOTDATA("XCB4",'cubi (2016)'!$A$3,"MA_HT","TON","MA_QH","CAN")</f>
        <v>0</v>
      </c>
      <c r="U49" s="35">
        <f>+GETPIVOTDATA("XCB4",'cubi (2016)'!$A$3,"MA_HT","TON","MA_QH","SKK")</f>
        <v>0</v>
      </c>
      <c r="V49" s="35">
        <f>+GETPIVOTDATA("XCB4",'cubi (2016)'!$A$3,"MA_HT","TON","MA_QH","SKT")</f>
        <v>0</v>
      </c>
      <c r="W49" s="35">
        <f>+GETPIVOTDATA("XCB4",'cubi (2016)'!$A$3,"MA_HT","TON","MA_QH","SKN")</f>
        <v>0</v>
      </c>
      <c r="X49" s="35">
        <f>+GETPIVOTDATA("XCB4",'cubi (2016)'!$A$3,"MA_HT","TON","MA_QH","TMD")</f>
        <v>0</v>
      </c>
      <c r="Y49" s="35">
        <f>+GETPIVOTDATA("XCB4",'cubi (2016)'!$A$3,"MA_HT","TON","MA_QH","SKC")</f>
        <v>0</v>
      </c>
      <c r="Z49" s="35">
        <f>+GETPIVOTDATA("XCB4",'cubi (2016)'!$A$3,"MA_HT","TON","MA_QH","SKS")</f>
        <v>0</v>
      </c>
      <c r="AA49" s="64">
        <f t="shared" si="21"/>
        <v>0</v>
      </c>
      <c r="AB49" s="35">
        <f>+GETPIVOTDATA("XCB4",'cubi (2016)'!$A$3,"MA_HT","TON","MA_QH","DGT")</f>
        <v>0</v>
      </c>
      <c r="AC49" s="35">
        <f>+GETPIVOTDATA("XCB4",'cubi (2016)'!$A$3,"MA_HT","TON","MA_QH","DTL")</f>
        <v>0</v>
      </c>
      <c r="AD49" s="35">
        <f>+GETPIVOTDATA("XCB4",'cubi (2016)'!$A$3,"MA_HT","TON","MA_QH","DNL")</f>
        <v>0</v>
      </c>
      <c r="AE49" s="35">
        <f>+GETPIVOTDATA("XCB4",'cubi (2016)'!$A$3,"MA_HT","TON","MA_QH","DBV")</f>
        <v>0</v>
      </c>
      <c r="AF49" s="35">
        <f>+GETPIVOTDATA("XCB4",'cubi (2016)'!$A$3,"MA_HT","TON","MA_QH","DVH")</f>
        <v>0</v>
      </c>
      <c r="AG49" s="35">
        <f>+GETPIVOTDATA("XCB4",'cubi (2016)'!$A$3,"MA_HT","TON","MA_QH","DYT")</f>
        <v>0</v>
      </c>
      <c r="AH49" s="35">
        <f>+GETPIVOTDATA("XCB4",'cubi (2016)'!$A$3,"MA_HT","TON","MA_QH","DGD")</f>
        <v>0</v>
      </c>
      <c r="AI49" s="35">
        <f>+GETPIVOTDATA("XCB4",'cubi (2016)'!$A$3,"MA_HT","TON","MA_QH","DTT")</f>
        <v>0</v>
      </c>
      <c r="AJ49" s="35">
        <f>+GETPIVOTDATA("XCB4",'cubi (2016)'!$A$3,"MA_HT","TON","MA_QH","NCK")</f>
        <v>0</v>
      </c>
      <c r="AK49" s="35">
        <f>+GETPIVOTDATA("XCB4",'cubi (2016)'!$A$3,"MA_HT","TON","MA_QH","DXH")</f>
        <v>0</v>
      </c>
      <c r="AL49" s="35">
        <f>+GETPIVOTDATA("XCB4",'cubi (2016)'!$A$3,"MA_HT","TON","MA_QH","DCH")</f>
        <v>0</v>
      </c>
      <c r="AM49" s="35">
        <f>+GETPIVOTDATA("XCB4",'cubi (2016)'!$A$3,"MA_HT","TON","MA_QH","DKG")</f>
        <v>0</v>
      </c>
      <c r="AN49" s="35">
        <f>+GETPIVOTDATA("XCB4",'cubi (2016)'!$A$3,"MA_HT","TON","MA_QH","DDT")</f>
        <v>0</v>
      </c>
      <c r="AO49" s="35">
        <f>+GETPIVOTDATA("XCB4",'cubi (2016)'!$A$3,"MA_HT","TON","MA_QH","DDL")</f>
        <v>0</v>
      </c>
      <c r="AP49" s="35">
        <f>+GETPIVOTDATA("XCB4",'cubi (2016)'!$A$3,"MA_HT","TON","MA_QH","DRA")</f>
        <v>0</v>
      </c>
      <c r="AQ49" s="35">
        <f>+GETPIVOTDATA("XCB4",'cubi (2016)'!$A$3,"MA_HT","TON","MA_QH","ONT")</f>
        <v>0</v>
      </c>
      <c r="AR49" s="35">
        <f>+GETPIVOTDATA("XCB4",'cubi (2016)'!$A$3,"MA_HT","TON","MA_QH","ODT")</f>
        <v>0</v>
      </c>
      <c r="AS49" s="35">
        <f>+GETPIVOTDATA("XCB4",'cubi (2016)'!$A$3,"MA_HT","TON","MA_QH","TSC")</f>
        <v>0</v>
      </c>
      <c r="AT49" s="35">
        <f>+GETPIVOTDATA("XCB4",'cubi (2016)'!$A$3,"MA_HT","TON","MA_QH","DTS")</f>
        <v>0</v>
      </c>
      <c r="AU49" s="35">
        <f>+GETPIVOTDATA("XCB4",'cubi (2016)'!$A$3,"MA_HT","TON","MA_QH","DNG")</f>
        <v>0</v>
      </c>
      <c r="AV49" s="99" t="e">
        <f>$D49-$BF49</f>
        <v>#REF!</v>
      </c>
      <c r="AW49" s="35">
        <f>+GETPIVOTDATA("XCB4",'cubi (2016)'!$A$3,"MA_HT","TON","MA_QH","NTD")</f>
        <v>0</v>
      </c>
      <c r="AX49" s="35">
        <f>+GETPIVOTDATA("XCB4",'cubi (2016)'!$A$3,"MA_HT","TON","MA_QH","SKX")</f>
        <v>0</v>
      </c>
      <c r="AY49" s="35">
        <f>+GETPIVOTDATA("XCB4",'cubi (2016)'!$A$3,"MA_HT","TON","MA_QH","DSH")</f>
        <v>0</v>
      </c>
      <c r="AZ49" s="35">
        <f>+GETPIVOTDATA("XCB4",'cubi (2016)'!$A$3,"MA_HT","TON","MA_QH","DKV")</f>
        <v>0</v>
      </c>
      <c r="BA49" s="140">
        <f>+GETPIVOTDATA("XCB4",'cubi (2016)'!$A$3,"MA_HT","TON","MA_QH","TIN")</f>
        <v>0</v>
      </c>
      <c r="BB49" s="74">
        <f>+GETPIVOTDATA("XCB4",'cubi (2016)'!$A$3,"MA_HT","TON","MA_QH","SON")</f>
        <v>0</v>
      </c>
      <c r="BC49" s="74">
        <f>+GETPIVOTDATA("XCB4",'cubi (2016)'!$A$3,"MA_HT","TON","MA_QH","MNC")</f>
        <v>0</v>
      </c>
      <c r="BD49" s="35">
        <f>+GETPIVOTDATA("XCB4",'cubi (2016)'!$A$3,"MA_HT","TON","MA_QH","PNK")</f>
        <v>0</v>
      </c>
      <c r="BE49" s="58">
        <f>+GETPIVOTDATA("XCB4",'cubi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+GETPIVOTDATA("XCB4",'cubi (2016)'!$A$3,"MA_HT","NTD","MA_QH","LUC")</f>
        <v>0</v>
      </c>
      <c r="H50" s="35">
        <f>+GETPIVOTDATA("XCB4",'cubi (2016)'!$A$3,"MA_HT","NTD","MA_QH","LUK")</f>
        <v>0</v>
      </c>
      <c r="I50" s="35">
        <f>+GETPIVOTDATA("XCB4",'cubi (2016)'!$A$3,"MA_HT","NTD","MA_QH","LUN")</f>
        <v>0</v>
      </c>
      <c r="J50" s="35">
        <f>+GETPIVOTDATA("XCB4",'cubi (2016)'!$A$3,"MA_HT","NTD","MA_QH","HNK")</f>
        <v>0</v>
      </c>
      <c r="K50" s="35">
        <f>+GETPIVOTDATA("XCB4",'cubi (2016)'!$A$3,"MA_HT","NTD","MA_QH","CLN")</f>
        <v>0</v>
      </c>
      <c r="L50" s="35">
        <f>+GETPIVOTDATA("XCB4",'cubi (2016)'!$A$3,"MA_HT","NTD","MA_QH","RSX")</f>
        <v>0</v>
      </c>
      <c r="M50" s="35">
        <f>+GETPIVOTDATA("XCB4",'cubi (2016)'!$A$3,"MA_HT","NTD","MA_QH","RPH")</f>
        <v>0</v>
      </c>
      <c r="N50" s="35">
        <f>+GETPIVOTDATA("XCB4",'cubi (2016)'!$A$3,"MA_HT","NTD","MA_QH","RDD")</f>
        <v>0</v>
      </c>
      <c r="O50" s="35">
        <f>+GETPIVOTDATA("XCB4",'cubi (2016)'!$A$3,"MA_HT","NTD","MA_QH","NTS")</f>
        <v>0</v>
      </c>
      <c r="P50" s="35">
        <f>+GETPIVOTDATA("XCB4",'cubi (2016)'!$A$3,"MA_HT","NTD","MA_QH","LMU")</f>
        <v>0</v>
      </c>
      <c r="Q50" s="35">
        <f>+GETPIVOTDATA("XCB4",'cubi (2016)'!$A$3,"MA_HT","NTD","MA_QH","NKH")</f>
        <v>0</v>
      </c>
      <c r="R50" s="106">
        <f>SUM(S50:AA50,AN50:AV50,AX50:BD50)</f>
        <v>0</v>
      </c>
      <c r="S50" s="35">
        <f>+GETPIVOTDATA("XCB4",'cubi (2016)'!$A$3,"MA_HT","NTD","MA_QH","CQP")</f>
        <v>0</v>
      </c>
      <c r="T50" s="35">
        <f>+GETPIVOTDATA("XCB4",'cubi (2016)'!$A$3,"MA_HT","NTD","MA_QH","CAN")</f>
        <v>0</v>
      </c>
      <c r="U50" s="35">
        <f>+GETPIVOTDATA("XCB4",'cubi (2016)'!$A$3,"MA_HT","NTD","MA_QH","SKK")</f>
        <v>0</v>
      </c>
      <c r="V50" s="35">
        <f>+GETPIVOTDATA("XCB4",'cubi (2016)'!$A$3,"MA_HT","NTD","MA_QH","SKT")</f>
        <v>0</v>
      </c>
      <c r="W50" s="35">
        <f>+GETPIVOTDATA("XCB4",'cubi (2016)'!$A$3,"MA_HT","NTD","MA_QH","SKN")</f>
        <v>0</v>
      </c>
      <c r="X50" s="35">
        <f>+GETPIVOTDATA("XCB4",'cubi (2016)'!$A$3,"MA_HT","NTD","MA_QH","TMD")</f>
        <v>0</v>
      </c>
      <c r="Y50" s="35">
        <f>+GETPIVOTDATA("XCB4",'cubi (2016)'!$A$3,"MA_HT","NTD","MA_QH","SKC")</f>
        <v>0</v>
      </c>
      <c r="Z50" s="35">
        <f>+GETPIVOTDATA("XCB4",'cubi (2016)'!$A$3,"MA_HT","NTD","MA_QH","SKS")</f>
        <v>0</v>
      </c>
      <c r="AA50" s="64">
        <f t="shared" si="21"/>
        <v>0</v>
      </c>
      <c r="AB50" s="35">
        <f>+GETPIVOTDATA("XCB4",'cubi (2016)'!$A$3,"MA_HT","NTD","MA_QH","DGT")</f>
        <v>0</v>
      </c>
      <c r="AC50" s="35">
        <f>+GETPIVOTDATA("XCB4",'cubi (2016)'!$A$3,"MA_HT","NTD","MA_QH","DTL")</f>
        <v>0</v>
      </c>
      <c r="AD50" s="35">
        <f>+GETPIVOTDATA("XCB4",'cubi (2016)'!$A$3,"MA_HT","NTD","MA_QH","DNL")</f>
        <v>0</v>
      </c>
      <c r="AE50" s="35">
        <f>+GETPIVOTDATA("XCB4",'cubi (2016)'!$A$3,"MA_HT","NTD","MA_QH","DBV")</f>
        <v>0</v>
      </c>
      <c r="AF50" s="35">
        <f>+GETPIVOTDATA("XCB4",'cubi (2016)'!$A$3,"MA_HT","NTD","MA_QH","DVH")</f>
        <v>0</v>
      </c>
      <c r="AG50" s="35">
        <f>+GETPIVOTDATA("XCB4",'cubi (2016)'!$A$3,"MA_HT","NTD","MA_QH","DYT")</f>
        <v>0</v>
      </c>
      <c r="AH50" s="35">
        <f>+GETPIVOTDATA("XCB4",'cubi (2016)'!$A$3,"MA_HT","NTD","MA_QH","DGD")</f>
        <v>0</v>
      </c>
      <c r="AI50" s="35">
        <f>+GETPIVOTDATA("XCB4",'cubi (2016)'!$A$3,"MA_HT","NTD","MA_QH","DTT")</f>
        <v>0</v>
      </c>
      <c r="AJ50" s="35">
        <f>+GETPIVOTDATA("XCB4",'cubi (2016)'!$A$3,"MA_HT","NTD","MA_QH","NCK")</f>
        <v>0</v>
      </c>
      <c r="AK50" s="35">
        <f>+GETPIVOTDATA("XCB4",'cubi (2016)'!$A$3,"MA_HT","NTD","MA_QH","DXH")</f>
        <v>0</v>
      </c>
      <c r="AL50" s="35">
        <f>+GETPIVOTDATA("XCB4",'cubi (2016)'!$A$3,"MA_HT","NTD","MA_QH","DCH")</f>
        <v>0</v>
      </c>
      <c r="AM50" s="35">
        <f>+GETPIVOTDATA("XCB4",'cubi (2016)'!$A$3,"MA_HT","NTD","MA_QH","DKG")</f>
        <v>0</v>
      </c>
      <c r="AN50" s="35">
        <f>+GETPIVOTDATA("XCB4",'cubi (2016)'!$A$3,"MA_HT","NTD","MA_QH","DDT")</f>
        <v>0</v>
      </c>
      <c r="AO50" s="35">
        <f>+GETPIVOTDATA("XCB4",'cubi (2016)'!$A$3,"MA_HT","NTD","MA_QH","DDL")</f>
        <v>0</v>
      </c>
      <c r="AP50" s="35">
        <f>+GETPIVOTDATA("XCB4",'cubi (2016)'!$A$3,"MA_HT","NTD","MA_QH","DRA")</f>
        <v>0</v>
      </c>
      <c r="AQ50" s="35">
        <f>+GETPIVOTDATA("XCB4",'cubi (2016)'!$A$3,"MA_HT","NTD","MA_QH","ONT")</f>
        <v>0</v>
      </c>
      <c r="AR50" s="35">
        <f>+GETPIVOTDATA("XCB4",'cubi (2016)'!$A$3,"MA_HT","NTD","MA_QH","ODT")</f>
        <v>0</v>
      </c>
      <c r="AS50" s="35">
        <f>+GETPIVOTDATA("XCB4",'cubi (2016)'!$A$3,"MA_HT","NTD","MA_QH","TSC")</f>
        <v>0</v>
      </c>
      <c r="AT50" s="35">
        <f>+GETPIVOTDATA("XCB4",'cubi (2016)'!$A$3,"MA_HT","NTD","MA_QH","DTS")</f>
        <v>0</v>
      </c>
      <c r="AU50" s="35">
        <f>+GETPIVOTDATA("XCB4",'cubi (2016)'!$A$3,"MA_HT","NTD","MA_QH","DNG")</f>
        <v>0</v>
      </c>
      <c r="AV50" s="35">
        <f>+GETPIVOTDATA("XCB4",'cubi (2016)'!$A$3,"MA_HT","NTD","MA_QH","TON")</f>
        <v>0</v>
      </c>
      <c r="AW50" s="99" t="e">
        <f>$D50-$BF50</f>
        <v>#REF!</v>
      </c>
      <c r="AX50" s="35">
        <f>+GETPIVOTDATA("XCB4",'cubi (2016)'!$A$3,"MA_HT","NTD","MA_QH","SKX")</f>
        <v>0</v>
      </c>
      <c r="AY50" s="35">
        <f>+GETPIVOTDATA("XCB4",'cubi (2016)'!$A$3,"MA_HT","NTD","MA_QH","DSH")</f>
        <v>0</v>
      </c>
      <c r="AZ50" s="35">
        <f>+GETPIVOTDATA("XCB4",'cubi (2016)'!$A$3,"MA_HT","NTD","MA_QH","DKV")</f>
        <v>0</v>
      </c>
      <c r="BA50" s="140">
        <f>+GETPIVOTDATA("XCB4",'cubi (2016)'!$A$3,"MA_HT","NTD","MA_QH","TIN")</f>
        <v>0</v>
      </c>
      <c r="BB50" s="74">
        <f>+GETPIVOTDATA("XCB4",'cubi (2016)'!$A$3,"MA_HT","NTD","MA_QH","SON")</f>
        <v>0</v>
      </c>
      <c r="BC50" s="74">
        <f>+GETPIVOTDATA("XCB4",'cubi (2016)'!$A$3,"MA_HT","NTD","MA_QH","MNC")</f>
        <v>0</v>
      </c>
      <c r="BD50" s="35">
        <f>+GETPIVOTDATA("XCB4",'cubi (2016)'!$A$3,"MA_HT","NTD","MA_QH","PNK")</f>
        <v>0</v>
      </c>
      <c r="BE50" s="58">
        <f>+GETPIVOTDATA("XCB4",'cubi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+GETPIVOTDATA("XCB4",'cubi (2016)'!$A$3,"MA_HT","SKX","MA_QH","LUC")</f>
        <v>0</v>
      </c>
      <c r="H51" s="35">
        <f>+GETPIVOTDATA("XCB4",'cubi (2016)'!$A$3,"MA_HT","SKX","MA_QH","LUK")</f>
        <v>0</v>
      </c>
      <c r="I51" s="35">
        <f>+GETPIVOTDATA("XCB4",'cubi (2016)'!$A$3,"MA_HT","SKX","MA_QH","LUN")</f>
        <v>0</v>
      </c>
      <c r="J51" s="35">
        <f>+GETPIVOTDATA("XCB4",'cubi (2016)'!$A$3,"MA_HT","SKX","MA_QH","HNK")</f>
        <v>0</v>
      </c>
      <c r="K51" s="35">
        <f>+GETPIVOTDATA("XCB4",'cubi (2016)'!$A$3,"MA_HT","SKX","MA_QH","CLN")</f>
        <v>0</v>
      </c>
      <c r="L51" s="35">
        <f>+GETPIVOTDATA("XCB4",'cubi (2016)'!$A$3,"MA_HT","SKX","MA_QH","RSX")</f>
        <v>0</v>
      </c>
      <c r="M51" s="35">
        <f>+GETPIVOTDATA("XCB4",'cubi (2016)'!$A$3,"MA_HT","SKX","MA_QH","RPH")</f>
        <v>0</v>
      </c>
      <c r="N51" s="35">
        <f>+GETPIVOTDATA("XCB4",'cubi (2016)'!$A$3,"MA_HT","SKX","MA_QH","RDD")</f>
        <v>0</v>
      </c>
      <c r="O51" s="35">
        <f>+GETPIVOTDATA("XCB4",'cubi (2016)'!$A$3,"MA_HT","SKX","MA_QH","NTS")</f>
        <v>0</v>
      </c>
      <c r="P51" s="35">
        <f>+GETPIVOTDATA("XCB4",'cubi (2016)'!$A$3,"MA_HT","SKX","MA_QH","LMU")</f>
        <v>0</v>
      </c>
      <c r="Q51" s="35">
        <f>+GETPIVOTDATA("XCB4",'cubi (2016)'!$A$3,"MA_HT","SKX","MA_QH","NKH")</f>
        <v>0</v>
      </c>
      <c r="R51" s="106">
        <f>SUM(S51:AA51,AN51:AW51,AY51:BD51)</f>
        <v>0</v>
      </c>
      <c r="S51" s="35">
        <f>+GETPIVOTDATA("XCB4",'cubi (2016)'!$A$3,"MA_HT","SKX","MA_QH","CQP")</f>
        <v>0</v>
      </c>
      <c r="T51" s="35">
        <f>+GETPIVOTDATA("XCB4",'cubi (2016)'!$A$3,"MA_HT","SKX","MA_QH","CAN")</f>
        <v>0</v>
      </c>
      <c r="U51" s="35">
        <f>+GETPIVOTDATA("XCB4",'cubi (2016)'!$A$3,"MA_HT","SKX","MA_QH","SKK")</f>
        <v>0</v>
      </c>
      <c r="V51" s="35">
        <f>+GETPIVOTDATA("XCB4",'cubi (2016)'!$A$3,"MA_HT","SKX","MA_QH","SKT")</f>
        <v>0</v>
      </c>
      <c r="W51" s="35">
        <f>+GETPIVOTDATA("XCB4",'cubi (2016)'!$A$3,"MA_HT","SKX","MA_QH","SKN")</f>
        <v>0</v>
      </c>
      <c r="X51" s="35">
        <f>+GETPIVOTDATA("XCB4",'cubi (2016)'!$A$3,"MA_HT","SKX","MA_QH","TMD")</f>
        <v>0</v>
      </c>
      <c r="Y51" s="35">
        <f>+GETPIVOTDATA("XCB4",'cubi (2016)'!$A$3,"MA_HT","SKX","MA_QH","SKC")</f>
        <v>0</v>
      </c>
      <c r="Z51" s="35">
        <f>+GETPIVOTDATA("XCB4",'cubi (2016)'!$A$3,"MA_HT","SKX","MA_QH","SKS")</f>
        <v>0</v>
      </c>
      <c r="AA51" s="64">
        <f t="shared" si="21"/>
        <v>0</v>
      </c>
      <c r="AB51" s="35">
        <f>+GETPIVOTDATA("XCB4",'cubi (2016)'!$A$3,"MA_HT","SKX","MA_QH","DGT")</f>
        <v>0</v>
      </c>
      <c r="AC51" s="35">
        <f>+GETPIVOTDATA("XCB4",'cubi (2016)'!$A$3,"MA_HT","SKX","MA_QH","DTL")</f>
        <v>0</v>
      </c>
      <c r="AD51" s="35">
        <f>+GETPIVOTDATA("XCB4",'cubi (2016)'!$A$3,"MA_HT","SKX","MA_QH","DNL")</f>
        <v>0</v>
      </c>
      <c r="AE51" s="35">
        <f>+GETPIVOTDATA("XCB4",'cubi (2016)'!$A$3,"MA_HT","SKX","MA_QH","DBV")</f>
        <v>0</v>
      </c>
      <c r="AF51" s="35">
        <f>+GETPIVOTDATA("XCB4",'cubi (2016)'!$A$3,"MA_HT","SKX","MA_QH","DVH")</f>
        <v>0</v>
      </c>
      <c r="AG51" s="35">
        <f>+GETPIVOTDATA("XCB4",'cubi (2016)'!$A$3,"MA_HT","SKX","MA_QH","DYT")</f>
        <v>0</v>
      </c>
      <c r="AH51" s="35">
        <f>+GETPIVOTDATA("XCB4",'cubi (2016)'!$A$3,"MA_HT","SKX","MA_QH","DGD")</f>
        <v>0</v>
      </c>
      <c r="AI51" s="35">
        <f>+GETPIVOTDATA("XCB4",'cubi (2016)'!$A$3,"MA_HT","SKX","MA_QH","DTT")</f>
        <v>0</v>
      </c>
      <c r="AJ51" s="35">
        <f>+GETPIVOTDATA("XCB4",'cubi (2016)'!$A$3,"MA_HT","SKX","MA_QH","NCK")</f>
        <v>0</v>
      </c>
      <c r="AK51" s="35">
        <f>+GETPIVOTDATA("XCB4",'cubi (2016)'!$A$3,"MA_HT","SKX","MA_QH","DXH")</f>
        <v>0</v>
      </c>
      <c r="AL51" s="35">
        <f>+GETPIVOTDATA("XCB4",'cubi (2016)'!$A$3,"MA_HT","SKX","MA_QH","DCH")</f>
        <v>0</v>
      </c>
      <c r="AM51" s="35">
        <f>+GETPIVOTDATA("XCB4",'cubi (2016)'!$A$3,"MA_HT","SKX","MA_QH","DKG")</f>
        <v>0</v>
      </c>
      <c r="AN51" s="35">
        <f>+GETPIVOTDATA("XCB4",'cubi (2016)'!$A$3,"MA_HT","SKX","MA_QH","DDT")</f>
        <v>0</v>
      </c>
      <c r="AO51" s="35">
        <f>+GETPIVOTDATA("XCB4",'cubi (2016)'!$A$3,"MA_HT","SKX","MA_QH","DDL")</f>
        <v>0</v>
      </c>
      <c r="AP51" s="35">
        <f>+GETPIVOTDATA("XCB4",'cubi (2016)'!$A$3,"MA_HT","SKX","MA_QH","DRA")</f>
        <v>0</v>
      </c>
      <c r="AQ51" s="35">
        <f>+GETPIVOTDATA("XCB4",'cubi (2016)'!$A$3,"MA_HT","SKX","MA_QH","ONT")</f>
        <v>0</v>
      </c>
      <c r="AR51" s="35">
        <f>+GETPIVOTDATA("XCB4",'cubi (2016)'!$A$3,"MA_HT","SKX","MA_QH","ODT")</f>
        <v>0</v>
      </c>
      <c r="AS51" s="35">
        <f>+GETPIVOTDATA("XCB4",'cubi (2016)'!$A$3,"MA_HT","SKX","MA_QH","TSC")</f>
        <v>0</v>
      </c>
      <c r="AT51" s="35">
        <f>+GETPIVOTDATA("XCB4",'cubi (2016)'!$A$3,"MA_HT","SKX","MA_QH","DTS")</f>
        <v>0</v>
      </c>
      <c r="AU51" s="35">
        <f>+GETPIVOTDATA("XCB4",'cubi (2016)'!$A$3,"MA_HT","SKX","MA_QH","DNG")</f>
        <v>0</v>
      </c>
      <c r="AV51" s="35">
        <f>+GETPIVOTDATA("XCB4",'cubi (2016)'!$A$3,"MA_HT","SKX","MA_QH","TON")</f>
        <v>0</v>
      </c>
      <c r="AW51" s="35">
        <f>+GETPIVOTDATA("XCB4",'cubi (2016)'!$A$3,"MA_HT","SKX","MA_QH","NTD")</f>
        <v>0</v>
      </c>
      <c r="AX51" s="99" t="e">
        <f>$D51-$BF51</f>
        <v>#REF!</v>
      </c>
      <c r="AY51" s="35">
        <f>+GETPIVOTDATA("XCB4",'cubi (2016)'!$A$3,"MA_HT","SKX","MA_QH","DSH")</f>
        <v>0</v>
      </c>
      <c r="AZ51" s="35">
        <f>+GETPIVOTDATA("XCB4",'cubi (2016)'!$A$3,"MA_HT","SKX","MA_QH","DKV")</f>
        <v>0</v>
      </c>
      <c r="BA51" s="140">
        <f>+GETPIVOTDATA("XCB4",'cubi (2016)'!$A$3,"MA_HT","SKX","MA_QH","TIN")</f>
        <v>0</v>
      </c>
      <c r="BB51" s="74">
        <f>+GETPIVOTDATA("XCB4",'cubi (2016)'!$A$3,"MA_HT","SKX","MA_QH","SON")</f>
        <v>0</v>
      </c>
      <c r="BC51" s="74">
        <f>+GETPIVOTDATA("XCB4",'cubi (2016)'!$A$3,"MA_HT","SKX","MA_QH","MNC")</f>
        <v>0</v>
      </c>
      <c r="BD51" s="35">
        <f>+GETPIVOTDATA("XCB4",'cubi (2016)'!$A$3,"MA_HT","SKX","MA_QH","PNK")</f>
        <v>0</v>
      </c>
      <c r="BE51" s="58">
        <f>+GETPIVOTDATA("XCB4",'cubi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+GETPIVOTDATA("XCB4",'cubi (2016)'!$A$3,"MA_HT","DSH","MA_QH","LUC")</f>
        <v>0</v>
      </c>
      <c r="H52" s="35">
        <f>+GETPIVOTDATA("XCB4",'cubi (2016)'!$A$3,"MA_HT","DSH","MA_QH","LUK")</f>
        <v>0</v>
      </c>
      <c r="I52" s="35">
        <f>+GETPIVOTDATA("XCB4",'cubi (2016)'!$A$3,"MA_HT","DSH","MA_QH","LUN")</f>
        <v>0</v>
      </c>
      <c r="J52" s="35">
        <f>+GETPIVOTDATA("XCB4",'cubi (2016)'!$A$3,"MA_HT","DSH","MA_QH","HNK")</f>
        <v>0</v>
      </c>
      <c r="K52" s="35">
        <f>+GETPIVOTDATA("XCB4",'cubi (2016)'!$A$3,"MA_HT","DSH","MA_QH","CLN")</f>
        <v>0</v>
      </c>
      <c r="L52" s="35">
        <f>+GETPIVOTDATA("XCB4",'cubi (2016)'!$A$3,"MA_HT","DSH","MA_QH","RSX")</f>
        <v>0</v>
      </c>
      <c r="M52" s="35">
        <f>+GETPIVOTDATA("XCB4",'cubi (2016)'!$A$3,"MA_HT","DSH","MA_QH","RPH")</f>
        <v>0</v>
      </c>
      <c r="N52" s="35">
        <f>+GETPIVOTDATA("XCB4",'cubi (2016)'!$A$3,"MA_HT","DSH","MA_QH","RDD")</f>
        <v>0</v>
      </c>
      <c r="O52" s="35">
        <f>+GETPIVOTDATA("XCB4",'cubi (2016)'!$A$3,"MA_HT","DSH","MA_QH","NTS")</f>
        <v>0</v>
      </c>
      <c r="P52" s="35">
        <f>+GETPIVOTDATA("XCB4",'cubi (2016)'!$A$3,"MA_HT","DSH","MA_QH","LMU")</f>
        <v>0</v>
      </c>
      <c r="Q52" s="35">
        <f>+GETPIVOTDATA("XCB4",'cubi (2016)'!$A$3,"MA_HT","DSH","MA_QH","NKH")</f>
        <v>0</v>
      </c>
      <c r="R52" s="106">
        <f>SUM(S52:AA52,AN52:AX52,AZ52:BD52)</f>
        <v>0</v>
      </c>
      <c r="S52" s="35">
        <f>+GETPIVOTDATA("XCB4",'cubi (2016)'!$A$3,"MA_HT","DSH","MA_QH","CQP")</f>
        <v>0</v>
      </c>
      <c r="T52" s="35">
        <f>+GETPIVOTDATA("XCB4",'cubi (2016)'!$A$3,"MA_HT","DSH","MA_QH","CAN")</f>
        <v>0</v>
      </c>
      <c r="U52" s="35">
        <f>+GETPIVOTDATA("XCB4",'cubi (2016)'!$A$3,"MA_HT","DSH","MA_QH","SKK")</f>
        <v>0</v>
      </c>
      <c r="V52" s="35">
        <f>+GETPIVOTDATA("XCB4",'cubi (2016)'!$A$3,"MA_HT","DSH","MA_QH","SKT")</f>
        <v>0</v>
      </c>
      <c r="W52" s="35">
        <f>+GETPIVOTDATA("XCB4",'cubi (2016)'!$A$3,"MA_HT","DSH","MA_QH","SKN")</f>
        <v>0</v>
      </c>
      <c r="X52" s="35">
        <f>+GETPIVOTDATA("XCB4",'cubi (2016)'!$A$3,"MA_HT","DSH","MA_QH","TMD")</f>
        <v>0</v>
      </c>
      <c r="Y52" s="35">
        <f>+GETPIVOTDATA("XCB4",'cubi (2016)'!$A$3,"MA_HT","DSH","MA_QH","SKC")</f>
        <v>0</v>
      </c>
      <c r="Z52" s="35">
        <f>+GETPIVOTDATA("XCB4",'cubi (2016)'!$A$3,"MA_HT","DSH","MA_QH","SKS")</f>
        <v>0</v>
      </c>
      <c r="AA52" s="64">
        <f t="shared" si="21"/>
        <v>0</v>
      </c>
      <c r="AB52" s="35">
        <f>+GETPIVOTDATA("XCB4",'cubi (2016)'!$A$3,"MA_HT","DSH","MA_QH","DGT")</f>
        <v>0</v>
      </c>
      <c r="AC52" s="35">
        <f>+GETPIVOTDATA("XCB4",'cubi (2016)'!$A$3,"MA_HT","DSH","MA_QH","DTL")</f>
        <v>0</v>
      </c>
      <c r="AD52" s="35">
        <f>+GETPIVOTDATA("XCB4",'cubi (2016)'!$A$3,"MA_HT","DSH","MA_QH","DNL")</f>
        <v>0</v>
      </c>
      <c r="AE52" s="35">
        <f>+GETPIVOTDATA("XCB4",'cubi (2016)'!$A$3,"MA_HT","DSH","MA_QH","DBV")</f>
        <v>0</v>
      </c>
      <c r="AF52" s="35">
        <f>+GETPIVOTDATA("XCB4",'cubi (2016)'!$A$3,"MA_HT","DSH","MA_QH","DVH")</f>
        <v>0</v>
      </c>
      <c r="AG52" s="35">
        <f>+GETPIVOTDATA("XCB4",'cubi (2016)'!$A$3,"MA_HT","DSH","MA_QH","DYT")</f>
        <v>0</v>
      </c>
      <c r="AH52" s="35">
        <f>+GETPIVOTDATA("XCB4",'cubi (2016)'!$A$3,"MA_HT","DSH","MA_QH","DGD")</f>
        <v>0</v>
      </c>
      <c r="AI52" s="35">
        <f>+GETPIVOTDATA("XCB4",'cubi (2016)'!$A$3,"MA_HT","DSH","MA_QH","DTT")</f>
        <v>0</v>
      </c>
      <c r="AJ52" s="35">
        <f>+GETPIVOTDATA("XCB4",'cubi (2016)'!$A$3,"MA_HT","DSH","MA_QH","NCK")</f>
        <v>0</v>
      </c>
      <c r="AK52" s="35">
        <f>+GETPIVOTDATA("XCB4",'cubi (2016)'!$A$3,"MA_HT","DSH","MA_QH","DXH")</f>
        <v>0</v>
      </c>
      <c r="AL52" s="35">
        <f>+GETPIVOTDATA("XCB4",'cubi (2016)'!$A$3,"MA_HT","DSH","MA_QH","DCH")</f>
        <v>0</v>
      </c>
      <c r="AM52" s="35">
        <f>+GETPIVOTDATA("XCB4",'cubi (2016)'!$A$3,"MA_HT","DSH","MA_QH","DKG")</f>
        <v>0</v>
      </c>
      <c r="AN52" s="35">
        <f>+GETPIVOTDATA("XCB4",'cubi (2016)'!$A$3,"MA_HT","DSH","MA_QH","DDT")</f>
        <v>0</v>
      </c>
      <c r="AO52" s="35">
        <f>+GETPIVOTDATA("XCB4",'cubi (2016)'!$A$3,"MA_HT","DSH","MA_QH","DDL")</f>
        <v>0</v>
      </c>
      <c r="AP52" s="35">
        <f>+GETPIVOTDATA("XCB4",'cubi (2016)'!$A$3,"MA_HT","DSH","MA_QH","DRA")</f>
        <v>0</v>
      </c>
      <c r="AQ52" s="35">
        <f>+GETPIVOTDATA("XCB4",'cubi (2016)'!$A$3,"MA_HT","DSH","MA_QH","ONT")</f>
        <v>0</v>
      </c>
      <c r="AR52" s="35">
        <f>+GETPIVOTDATA("XCB4",'cubi (2016)'!$A$3,"MA_HT","DSH","MA_QH","ODT")</f>
        <v>0</v>
      </c>
      <c r="AS52" s="35">
        <f>+GETPIVOTDATA("XCB4",'cubi (2016)'!$A$3,"MA_HT","DSH","MA_QH","TSC")</f>
        <v>0</v>
      </c>
      <c r="AT52" s="35">
        <f>+GETPIVOTDATA("XCB4",'cubi (2016)'!$A$3,"MA_HT","DSH","MA_QH","DTS")</f>
        <v>0</v>
      </c>
      <c r="AU52" s="35">
        <f>+GETPIVOTDATA("XCB4",'cubi (2016)'!$A$3,"MA_HT","DSH","MA_QH","DNG")</f>
        <v>0</v>
      </c>
      <c r="AV52" s="35">
        <f>+GETPIVOTDATA("XCB4",'cubi (2016)'!$A$3,"MA_HT","DSH","MA_QH","TON")</f>
        <v>0</v>
      </c>
      <c r="AW52" s="35">
        <f>+GETPIVOTDATA("XCB4",'cubi (2016)'!$A$3,"MA_HT","DSH","MA_QH","NTD")</f>
        <v>0</v>
      </c>
      <c r="AX52" s="35">
        <f>+GETPIVOTDATA("XCB4",'cubi (2016)'!$A$3,"MA_HT","DSH","MA_QH","SKX")</f>
        <v>0</v>
      </c>
      <c r="AY52" s="99" t="e">
        <f>$D52-$BF52</f>
        <v>#REF!</v>
      </c>
      <c r="AZ52" s="35">
        <f>+GETPIVOTDATA("XCB4",'cubi (2016)'!$A$3,"MA_HT","DSH","MA_QH","DKV")</f>
        <v>0</v>
      </c>
      <c r="BA52" s="140">
        <f>+GETPIVOTDATA("XCB4",'cubi (2016)'!$A$3,"MA_HT","DSH","MA_QH","TIN")</f>
        <v>0</v>
      </c>
      <c r="BB52" s="74">
        <f>+GETPIVOTDATA("XCB4",'cubi (2016)'!$A$3,"MA_HT","DSH","MA_QH","SON")</f>
        <v>0</v>
      </c>
      <c r="BC52" s="74">
        <f>+GETPIVOTDATA("XCB4",'cubi (2016)'!$A$3,"MA_HT","DSH","MA_QH","MNC")</f>
        <v>0</v>
      </c>
      <c r="BD52" s="35">
        <f>+GETPIVOTDATA("XCB4",'cubi (2016)'!$A$3,"MA_HT","DSH","MA_QH","PNK")</f>
        <v>0</v>
      </c>
      <c r="BE52" s="58">
        <f>+GETPIVOTDATA("XCB4",'cubi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+GETPIVOTDATA("XCB4",'cubi (2016)'!$A$3,"MA_HT","DKV","MA_QH","LUC")</f>
        <v>0</v>
      </c>
      <c r="H53" s="35">
        <f>+GETPIVOTDATA("XCB4",'cubi (2016)'!$A$3,"MA_HT","DKV","MA_QH","LUK")</f>
        <v>0</v>
      </c>
      <c r="I53" s="35">
        <f>+GETPIVOTDATA("XCB4",'cubi (2016)'!$A$3,"MA_HT","DKV","MA_QH","LUN")</f>
        <v>0</v>
      </c>
      <c r="J53" s="35">
        <f>+GETPIVOTDATA("XCB4",'cubi (2016)'!$A$3,"MA_HT","DKV","MA_QH","HNK")</f>
        <v>0</v>
      </c>
      <c r="K53" s="35">
        <f>+GETPIVOTDATA("XCB4",'cubi (2016)'!$A$3,"MA_HT","DKV","MA_QH","CLN")</f>
        <v>0</v>
      </c>
      <c r="L53" s="35">
        <f>+GETPIVOTDATA("XCB4",'cubi (2016)'!$A$3,"MA_HT","DKV","MA_QH","RSX")</f>
        <v>0</v>
      </c>
      <c r="M53" s="35">
        <f>+GETPIVOTDATA("XCB4",'cubi (2016)'!$A$3,"MA_HT","DKV","MA_QH","RPH")</f>
        <v>0</v>
      </c>
      <c r="N53" s="35">
        <f>+GETPIVOTDATA("XCB4",'cubi (2016)'!$A$3,"MA_HT","DKV","MA_QH","RDD")</f>
        <v>0</v>
      </c>
      <c r="O53" s="35">
        <f>+GETPIVOTDATA("XCB4",'cubi (2016)'!$A$3,"MA_HT","DKV","MA_QH","NTS")</f>
        <v>0</v>
      </c>
      <c r="P53" s="35">
        <f>+GETPIVOTDATA("XCB4",'cubi (2016)'!$A$3,"MA_HT","DKV","MA_QH","LMU")</f>
        <v>0</v>
      </c>
      <c r="Q53" s="35">
        <f>+GETPIVOTDATA("XCB4",'cubi (2016)'!$A$3,"MA_HT","DKV","MA_QH","NKH")</f>
        <v>0</v>
      </c>
      <c r="R53" s="106">
        <f>SUM(S53:AA53,AN53:AY53,BB53:BD53)</f>
        <v>0</v>
      </c>
      <c r="S53" s="35">
        <f>+GETPIVOTDATA("XCB4",'cubi (2016)'!$A$3,"MA_HT","DKV","MA_QH","CQP")</f>
        <v>0</v>
      </c>
      <c r="T53" s="35">
        <f>+GETPIVOTDATA("XCB4",'cubi (2016)'!$A$3,"MA_HT","DKV","MA_QH","CAN")</f>
        <v>0</v>
      </c>
      <c r="U53" s="35">
        <f>+GETPIVOTDATA("XCB4",'cubi (2016)'!$A$3,"MA_HT","DKV","MA_QH","SKK")</f>
        <v>0</v>
      </c>
      <c r="V53" s="35">
        <f>+GETPIVOTDATA("XCB4",'cubi (2016)'!$A$3,"MA_HT","DKV","MA_QH","SKT")</f>
        <v>0</v>
      </c>
      <c r="W53" s="35">
        <f>+GETPIVOTDATA("XCB4",'cubi (2016)'!$A$3,"MA_HT","DKV","MA_QH","SKN")</f>
        <v>0</v>
      </c>
      <c r="X53" s="35">
        <f>+GETPIVOTDATA("XCB4",'cubi (2016)'!$A$3,"MA_HT","DKV","MA_QH","TMD")</f>
        <v>0</v>
      </c>
      <c r="Y53" s="35">
        <f>+GETPIVOTDATA("XCB4",'cubi (2016)'!$A$3,"MA_HT","DKV","MA_QH","SKC")</f>
        <v>0</v>
      </c>
      <c r="Z53" s="35">
        <f>+GETPIVOTDATA("XCB4",'cubi (2016)'!$A$3,"MA_HT","DKV","MA_QH","SKS")</f>
        <v>0</v>
      </c>
      <c r="AA53" s="64">
        <f t="shared" si="21"/>
        <v>0</v>
      </c>
      <c r="AB53" s="35">
        <f>+GETPIVOTDATA("XCB4",'cubi (2016)'!$A$3,"MA_HT","DKV","MA_QH","DGT")</f>
        <v>0</v>
      </c>
      <c r="AC53" s="35">
        <f>+GETPIVOTDATA("XCB4",'cubi (2016)'!$A$3,"MA_HT","DKV","MA_QH","DTL")</f>
        <v>0</v>
      </c>
      <c r="AD53" s="35">
        <f>+GETPIVOTDATA("XCB4",'cubi (2016)'!$A$3,"MA_HT","DKV","MA_QH","DNL")</f>
        <v>0</v>
      </c>
      <c r="AE53" s="35">
        <f>+GETPIVOTDATA("XCB4",'cubi (2016)'!$A$3,"MA_HT","DKV","MA_QH","DBV")</f>
        <v>0</v>
      </c>
      <c r="AF53" s="35">
        <f>+GETPIVOTDATA("XCB4",'cubi (2016)'!$A$3,"MA_HT","DKV","MA_QH","DVH")</f>
        <v>0</v>
      </c>
      <c r="AG53" s="35">
        <f>+GETPIVOTDATA("XCB4",'cubi (2016)'!$A$3,"MA_HT","DKV","MA_QH","DYT")</f>
        <v>0</v>
      </c>
      <c r="AH53" s="35">
        <f>+GETPIVOTDATA("XCB4",'cubi (2016)'!$A$3,"MA_HT","DKV","MA_QH","DGD")</f>
        <v>0</v>
      </c>
      <c r="AI53" s="35">
        <f>+GETPIVOTDATA("XCB4",'cubi (2016)'!$A$3,"MA_HT","DKV","MA_QH","DTT")</f>
        <v>0</v>
      </c>
      <c r="AJ53" s="35">
        <f>+GETPIVOTDATA("XCB4",'cubi (2016)'!$A$3,"MA_HT","DKV","MA_QH","NCK")</f>
        <v>0</v>
      </c>
      <c r="AK53" s="35">
        <f>+GETPIVOTDATA("XCB4",'cubi (2016)'!$A$3,"MA_HT","DKV","MA_QH","DXH")</f>
        <v>0</v>
      </c>
      <c r="AL53" s="35">
        <f>+GETPIVOTDATA("XCB4",'cubi (2016)'!$A$3,"MA_HT","DKV","MA_QH","DCH")</f>
        <v>0</v>
      </c>
      <c r="AM53" s="35">
        <f>+GETPIVOTDATA("XCB4",'cubi (2016)'!$A$3,"MA_HT","DKV","MA_QH","DKG")</f>
        <v>0</v>
      </c>
      <c r="AN53" s="35">
        <f>+GETPIVOTDATA("XCB4",'cubi (2016)'!$A$3,"MA_HT","DKV","MA_QH","DDT")</f>
        <v>0</v>
      </c>
      <c r="AO53" s="35">
        <f>+GETPIVOTDATA("XCB4",'cubi (2016)'!$A$3,"MA_HT","DKV","MA_QH","DDL")</f>
        <v>0</v>
      </c>
      <c r="AP53" s="35">
        <f>+GETPIVOTDATA("XCB4",'cubi (2016)'!$A$3,"MA_HT","DKV","MA_QH","DRA")</f>
        <v>0</v>
      </c>
      <c r="AQ53" s="35">
        <f>+GETPIVOTDATA("XCB4",'cubi (2016)'!$A$3,"MA_HT","DKV","MA_QH","ONT")</f>
        <v>0</v>
      </c>
      <c r="AR53" s="35">
        <f>+GETPIVOTDATA("XCB4",'cubi (2016)'!$A$3,"MA_HT","DKV","MA_QH","ODT")</f>
        <v>0</v>
      </c>
      <c r="AS53" s="35">
        <f>+GETPIVOTDATA("XCB4",'cubi (2016)'!$A$3,"MA_HT","DKV","MA_QH","TSC")</f>
        <v>0</v>
      </c>
      <c r="AT53" s="35">
        <f>+GETPIVOTDATA("XCB4",'cubi (2016)'!$A$3,"MA_HT","DKV","MA_QH","DTS")</f>
        <v>0</v>
      </c>
      <c r="AU53" s="35">
        <f>+GETPIVOTDATA("XCB4",'cubi (2016)'!$A$3,"MA_HT","DKV","MA_QH","DNG")</f>
        <v>0</v>
      </c>
      <c r="AV53" s="35">
        <f>+GETPIVOTDATA("XCB4",'cubi (2016)'!$A$3,"MA_HT","DKV","MA_QH","TON")</f>
        <v>0</v>
      </c>
      <c r="AW53" s="35">
        <f>+GETPIVOTDATA("XCB4",'cubi (2016)'!$A$3,"MA_HT","DKV","MA_QH","NTD")</f>
        <v>0</v>
      </c>
      <c r="AX53" s="35">
        <f>+GETPIVOTDATA("XCB4",'cubi (2016)'!$A$3,"MA_HT","DKV","MA_QH","SKX")</f>
        <v>0</v>
      </c>
      <c r="AY53" s="35">
        <f>+GETPIVOTDATA("XCB4",'cubi (2016)'!$A$3,"MA_HT","DKV","MA_QH","DSH")</f>
        <v>0</v>
      </c>
      <c r="AZ53" s="99" t="e">
        <f>$D53-$BF53</f>
        <v>#REF!</v>
      </c>
      <c r="BA53" s="140">
        <f>+GETPIVOTDATA("XCB4",'cubi (2016)'!$A$3,"MA_HT","DKV","MA_QH","TIN")</f>
        <v>0</v>
      </c>
      <c r="BB53" s="74">
        <f>+GETPIVOTDATA("XCB4",'cubi (2016)'!$A$3,"MA_HT","DKV","MA_QH","SON")</f>
        <v>0</v>
      </c>
      <c r="BC53" s="74">
        <f>+GETPIVOTDATA("XCB4",'cubi (2016)'!$A$3,"MA_HT","DKV","MA_QH","MNC")</f>
        <v>0</v>
      </c>
      <c r="BD53" s="35">
        <f>+GETPIVOTDATA("XCB4",'cubi (2016)'!$A$3,"MA_HT","DKV","MA_QH","PNK")</f>
        <v>0</v>
      </c>
      <c r="BE53" s="58">
        <f>+GETPIVOTDATA("XCB4",'cubi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+GETPIVOTDATA("XCB4",'cubi (2016)'!$A$3,"MA_HT","TIN","MA_QH","LUC")</f>
        <v>0</v>
      </c>
      <c r="H54" s="35">
        <f>+GETPIVOTDATA("XCB4",'cubi (2016)'!$A$3,"MA_HT","TIN","MA_QH","LUK")</f>
        <v>0</v>
      </c>
      <c r="I54" s="35">
        <f>+GETPIVOTDATA("XCB4",'cubi (2016)'!$A$3,"MA_HT","TIN","MA_QH","LUN")</f>
        <v>0</v>
      </c>
      <c r="J54" s="35">
        <f>+GETPIVOTDATA("XCB4",'cubi (2016)'!$A$3,"MA_HT","TIN","MA_QH","HNK")</f>
        <v>0</v>
      </c>
      <c r="K54" s="35">
        <f>+GETPIVOTDATA("XCB4",'cubi (2016)'!$A$3,"MA_HT","TIN","MA_QH","CLN")</f>
        <v>0</v>
      </c>
      <c r="L54" s="35">
        <f>+GETPIVOTDATA("XCB4",'cubi (2016)'!$A$3,"MA_HT","TIN","MA_QH","RSX")</f>
        <v>0</v>
      </c>
      <c r="M54" s="35">
        <f>+GETPIVOTDATA("XCB4",'cubi (2016)'!$A$3,"MA_HT","TIN","MA_QH","RPH")</f>
        <v>0</v>
      </c>
      <c r="N54" s="35">
        <f>+GETPIVOTDATA("XCB4",'cubi (2016)'!$A$3,"MA_HT","TIN","MA_QH","RDD")</f>
        <v>0</v>
      </c>
      <c r="O54" s="35">
        <f>+GETPIVOTDATA("XCB4",'cubi (2016)'!$A$3,"MA_HT","TIN","MA_QH","NTS")</f>
        <v>0</v>
      </c>
      <c r="P54" s="35">
        <f>+GETPIVOTDATA("XCB4",'cubi (2016)'!$A$3,"MA_HT","TIN","MA_QH","LMU")</f>
        <v>0</v>
      </c>
      <c r="Q54" s="35">
        <f>+GETPIVOTDATA("XCB4",'cubi (2016)'!$A$3,"MA_HT","TIN","MA_QH","NKH")</f>
        <v>0</v>
      </c>
      <c r="R54" s="106">
        <f>SUM(S54:AA54,AN54:AZ54,BB54:BD54)</f>
        <v>0</v>
      </c>
      <c r="S54" s="35">
        <f>+GETPIVOTDATA("XCB4",'cubi (2016)'!$A$3,"MA_HT","TIN","MA_QH","CQP")</f>
        <v>0</v>
      </c>
      <c r="T54" s="35">
        <f>+GETPIVOTDATA("XCB4",'cubi (2016)'!$A$3,"MA_HT","TIN","MA_QH","CAN")</f>
        <v>0</v>
      </c>
      <c r="U54" s="35">
        <f>+GETPIVOTDATA("XCB4",'cubi (2016)'!$A$3,"MA_HT","TIN","MA_QH","SKK")</f>
        <v>0</v>
      </c>
      <c r="V54" s="35">
        <f>+GETPIVOTDATA("XCB4",'cubi (2016)'!$A$3,"MA_HT","TIN","MA_QH","SKT")</f>
        <v>0</v>
      </c>
      <c r="W54" s="35">
        <f>+GETPIVOTDATA("XCB4",'cubi (2016)'!$A$3,"MA_HT","TIN","MA_QH","SKN")</f>
        <v>0</v>
      </c>
      <c r="X54" s="35">
        <f>+GETPIVOTDATA("XCB4",'cubi (2016)'!$A$3,"MA_HT","TIN","MA_QH","TMD")</f>
        <v>0</v>
      </c>
      <c r="Y54" s="35">
        <f>+GETPIVOTDATA("XCB4",'cubi (2016)'!$A$3,"MA_HT","TIN","MA_QH","SKC")</f>
        <v>0</v>
      </c>
      <c r="Z54" s="35">
        <f>+GETPIVOTDATA("XCB4",'cubi (2016)'!$A$3,"MA_HT","TIN","MA_QH","SKS")</f>
        <v>0</v>
      </c>
      <c r="AA54" s="64">
        <f t="shared" si="21"/>
        <v>0</v>
      </c>
      <c r="AB54" s="35">
        <f>+GETPIVOTDATA("XCB4",'cubi (2016)'!$A$3,"MA_HT","TIN","MA_QH","DGT")</f>
        <v>0</v>
      </c>
      <c r="AC54" s="35">
        <f>+GETPIVOTDATA("XCB4",'cubi (2016)'!$A$3,"MA_HT","TIN","MA_QH","DTL")</f>
        <v>0</v>
      </c>
      <c r="AD54" s="35">
        <f>+GETPIVOTDATA("XCB4",'cubi (2016)'!$A$3,"MA_HT","TIN","MA_QH","DNL")</f>
        <v>0</v>
      </c>
      <c r="AE54" s="35">
        <f>+GETPIVOTDATA("XCB4",'cubi (2016)'!$A$3,"MA_HT","TIN","MA_QH","DBV")</f>
        <v>0</v>
      </c>
      <c r="AF54" s="35">
        <f>+GETPIVOTDATA("XCB4",'cubi (2016)'!$A$3,"MA_HT","TIN","MA_QH","DVH")</f>
        <v>0</v>
      </c>
      <c r="AG54" s="35">
        <f>+GETPIVOTDATA("XCB4",'cubi (2016)'!$A$3,"MA_HT","TIN","MA_QH","DYT")</f>
        <v>0</v>
      </c>
      <c r="AH54" s="35">
        <f>+GETPIVOTDATA("XCB4",'cubi (2016)'!$A$3,"MA_HT","TIN","MA_QH","DGD")</f>
        <v>0</v>
      </c>
      <c r="AI54" s="35">
        <f>+GETPIVOTDATA("XCB4",'cubi (2016)'!$A$3,"MA_HT","TIN","MA_QH","DTT")</f>
        <v>0</v>
      </c>
      <c r="AJ54" s="35">
        <f>+GETPIVOTDATA("XCB4",'cubi (2016)'!$A$3,"MA_HT","TIN","MA_QH","NCK")</f>
        <v>0</v>
      </c>
      <c r="AK54" s="35">
        <f>+GETPIVOTDATA("XCB4",'cubi (2016)'!$A$3,"MA_HT","TIN","MA_QH","DXH")</f>
        <v>0</v>
      </c>
      <c r="AL54" s="35">
        <f>+GETPIVOTDATA("XCB4",'cubi (2016)'!$A$3,"MA_HT","TIN","MA_QH","DCH")</f>
        <v>0</v>
      </c>
      <c r="AM54" s="35">
        <f>+GETPIVOTDATA("XCB4",'cubi (2016)'!$A$3,"MA_HT","TIN","MA_QH","DKG")</f>
        <v>0</v>
      </c>
      <c r="AN54" s="35">
        <f>+GETPIVOTDATA("XCB4",'cubi (2016)'!$A$3,"MA_HT","TIN","MA_QH","DDT")</f>
        <v>0</v>
      </c>
      <c r="AO54" s="35">
        <f>+GETPIVOTDATA("XCB4",'cubi (2016)'!$A$3,"MA_HT","TIN","MA_QH","DDL")</f>
        <v>0</v>
      </c>
      <c r="AP54" s="35">
        <f>+GETPIVOTDATA("XCB4",'cubi (2016)'!$A$3,"MA_HT","TIN","MA_QH","DRA")</f>
        <v>0</v>
      </c>
      <c r="AQ54" s="35">
        <f>+GETPIVOTDATA("XCB4",'cubi (2016)'!$A$3,"MA_HT","TIN","MA_QH","ONT")</f>
        <v>0</v>
      </c>
      <c r="AR54" s="35">
        <f>+GETPIVOTDATA("XCB4",'cubi (2016)'!$A$3,"MA_HT","TIN","MA_QH","ODT")</f>
        <v>0</v>
      </c>
      <c r="AS54" s="35">
        <f>+GETPIVOTDATA("XCB4",'cubi (2016)'!$A$3,"MA_HT","TIN","MA_QH","TSC")</f>
        <v>0</v>
      </c>
      <c r="AT54" s="35">
        <f>+GETPIVOTDATA("XCB4",'cubi (2016)'!$A$3,"MA_HT","TIN","MA_QH","DTS")</f>
        <v>0</v>
      </c>
      <c r="AU54" s="35">
        <f>+GETPIVOTDATA("XCB4",'cubi (2016)'!$A$3,"MA_HT","TIN","MA_QH","DNG")</f>
        <v>0</v>
      </c>
      <c r="AV54" s="35">
        <f>+GETPIVOTDATA("XCB4",'cubi (2016)'!$A$3,"MA_HT","TIN","MA_QH","TON")</f>
        <v>0</v>
      </c>
      <c r="AW54" s="35">
        <f>+GETPIVOTDATA("XCB4",'cubi (2016)'!$A$3,"MA_HT","TIN","MA_QH","NTD")</f>
        <v>0</v>
      </c>
      <c r="AX54" s="35">
        <f>+GETPIVOTDATA("XCB4",'cubi (2016)'!$A$3,"MA_HT","TIN","MA_QH","SKX")</f>
        <v>0</v>
      </c>
      <c r="AY54" s="35">
        <f>+GETPIVOTDATA("XCB4",'cubi (2016)'!$A$3,"MA_HT","TIN","MA_QH","DSH")</f>
        <v>0</v>
      </c>
      <c r="AZ54" s="35">
        <f>+GETPIVOTDATA("XCB4",'cubi (2016)'!$A$3,"MA_HT","TIN","MA_QH","DKV")</f>
        <v>0</v>
      </c>
      <c r="BA54" s="99" t="e">
        <f>$D54-$BF54</f>
        <v>#REF!</v>
      </c>
      <c r="BB54" s="35">
        <f>+GETPIVOTDATA("XCB4",'cubi (2016)'!$A$3,"MA_HT","TIN","MA_QH","SON")</f>
        <v>0</v>
      </c>
      <c r="BC54" s="35">
        <f>+GETPIVOTDATA("XCB4",'cubi (2016)'!$A$3,"MA_HT","TIN","MA_QH","MNC")</f>
        <v>0</v>
      </c>
      <c r="BD54" s="35">
        <f>+GETPIVOTDATA("XCB4",'cubi (2016)'!$A$3,"MA_HT","TIN","MA_QH","PNK")</f>
        <v>0</v>
      </c>
      <c r="BE54" s="58">
        <f>+GETPIVOTDATA("XCB4",'cubi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+GETPIVOTDATA("XCB4",'cubi (2016)'!$A$3,"MA_HT","SON","MA_QH","LUC")</f>
        <v>0</v>
      </c>
      <c r="H55" s="35">
        <f>+GETPIVOTDATA("XCB4",'cubi (2016)'!$A$3,"MA_HT","SON","MA_QH","LUK")</f>
        <v>0</v>
      </c>
      <c r="I55" s="35">
        <f>+GETPIVOTDATA("XCB4",'cubi (2016)'!$A$3,"MA_HT","SON","MA_QH","LUN")</f>
        <v>0</v>
      </c>
      <c r="J55" s="35">
        <f>+GETPIVOTDATA("XCB4",'cubi (2016)'!$A$3,"MA_HT","SON","MA_QH","HNK")</f>
        <v>0</v>
      </c>
      <c r="K55" s="35">
        <f>+GETPIVOTDATA("XCB4",'cubi (2016)'!$A$3,"MA_HT","SON","MA_QH","CLN")</f>
        <v>0</v>
      </c>
      <c r="L55" s="35">
        <f>+GETPIVOTDATA("XCB4",'cubi (2016)'!$A$3,"MA_HT","SON","MA_QH","RSX")</f>
        <v>0</v>
      </c>
      <c r="M55" s="35">
        <f>+GETPIVOTDATA("XCB4",'cubi (2016)'!$A$3,"MA_HT","SON","MA_QH","RPH")</f>
        <v>0</v>
      </c>
      <c r="N55" s="35">
        <f>+GETPIVOTDATA("XCB4",'cubi (2016)'!$A$3,"MA_HT","SON","MA_QH","RDD")</f>
        <v>0</v>
      </c>
      <c r="O55" s="35">
        <f>+GETPIVOTDATA("XCB4",'cubi (2016)'!$A$3,"MA_HT","SON","MA_QH","NTS")</f>
        <v>0</v>
      </c>
      <c r="P55" s="35">
        <f>+GETPIVOTDATA("XCB4",'cubi (2016)'!$A$3,"MA_HT","SON","MA_QH","LMU")</f>
        <v>0</v>
      </c>
      <c r="Q55" s="35">
        <f>+GETPIVOTDATA("XCB4",'cubi (2016)'!$A$3,"MA_HT","SON","MA_QH","NKH")</f>
        <v>0</v>
      </c>
      <c r="R55" s="106">
        <f>SUM(S55:AA55,AN55:AZ55,BC55:BD55)</f>
        <v>0</v>
      </c>
      <c r="S55" s="35">
        <f>+GETPIVOTDATA("XCB4",'cubi (2016)'!$A$3,"MA_HT","SON","MA_QH","CQP")</f>
        <v>0</v>
      </c>
      <c r="T55" s="35">
        <f>+GETPIVOTDATA("XCB4",'cubi (2016)'!$A$3,"MA_HT","SON","MA_QH","CAN")</f>
        <v>0</v>
      </c>
      <c r="U55" s="35">
        <f>+GETPIVOTDATA("XCB4",'cubi (2016)'!$A$3,"MA_HT","SON","MA_QH","SKK")</f>
        <v>0</v>
      </c>
      <c r="V55" s="35">
        <f>+GETPIVOTDATA("XCB4",'cubi (2016)'!$A$3,"MA_HT","SON","MA_QH","SKT")</f>
        <v>0</v>
      </c>
      <c r="W55" s="35">
        <f>+GETPIVOTDATA("XCB4",'cubi (2016)'!$A$3,"MA_HT","SON","MA_QH","SKN")</f>
        <v>0</v>
      </c>
      <c r="X55" s="35">
        <f>+GETPIVOTDATA("XCB4",'cubi (2016)'!$A$3,"MA_HT","SON","MA_QH","TMD")</f>
        <v>0</v>
      </c>
      <c r="Y55" s="35">
        <f>+GETPIVOTDATA("XCB4",'cubi (2016)'!$A$3,"MA_HT","SON","MA_QH","SKC")</f>
        <v>0</v>
      </c>
      <c r="Z55" s="35">
        <f>+GETPIVOTDATA("XCB4",'cubi (2016)'!$A$3,"MA_HT","SON","MA_QH","SKS")</f>
        <v>0</v>
      </c>
      <c r="AA55" s="64">
        <f t="shared" si="21"/>
        <v>0</v>
      </c>
      <c r="AB55" s="35">
        <f>+GETPIVOTDATA("XCB4",'cubi (2016)'!$A$3,"MA_HT","SON","MA_QH","DGT")</f>
        <v>0</v>
      </c>
      <c r="AC55" s="35">
        <f>+GETPIVOTDATA("XCB4",'cubi (2016)'!$A$3,"MA_HT","SON","MA_QH","DTL")</f>
        <v>0</v>
      </c>
      <c r="AD55" s="35">
        <f>+GETPIVOTDATA("XCB4",'cubi (2016)'!$A$3,"MA_HT","SON","MA_QH","DNL")</f>
        <v>0</v>
      </c>
      <c r="AE55" s="35">
        <f>+GETPIVOTDATA("XCB4",'cubi (2016)'!$A$3,"MA_HT","SON","MA_QH","DBV")</f>
        <v>0</v>
      </c>
      <c r="AF55" s="35">
        <f>+GETPIVOTDATA("XCB4",'cubi (2016)'!$A$3,"MA_HT","SON","MA_QH","DVH")</f>
        <v>0</v>
      </c>
      <c r="AG55" s="35">
        <f>+GETPIVOTDATA("XCB4",'cubi (2016)'!$A$3,"MA_HT","SON","MA_QH","DYT")</f>
        <v>0</v>
      </c>
      <c r="AH55" s="35">
        <f>+GETPIVOTDATA("XCB4",'cubi (2016)'!$A$3,"MA_HT","SON","MA_QH","DGD")</f>
        <v>0</v>
      </c>
      <c r="AI55" s="35">
        <f>+GETPIVOTDATA("XCB4",'cubi (2016)'!$A$3,"MA_HT","SON","MA_QH","DTT")</f>
        <v>0</v>
      </c>
      <c r="AJ55" s="35">
        <f>+GETPIVOTDATA("XCB4",'cubi (2016)'!$A$3,"MA_HT","SON","MA_QH","NCK")</f>
        <v>0</v>
      </c>
      <c r="AK55" s="35">
        <f>+GETPIVOTDATA("XCB4",'cubi (2016)'!$A$3,"MA_HT","SON","MA_QH","DXH")</f>
        <v>0</v>
      </c>
      <c r="AL55" s="35">
        <f>+GETPIVOTDATA("XCB4",'cubi (2016)'!$A$3,"MA_HT","SON","MA_QH","DCH")</f>
        <v>0</v>
      </c>
      <c r="AM55" s="35">
        <f>+GETPIVOTDATA("XCB4",'cubi (2016)'!$A$3,"MA_HT","SON","MA_QH","DKG")</f>
        <v>0</v>
      </c>
      <c r="AN55" s="35">
        <f>+GETPIVOTDATA("XCB4",'cubi (2016)'!$A$3,"MA_HT","SON","MA_QH","DDT")</f>
        <v>0</v>
      </c>
      <c r="AO55" s="35">
        <f>+GETPIVOTDATA("XCB4",'cubi (2016)'!$A$3,"MA_HT","SON","MA_QH","DDL")</f>
        <v>0</v>
      </c>
      <c r="AP55" s="35">
        <f>+GETPIVOTDATA("XCB4",'cubi (2016)'!$A$3,"MA_HT","SON","MA_QH","DRA")</f>
        <v>0</v>
      </c>
      <c r="AQ55" s="35">
        <f>+GETPIVOTDATA("XCB4",'cubi (2016)'!$A$3,"MA_HT","SON","MA_QH","ONT")</f>
        <v>0</v>
      </c>
      <c r="AR55" s="35">
        <f>+GETPIVOTDATA("XCB4",'cubi (2016)'!$A$3,"MA_HT","SON","MA_QH","ODT")</f>
        <v>0</v>
      </c>
      <c r="AS55" s="35">
        <f>+GETPIVOTDATA("XCB4",'cubi (2016)'!$A$3,"MA_HT","SON","MA_QH","TSC")</f>
        <v>0</v>
      </c>
      <c r="AT55" s="35">
        <f>+GETPIVOTDATA("XCB4",'cubi (2016)'!$A$3,"MA_HT","SON","MA_QH","DTS")</f>
        <v>0</v>
      </c>
      <c r="AU55" s="35">
        <f>+GETPIVOTDATA("XCB4",'cubi (2016)'!$A$3,"MA_HT","SON","MA_QH","DNG")</f>
        <v>0</v>
      </c>
      <c r="AV55" s="35">
        <f>+GETPIVOTDATA("XCB4",'cubi (2016)'!$A$3,"MA_HT","SON","MA_QH","TON")</f>
        <v>0</v>
      </c>
      <c r="AW55" s="35">
        <f>+GETPIVOTDATA("XCB4",'cubi (2016)'!$A$3,"MA_HT","SON","MA_QH","NTD")</f>
        <v>0</v>
      </c>
      <c r="AX55" s="35">
        <f>+GETPIVOTDATA("XCB4",'cubi (2016)'!$A$3,"MA_HT","SON","MA_QH","SKX")</f>
        <v>0</v>
      </c>
      <c r="AY55" s="35">
        <f>+GETPIVOTDATA("XCB4",'cubi (2016)'!$A$3,"MA_HT","SON","MA_QH","DSH")</f>
        <v>0</v>
      </c>
      <c r="AZ55" s="35">
        <f>+GETPIVOTDATA("XCB4",'cubi (2016)'!$A$3,"MA_HT","SON","MA_QH","DKV")</f>
        <v>0</v>
      </c>
      <c r="BA55" s="140">
        <f>+GETPIVOTDATA("XCB4",'cubi (2016)'!$A$3,"MA_HT","SON","MA_QH","TIN")</f>
        <v>0</v>
      </c>
      <c r="BB55" s="99" t="e">
        <f>$D55-$BF55</f>
        <v>#REF!</v>
      </c>
      <c r="BC55" s="74">
        <f>+GETPIVOTDATA("XCB4",'cubi (2016)'!$A$3,"MA_HT","SON","MA_QH","MNC")</f>
        <v>0</v>
      </c>
      <c r="BD55" s="35">
        <f>+GETPIVOTDATA("XCB4",'cubi (2016)'!$A$3,"MA_HT","SON","MA_QH","PNK")</f>
        <v>0</v>
      </c>
      <c r="BE55" s="58">
        <f>+GETPIVOTDATA("XCB4",'cubi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+GETPIVOTDATA("XCB4",'cubi (2016)'!$A$3,"MA_HT","MNC","MA_QH","LUC")</f>
        <v>0</v>
      </c>
      <c r="H56" s="35">
        <f>+GETPIVOTDATA("XCB4",'cubi (2016)'!$A$3,"MA_HT","MNC","MA_QH","LUK")</f>
        <v>0</v>
      </c>
      <c r="I56" s="35">
        <f>+GETPIVOTDATA("XCB4",'cubi (2016)'!$A$3,"MA_HT","MNC","MA_QH","LUN")</f>
        <v>0</v>
      </c>
      <c r="J56" s="35">
        <f>+GETPIVOTDATA("XCB4",'cubi (2016)'!$A$3,"MA_HT","MNC","MA_QH","HNK")</f>
        <v>0</v>
      </c>
      <c r="K56" s="35">
        <f>+GETPIVOTDATA("XCB4",'cubi (2016)'!$A$3,"MA_HT","MNC","MA_QH","CLN")</f>
        <v>0</v>
      </c>
      <c r="L56" s="35">
        <f>+GETPIVOTDATA("XCB4",'cubi (2016)'!$A$3,"MA_HT","MNC","MA_QH","RSX")</f>
        <v>0</v>
      </c>
      <c r="M56" s="35">
        <f>+GETPIVOTDATA("XCB4",'cubi (2016)'!$A$3,"MA_HT","MNC","MA_QH","RPH")</f>
        <v>0</v>
      </c>
      <c r="N56" s="35">
        <f>+GETPIVOTDATA("XCB4",'cubi (2016)'!$A$3,"MA_HT","MNC","MA_QH","RDD")</f>
        <v>0</v>
      </c>
      <c r="O56" s="35">
        <f>+GETPIVOTDATA("XCB4",'cubi (2016)'!$A$3,"MA_HT","MNC","MA_QH","NTS")</f>
        <v>0</v>
      </c>
      <c r="P56" s="35">
        <f>+GETPIVOTDATA("XCB4",'cubi (2016)'!$A$3,"MA_HT","MNC","MA_QH","LMU")</f>
        <v>0</v>
      </c>
      <c r="Q56" s="35">
        <f>+GETPIVOTDATA("XCB4",'cubi (2016)'!$A$3,"MA_HT","MNC","MA_QH","NKH")</f>
        <v>0</v>
      </c>
      <c r="R56" s="106">
        <f>SUM(S56:AA56,AN56:BB56,BD56)</f>
        <v>0</v>
      </c>
      <c r="S56" s="35">
        <f>+GETPIVOTDATA("XCB4",'cubi (2016)'!$A$3,"MA_HT","MNC","MA_QH","CQP")</f>
        <v>0</v>
      </c>
      <c r="T56" s="35">
        <f>+GETPIVOTDATA("XCB4",'cubi (2016)'!$A$3,"MA_HT","MNC","MA_QH","CAN")</f>
        <v>0</v>
      </c>
      <c r="U56" s="35">
        <f>+GETPIVOTDATA("XCB4",'cubi (2016)'!$A$3,"MA_HT","MNC","MA_QH","SKK")</f>
        <v>0</v>
      </c>
      <c r="V56" s="35">
        <f>+GETPIVOTDATA("XCB4",'cubi (2016)'!$A$3,"MA_HT","MNC","MA_QH","SKT")</f>
        <v>0</v>
      </c>
      <c r="W56" s="35">
        <f>+GETPIVOTDATA("XCB4",'cubi (2016)'!$A$3,"MA_HT","MNC","MA_QH","SKN")</f>
        <v>0</v>
      </c>
      <c r="X56" s="35">
        <f>+GETPIVOTDATA("XCB4",'cubi (2016)'!$A$3,"MA_HT","MNC","MA_QH","TMD")</f>
        <v>0</v>
      </c>
      <c r="Y56" s="35">
        <f>+GETPIVOTDATA("XCB4",'cubi (2016)'!$A$3,"MA_HT","MNC","MA_QH","SKC")</f>
        <v>0</v>
      </c>
      <c r="Z56" s="35">
        <f>+GETPIVOTDATA("XCB4",'cubi (2016)'!$A$3,"MA_HT","MNC","MA_QH","SKS")</f>
        <v>0</v>
      </c>
      <c r="AA56" s="64">
        <f t="shared" si="21"/>
        <v>0</v>
      </c>
      <c r="AB56" s="35">
        <f>+GETPIVOTDATA("XCB4",'cubi (2016)'!$A$3,"MA_HT","MNC","MA_QH","DGT")</f>
        <v>0</v>
      </c>
      <c r="AC56" s="35">
        <f>+GETPIVOTDATA("XCB4",'cubi (2016)'!$A$3,"MA_HT","MNC","MA_QH","DTL")</f>
        <v>0</v>
      </c>
      <c r="AD56" s="35">
        <f>+GETPIVOTDATA("XCB4",'cubi (2016)'!$A$3,"MA_HT","MNC","MA_QH","DNL")</f>
        <v>0</v>
      </c>
      <c r="AE56" s="35">
        <f>+GETPIVOTDATA("XCB4",'cubi (2016)'!$A$3,"MA_HT","MNC","MA_QH","DBV")</f>
        <v>0</v>
      </c>
      <c r="AF56" s="35">
        <f>+GETPIVOTDATA("XCB4",'cubi (2016)'!$A$3,"MA_HT","MNC","MA_QH","DVH")</f>
        <v>0</v>
      </c>
      <c r="AG56" s="35">
        <f>+GETPIVOTDATA("XCB4",'cubi (2016)'!$A$3,"MA_HT","MNC","MA_QH","DYT")</f>
        <v>0</v>
      </c>
      <c r="AH56" s="35">
        <f>+GETPIVOTDATA("XCB4",'cubi (2016)'!$A$3,"MA_HT","MNC","MA_QH","DGD")</f>
        <v>0</v>
      </c>
      <c r="AI56" s="35">
        <f>+GETPIVOTDATA("XCB4",'cubi (2016)'!$A$3,"MA_HT","MNC","MA_QH","DTT")</f>
        <v>0</v>
      </c>
      <c r="AJ56" s="35">
        <f>+GETPIVOTDATA("XCB4",'cubi (2016)'!$A$3,"MA_HT","MNC","MA_QH","NCK")</f>
        <v>0</v>
      </c>
      <c r="AK56" s="35">
        <f>+GETPIVOTDATA("XCB4",'cubi (2016)'!$A$3,"MA_HT","MNC","MA_QH","DXH")</f>
        <v>0</v>
      </c>
      <c r="AL56" s="35">
        <f>+GETPIVOTDATA("XCB4",'cubi (2016)'!$A$3,"MA_HT","MNC","MA_QH","DCH")</f>
        <v>0</v>
      </c>
      <c r="AM56" s="35">
        <f>+GETPIVOTDATA("XCB4",'cubi (2016)'!$A$3,"MA_HT","MNC","MA_QH","DKG")</f>
        <v>0</v>
      </c>
      <c r="AN56" s="35">
        <f>+GETPIVOTDATA("XCB4",'cubi (2016)'!$A$3,"MA_HT","MNC","MA_QH","DDT")</f>
        <v>0</v>
      </c>
      <c r="AO56" s="35">
        <f>+GETPIVOTDATA("XCB4",'cubi (2016)'!$A$3,"MA_HT","MNC","MA_QH","DDL")</f>
        <v>0</v>
      </c>
      <c r="AP56" s="35">
        <f>+GETPIVOTDATA("XCB4",'cubi (2016)'!$A$3,"MA_HT","MNC","MA_QH","DRA")</f>
        <v>0</v>
      </c>
      <c r="AQ56" s="35">
        <f>+GETPIVOTDATA("XCB4",'cubi (2016)'!$A$3,"MA_HT","MNC","MA_QH","ONT")</f>
        <v>0</v>
      </c>
      <c r="AR56" s="35">
        <f>+GETPIVOTDATA("XCB4",'cubi (2016)'!$A$3,"MA_HT","MNC","MA_QH","ODT")</f>
        <v>0</v>
      </c>
      <c r="AS56" s="35">
        <f>+GETPIVOTDATA("XCB4",'cubi (2016)'!$A$3,"MA_HT","MNC","MA_QH","TSC")</f>
        <v>0</v>
      </c>
      <c r="AT56" s="35">
        <f>+GETPIVOTDATA("XCB4",'cubi (2016)'!$A$3,"MA_HT","MNC","MA_QH","DTS")</f>
        <v>0</v>
      </c>
      <c r="AU56" s="35">
        <f>+GETPIVOTDATA("XCB4",'cubi (2016)'!$A$3,"MA_HT","MNC","MA_QH","DNG")</f>
        <v>0</v>
      </c>
      <c r="AV56" s="35">
        <f>+GETPIVOTDATA("XCB4",'cubi (2016)'!$A$3,"MA_HT","MNC","MA_QH","TON")</f>
        <v>0</v>
      </c>
      <c r="AW56" s="35">
        <f>+GETPIVOTDATA("XCB4",'cubi (2016)'!$A$3,"MA_HT","MNC","MA_QH","NTD")</f>
        <v>0</v>
      </c>
      <c r="AX56" s="35">
        <f>+GETPIVOTDATA("XCB4",'cubi (2016)'!$A$3,"MA_HT","MNC","MA_QH","SKX")</f>
        <v>0</v>
      </c>
      <c r="AY56" s="35">
        <f>+GETPIVOTDATA("XCB4",'cubi (2016)'!$A$3,"MA_HT","MNC","MA_QH","DSH")</f>
        <v>0</v>
      </c>
      <c r="AZ56" s="35">
        <f>+GETPIVOTDATA("XCB4",'cubi (2016)'!$A$3,"MA_HT","MNC","MA_QH","DKV")</f>
        <v>0</v>
      </c>
      <c r="BA56" s="140">
        <f>+GETPIVOTDATA("XCB4",'cubi (2016)'!$A$3,"MA_HT","MNC","MA_QH","TIN")</f>
        <v>0</v>
      </c>
      <c r="BB56" s="74">
        <f>+GETPIVOTDATA("XCB4",'cubi (2016)'!$A$3,"MA_HT","MNC","MA_QH","SON")</f>
        <v>0</v>
      </c>
      <c r="BC56" s="99" t="e">
        <f>$D56-$BF56</f>
        <v>#REF!</v>
      </c>
      <c r="BD56" s="35">
        <f>+GETPIVOTDATA("XCB4",'cubi (2016)'!$A$3,"MA_HT","MNC","MA_QH","PNK")</f>
        <v>0</v>
      </c>
      <c r="BE56" s="58">
        <f>+GETPIVOTDATA("XCB4",'cubi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+GETPIVOTDATA("XCB4",'cubi (2016)'!$A$3,"MA_HT","PNK","MA_QH","LUC")</f>
        <v>0</v>
      </c>
      <c r="H57" s="35">
        <f>+GETPIVOTDATA("XCB4",'cubi (2016)'!$A$3,"MA_HT","PNK","MA_QH","LUK")</f>
        <v>0</v>
      </c>
      <c r="I57" s="35">
        <f>+GETPIVOTDATA("XCB4",'cubi (2016)'!$A$3,"MA_HT","PNK","MA_QH","LUN")</f>
        <v>0</v>
      </c>
      <c r="J57" s="35">
        <f>+GETPIVOTDATA("XCB4",'cubi (2016)'!$A$3,"MA_HT","PNK","MA_QH","HNK")</f>
        <v>0</v>
      </c>
      <c r="K57" s="35">
        <f>+GETPIVOTDATA("XCB4",'cubi (2016)'!$A$3,"MA_HT","PNK","MA_QH","CLN")</f>
        <v>0</v>
      </c>
      <c r="L57" s="35">
        <f>+GETPIVOTDATA("XCB4",'cubi (2016)'!$A$3,"MA_HT","PNK","MA_QH","RSX")</f>
        <v>0</v>
      </c>
      <c r="M57" s="35">
        <f>+GETPIVOTDATA("XCB4",'cubi (2016)'!$A$3,"MA_HT","PNK","MA_QH","RPH")</f>
        <v>0</v>
      </c>
      <c r="N57" s="35">
        <f>+GETPIVOTDATA("XCB4",'cubi (2016)'!$A$3,"MA_HT","PNK","MA_QH","RDD")</f>
        <v>0</v>
      </c>
      <c r="O57" s="35">
        <f>+GETPIVOTDATA("XCB4",'cubi (2016)'!$A$3,"MA_HT","PNK","MA_QH","NTS")</f>
        <v>0</v>
      </c>
      <c r="P57" s="35">
        <f>+GETPIVOTDATA("XCB4",'cubi (2016)'!$A$3,"MA_HT","PNK","MA_QH","LMU")</f>
        <v>0</v>
      </c>
      <c r="Q57" s="35">
        <f>+GETPIVOTDATA("XCB4",'cubi (2016)'!$A$3,"MA_HT","PNK","MA_QH","NKH")</f>
        <v>0</v>
      </c>
      <c r="R57" s="106">
        <f>SUM(S57:AA57,AN57:BC57)</f>
        <v>0</v>
      </c>
      <c r="S57" s="35">
        <f>+GETPIVOTDATA("XCB4",'cubi (2016)'!$A$3,"MA_HT","PNK","MA_QH","CQP")</f>
        <v>0</v>
      </c>
      <c r="T57" s="35">
        <f>+GETPIVOTDATA("XCB4",'cubi (2016)'!$A$3,"MA_HT","PNK","MA_QH","CAN")</f>
        <v>0</v>
      </c>
      <c r="U57" s="35">
        <f>+GETPIVOTDATA("XCB4",'cubi (2016)'!$A$3,"MA_HT","PNK","MA_QH","SKK")</f>
        <v>0</v>
      </c>
      <c r="V57" s="35">
        <f>+GETPIVOTDATA("XCB4",'cubi (2016)'!$A$3,"MA_HT","PNK","MA_QH","SKT")</f>
        <v>0</v>
      </c>
      <c r="W57" s="35">
        <f>+GETPIVOTDATA("XCB4",'cubi (2016)'!$A$3,"MA_HT","PNK","MA_QH","SKN")</f>
        <v>0</v>
      </c>
      <c r="X57" s="35">
        <f>+GETPIVOTDATA("XCB4",'cubi (2016)'!$A$3,"MA_HT","PNK","MA_QH","TMD")</f>
        <v>0</v>
      </c>
      <c r="Y57" s="35">
        <f>+GETPIVOTDATA("XCB4",'cubi (2016)'!$A$3,"MA_HT","PNK","MA_QH","SKC")</f>
        <v>0</v>
      </c>
      <c r="Z57" s="35">
        <f>+GETPIVOTDATA("XCB4",'cubi (2016)'!$A$3,"MA_HT","PNK","MA_QH","SKS")</f>
        <v>0</v>
      </c>
      <c r="AA57" s="64">
        <f t="shared" si="21"/>
        <v>0</v>
      </c>
      <c r="AB57" s="35">
        <f>+GETPIVOTDATA("XCB4",'cubi (2016)'!$A$3,"MA_HT","PNK","MA_QH","DGT")</f>
        <v>0</v>
      </c>
      <c r="AC57" s="35">
        <f>+GETPIVOTDATA("XCB4",'cubi (2016)'!$A$3,"MA_HT","PNK","MA_QH","DTL")</f>
        <v>0</v>
      </c>
      <c r="AD57" s="35">
        <f>+GETPIVOTDATA("XCB4",'cubi (2016)'!$A$3,"MA_HT","PNK","MA_QH","DNL")</f>
        <v>0</v>
      </c>
      <c r="AE57" s="35">
        <f>+GETPIVOTDATA("XCB4",'cubi (2016)'!$A$3,"MA_HT","PNK","MA_QH","DBV")</f>
        <v>0</v>
      </c>
      <c r="AF57" s="35">
        <f>+GETPIVOTDATA("XCB4",'cubi (2016)'!$A$3,"MA_HT","PNK","MA_QH","DVH")</f>
        <v>0</v>
      </c>
      <c r="AG57" s="35">
        <f>+GETPIVOTDATA("XCB4",'cubi (2016)'!$A$3,"MA_HT","PNK","MA_QH","DYT")</f>
        <v>0</v>
      </c>
      <c r="AH57" s="35">
        <f>+GETPIVOTDATA("XCB4",'cubi (2016)'!$A$3,"MA_HT","PNK","MA_QH","DGD")</f>
        <v>0</v>
      </c>
      <c r="AI57" s="35">
        <f>+GETPIVOTDATA("XCB4",'cubi (2016)'!$A$3,"MA_HT","PNK","MA_QH","DTT")</f>
        <v>0</v>
      </c>
      <c r="AJ57" s="35">
        <f>+GETPIVOTDATA("XCB4",'cubi (2016)'!$A$3,"MA_HT","PNK","MA_QH","NCK")</f>
        <v>0</v>
      </c>
      <c r="AK57" s="35">
        <f>+GETPIVOTDATA("XCB4",'cubi (2016)'!$A$3,"MA_HT","PNK","MA_QH","DXH")</f>
        <v>0</v>
      </c>
      <c r="AL57" s="35">
        <f>+GETPIVOTDATA("XCB4",'cubi (2016)'!$A$3,"MA_HT","PNK","MA_QH","DCH")</f>
        <v>0</v>
      </c>
      <c r="AM57" s="35">
        <f>+GETPIVOTDATA("XCB4",'cubi (2016)'!$A$3,"MA_HT","PNK","MA_QH","DKG")</f>
        <v>0</v>
      </c>
      <c r="AN57" s="35">
        <f>+GETPIVOTDATA("XCB4",'cubi (2016)'!$A$3,"MA_HT","PNK","MA_QH","DDT")</f>
        <v>0</v>
      </c>
      <c r="AO57" s="35">
        <f>+GETPIVOTDATA("XCB4",'cubi (2016)'!$A$3,"MA_HT","PNK","MA_QH","DDL")</f>
        <v>0</v>
      </c>
      <c r="AP57" s="35">
        <f>+GETPIVOTDATA("XCB4",'cubi (2016)'!$A$3,"MA_HT","PNK","MA_QH","DRA")</f>
        <v>0</v>
      </c>
      <c r="AQ57" s="35">
        <f>+GETPIVOTDATA("XCB4",'cubi (2016)'!$A$3,"MA_HT","PNK","MA_QH","ONT")</f>
        <v>0</v>
      </c>
      <c r="AR57" s="35">
        <f>+GETPIVOTDATA("XCB4",'cubi (2016)'!$A$3,"MA_HT","PNK","MA_QH","ODT")</f>
        <v>0</v>
      </c>
      <c r="AS57" s="35">
        <f>+GETPIVOTDATA("XCB4",'cubi (2016)'!$A$3,"MA_HT","PNK","MA_QH","TSC")</f>
        <v>0</v>
      </c>
      <c r="AT57" s="35">
        <f>+GETPIVOTDATA("XCB4",'cubi (2016)'!$A$3,"MA_HT","PNK","MA_QH","DTS")</f>
        <v>0</v>
      </c>
      <c r="AU57" s="35">
        <f>+GETPIVOTDATA("XCB4",'cubi (2016)'!$A$3,"MA_HT","PNK","MA_QH","DNG")</f>
        <v>0</v>
      </c>
      <c r="AV57" s="35">
        <f>+GETPIVOTDATA("XCB4",'cubi (2016)'!$A$3,"MA_HT","PNK","MA_QH","TON")</f>
        <v>0</v>
      </c>
      <c r="AW57" s="35">
        <f>+GETPIVOTDATA("XCB4",'cubi (2016)'!$A$3,"MA_HT","PNK","MA_QH","NTD")</f>
        <v>0</v>
      </c>
      <c r="AX57" s="35">
        <f>+GETPIVOTDATA("XCB4",'cubi (2016)'!$A$3,"MA_HT","PNK","MA_QH","SKX")</f>
        <v>0</v>
      </c>
      <c r="AY57" s="35">
        <f>+GETPIVOTDATA("XCB4",'cubi (2016)'!$A$3,"MA_HT","PNK","MA_QH","DSH")</f>
        <v>0</v>
      </c>
      <c r="AZ57" s="35">
        <f>+GETPIVOTDATA("XCB4",'cubi (2016)'!$A$3,"MA_HT","PNK","MA_QH","DKV")</f>
        <v>0</v>
      </c>
      <c r="BA57" s="140">
        <f>+GETPIVOTDATA("XCB4",'cubi (2016)'!$A$3,"MA_HT","PNK","MA_QH","TIN")</f>
        <v>0</v>
      </c>
      <c r="BB57" s="74">
        <f>+GETPIVOTDATA("XCB4",'cubi (2016)'!$A$3,"MA_HT","PNK","MA_QH","SON")</f>
        <v>0</v>
      </c>
      <c r="BC57" s="74">
        <f>+GETPIVOTDATA("XCB4",'cubi (2016)'!$A$3,"MA_HT","PNK","MA_QH","MNC")</f>
        <v>0</v>
      </c>
      <c r="BD57" s="99" t="e">
        <f>$D57-$BF57</f>
        <v>#REF!</v>
      </c>
      <c r="BE57" s="58">
        <f>+GETPIVOTDATA("XCB4",'cubi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+GETPIVOTDATA("XCB4",'cubi (2016)'!$A$3,"MA_HT","CSD","MA_QH","LUC")</f>
        <v>0</v>
      </c>
      <c r="H58" s="58">
        <f>+GETPIVOTDATA("XCB4",'cubi (2016)'!$A$3,"MA_HT","CSD","MA_QH","LUK")</f>
        <v>0</v>
      </c>
      <c r="I58" s="58">
        <f>+GETPIVOTDATA("XCB4",'cubi (2016)'!$A$3,"MA_HT","CSD","MA_QH","LUN")</f>
        <v>0</v>
      </c>
      <c r="J58" s="58">
        <f>+GETPIVOTDATA("XCB4",'cubi (2016)'!$A$3,"MA_HT","CSD","MA_QH","HNK")</f>
        <v>0</v>
      </c>
      <c r="K58" s="58">
        <f>+GETPIVOTDATA("XCB4",'cubi (2016)'!$A$3,"MA_HT","CSD","MA_QH","CLN")</f>
        <v>0</v>
      </c>
      <c r="L58" s="58">
        <f>+GETPIVOTDATA("XCB4",'cubi (2016)'!$A$3,"MA_HT","CSD","MA_QH","RSX")</f>
        <v>0</v>
      </c>
      <c r="M58" s="58">
        <f>+GETPIVOTDATA("XCB4",'cubi (2016)'!$A$3,"MA_HT","CSD","MA_QH","RPH")</f>
        <v>0</v>
      </c>
      <c r="N58" s="58">
        <f>+GETPIVOTDATA("XCB4",'cubi (2016)'!$A$3,"MA_HT","CSD","MA_QH","RDD")</f>
        <v>0</v>
      </c>
      <c r="O58" s="58">
        <f>+GETPIVOTDATA("XCB4",'cubi (2016)'!$A$3,"MA_HT","CSD","MA_QH","NTS")</f>
        <v>0</v>
      </c>
      <c r="P58" s="58">
        <f>+GETPIVOTDATA("XCB4",'cubi (2016)'!$A$3,"MA_HT","CSD","MA_QH","LMU")</f>
        <v>0</v>
      </c>
      <c r="Q58" s="58">
        <f>+GETPIVOTDATA("XCB4",'cubi (2016)'!$A$3,"MA_HT","CSD","MA_QH","NKH")</f>
        <v>0</v>
      </c>
      <c r="R58" s="106">
        <f>SUM(S58:AA58,AN58:BD58)</f>
        <v>0</v>
      </c>
      <c r="S58" s="102">
        <f>+GETPIVOTDATA("XCB4",'cubi (2016)'!$A$3,"MA_HT","CSD","MA_QH","CQP")</f>
        <v>0</v>
      </c>
      <c r="T58" s="102">
        <f>+GETPIVOTDATA("XCB4",'cubi (2016)'!$A$3,"MA_HT","CSD","MA_QH","CAN")</f>
        <v>0</v>
      </c>
      <c r="U58" s="58">
        <f>+GETPIVOTDATA("XCB4",'cubi (2016)'!$A$3,"MA_HT","CSD","MA_QH","SKK")</f>
        <v>0</v>
      </c>
      <c r="V58" s="58">
        <f>+GETPIVOTDATA("XCB4",'cubi (2016)'!$A$3,"MA_HT","CSD","MA_QH","SKT")</f>
        <v>0</v>
      </c>
      <c r="W58" s="58">
        <f>+GETPIVOTDATA("XCB4",'cubi (2016)'!$A$3,"MA_HT","CSD","MA_QH","SKN")</f>
        <v>0</v>
      </c>
      <c r="X58" s="58">
        <f>+GETPIVOTDATA("XCB4",'cubi (2016)'!$A$3,"MA_HT","CSD","MA_QH","TMD")</f>
        <v>0</v>
      </c>
      <c r="Y58" s="58">
        <f>+GETPIVOTDATA("XCB4",'cubi (2016)'!$A$3,"MA_HT","CSD","MA_QH","SKC")</f>
        <v>0</v>
      </c>
      <c r="Z58" s="58">
        <f>+GETPIVOTDATA("XCB4",'cubi (2016)'!$A$3,"MA_HT","CSD","MA_QH","SKS")</f>
        <v>0</v>
      </c>
      <c r="AA58" s="64">
        <f t="shared" si="21"/>
        <v>0</v>
      </c>
      <c r="AB58" s="102">
        <f>+GETPIVOTDATA("XCB4",'cubi (2016)'!$A$3,"MA_HT","CSD","MA_QH","DGT")</f>
        <v>0</v>
      </c>
      <c r="AC58" s="102">
        <f>+GETPIVOTDATA("XCB4",'cubi (2016)'!$A$3,"MA_HT","CSD","MA_QH","DTL")</f>
        <v>0</v>
      </c>
      <c r="AD58" s="102">
        <f>+GETPIVOTDATA("XCB4",'cubi (2016)'!$A$3,"MA_HT","CSD","MA_QH","DNL")</f>
        <v>0</v>
      </c>
      <c r="AE58" s="102">
        <f>+GETPIVOTDATA("XCB4",'cubi (2016)'!$A$3,"MA_HT","CSD","MA_QH","DBV")</f>
        <v>0</v>
      </c>
      <c r="AF58" s="102">
        <f>+GETPIVOTDATA("XCB4",'cubi (2016)'!$A$3,"MA_HT","CSD","MA_QH","DVH")</f>
        <v>0</v>
      </c>
      <c r="AG58" s="102">
        <f>+GETPIVOTDATA("XCB4",'cubi (2016)'!$A$3,"MA_HT","CSD","MA_QH","DYT")</f>
        <v>0</v>
      </c>
      <c r="AH58" s="102">
        <f>+GETPIVOTDATA("XCB4",'cubi (2016)'!$A$3,"MA_HT","CSD","MA_QH","DGD")</f>
        <v>0</v>
      </c>
      <c r="AI58" s="102">
        <f>+GETPIVOTDATA("XCB4",'cubi (2016)'!$A$3,"MA_HT","CSD","MA_QH","DTT")</f>
        <v>0</v>
      </c>
      <c r="AJ58" s="102">
        <f>+GETPIVOTDATA("XCB4",'cubi (2016)'!$A$3,"MA_HT","CSD","MA_QH","NCK")</f>
        <v>0</v>
      </c>
      <c r="AK58" s="102">
        <f>+GETPIVOTDATA("XCB4",'cubi (2016)'!$A$3,"MA_HT","CSD","MA_QH","DXH")</f>
        <v>0</v>
      </c>
      <c r="AL58" s="102">
        <f>+GETPIVOTDATA("XCB4",'cubi (2016)'!$A$3,"MA_HT","CSD","MA_QH","DCH")</f>
        <v>0</v>
      </c>
      <c r="AM58" s="102">
        <f>+GETPIVOTDATA("XCB4",'cubi (2016)'!$A$3,"MA_HT","CSD","MA_QH","DKG")</f>
        <v>0</v>
      </c>
      <c r="AN58" s="58">
        <f>+GETPIVOTDATA("XCB4",'cubi (2016)'!$A$3,"MA_HT","CSD","MA_QH","DDT")</f>
        <v>0</v>
      </c>
      <c r="AO58" s="58">
        <f>+GETPIVOTDATA("XCB4",'cubi (2016)'!$A$3,"MA_HT","CSD","MA_QH","DDL")</f>
        <v>0</v>
      </c>
      <c r="AP58" s="58">
        <f>+GETPIVOTDATA("XCB4",'cubi (2016)'!$A$3,"MA_HT","CSD","MA_QH","DRA")</f>
        <v>0</v>
      </c>
      <c r="AQ58" s="58">
        <f>+GETPIVOTDATA("XCB4",'cubi (2016)'!$A$3,"MA_HT","CSD","MA_QH","ONT")</f>
        <v>0</v>
      </c>
      <c r="AR58" s="58">
        <f>+GETPIVOTDATA("XCB4",'cubi (2016)'!$A$3,"MA_HT","CSD","MA_QH","ODT")</f>
        <v>0</v>
      </c>
      <c r="AS58" s="58">
        <f>+GETPIVOTDATA("XCB4",'cubi (2016)'!$A$3,"MA_HT","CSD","MA_QH","TSC")</f>
        <v>0</v>
      </c>
      <c r="AT58" s="58">
        <f>+GETPIVOTDATA("XCB4",'cubi (2016)'!$A$3,"MA_HT","CSD","MA_QH","DTS")</f>
        <v>0</v>
      </c>
      <c r="AU58" s="58">
        <f>+GETPIVOTDATA("XCB4",'cubi (2016)'!$A$3,"MA_HT","CSD","MA_QH","DNG")</f>
        <v>0</v>
      </c>
      <c r="AV58" s="58">
        <f>+GETPIVOTDATA("XCB4",'cubi (2016)'!$A$3,"MA_HT","CSD","MA_QH","TON")</f>
        <v>0</v>
      </c>
      <c r="AW58" s="58">
        <f>+GETPIVOTDATA("XCB4",'cubi (2016)'!$A$3,"MA_HT","CSD","MA_QH","NTD")</f>
        <v>0</v>
      </c>
      <c r="AX58" s="58">
        <f>+GETPIVOTDATA("XCB4",'cubi (2016)'!$A$3,"MA_HT","CSD","MA_QH","SKX")</f>
        <v>0</v>
      </c>
      <c r="AY58" s="58">
        <f>+GETPIVOTDATA("XCB4",'cubi (2016)'!$A$3,"MA_HT","CSD","MA_QH","DSH")</f>
        <v>0</v>
      </c>
      <c r="AZ58" s="58">
        <f>+GETPIVOTDATA("XCB4",'cubi (2016)'!$A$3,"MA_HT","CSD","MA_QH","DKV")</f>
        <v>0</v>
      </c>
      <c r="BA58" s="140">
        <f>+GETPIVOTDATA("XCB4",'cubi (2016)'!$A$3,"MA_HT","CSD","MA_QH","TIN")</f>
        <v>0</v>
      </c>
      <c r="BB58" s="102">
        <f>+GETPIVOTDATA("XCB4",'cubi (2016)'!$A$3,"MA_HT","CSD","MA_QH","SON")</f>
        <v>0</v>
      </c>
      <c r="BC58" s="102">
        <f>+GETPIVOTDATA("XCB4",'cubi (2016)'!$A$3,"MA_HT","CSD","MA_QH","MNC")</f>
        <v>0</v>
      </c>
      <c r="BD58" s="58">
        <f>+GETPIVOTDATA("XCB4",'cubi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5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+GETPIVOTDATA("XDB4",'dabac (2016)'!$A$3,"MA_HT","LUC","MA_QH","LUK")</f>
        <v>0</v>
      </c>
      <c r="I8" s="74">
        <f>+GETPIVOTDATA("XDB4",'dabac (2016)'!$A$3,"MA_HT","LUC","MA_QH","LUN")</f>
        <v>0</v>
      </c>
      <c r="J8" s="74">
        <f>+GETPIVOTDATA("XDB4",'dabac (2016)'!$A$3,"MA_HT","LUC","MA_QH","HNK")</f>
        <v>0</v>
      </c>
      <c r="K8" s="74">
        <f>+GETPIVOTDATA("XDB4",'dabac (2016)'!$A$3,"MA_HT","LUC","MA_QH","CLN")</f>
        <v>0</v>
      </c>
      <c r="L8" s="74">
        <f>+GETPIVOTDATA("XDB4",'dabac (2016)'!$A$3,"MA_HT","LUC","MA_QH","RSX")</f>
        <v>0</v>
      </c>
      <c r="M8" s="74">
        <f>+GETPIVOTDATA("XDB4",'dabac (2016)'!$A$3,"MA_HT","LUC","MA_QH","RPH")</f>
        <v>0</v>
      </c>
      <c r="N8" s="74">
        <f>+GETPIVOTDATA("XDB4",'dabac (2016)'!$A$3,"MA_HT","LUC","MA_QH","RDD")</f>
        <v>0</v>
      </c>
      <c r="O8" s="74">
        <f>+GETPIVOTDATA("XDB4",'dabac (2016)'!$A$3,"MA_HT","LUC","MA_QH","NTS")</f>
        <v>0</v>
      </c>
      <c r="P8" s="74">
        <f>+GETPIVOTDATA("XDB4",'dabac (2016)'!$A$3,"MA_HT","LUC","MA_QH","LMU")</f>
        <v>0</v>
      </c>
      <c r="Q8" s="74">
        <f>+GETPIVOTDATA("XDB4",'dabac (2016)'!$A$3,"MA_HT","LUC","MA_QH","NKH")</f>
        <v>0</v>
      </c>
      <c r="R8" s="72">
        <f>SUM(S8:AA8,AN8:BD8)</f>
        <v>0</v>
      </c>
      <c r="S8" s="74">
        <f>+GETPIVOTDATA("XDB4",'dabac (2016)'!$A$3,"MA_HT","LUC","MA_QH","CQP")</f>
        <v>0</v>
      </c>
      <c r="T8" s="74">
        <f>+GETPIVOTDATA("XDB4",'dabac (2016)'!$A$3,"MA_HT","LUC","MA_QH","CAN")</f>
        <v>0</v>
      </c>
      <c r="U8" s="74">
        <f>+GETPIVOTDATA("XDB4",'dabac (2016)'!$A$3,"MA_HT","LUC","MA_QH","SKK")</f>
        <v>0</v>
      </c>
      <c r="V8" s="74">
        <f>+GETPIVOTDATA("XDB4",'dabac (2016)'!$A$3,"MA_HT","LUC","MA_QH","SKT")</f>
        <v>0</v>
      </c>
      <c r="W8" s="74">
        <f>+GETPIVOTDATA("XDB4",'dabac (2016)'!$A$3,"MA_HT","LUC","MA_QH","SKN")</f>
        <v>0</v>
      </c>
      <c r="X8" s="74">
        <f>+GETPIVOTDATA("XDB4",'dabac (2016)'!$A$3,"MA_HT","LUC","MA_QH","TMD")</f>
        <v>0</v>
      </c>
      <c r="Y8" s="74">
        <f>+GETPIVOTDATA("XDB4",'dabac (2016)'!$A$3,"MA_HT","LUC","MA_QH","SKC")</f>
        <v>0</v>
      </c>
      <c r="Z8" s="74">
        <f>+GETPIVOTDATA("XDB4",'dabac (2016)'!$A$3,"MA_HT","LUC","MA_QH","SKS")</f>
        <v>0</v>
      </c>
      <c r="AA8" s="64">
        <f t="shared" si="4"/>
        <v>0</v>
      </c>
      <c r="AB8" s="74">
        <f>+GETPIVOTDATA("XDB4",'dabac (2016)'!$A$3,"MA_HT","LUC","MA_QH","DGT")</f>
        <v>0</v>
      </c>
      <c r="AC8" s="74">
        <f>+GETPIVOTDATA("XDB4",'dabac (2016)'!$A$3,"MA_HT","LUC","MA_QH","DTL")</f>
        <v>0</v>
      </c>
      <c r="AD8" s="74">
        <f>+GETPIVOTDATA("XDB4",'dabac (2016)'!$A$3,"MA_HT","LUC","MA_QH","DNL")</f>
        <v>0</v>
      </c>
      <c r="AE8" s="74">
        <f>+GETPIVOTDATA("XDB4",'dabac (2016)'!$A$3,"MA_HT","LUC","MA_QH","DBV")</f>
        <v>0</v>
      </c>
      <c r="AF8" s="74">
        <f>+GETPIVOTDATA("XDB4",'dabac (2016)'!$A$3,"MA_HT","LUC","MA_QH","DVH")</f>
        <v>0</v>
      </c>
      <c r="AG8" s="74">
        <f>+GETPIVOTDATA("XDB4",'dabac (2016)'!$A$3,"MA_HT","LUC","MA_QH","DYT")</f>
        <v>0</v>
      </c>
      <c r="AH8" s="74">
        <f>+GETPIVOTDATA("XDB4",'dabac (2016)'!$A$3,"MA_HT","LUC","MA_QH","DGD")</f>
        <v>0</v>
      </c>
      <c r="AI8" s="74">
        <f>+GETPIVOTDATA("XDB4",'dabac (2016)'!$A$3,"MA_HT","LUC","MA_QH","DTT")</f>
        <v>0</v>
      </c>
      <c r="AJ8" s="74">
        <f>+GETPIVOTDATA("XDB4",'dabac (2016)'!$A$3,"MA_HT","LUC","MA_QH","NCK")</f>
        <v>0</v>
      </c>
      <c r="AK8" s="74">
        <f>+GETPIVOTDATA("XDB4",'dabac (2016)'!$A$3,"MA_HT","LUC","MA_QH","DXH")</f>
        <v>0</v>
      </c>
      <c r="AL8" s="74">
        <f>+GETPIVOTDATA("XDB4",'dabac (2016)'!$A$3,"MA_HT","LUC","MA_QH","DCH")</f>
        <v>0</v>
      </c>
      <c r="AM8" s="74">
        <f>+GETPIVOTDATA("XDB4",'dabac (2016)'!$A$3,"MA_HT","LUC","MA_QH","DKG")</f>
        <v>0</v>
      </c>
      <c r="AN8" s="74">
        <f>+GETPIVOTDATA("XDB4",'dabac (2016)'!$A$3,"MA_HT","LUC","MA_QH","DDT")</f>
        <v>0</v>
      </c>
      <c r="AO8" s="74">
        <f>+GETPIVOTDATA("XDB4",'dabac (2016)'!$A$3,"MA_HT","LUC","MA_QH","DDL")</f>
        <v>0</v>
      </c>
      <c r="AP8" s="74">
        <f>+GETPIVOTDATA("XDB4",'dabac (2016)'!$A$3,"MA_HT","LUC","MA_QH","DRA")</f>
        <v>0</v>
      </c>
      <c r="AQ8" s="74">
        <f>+GETPIVOTDATA("XDB4",'dabac (2016)'!$A$3,"MA_HT","LUC","MA_QH","ONT")</f>
        <v>0</v>
      </c>
      <c r="AR8" s="74">
        <f>+GETPIVOTDATA("XDB4",'dabac (2016)'!$A$3,"MA_HT","LUC","MA_QH","ODT")</f>
        <v>0</v>
      </c>
      <c r="AS8" s="74">
        <f>+GETPIVOTDATA("XDB4",'dabac (2016)'!$A$3,"MA_HT","LUC","MA_QH","TSC")</f>
        <v>0</v>
      </c>
      <c r="AT8" s="74">
        <f>+GETPIVOTDATA("XDB4",'dabac (2016)'!$A$3,"MA_HT","LUC","MA_QH","DTS")</f>
        <v>0</v>
      </c>
      <c r="AU8" s="74">
        <f>+GETPIVOTDATA("XDB4",'dabac (2016)'!$A$3,"MA_HT","LUC","MA_QH","DNG")</f>
        <v>0</v>
      </c>
      <c r="AV8" s="74">
        <f>+GETPIVOTDATA("XDB4",'dabac (2016)'!$A$3,"MA_HT","LUC","MA_QH","TON")</f>
        <v>0</v>
      </c>
      <c r="AW8" s="74">
        <f>+GETPIVOTDATA("XDB4",'dabac (2016)'!$A$3,"MA_HT","LUC","MA_QH","NTD")</f>
        <v>0</v>
      </c>
      <c r="AX8" s="74">
        <f>+GETPIVOTDATA("XDB4",'dabac (2016)'!$A$3,"MA_HT","LUC","MA_QH","SKX")</f>
        <v>0</v>
      </c>
      <c r="AY8" s="74">
        <f>+GETPIVOTDATA("XDB4",'dabac (2016)'!$A$3,"MA_HT","LUC","MA_QH","DSH")</f>
        <v>0</v>
      </c>
      <c r="AZ8" s="74">
        <f>+GETPIVOTDATA("XDB4",'dabac (2016)'!$A$3,"MA_HT","LUC","MA_QH","DKV")</f>
        <v>0</v>
      </c>
      <c r="BA8" s="139">
        <f>+GETPIVOTDATA("XDB4",'dabac (2016)'!$A$3,"MA_HT","LUC","MA_QH","TIN")</f>
        <v>0</v>
      </c>
      <c r="BB8" s="74">
        <f>+GETPIVOTDATA("XDB4",'dabac (2016)'!$A$3,"MA_HT","LUC","MA_QH","SON")</f>
        <v>0</v>
      </c>
      <c r="BC8" s="74">
        <f>+GETPIVOTDATA("XDB4",'dabac (2016)'!$A$3,"MA_HT","LUC","MA_QH","MNC")</f>
        <v>0</v>
      </c>
      <c r="BD8" s="74">
        <f>+GETPIVOTDATA("XDB4",'dabac (2016)'!$A$3,"MA_HT","LUC","MA_QH","PNK")</f>
        <v>0</v>
      </c>
      <c r="BE8" s="102">
        <f>+GETPIVOTDATA("XDB4",'dabac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+GETPIVOTDATA("XDB4",'dabac (2016)'!$A$3,"MA_HT","LUK","MA_QH","LUC")</f>
        <v>0</v>
      </c>
      <c r="H9" s="100" t="e">
        <f>$D9-$BF9</f>
        <v>#REF!</v>
      </c>
      <c r="I9" s="74">
        <f>+GETPIVOTDATA("XDB4",'dabac (2016)'!$A$3,"MA_HT","LUK","MA_QH","LUN")</f>
        <v>0</v>
      </c>
      <c r="J9" s="74">
        <f>+GETPIVOTDATA("XDB4",'dabac (2016)'!$A$3,"MA_HT","LUK","MA_QH","HNK")</f>
        <v>0</v>
      </c>
      <c r="K9" s="74">
        <f>+GETPIVOTDATA("XDB4",'dabac (2016)'!$A$3,"MA_HT","LUK","MA_QH","CLN")</f>
        <v>0</v>
      </c>
      <c r="L9" s="74">
        <f>+GETPIVOTDATA("XDB4",'dabac (2016)'!$A$3,"MA_HT","LUK","MA_QH","RSX")</f>
        <v>0</v>
      </c>
      <c r="M9" s="74">
        <f>+GETPIVOTDATA("XDB4",'dabac (2016)'!$A$3,"MA_HT","LUK","MA_QH","RPH")</f>
        <v>0</v>
      </c>
      <c r="N9" s="74">
        <f>+GETPIVOTDATA("XDB4",'dabac (2016)'!$A$3,"MA_HT","LUK","MA_QH","RDD")</f>
        <v>0</v>
      </c>
      <c r="O9" s="74">
        <f>+GETPIVOTDATA("XDB4",'dabac (2016)'!$A$3,"MA_HT","LUK","MA_QH","NTS")</f>
        <v>0</v>
      </c>
      <c r="P9" s="74">
        <f>+GETPIVOTDATA("XDB4",'dabac (2016)'!$A$3,"MA_HT","LUK","MA_QH","LMU")</f>
        <v>0</v>
      </c>
      <c r="Q9" s="74">
        <f>+GETPIVOTDATA("XDB4",'dabac (2016)'!$A$3,"MA_HT","LUK","MA_QH","NKH")</f>
        <v>0</v>
      </c>
      <c r="R9" s="72">
        <f t="shared" si="2"/>
        <v>0</v>
      </c>
      <c r="S9" s="74">
        <f>+GETPIVOTDATA("XDB4",'dabac (2016)'!$A$3,"MA_HT","LUK","MA_QH","CQP")</f>
        <v>0</v>
      </c>
      <c r="T9" s="74">
        <f>+GETPIVOTDATA("XDB4",'dabac (2016)'!$A$3,"MA_HT","LUK","MA_QH","CAN")</f>
        <v>0</v>
      </c>
      <c r="U9" s="74">
        <f>+GETPIVOTDATA("XDB4",'dabac (2016)'!$A$3,"MA_HT","LUK","MA_QH","SKK")</f>
        <v>0</v>
      </c>
      <c r="V9" s="74">
        <f>+GETPIVOTDATA("XDB4",'dabac (2016)'!$A$3,"MA_HT","LUK","MA_QH","SKT")</f>
        <v>0</v>
      </c>
      <c r="W9" s="74">
        <f>+GETPIVOTDATA("XDB4",'dabac (2016)'!$A$3,"MA_HT","LUK","MA_QH","SKN")</f>
        <v>0</v>
      </c>
      <c r="X9" s="74">
        <f>+GETPIVOTDATA("XDB4",'dabac (2016)'!$A$3,"MA_HT","LUK","MA_QH","TMD")</f>
        <v>0</v>
      </c>
      <c r="Y9" s="74">
        <f>+GETPIVOTDATA("XDB4",'dabac (2016)'!$A$3,"MA_HT","LUK","MA_QH","SKC")</f>
        <v>0</v>
      </c>
      <c r="Z9" s="74">
        <f>+GETPIVOTDATA("XDB4",'dabac (2016)'!$A$3,"MA_HT","LUK","MA_QH","SKS")</f>
        <v>0</v>
      </c>
      <c r="AA9" s="64">
        <f t="shared" si="4"/>
        <v>0</v>
      </c>
      <c r="AB9" s="74">
        <f>+GETPIVOTDATA("XDB4",'dabac (2016)'!$A$3,"MA_HT","LUK","MA_QH","DGT")</f>
        <v>0</v>
      </c>
      <c r="AC9" s="74">
        <f>+GETPIVOTDATA("XDB4",'dabac (2016)'!$A$3,"MA_HT","LUK","MA_QH","DTL")</f>
        <v>0</v>
      </c>
      <c r="AD9" s="74">
        <f>+GETPIVOTDATA("XDB4",'dabac (2016)'!$A$3,"MA_HT","LUK","MA_QH","DNL")</f>
        <v>0</v>
      </c>
      <c r="AE9" s="74">
        <f>+GETPIVOTDATA("XDB4",'dabac (2016)'!$A$3,"MA_HT","LUK","MA_QH","DBV")</f>
        <v>0</v>
      </c>
      <c r="AF9" s="74">
        <f>+GETPIVOTDATA("XDB4",'dabac (2016)'!$A$3,"MA_HT","LUK","MA_QH","DVH")</f>
        <v>0</v>
      </c>
      <c r="AG9" s="74">
        <f>+GETPIVOTDATA("XDB4",'dabac (2016)'!$A$3,"MA_HT","LUK","MA_QH","DYT")</f>
        <v>0</v>
      </c>
      <c r="AH9" s="74">
        <f>+GETPIVOTDATA("XDB4",'dabac (2016)'!$A$3,"MA_HT","LUK","MA_QH","DGD")</f>
        <v>0</v>
      </c>
      <c r="AI9" s="74">
        <f>+GETPIVOTDATA("XDB4",'dabac (2016)'!$A$3,"MA_HT","LUK","MA_QH","DTT")</f>
        <v>0</v>
      </c>
      <c r="AJ9" s="74">
        <f>+GETPIVOTDATA("XDB4",'dabac (2016)'!$A$3,"MA_HT","LUK","MA_QH","NCK")</f>
        <v>0</v>
      </c>
      <c r="AK9" s="74">
        <f>+GETPIVOTDATA("XDB4",'dabac (2016)'!$A$3,"MA_HT","LUK","MA_QH","DXH")</f>
        <v>0</v>
      </c>
      <c r="AL9" s="74">
        <f>+GETPIVOTDATA("XDB4",'dabac (2016)'!$A$3,"MA_HT","LUK","MA_QH","DCH")</f>
        <v>0</v>
      </c>
      <c r="AM9" s="74">
        <f>+GETPIVOTDATA("XDB4",'dabac (2016)'!$A$3,"MA_HT","LUK","MA_QH","DKG")</f>
        <v>0</v>
      </c>
      <c r="AN9" s="74">
        <f>+GETPIVOTDATA("XDB4",'dabac (2016)'!$A$3,"MA_HT","LUK","MA_QH","DDT")</f>
        <v>0</v>
      </c>
      <c r="AO9" s="74">
        <f>+GETPIVOTDATA("XDB4",'dabac (2016)'!$A$3,"MA_HT","LUK","MA_QH","DDL")</f>
        <v>0</v>
      </c>
      <c r="AP9" s="74">
        <f>+GETPIVOTDATA("XDB4",'dabac (2016)'!$A$3,"MA_HT","LUK","MA_QH","DRA")</f>
        <v>0</v>
      </c>
      <c r="AQ9" s="74">
        <f>+GETPIVOTDATA("XDB4",'dabac (2016)'!$A$3,"MA_HT","LUK","MA_QH","ONT")</f>
        <v>0</v>
      </c>
      <c r="AR9" s="74">
        <f>+GETPIVOTDATA("XDB4",'dabac (2016)'!$A$3,"MA_HT","LUK","MA_QH","ODT")</f>
        <v>0</v>
      </c>
      <c r="AS9" s="74">
        <f>+GETPIVOTDATA("XDB4",'dabac (2016)'!$A$3,"MA_HT","LUK","MA_QH","TSC")</f>
        <v>0</v>
      </c>
      <c r="AT9" s="74">
        <f>+GETPIVOTDATA("XDB4",'dabac (2016)'!$A$3,"MA_HT","LUK","MA_QH","DTS")</f>
        <v>0</v>
      </c>
      <c r="AU9" s="74">
        <f>+GETPIVOTDATA("XDB4",'dabac (2016)'!$A$3,"MA_HT","LUK","MA_QH","DNG")</f>
        <v>0</v>
      </c>
      <c r="AV9" s="74">
        <f>+GETPIVOTDATA("XDB4",'dabac (2016)'!$A$3,"MA_HT","LUK","MA_QH","TON")</f>
        <v>0</v>
      </c>
      <c r="AW9" s="74">
        <f>+GETPIVOTDATA("XDB4",'dabac (2016)'!$A$3,"MA_HT","LUK","MA_QH","NTD")</f>
        <v>0</v>
      </c>
      <c r="AX9" s="74">
        <f>+GETPIVOTDATA("XDB4",'dabac (2016)'!$A$3,"MA_HT","LUK","MA_QH","SKX")</f>
        <v>0</v>
      </c>
      <c r="AY9" s="74">
        <f>+GETPIVOTDATA("XDB4",'dabac (2016)'!$A$3,"MA_HT","LUK","MA_QH","DSH")</f>
        <v>0</v>
      </c>
      <c r="AZ9" s="74">
        <f>+GETPIVOTDATA("XDB4",'dabac (2016)'!$A$3,"MA_HT","LUK","MA_QH","DKV")</f>
        <v>0</v>
      </c>
      <c r="BA9" s="139">
        <f>+GETPIVOTDATA("XDB4",'dabac (2016)'!$A$3,"MA_HT","LUK","MA_QH","TIN")</f>
        <v>0</v>
      </c>
      <c r="BB9" s="74">
        <f>+GETPIVOTDATA("XDB4",'dabac (2016)'!$A$3,"MA_HT","LUK","MA_QH","SON")</f>
        <v>0</v>
      </c>
      <c r="BC9" s="74">
        <f>+GETPIVOTDATA("XDB4",'dabac (2016)'!$A$3,"MA_HT","LUK","MA_QH","MNC")</f>
        <v>0</v>
      </c>
      <c r="BD9" s="74">
        <f>+GETPIVOTDATA("XDB4",'dabac (2016)'!$A$3,"MA_HT","LUK","MA_QH","PNK")</f>
        <v>0</v>
      </c>
      <c r="BE9" s="102">
        <f>+GETPIVOTDATA("XDB4",'dabac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+GETPIVOTDATA("XDB4",'dabac (2016)'!$A$3,"MA_HT","LUN","MA_QH","LUC")</f>
        <v>0</v>
      </c>
      <c r="H10" s="74">
        <f>+GETPIVOTDATA("XDB4",'dabac (2016)'!$A$3,"MA_HT","LUN","MA_QH","LUK")</f>
        <v>0</v>
      </c>
      <c r="I10" s="100" t="e">
        <f>$D10-$BF10</f>
        <v>#REF!</v>
      </c>
      <c r="J10" s="74">
        <f>+GETPIVOTDATA("XDB4",'dabac (2016)'!$A$3,"MA_HT","LUN","MA_QH","HNK")</f>
        <v>0</v>
      </c>
      <c r="K10" s="74">
        <f>+GETPIVOTDATA("XDB4",'dabac (2016)'!$A$3,"MA_HT","LUN","MA_QH","CLN")</f>
        <v>0</v>
      </c>
      <c r="L10" s="74">
        <f>+GETPIVOTDATA("XDB4",'dabac (2016)'!$A$3,"MA_HT","LUN","MA_QH","RSX")</f>
        <v>0</v>
      </c>
      <c r="M10" s="74">
        <f>+GETPIVOTDATA("XDB4",'dabac (2016)'!$A$3,"MA_HT","LUN","MA_QH","RPH")</f>
        <v>0</v>
      </c>
      <c r="N10" s="74">
        <f>+GETPIVOTDATA("XDB4",'dabac (2016)'!$A$3,"MA_HT","LUN","MA_QH","RDD")</f>
        <v>0</v>
      </c>
      <c r="O10" s="74">
        <f>+GETPIVOTDATA("XDB4",'dabac (2016)'!$A$3,"MA_HT","LUN","MA_QH","NTS")</f>
        <v>0</v>
      </c>
      <c r="P10" s="74">
        <f>+GETPIVOTDATA("XDB4",'dabac (2016)'!$A$3,"MA_HT","LUN","MA_QH","LMU")</f>
        <v>0</v>
      </c>
      <c r="Q10" s="74">
        <f>+GETPIVOTDATA("XDB4",'dabac (2016)'!$A$3,"MA_HT","LUN","MA_QH","NKH")</f>
        <v>0</v>
      </c>
      <c r="R10" s="72">
        <f t="shared" si="2"/>
        <v>0</v>
      </c>
      <c r="S10" s="74">
        <f>+GETPIVOTDATA("XDB4",'dabac (2016)'!$A$3,"MA_HT","LUN","MA_QH","CQP")</f>
        <v>0</v>
      </c>
      <c r="T10" s="74">
        <f>+GETPIVOTDATA("XDB4",'dabac (2016)'!$A$3,"MA_HT","LUN","MA_QH","CAN")</f>
        <v>0</v>
      </c>
      <c r="U10" s="74">
        <f>+GETPIVOTDATA("XDB4",'dabac (2016)'!$A$3,"MA_HT","LUN","MA_QH","SKK")</f>
        <v>0</v>
      </c>
      <c r="V10" s="74">
        <f>+GETPIVOTDATA("XDB4",'dabac (2016)'!$A$3,"MA_HT","LUN","MA_QH","SKT")</f>
        <v>0</v>
      </c>
      <c r="W10" s="74">
        <f>+GETPIVOTDATA("XDB4",'dabac (2016)'!$A$3,"MA_HT","LUN","MA_QH","SKN")</f>
        <v>0</v>
      </c>
      <c r="X10" s="74">
        <f>+GETPIVOTDATA("XDB4",'dabac (2016)'!$A$3,"MA_HT","LUN","MA_QH","TMD")</f>
        <v>0</v>
      </c>
      <c r="Y10" s="74">
        <f>+GETPIVOTDATA("XDB4",'dabac (2016)'!$A$3,"MA_HT","LUN","MA_QH","SKC")</f>
        <v>0</v>
      </c>
      <c r="Z10" s="74">
        <f>+GETPIVOTDATA("XDB4",'dabac (2016)'!$A$3,"MA_HT","LUN","MA_QH","SKS")</f>
        <v>0</v>
      </c>
      <c r="AA10" s="64">
        <f t="shared" si="4"/>
        <v>0</v>
      </c>
      <c r="AB10" s="74">
        <f>+GETPIVOTDATA("XDB4",'dabac (2016)'!$A$3,"MA_HT","LUN","MA_QH","DGT")</f>
        <v>0</v>
      </c>
      <c r="AC10" s="74">
        <f>+GETPIVOTDATA("XDB4",'dabac (2016)'!$A$3,"MA_HT","LUN","MA_QH","DTL")</f>
        <v>0</v>
      </c>
      <c r="AD10" s="74">
        <f>+GETPIVOTDATA("XDB4",'dabac (2016)'!$A$3,"MA_HT","LUN","MA_QH","DNL")</f>
        <v>0</v>
      </c>
      <c r="AE10" s="74">
        <f>+GETPIVOTDATA("XDB4",'dabac (2016)'!$A$3,"MA_HT","LUN","MA_QH","DBV")</f>
        <v>0</v>
      </c>
      <c r="AF10" s="74">
        <f>+GETPIVOTDATA("XDB4",'dabac (2016)'!$A$3,"MA_HT","LUN","MA_QH","DVH")</f>
        <v>0</v>
      </c>
      <c r="AG10" s="74">
        <f>+GETPIVOTDATA("XDB4",'dabac (2016)'!$A$3,"MA_HT","LUN","MA_QH","DYT")</f>
        <v>0</v>
      </c>
      <c r="AH10" s="74">
        <f>+GETPIVOTDATA("XDB4",'dabac (2016)'!$A$3,"MA_HT","LUN","MA_QH","DGD")</f>
        <v>0</v>
      </c>
      <c r="AI10" s="74">
        <f>+GETPIVOTDATA("XDB4",'dabac (2016)'!$A$3,"MA_HT","LUN","MA_QH","DTT")</f>
        <v>0</v>
      </c>
      <c r="AJ10" s="74">
        <f>+GETPIVOTDATA("XDB4",'dabac (2016)'!$A$3,"MA_HT","LUN","MA_QH","NCK")</f>
        <v>0</v>
      </c>
      <c r="AK10" s="74">
        <f>+GETPIVOTDATA("XDB4",'dabac (2016)'!$A$3,"MA_HT","LUN","MA_QH","DXH")</f>
        <v>0</v>
      </c>
      <c r="AL10" s="74">
        <f>+GETPIVOTDATA("XDB4",'dabac (2016)'!$A$3,"MA_HT","LUN","MA_QH","DCH")</f>
        <v>0</v>
      </c>
      <c r="AM10" s="74">
        <f>+GETPIVOTDATA("XDB4",'dabac (2016)'!$A$3,"MA_HT","LUN","MA_QH","DKG")</f>
        <v>0</v>
      </c>
      <c r="AN10" s="74">
        <f>+GETPIVOTDATA("XDB4",'dabac (2016)'!$A$3,"MA_HT","LUN","MA_QH","DDT")</f>
        <v>0</v>
      </c>
      <c r="AO10" s="74">
        <f>+GETPIVOTDATA("XDB4",'dabac (2016)'!$A$3,"MA_HT","LUN","MA_QH","DDL")</f>
        <v>0</v>
      </c>
      <c r="AP10" s="74">
        <f>+GETPIVOTDATA("XDB4",'dabac (2016)'!$A$3,"MA_HT","LUN","MA_QH","DRA")</f>
        <v>0</v>
      </c>
      <c r="AQ10" s="74">
        <f>+GETPIVOTDATA("XDB4",'dabac (2016)'!$A$3,"MA_HT","LUN","MA_QH","ONT")</f>
        <v>0</v>
      </c>
      <c r="AR10" s="74">
        <f>+GETPIVOTDATA("XDB4",'dabac (2016)'!$A$3,"MA_HT","LUN","MA_QH","ODT")</f>
        <v>0</v>
      </c>
      <c r="AS10" s="74">
        <f>+GETPIVOTDATA("XDB4",'dabac (2016)'!$A$3,"MA_HT","LUN","MA_QH","TSC")</f>
        <v>0</v>
      </c>
      <c r="AT10" s="74">
        <f>+GETPIVOTDATA("XDB4",'dabac (2016)'!$A$3,"MA_HT","LUN","MA_QH","DTS")</f>
        <v>0</v>
      </c>
      <c r="AU10" s="74">
        <f>+GETPIVOTDATA("XDB4",'dabac (2016)'!$A$3,"MA_HT","LUN","MA_QH","DNG")</f>
        <v>0</v>
      </c>
      <c r="AV10" s="74">
        <f>+GETPIVOTDATA("XDB4",'dabac (2016)'!$A$3,"MA_HT","LUN","MA_QH","TON")</f>
        <v>0</v>
      </c>
      <c r="AW10" s="74">
        <f>+GETPIVOTDATA("XDB4",'dabac (2016)'!$A$3,"MA_HT","LUN","MA_QH","NTD")</f>
        <v>0</v>
      </c>
      <c r="AX10" s="74">
        <f>+GETPIVOTDATA("XDB4",'dabac (2016)'!$A$3,"MA_HT","LUN","MA_QH","SKX")</f>
        <v>0</v>
      </c>
      <c r="AY10" s="74">
        <f>+GETPIVOTDATA("XDB4",'dabac (2016)'!$A$3,"MA_HT","LUN","MA_QH","DSH")</f>
        <v>0</v>
      </c>
      <c r="AZ10" s="74">
        <f>+GETPIVOTDATA("XDB4",'dabac (2016)'!$A$3,"MA_HT","LUN","MA_QH","DKV")</f>
        <v>0</v>
      </c>
      <c r="BA10" s="139">
        <f>+GETPIVOTDATA("XDB4",'dabac (2016)'!$A$3,"MA_HT","LUN","MA_QH","TIN")</f>
        <v>0</v>
      </c>
      <c r="BB10" s="74">
        <f>+GETPIVOTDATA("XDB4",'dabac (2016)'!$A$3,"MA_HT","LUN","MA_QH","SON")</f>
        <v>0</v>
      </c>
      <c r="BC10" s="74">
        <f>+GETPIVOTDATA("XDB4",'dabac (2016)'!$A$3,"MA_HT","LUN","MA_QH","MNC")</f>
        <v>0</v>
      </c>
      <c r="BD10" s="74">
        <f>+GETPIVOTDATA("XDB4",'dabac (2016)'!$A$3,"MA_HT","LUN","MA_QH","PNK")</f>
        <v>0</v>
      </c>
      <c r="BE10" s="102">
        <f>+GETPIVOTDATA("XDB4",'dabac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+GETPIVOTDATA("XDB4",'dabac (2016)'!$A$3,"MA_HT","HNK","MA_QH","LUC")</f>
        <v>0</v>
      </c>
      <c r="H11" s="35">
        <f>+GETPIVOTDATA("XDB4",'dabac (2016)'!$A$3,"MA_HT","HNK","MA_QH","LUK")</f>
        <v>0</v>
      </c>
      <c r="I11" s="35">
        <f>+GETPIVOTDATA("XDB4",'dabac (2016)'!$A$3,"MA_HT","HNK","MA_QH","LUN")</f>
        <v>0</v>
      </c>
      <c r="J11" s="99" t="e">
        <f>$D11-$BF11</f>
        <v>#REF!</v>
      </c>
      <c r="K11" s="35">
        <f>+GETPIVOTDATA("XDB4",'dabac (2016)'!$A$3,"MA_HT","HNK","MA_QH","CLN")</f>
        <v>0</v>
      </c>
      <c r="L11" s="35">
        <f>+GETPIVOTDATA("XDB4",'dabac (2016)'!$A$3,"MA_HT","HNK","MA_QH","RSX")</f>
        <v>0</v>
      </c>
      <c r="M11" s="35">
        <f>+GETPIVOTDATA("XDB4",'dabac (2016)'!$A$3,"MA_HT","HNK","MA_QH","RPH")</f>
        <v>0</v>
      </c>
      <c r="N11" s="35">
        <f>+GETPIVOTDATA("XDB4",'dabac (2016)'!$A$3,"MA_HT","HNK","MA_QH","RDD")</f>
        <v>0</v>
      </c>
      <c r="O11" s="35">
        <f>+GETPIVOTDATA("XDB4",'dabac (2016)'!$A$3,"MA_HT","HNK","MA_QH","NTS")</f>
        <v>0</v>
      </c>
      <c r="P11" s="35">
        <f>+GETPIVOTDATA("XDB4",'dabac (2016)'!$A$3,"MA_HT","HNK","MA_QH","LMU")</f>
        <v>0</v>
      </c>
      <c r="Q11" s="35">
        <f>+GETPIVOTDATA("XDB4",'dabac (2016)'!$A$3,"MA_HT","HNK","MA_QH","NKH")</f>
        <v>0</v>
      </c>
      <c r="R11" s="63">
        <f t="shared" si="2"/>
        <v>0</v>
      </c>
      <c r="S11" s="35">
        <f>+GETPIVOTDATA("XDB4",'dabac (2016)'!$A$3,"MA_HT","HNK","MA_QH","CQP")</f>
        <v>0</v>
      </c>
      <c r="T11" s="35">
        <f>+GETPIVOTDATA("XDB4",'dabac (2016)'!$A$3,"MA_HT","HNK","MA_QH","CAN")</f>
        <v>0</v>
      </c>
      <c r="U11" s="35">
        <f>+GETPIVOTDATA("XDB4",'dabac (2016)'!$A$3,"MA_HT","HNK","MA_QH","SKK")</f>
        <v>0</v>
      </c>
      <c r="V11" s="35">
        <f>+GETPIVOTDATA("XDB4",'dabac (2016)'!$A$3,"MA_HT","HNK","MA_QH","SKT")</f>
        <v>0</v>
      </c>
      <c r="W11" s="35">
        <f>+GETPIVOTDATA("XDB4",'dabac (2016)'!$A$3,"MA_HT","HNK","MA_QH","SKN")</f>
        <v>0</v>
      </c>
      <c r="X11" s="35">
        <f>+GETPIVOTDATA("XDB4",'dabac (2016)'!$A$3,"MA_HT","HNK","MA_QH","TMD")</f>
        <v>0</v>
      </c>
      <c r="Y11" s="35">
        <f>+GETPIVOTDATA("XDB4",'dabac (2016)'!$A$3,"MA_HT","HNK","MA_QH","SKC")</f>
        <v>0</v>
      </c>
      <c r="Z11" s="35">
        <f>+GETPIVOTDATA("XDB4",'dabac (2016)'!$A$3,"MA_HT","HNK","MA_QH","SKS")</f>
        <v>0</v>
      </c>
      <c r="AA11" s="64">
        <f t="shared" si="4"/>
        <v>0</v>
      </c>
      <c r="AB11" s="35">
        <f>+GETPIVOTDATA("XDB4",'dabac (2016)'!$A$3,"MA_HT","HNK","MA_QH","DGT")</f>
        <v>0</v>
      </c>
      <c r="AC11" s="35">
        <f>+GETPIVOTDATA("XDB4",'dabac (2016)'!$A$3,"MA_HT","HNK","MA_QH","DTL")</f>
        <v>0</v>
      </c>
      <c r="AD11" s="35">
        <f>+GETPIVOTDATA("XDB4",'dabac (2016)'!$A$3,"MA_HT","HNK","MA_QH","DNL")</f>
        <v>0</v>
      </c>
      <c r="AE11" s="35">
        <f>+GETPIVOTDATA("XDB4",'dabac (2016)'!$A$3,"MA_HT","HNK","MA_QH","DBV")</f>
        <v>0</v>
      </c>
      <c r="AF11" s="35">
        <f>+GETPIVOTDATA("XDB4",'dabac (2016)'!$A$3,"MA_HT","HNK","MA_QH","DVH")</f>
        <v>0</v>
      </c>
      <c r="AG11" s="35">
        <f>+GETPIVOTDATA("XDB4",'dabac (2016)'!$A$3,"MA_HT","HNK","MA_QH","DYT")</f>
        <v>0</v>
      </c>
      <c r="AH11" s="35">
        <f>+GETPIVOTDATA("XDB4",'dabac (2016)'!$A$3,"MA_HT","HNK","MA_QH","DGD")</f>
        <v>0</v>
      </c>
      <c r="AI11" s="35">
        <f>+GETPIVOTDATA("XDB4",'dabac (2016)'!$A$3,"MA_HT","HNK","MA_QH","DTT")</f>
        <v>0</v>
      </c>
      <c r="AJ11" s="35">
        <f>+GETPIVOTDATA("XDB4",'dabac (2016)'!$A$3,"MA_HT","HNK","MA_QH","NCK")</f>
        <v>0</v>
      </c>
      <c r="AK11" s="35">
        <f>+GETPIVOTDATA("XDB4",'dabac (2016)'!$A$3,"MA_HT","HNK","MA_QH","DXH")</f>
        <v>0</v>
      </c>
      <c r="AL11" s="35">
        <f>+GETPIVOTDATA("XDB4",'dabac (2016)'!$A$3,"MA_HT","HNK","MA_QH","DCH")</f>
        <v>0</v>
      </c>
      <c r="AM11" s="35">
        <f>+GETPIVOTDATA("XDB4",'dabac (2016)'!$A$3,"MA_HT","HNK","MA_QH","DKG")</f>
        <v>0</v>
      </c>
      <c r="AN11" s="35">
        <f>+GETPIVOTDATA("XDB4",'dabac (2016)'!$A$3,"MA_HT","HNK","MA_QH","DDT")</f>
        <v>0</v>
      </c>
      <c r="AO11" s="35">
        <f>+GETPIVOTDATA("XDB4",'dabac (2016)'!$A$3,"MA_HT","HNK","MA_QH","DDL")</f>
        <v>0</v>
      </c>
      <c r="AP11" s="35">
        <f>+GETPIVOTDATA("XDB4",'dabac (2016)'!$A$3,"MA_HT","HNK","MA_QH","DRA")</f>
        <v>0</v>
      </c>
      <c r="AQ11" s="35">
        <f>+GETPIVOTDATA("XDB4",'dabac (2016)'!$A$3,"MA_HT","HNK","MA_QH","ONT")</f>
        <v>0</v>
      </c>
      <c r="AR11" s="35">
        <f>+GETPIVOTDATA("XDB4",'dabac (2016)'!$A$3,"MA_HT","HNK","MA_QH","ODT")</f>
        <v>0</v>
      </c>
      <c r="AS11" s="35">
        <f>+GETPIVOTDATA("XDB4",'dabac (2016)'!$A$3,"MA_HT","HNK","MA_QH","TSC")</f>
        <v>0</v>
      </c>
      <c r="AT11" s="35">
        <f>+GETPIVOTDATA("XDB4",'dabac (2016)'!$A$3,"MA_HT","HNK","MA_QH","DTS")</f>
        <v>0</v>
      </c>
      <c r="AU11" s="35">
        <f>+GETPIVOTDATA("XDB4",'dabac (2016)'!$A$3,"MA_HT","HNK","MA_QH","DNG")</f>
        <v>0</v>
      </c>
      <c r="AV11" s="35">
        <f>+GETPIVOTDATA("XDB4",'dabac (2016)'!$A$3,"MA_HT","HNK","MA_QH","TON")</f>
        <v>0</v>
      </c>
      <c r="AW11" s="35">
        <f>+GETPIVOTDATA("XDB4",'dabac (2016)'!$A$3,"MA_HT","HNK","MA_QH","NTD")</f>
        <v>0</v>
      </c>
      <c r="AX11" s="35">
        <f>+GETPIVOTDATA("XDB4",'dabac (2016)'!$A$3,"MA_HT","HNK","MA_QH","SKX")</f>
        <v>0</v>
      </c>
      <c r="AY11" s="35">
        <f>+GETPIVOTDATA("XDB4",'dabac (2016)'!$A$3,"MA_HT","HNK","MA_QH","DSH")</f>
        <v>0</v>
      </c>
      <c r="AZ11" s="35">
        <f>+GETPIVOTDATA("XDB4",'dabac (2016)'!$A$3,"MA_HT","HNK","MA_QH","DKV")</f>
        <v>0</v>
      </c>
      <c r="BA11" s="140">
        <f>+GETPIVOTDATA("XDB4",'dabac (2016)'!$A$3,"MA_HT","HNK","MA_QH","TIN")</f>
        <v>0</v>
      </c>
      <c r="BB11" s="74">
        <f>+GETPIVOTDATA("XDB4",'dabac (2016)'!$A$3,"MA_HT","HNK","MA_QH","SON")</f>
        <v>0</v>
      </c>
      <c r="BC11" s="74">
        <f>+GETPIVOTDATA("XDB4",'dabac (2016)'!$A$3,"MA_HT","HNK","MA_QH","MNC")</f>
        <v>0</v>
      </c>
      <c r="BD11" s="35">
        <f>+GETPIVOTDATA("XDB4",'dabac (2016)'!$A$3,"MA_HT","HNK","MA_QH","PNK")</f>
        <v>0</v>
      </c>
      <c r="BE11" s="58">
        <f>+GETPIVOTDATA("XDB4",'dabac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+GETPIVOTDATA("XDB4",'dabac (2016)'!$A$3,"MA_HT","CLN","MA_QH","LUC")</f>
        <v>0</v>
      </c>
      <c r="H12" s="35">
        <f>+GETPIVOTDATA("XDB4",'dabac (2016)'!$A$3,"MA_HT","CLN","MA_QH","LUK")</f>
        <v>0</v>
      </c>
      <c r="I12" s="35">
        <f>+GETPIVOTDATA("XDB4",'dabac (2016)'!$A$3,"MA_HT","CLN","MA_QH","LUN")</f>
        <v>0</v>
      </c>
      <c r="J12" s="35">
        <f>+GETPIVOTDATA("XDB4",'dabac (2016)'!$A$3,"MA_HT","CLN","MA_QH","HNK")</f>
        <v>0</v>
      </c>
      <c r="K12" s="99" t="e">
        <f>$D12-$BF12</f>
        <v>#REF!</v>
      </c>
      <c r="L12" s="35">
        <f>+GETPIVOTDATA("XDB4",'dabac (2016)'!$A$3,"MA_HT","CLN","MA_QH","RSX")</f>
        <v>0</v>
      </c>
      <c r="M12" s="35">
        <f>+GETPIVOTDATA("XDB4",'dabac (2016)'!$A$3,"MA_HT","CLN","MA_QH","RPH")</f>
        <v>0</v>
      </c>
      <c r="N12" s="35">
        <f>+GETPIVOTDATA("XDB4",'dabac (2016)'!$A$3,"MA_HT","CLN","MA_QH","RDD")</f>
        <v>0</v>
      </c>
      <c r="O12" s="35">
        <f>+GETPIVOTDATA("XDB4",'dabac (2016)'!$A$3,"MA_HT","CLN","MA_QH","NTS")</f>
        <v>0</v>
      </c>
      <c r="P12" s="35">
        <f>+GETPIVOTDATA("XDB4",'dabac (2016)'!$A$3,"MA_HT","CLN","MA_QH","LMU")</f>
        <v>0</v>
      </c>
      <c r="Q12" s="35">
        <f>+GETPIVOTDATA("XDB4",'dabac (2016)'!$A$3,"MA_HT","CLN","MA_QH","NKH")</f>
        <v>0</v>
      </c>
      <c r="R12" s="63">
        <f t="shared" si="2"/>
        <v>0</v>
      </c>
      <c r="S12" s="35">
        <f>+GETPIVOTDATA("XDB4",'dabac (2016)'!$A$3,"MA_HT","CLN","MA_QH","CQP")</f>
        <v>0</v>
      </c>
      <c r="T12" s="35">
        <f>+GETPIVOTDATA("XDB4",'dabac (2016)'!$A$3,"MA_HT","CLN","MA_QH","CAN")</f>
        <v>0</v>
      </c>
      <c r="U12" s="35">
        <f>+GETPIVOTDATA("XDB4",'dabac (2016)'!$A$3,"MA_HT","CLN","MA_QH","SKK")</f>
        <v>0</v>
      </c>
      <c r="V12" s="35">
        <f>+GETPIVOTDATA("XDB4",'dabac (2016)'!$A$3,"MA_HT","CLN","MA_QH","SKT")</f>
        <v>0</v>
      </c>
      <c r="W12" s="35">
        <f>+GETPIVOTDATA("XDB4",'dabac (2016)'!$A$3,"MA_HT","CLN","MA_QH","SKN")</f>
        <v>0</v>
      </c>
      <c r="X12" s="35">
        <f>+GETPIVOTDATA("XDB4",'dabac (2016)'!$A$3,"MA_HT","CLN","MA_QH","TMD")</f>
        <v>0</v>
      </c>
      <c r="Y12" s="35">
        <f>+GETPIVOTDATA("XDB4",'dabac (2016)'!$A$3,"MA_HT","CLN","MA_QH","SKC")</f>
        <v>0</v>
      </c>
      <c r="Z12" s="35">
        <f>+GETPIVOTDATA("XDB4",'dabac (2016)'!$A$3,"MA_HT","CLN","MA_QH","SKS")</f>
        <v>0</v>
      </c>
      <c r="AA12" s="64">
        <f t="shared" si="4"/>
        <v>0</v>
      </c>
      <c r="AB12" s="35">
        <f>+GETPIVOTDATA("XDB4",'dabac (2016)'!$A$3,"MA_HT","CLN","MA_QH","DGT")</f>
        <v>0</v>
      </c>
      <c r="AC12" s="35">
        <f>+GETPIVOTDATA("XDB4",'dabac (2016)'!$A$3,"MA_HT","CLN","MA_QH","DTL")</f>
        <v>0</v>
      </c>
      <c r="AD12" s="35">
        <f>+GETPIVOTDATA("XDB4",'dabac (2016)'!$A$3,"MA_HT","CLN","MA_QH","DNL")</f>
        <v>0</v>
      </c>
      <c r="AE12" s="35">
        <f>+GETPIVOTDATA("XDB4",'dabac (2016)'!$A$3,"MA_HT","CLN","MA_QH","DBV")</f>
        <v>0</v>
      </c>
      <c r="AF12" s="35">
        <f>+GETPIVOTDATA("XDB4",'dabac (2016)'!$A$3,"MA_HT","CLN","MA_QH","DVH")</f>
        <v>0</v>
      </c>
      <c r="AG12" s="35">
        <f>+GETPIVOTDATA("XDB4",'dabac (2016)'!$A$3,"MA_HT","CLN","MA_QH","DYT")</f>
        <v>0</v>
      </c>
      <c r="AH12" s="35">
        <f>+GETPIVOTDATA("XDB4",'dabac (2016)'!$A$3,"MA_HT","CLN","MA_QH","DGD")</f>
        <v>0</v>
      </c>
      <c r="AI12" s="35">
        <f>+GETPIVOTDATA("XDB4",'dabac (2016)'!$A$3,"MA_HT","CLN","MA_QH","DTT")</f>
        <v>0</v>
      </c>
      <c r="AJ12" s="35">
        <f>+GETPIVOTDATA("XDB4",'dabac (2016)'!$A$3,"MA_HT","CLN","MA_QH","NCK")</f>
        <v>0</v>
      </c>
      <c r="AK12" s="35">
        <f>+GETPIVOTDATA("XDB4",'dabac (2016)'!$A$3,"MA_HT","CLN","MA_QH","DXH")</f>
        <v>0</v>
      </c>
      <c r="AL12" s="35">
        <f>+GETPIVOTDATA("XDB4",'dabac (2016)'!$A$3,"MA_HT","CLN","MA_QH","DCH")</f>
        <v>0</v>
      </c>
      <c r="AM12" s="35">
        <f>+GETPIVOTDATA("XDB4",'dabac (2016)'!$A$3,"MA_HT","CLN","MA_QH","DKG")</f>
        <v>0</v>
      </c>
      <c r="AN12" s="35">
        <f>+GETPIVOTDATA("XDB4",'dabac (2016)'!$A$3,"MA_HT","CLN","MA_QH","DDT")</f>
        <v>0</v>
      </c>
      <c r="AO12" s="35">
        <f>+GETPIVOTDATA("XDB4",'dabac (2016)'!$A$3,"MA_HT","CLN","MA_QH","DDL")</f>
        <v>0</v>
      </c>
      <c r="AP12" s="35">
        <f>+GETPIVOTDATA("XDB4",'dabac (2016)'!$A$3,"MA_HT","CLN","MA_QH","DRA")</f>
        <v>0</v>
      </c>
      <c r="AQ12" s="35">
        <f>+GETPIVOTDATA("XDB4",'dabac (2016)'!$A$3,"MA_HT","CLN","MA_QH","ONT")</f>
        <v>0</v>
      </c>
      <c r="AR12" s="35">
        <f>+GETPIVOTDATA("XDB4",'dabac (2016)'!$A$3,"MA_HT","CLN","MA_QH","ODT")</f>
        <v>0</v>
      </c>
      <c r="AS12" s="35">
        <f>+GETPIVOTDATA("XDB4",'dabac (2016)'!$A$3,"MA_HT","CLN","MA_QH","TSC")</f>
        <v>0</v>
      </c>
      <c r="AT12" s="35">
        <f>+GETPIVOTDATA("XDB4",'dabac (2016)'!$A$3,"MA_HT","CLN","MA_QH","DTS")</f>
        <v>0</v>
      </c>
      <c r="AU12" s="35">
        <f>+GETPIVOTDATA("XDB4",'dabac (2016)'!$A$3,"MA_HT","CLN","MA_QH","DNG")</f>
        <v>0</v>
      </c>
      <c r="AV12" s="35">
        <f>+GETPIVOTDATA("XDB4",'dabac (2016)'!$A$3,"MA_HT","CLN","MA_QH","TON")</f>
        <v>0</v>
      </c>
      <c r="AW12" s="35">
        <f>+GETPIVOTDATA("XDB4",'dabac (2016)'!$A$3,"MA_HT","CLN","MA_QH","NTD")</f>
        <v>0</v>
      </c>
      <c r="AX12" s="35">
        <f>+GETPIVOTDATA("XDB4",'dabac (2016)'!$A$3,"MA_HT","CLN","MA_QH","SKX")</f>
        <v>0</v>
      </c>
      <c r="AY12" s="35">
        <f>+GETPIVOTDATA("XDB4",'dabac (2016)'!$A$3,"MA_HT","CLN","MA_QH","DSH")</f>
        <v>0</v>
      </c>
      <c r="AZ12" s="35">
        <f>+GETPIVOTDATA("XDB4",'dabac (2016)'!$A$3,"MA_HT","CLN","MA_QH","DKV")</f>
        <v>0</v>
      </c>
      <c r="BA12" s="140">
        <f>+GETPIVOTDATA("XDB4",'dabac (2016)'!$A$3,"MA_HT","CLN","MA_QH","TIN")</f>
        <v>0</v>
      </c>
      <c r="BB12" s="74">
        <f>+GETPIVOTDATA("XDB4",'dabac (2016)'!$A$3,"MA_HT","CLN","MA_QH","SON")</f>
        <v>0</v>
      </c>
      <c r="BC12" s="74">
        <f>+GETPIVOTDATA("XDB4",'dabac (2016)'!$A$3,"MA_HT","CLN","MA_QH","MNC")</f>
        <v>0</v>
      </c>
      <c r="BD12" s="35">
        <f>+GETPIVOTDATA("XDB4",'dabac (2016)'!$A$3,"MA_HT","CLN","MA_QH","PNK")</f>
        <v>0</v>
      </c>
      <c r="BE12" s="58">
        <f>+GETPIVOTDATA("XDB4",'dabac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+GETPIVOTDATA("XDB4",'dabac (2016)'!$A$3,"MA_HT","RSX","MA_QH","LUC")</f>
        <v>0</v>
      </c>
      <c r="H13" s="35">
        <f>+GETPIVOTDATA("XDB4",'dabac (2016)'!$A$3,"MA_HT","RSX","MA_QH","LUK")</f>
        <v>0</v>
      </c>
      <c r="I13" s="35">
        <f>+GETPIVOTDATA("XDB4",'dabac (2016)'!$A$3,"MA_HT","RSX","MA_QH","LUN")</f>
        <v>0</v>
      </c>
      <c r="J13" s="35">
        <f>+GETPIVOTDATA("XDB4",'dabac (2016)'!$A$3,"MA_HT","RSX","MA_QH","HNK")</f>
        <v>0</v>
      </c>
      <c r="K13" s="35">
        <f>+GETPIVOTDATA("XDB4",'dabac (2016)'!$A$3,"MA_HT","RSX","MA_QH","CLN")</f>
        <v>0</v>
      </c>
      <c r="L13" s="99" t="e">
        <f>$D13-$BF13</f>
        <v>#REF!</v>
      </c>
      <c r="M13" s="35">
        <f>+GETPIVOTDATA("XDB4",'dabac (2016)'!$A$3,"MA_HT","RSX","MA_QH","RPH")</f>
        <v>0</v>
      </c>
      <c r="N13" s="35">
        <f>+GETPIVOTDATA("XDB4",'dabac (2016)'!$A$3,"MA_HT","RSX","MA_QH","RDD")</f>
        <v>0</v>
      </c>
      <c r="O13" s="35">
        <f>+GETPIVOTDATA("XDB4",'dabac (2016)'!$A$3,"MA_HT","RSX","MA_QH","NTS")</f>
        <v>0</v>
      </c>
      <c r="P13" s="35">
        <f>+GETPIVOTDATA("XDB4",'dabac (2016)'!$A$3,"MA_HT","RSX","MA_QH","LMU")</f>
        <v>0</v>
      </c>
      <c r="Q13" s="35">
        <f>+GETPIVOTDATA("XDB4",'dabac (2016)'!$A$3,"MA_HT","RSX","MA_QH","NKH")</f>
        <v>0</v>
      </c>
      <c r="R13" s="63">
        <f t="shared" si="2"/>
        <v>0</v>
      </c>
      <c r="S13" s="35">
        <f>+GETPIVOTDATA("XDB4",'dabac (2016)'!$A$3,"MA_HT","RSX","MA_QH","CQP")</f>
        <v>0</v>
      </c>
      <c r="T13" s="35">
        <f>+GETPIVOTDATA("XDB4",'dabac (2016)'!$A$3,"MA_HT","RSX","MA_QH","CAN")</f>
        <v>0</v>
      </c>
      <c r="U13" s="35">
        <f>+GETPIVOTDATA("XDB4",'dabac (2016)'!$A$3,"MA_HT","RSX","MA_QH","SKK")</f>
        <v>0</v>
      </c>
      <c r="V13" s="35">
        <f>+GETPIVOTDATA("XDB4",'dabac (2016)'!$A$3,"MA_HT","RSX","MA_QH","SKT")</f>
        <v>0</v>
      </c>
      <c r="W13" s="35">
        <f>+GETPIVOTDATA("XDB4",'dabac (2016)'!$A$3,"MA_HT","RSX","MA_QH","SKN")</f>
        <v>0</v>
      </c>
      <c r="X13" s="35">
        <f>+GETPIVOTDATA("XDB4",'dabac (2016)'!$A$3,"MA_HT","RSX","MA_QH","TMD")</f>
        <v>0</v>
      </c>
      <c r="Y13" s="35">
        <f>+GETPIVOTDATA("XDB4",'dabac (2016)'!$A$3,"MA_HT","RSX","MA_QH","SKC")</f>
        <v>0</v>
      </c>
      <c r="Z13" s="35">
        <f>+GETPIVOTDATA("XDB4",'dabac (2016)'!$A$3,"MA_HT","RSX","MA_QH","SKS")</f>
        <v>0</v>
      </c>
      <c r="AA13" s="64">
        <f t="shared" si="4"/>
        <v>0</v>
      </c>
      <c r="AB13" s="35">
        <f>+GETPIVOTDATA("XDB4",'dabac (2016)'!$A$3,"MA_HT","RSX","MA_QH","DGT")</f>
        <v>0</v>
      </c>
      <c r="AC13" s="35">
        <f>+GETPIVOTDATA("XDB4",'dabac (2016)'!$A$3,"MA_HT","RSX","MA_QH","DTL")</f>
        <v>0</v>
      </c>
      <c r="AD13" s="35">
        <f>+GETPIVOTDATA("XDB4",'dabac (2016)'!$A$3,"MA_HT","RSX","MA_QH","DNL")</f>
        <v>0</v>
      </c>
      <c r="AE13" s="35">
        <f>+GETPIVOTDATA("XDB4",'dabac (2016)'!$A$3,"MA_HT","RSX","MA_QH","DBV")</f>
        <v>0</v>
      </c>
      <c r="AF13" s="35">
        <f>+GETPIVOTDATA("XDB4",'dabac (2016)'!$A$3,"MA_HT","RSX","MA_QH","DVH")</f>
        <v>0</v>
      </c>
      <c r="AG13" s="35">
        <f>+GETPIVOTDATA("XDB4",'dabac (2016)'!$A$3,"MA_HT","RSX","MA_QH","DYT")</f>
        <v>0</v>
      </c>
      <c r="AH13" s="35">
        <f>+GETPIVOTDATA("XDB4",'dabac (2016)'!$A$3,"MA_HT","RSX","MA_QH","DGD")</f>
        <v>0</v>
      </c>
      <c r="AI13" s="35">
        <f>+GETPIVOTDATA("XDB4",'dabac (2016)'!$A$3,"MA_HT","RSX","MA_QH","DTT")</f>
        <v>0</v>
      </c>
      <c r="AJ13" s="35">
        <f>+GETPIVOTDATA("XDB4",'dabac (2016)'!$A$3,"MA_HT","RSX","MA_QH","NCK")</f>
        <v>0</v>
      </c>
      <c r="AK13" s="35">
        <f>+GETPIVOTDATA("XDB4",'dabac (2016)'!$A$3,"MA_HT","RSX","MA_QH","DXH")</f>
        <v>0</v>
      </c>
      <c r="AL13" s="35">
        <f>+GETPIVOTDATA("XDB4",'dabac (2016)'!$A$3,"MA_HT","RSX","MA_QH","DCH")</f>
        <v>0</v>
      </c>
      <c r="AM13" s="35">
        <f>+GETPIVOTDATA("XDB4",'dabac (2016)'!$A$3,"MA_HT","RSX","MA_QH","DKG")</f>
        <v>0</v>
      </c>
      <c r="AN13" s="35">
        <f>+GETPIVOTDATA("XDB4",'dabac (2016)'!$A$3,"MA_HT","RSX","MA_QH","DDT")</f>
        <v>0</v>
      </c>
      <c r="AO13" s="35">
        <f>+GETPIVOTDATA("XDB4",'dabac (2016)'!$A$3,"MA_HT","RSX","MA_QH","DDL")</f>
        <v>0</v>
      </c>
      <c r="AP13" s="35">
        <f>+GETPIVOTDATA("XDB4",'dabac (2016)'!$A$3,"MA_HT","RSX","MA_QH","DRA")</f>
        <v>0</v>
      </c>
      <c r="AQ13" s="35">
        <f>+GETPIVOTDATA("XDB4",'dabac (2016)'!$A$3,"MA_HT","RSX","MA_QH","ONT")</f>
        <v>0</v>
      </c>
      <c r="AR13" s="35">
        <f>+GETPIVOTDATA("XDB4",'dabac (2016)'!$A$3,"MA_HT","RSX","MA_QH","ODT")</f>
        <v>0</v>
      </c>
      <c r="AS13" s="35">
        <f>+GETPIVOTDATA("XDB4",'dabac (2016)'!$A$3,"MA_HT","RSX","MA_QH","TSC")</f>
        <v>0</v>
      </c>
      <c r="AT13" s="35">
        <f>+GETPIVOTDATA("XDB4",'dabac (2016)'!$A$3,"MA_HT","RSX","MA_QH","DTS")</f>
        <v>0</v>
      </c>
      <c r="AU13" s="35">
        <f>+GETPIVOTDATA("XDB4",'dabac (2016)'!$A$3,"MA_HT","RSX","MA_QH","DNG")</f>
        <v>0</v>
      </c>
      <c r="AV13" s="35">
        <f>+GETPIVOTDATA("XDB4",'dabac (2016)'!$A$3,"MA_HT","RSX","MA_QH","TON")</f>
        <v>0</v>
      </c>
      <c r="AW13" s="35">
        <f>+GETPIVOTDATA("XDB4",'dabac (2016)'!$A$3,"MA_HT","RSX","MA_QH","NTD")</f>
        <v>0</v>
      </c>
      <c r="AX13" s="35">
        <f>+GETPIVOTDATA("XDB4",'dabac (2016)'!$A$3,"MA_HT","RSX","MA_QH","SKX")</f>
        <v>0</v>
      </c>
      <c r="AY13" s="35">
        <f>+GETPIVOTDATA("XDB4",'dabac (2016)'!$A$3,"MA_HT","RSX","MA_QH","DSH")</f>
        <v>0</v>
      </c>
      <c r="AZ13" s="35">
        <f>+GETPIVOTDATA("XDB4",'dabac (2016)'!$A$3,"MA_HT","RSX","MA_QH","DKV")</f>
        <v>0</v>
      </c>
      <c r="BA13" s="140">
        <f>+GETPIVOTDATA("XDB4",'dabac (2016)'!$A$3,"MA_HT","RSX","MA_QH","TIN")</f>
        <v>0</v>
      </c>
      <c r="BB13" s="74">
        <f>+GETPIVOTDATA("XDB4",'dabac (2016)'!$A$3,"MA_HT","RSX","MA_QH","SON")</f>
        <v>0</v>
      </c>
      <c r="BC13" s="74">
        <f>+GETPIVOTDATA("XDB4",'dabac (2016)'!$A$3,"MA_HT","RSX","MA_QH","MNC")</f>
        <v>0</v>
      </c>
      <c r="BD13" s="35">
        <f>+GETPIVOTDATA("XDB4",'dabac (2016)'!$A$3,"MA_HT","RSX","MA_QH","PNK")</f>
        <v>0</v>
      </c>
      <c r="BE13" s="58">
        <f>+GETPIVOTDATA("XDB4",'dabac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+GETPIVOTDATA("XDB4",'dabac (2016)'!$A$3,"MA_HT","RPH","MA_QH","LUC")</f>
        <v>0</v>
      </c>
      <c r="H14" s="35">
        <f>+GETPIVOTDATA("XDB4",'dabac (2016)'!$A$3,"MA_HT","RPH","MA_QH","LUK")</f>
        <v>0</v>
      </c>
      <c r="I14" s="35">
        <f>+GETPIVOTDATA("XDB4",'dabac (2016)'!$A$3,"MA_HT","RPH","MA_QH","LUN")</f>
        <v>0</v>
      </c>
      <c r="J14" s="35">
        <f>+GETPIVOTDATA("XDB4",'dabac (2016)'!$A$3,"MA_HT","RPH","MA_QH","HNK")</f>
        <v>0</v>
      </c>
      <c r="K14" s="35">
        <f>+GETPIVOTDATA("XDB4",'dabac (2016)'!$A$3,"MA_HT","RPH","MA_QH","CLN")</f>
        <v>0</v>
      </c>
      <c r="L14" s="35">
        <f>+GETPIVOTDATA("XDB4",'dabac (2016)'!$A$3,"MA_HT","RPH","MA_QH","RSX")</f>
        <v>0</v>
      </c>
      <c r="M14" s="99" t="e">
        <f>$D14-$BF14</f>
        <v>#REF!</v>
      </c>
      <c r="N14" s="35">
        <f>+GETPIVOTDATA("XDB4",'dabac (2016)'!$A$3,"MA_HT","RPH","MA_QH","RDD")</f>
        <v>0</v>
      </c>
      <c r="O14" s="35">
        <f>+GETPIVOTDATA("XDB4",'dabac (2016)'!$A$3,"MA_HT","RPH","MA_QH","NTS")</f>
        <v>0</v>
      </c>
      <c r="P14" s="35">
        <f>+GETPIVOTDATA("XDB4",'dabac (2016)'!$A$3,"MA_HT","RPH","MA_QH","LMU")</f>
        <v>0</v>
      </c>
      <c r="Q14" s="35">
        <f>+GETPIVOTDATA("XDB4",'dabac (2016)'!$A$3,"MA_HT","RPH","MA_QH","NKH")</f>
        <v>0</v>
      </c>
      <c r="R14" s="63">
        <f t="shared" si="2"/>
        <v>0</v>
      </c>
      <c r="S14" s="35">
        <f>+GETPIVOTDATA("XDB4",'dabac (2016)'!$A$3,"MA_HT","RPH","MA_QH","CQP")</f>
        <v>0</v>
      </c>
      <c r="T14" s="35">
        <f>+GETPIVOTDATA("XDB4",'dabac (2016)'!$A$3,"MA_HT","RPH","MA_QH","CAN")</f>
        <v>0</v>
      </c>
      <c r="U14" s="35">
        <f>+GETPIVOTDATA("XDB4",'dabac (2016)'!$A$3,"MA_HT","RPH","MA_QH","SKK")</f>
        <v>0</v>
      </c>
      <c r="V14" s="35">
        <f>+GETPIVOTDATA("XDB4",'dabac (2016)'!$A$3,"MA_HT","RPH","MA_QH","SKT")</f>
        <v>0</v>
      </c>
      <c r="W14" s="35">
        <f>+GETPIVOTDATA("XDB4",'dabac (2016)'!$A$3,"MA_HT","RPH","MA_QH","SKN")</f>
        <v>0</v>
      </c>
      <c r="X14" s="35">
        <f>+GETPIVOTDATA("XDB4",'dabac (2016)'!$A$3,"MA_HT","RPH","MA_QH","TMD")</f>
        <v>0</v>
      </c>
      <c r="Y14" s="35">
        <f>+GETPIVOTDATA("XDB4",'dabac (2016)'!$A$3,"MA_HT","RPH","MA_QH","SKC")</f>
        <v>0</v>
      </c>
      <c r="Z14" s="35">
        <f>+GETPIVOTDATA("XDB4",'dabac (2016)'!$A$3,"MA_HT","RPH","MA_QH","SKS")</f>
        <v>0</v>
      </c>
      <c r="AA14" s="64">
        <f t="shared" si="4"/>
        <v>0</v>
      </c>
      <c r="AB14" s="35">
        <f>+GETPIVOTDATA("XDB4",'dabac (2016)'!$A$3,"MA_HT","RPH","MA_QH","DGT")</f>
        <v>0</v>
      </c>
      <c r="AC14" s="35">
        <f>+GETPIVOTDATA("XDB4",'dabac (2016)'!$A$3,"MA_HT","RPH","MA_QH","DTL")</f>
        <v>0</v>
      </c>
      <c r="AD14" s="35">
        <f>+GETPIVOTDATA("XDB4",'dabac (2016)'!$A$3,"MA_HT","RPH","MA_QH","DNL")</f>
        <v>0</v>
      </c>
      <c r="AE14" s="35">
        <f>+GETPIVOTDATA("XDB4",'dabac (2016)'!$A$3,"MA_HT","RPH","MA_QH","DBV")</f>
        <v>0</v>
      </c>
      <c r="AF14" s="35">
        <f>+GETPIVOTDATA("XDB4",'dabac (2016)'!$A$3,"MA_HT","RPH","MA_QH","DVH")</f>
        <v>0</v>
      </c>
      <c r="AG14" s="35">
        <f>+GETPIVOTDATA("XDB4",'dabac (2016)'!$A$3,"MA_HT","RPH","MA_QH","DYT")</f>
        <v>0</v>
      </c>
      <c r="AH14" s="35">
        <f>+GETPIVOTDATA("XDB4",'dabac (2016)'!$A$3,"MA_HT","RPH","MA_QH","DGD")</f>
        <v>0</v>
      </c>
      <c r="AI14" s="35">
        <f>+GETPIVOTDATA("XDB4",'dabac (2016)'!$A$3,"MA_HT","RPH","MA_QH","DTT")</f>
        <v>0</v>
      </c>
      <c r="AJ14" s="35">
        <f>+GETPIVOTDATA("XDB4",'dabac (2016)'!$A$3,"MA_HT","RPH","MA_QH","NCK")</f>
        <v>0</v>
      </c>
      <c r="AK14" s="35">
        <f>+GETPIVOTDATA("XDB4",'dabac (2016)'!$A$3,"MA_HT","RPH","MA_QH","DXH")</f>
        <v>0</v>
      </c>
      <c r="AL14" s="35">
        <f>+GETPIVOTDATA("XDB4",'dabac (2016)'!$A$3,"MA_HT","RPH","MA_QH","DCH")</f>
        <v>0</v>
      </c>
      <c r="AM14" s="35">
        <f>+GETPIVOTDATA("XDB4",'dabac (2016)'!$A$3,"MA_HT","RPH","MA_QH","DKG")</f>
        <v>0</v>
      </c>
      <c r="AN14" s="35">
        <f>+GETPIVOTDATA("XDB4",'dabac (2016)'!$A$3,"MA_HT","RPH","MA_QH","DDT")</f>
        <v>0</v>
      </c>
      <c r="AO14" s="35">
        <f>+GETPIVOTDATA("XDB4",'dabac (2016)'!$A$3,"MA_HT","RPH","MA_QH","DDL")</f>
        <v>0</v>
      </c>
      <c r="AP14" s="35">
        <f>+GETPIVOTDATA("XDB4",'dabac (2016)'!$A$3,"MA_HT","RPH","MA_QH","DRA")</f>
        <v>0</v>
      </c>
      <c r="AQ14" s="35">
        <f>+GETPIVOTDATA("XDB4",'dabac (2016)'!$A$3,"MA_HT","RPH","MA_QH","ONT")</f>
        <v>0</v>
      </c>
      <c r="AR14" s="35">
        <f>+GETPIVOTDATA("XDB4",'dabac (2016)'!$A$3,"MA_HT","RPH","MA_QH","ODT")</f>
        <v>0</v>
      </c>
      <c r="AS14" s="35">
        <f>+GETPIVOTDATA("XDB4",'dabac (2016)'!$A$3,"MA_HT","RPH","MA_QH","TSC")</f>
        <v>0</v>
      </c>
      <c r="AT14" s="35">
        <f>+GETPIVOTDATA("XDB4",'dabac (2016)'!$A$3,"MA_HT","RPH","MA_QH","DTS")</f>
        <v>0</v>
      </c>
      <c r="AU14" s="35">
        <f>+GETPIVOTDATA("XDB4",'dabac (2016)'!$A$3,"MA_HT","RPH","MA_QH","DNG")</f>
        <v>0</v>
      </c>
      <c r="AV14" s="35">
        <f>+GETPIVOTDATA("XDB4",'dabac (2016)'!$A$3,"MA_HT","RPH","MA_QH","TON")</f>
        <v>0</v>
      </c>
      <c r="AW14" s="35">
        <f>+GETPIVOTDATA("XDB4",'dabac (2016)'!$A$3,"MA_HT","RPH","MA_QH","NTD")</f>
        <v>0</v>
      </c>
      <c r="AX14" s="35">
        <f>+GETPIVOTDATA("XDB4",'dabac (2016)'!$A$3,"MA_HT","RPH","MA_QH","SKX")</f>
        <v>0</v>
      </c>
      <c r="AY14" s="35">
        <f>+GETPIVOTDATA("XDB4",'dabac (2016)'!$A$3,"MA_HT","RPH","MA_QH","DSH")</f>
        <v>0</v>
      </c>
      <c r="AZ14" s="35">
        <f>+GETPIVOTDATA("XDB4",'dabac (2016)'!$A$3,"MA_HT","RPH","MA_QH","DKV")</f>
        <v>0</v>
      </c>
      <c r="BA14" s="140">
        <f>+GETPIVOTDATA("XDB4",'dabac (2016)'!$A$3,"MA_HT","RPH","MA_QH","TIN")</f>
        <v>0</v>
      </c>
      <c r="BB14" s="74">
        <f>+GETPIVOTDATA("XDB4",'dabac (2016)'!$A$3,"MA_HT","RPH","MA_QH","SON")</f>
        <v>0</v>
      </c>
      <c r="BC14" s="74">
        <f>+GETPIVOTDATA("XDB4",'dabac (2016)'!$A$3,"MA_HT","RPH","MA_QH","MNC")</f>
        <v>0</v>
      </c>
      <c r="BD14" s="35">
        <f>+GETPIVOTDATA("XDB4",'dabac (2016)'!$A$3,"MA_HT","RPH","MA_QH","PNK")</f>
        <v>0</v>
      </c>
      <c r="BE14" s="58">
        <f>+GETPIVOTDATA("XDB4",'dabac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+GETPIVOTDATA("XDB4",'dabac (2016)'!$A$3,"MA_HT","RDD","MA_QH","LUC")</f>
        <v>0</v>
      </c>
      <c r="H15" s="35">
        <f>+GETPIVOTDATA("XDB4",'dabac (2016)'!$A$3,"MA_HT","RDD","MA_QH","LUK")</f>
        <v>0</v>
      </c>
      <c r="I15" s="35">
        <f>+GETPIVOTDATA("XDB4",'dabac (2016)'!$A$3,"MA_HT","RDD","MA_QH","LUN")</f>
        <v>0</v>
      </c>
      <c r="J15" s="35">
        <f>+GETPIVOTDATA("XDB4",'dabac (2016)'!$A$3,"MA_HT","RDD","MA_QH","HNK")</f>
        <v>0</v>
      </c>
      <c r="K15" s="35">
        <f>+GETPIVOTDATA("XDB4",'dabac (2016)'!$A$3,"MA_HT","RDD","MA_QH","CLN")</f>
        <v>0</v>
      </c>
      <c r="L15" s="35">
        <f>+GETPIVOTDATA("XDB4",'dabac (2016)'!$A$3,"MA_HT","RDD","MA_QH","RSX")</f>
        <v>0</v>
      </c>
      <c r="M15" s="35">
        <f>+GETPIVOTDATA("XDB4",'dabac (2016)'!$A$3,"MA_HT","RDD","MA_QH","RPH")</f>
        <v>0</v>
      </c>
      <c r="N15" s="99" t="e">
        <f>$D15-$BF15</f>
        <v>#REF!</v>
      </c>
      <c r="O15" s="35">
        <f>+GETPIVOTDATA("XDB4",'dabac (2016)'!$A$3,"MA_HT","RDD","MA_QH","NTS")</f>
        <v>0</v>
      </c>
      <c r="P15" s="35">
        <f>+GETPIVOTDATA("XDB4",'dabac (2016)'!$A$3,"MA_HT","RDD","MA_QH","LMU")</f>
        <v>0</v>
      </c>
      <c r="Q15" s="35">
        <f>+GETPIVOTDATA("XDB4",'dabac (2016)'!$A$3,"MA_HT","RDD","MA_QH","NKH")</f>
        <v>0</v>
      </c>
      <c r="R15" s="63">
        <f t="shared" si="2"/>
        <v>0</v>
      </c>
      <c r="S15" s="35">
        <f>+GETPIVOTDATA("XDB4",'dabac (2016)'!$A$3,"MA_HT","RDD","MA_QH","CQP")</f>
        <v>0</v>
      </c>
      <c r="T15" s="35">
        <f>+GETPIVOTDATA("XDB4",'dabac (2016)'!$A$3,"MA_HT","RDD","MA_QH","CAN")</f>
        <v>0</v>
      </c>
      <c r="U15" s="35">
        <f>+GETPIVOTDATA("XDB4",'dabac (2016)'!$A$3,"MA_HT","RDD","MA_QH","SKK")</f>
        <v>0</v>
      </c>
      <c r="V15" s="35">
        <f>+GETPIVOTDATA("XDB4",'dabac (2016)'!$A$3,"MA_HT","RDD","MA_QH","SKT")</f>
        <v>0</v>
      </c>
      <c r="W15" s="35">
        <f>+GETPIVOTDATA("XDB4",'dabac (2016)'!$A$3,"MA_HT","RDD","MA_QH","SKN")</f>
        <v>0</v>
      </c>
      <c r="X15" s="35">
        <f>+GETPIVOTDATA("XDB4",'dabac (2016)'!$A$3,"MA_HT","RDD","MA_QH","TMD")</f>
        <v>0</v>
      </c>
      <c r="Y15" s="35">
        <f>+GETPIVOTDATA("XDB4",'dabac (2016)'!$A$3,"MA_HT","RDD","MA_QH","SKC")</f>
        <v>0</v>
      </c>
      <c r="Z15" s="35">
        <f>+GETPIVOTDATA("XDB4",'dabac (2016)'!$A$3,"MA_HT","RDD","MA_QH","SKS")</f>
        <v>0</v>
      </c>
      <c r="AA15" s="64">
        <f t="shared" si="4"/>
        <v>0</v>
      </c>
      <c r="AB15" s="35">
        <f>+GETPIVOTDATA("XDB4",'dabac (2016)'!$A$3,"MA_HT","RDD","MA_QH","DGT")</f>
        <v>0</v>
      </c>
      <c r="AC15" s="35">
        <f>+GETPIVOTDATA("XDB4",'dabac (2016)'!$A$3,"MA_HT","RDD","MA_QH","DTL")</f>
        <v>0</v>
      </c>
      <c r="AD15" s="35">
        <f>+GETPIVOTDATA("XDB4",'dabac (2016)'!$A$3,"MA_HT","RDD","MA_QH","DNL")</f>
        <v>0</v>
      </c>
      <c r="AE15" s="35">
        <f>+GETPIVOTDATA("XDB4",'dabac (2016)'!$A$3,"MA_HT","RDD","MA_QH","DBV")</f>
        <v>0</v>
      </c>
      <c r="AF15" s="35">
        <f>+GETPIVOTDATA("XDB4",'dabac (2016)'!$A$3,"MA_HT","RDD","MA_QH","DVH")</f>
        <v>0</v>
      </c>
      <c r="AG15" s="35">
        <f>+GETPIVOTDATA("XDB4",'dabac (2016)'!$A$3,"MA_HT","RDD","MA_QH","DYT")</f>
        <v>0</v>
      </c>
      <c r="AH15" s="35">
        <f>+GETPIVOTDATA("XDB4",'dabac (2016)'!$A$3,"MA_HT","RDD","MA_QH","DGD")</f>
        <v>0</v>
      </c>
      <c r="AI15" s="35">
        <f>+GETPIVOTDATA("XDB4",'dabac (2016)'!$A$3,"MA_HT","RDD","MA_QH","DTT")</f>
        <v>0</v>
      </c>
      <c r="AJ15" s="35">
        <f>+GETPIVOTDATA("XDB4",'dabac (2016)'!$A$3,"MA_HT","RDD","MA_QH","NCK")</f>
        <v>0</v>
      </c>
      <c r="AK15" s="35">
        <f>+GETPIVOTDATA("XDB4",'dabac (2016)'!$A$3,"MA_HT","RDD","MA_QH","DXH")</f>
        <v>0</v>
      </c>
      <c r="AL15" s="35">
        <f>+GETPIVOTDATA("XDB4",'dabac (2016)'!$A$3,"MA_HT","RDD","MA_QH","DCH")</f>
        <v>0</v>
      </c>
      <c r="AM15" s="35">
        <f>+GETPIVOTDATA("XDB4",'dabac (2016)'!$A$3,"MA_HT","RDD","MA_QH","DKG")</f>
        <v>0</v>
      </c>
      <c r="AN15" s="35">
        <f>+GETPIVOTDATA("XDB4",'dabac (2016)'!$A$3,"MA_HT","RDD","MA_QH","DDT")</f>
        <v>0</v>
      </c>
      <c r="AO15" s="35">
        <f>+GETPIVOTDATA("XDB4",'dabac (2016)'!$A$3,"MA_HT","RDD","MA_QH","DDL")</f>
        <v>0</v>
      </c>
      <c r="AP15" s="35">
        <f>+GETPIVOTDATA("XDB4",'dabac (2016)'!$A$3,"MA_HT","RDD","MA_QH","DRA")</f>
        <v>0</v>
      </c>
      <c r="AQ15" s="35">
        <f>+GETPIVOTDATA("XDB4",'dabac (2016)'!$A$3,"MA_HT","RDD","MA_QH","ONT")</f>
        <v>0</v>
      </c>
      <c r="AR15" s="35">
        <f>+GETPIVOTDATA("XDB4",'dabac (2016)'!$A$3,"MA_HT","RDD","MA_QH","ODT")</f>
        <v>0</v>
      </c>
      <c r="AS15" s="35">
        <f>+GETPIVOTDATA("XDB4",'dabac (2016)'!$A$3,"MA_HT","RDD","MA_QH","TSC")</f>
        <v>0</v>
      </c>
      <c r="AT15" s="35">
        <f>+GETPIVOTDATA("XDB4",'dabac (2016)'!$A$3,"MA_HT","RDD","MA_QH","DTS")</f>
        <v>0</v>
      </c>
      <c r="AU15" s="35">
        <f>+GETPIVOTDATA("XDB4",'dabac (2016)'!$A$3,"MA_HT","RDD","MA_QH","DNG")</f>
        <v>0</v>
      </c>
      <c r="AV15" s="35">
        <f>+GETPIVOTDATA("XDB4",'dabac (2016)'!$A$3,"MA_HT","RDD","MA_QH","TON")</f>
        <v>0</v>
      </c>
      <c r="AW15" s="35">
        <f>+GETPIVOTDATA("XDB4",'dabac (2016)'!$A$3,"MA_HT","RDD","MA_QH","NTD")</f>
        <v>0</v>
      </c>
      <c r="AX15" s="35">
        <f>+GETPIVOTDATA("XDB4",'dabac (2016)'!$A$3,"MA_HT","RDD","MA_QH","SKX")</f>
        <v>0</v>
      </c>
      <c r="AY15" s="35">
        <f>+GETPIVOTDATA("XDB4",'dabac (2016)'!$A$3,"MA_HT","RDD","MA_QH","DSH")</f>
        <v>0</v>
      </c>
      <c r="AZ15" s="35">
        <f>+GETPIVOTDATA("XDB4",'dabac (2016)'!$A$3,"MA_HT","RDD","MA_QH","DKV")</f>
        <v>0</v>
      </c>
      <c r="BA15" s="140">
        <f>+GETPIVOTDATA("XDB4",'dabac (2016)'!$A$3,"MA_HT","RDD","MA_QH","TIN")</f>
        <v>0</v>
      </c>
      <c r="BB15" s="74">
        <f>+GETPIVOTDATA("XDB4",'dabac (2016)'!$A$3,"MA_HT","RDD","MA_QH","SON")</f>
        <v>0</v>
      </c>
      <c r="BC15" s="74">
        <f>+GETPIVOTDATA("XDB4",'dabac (2016)'!$A$3,"MA_HT","RDD","MA_QH","MNC")</f>
        <v>0</v>
      </c>
      <c r="BD15" s="35">
        <f>+GETPIVOTDATA("XDB4",'dabac (2016)'!$A$3,"MA_HT","RDD","MA_QH","PNK")</f>
        <v>0</v>
      </c>
      <c r="BE15" s="58">
        <f>+GETPIVOTDATA("XDB4",'dabac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+GETPIVOTDATA("XDB4",'dabac (2016)'!$A$3,"MA_HT","NTS","MA_QH","LUC")</f>
        <v>0</v>
      </c>
      <c r="H16" s="35">
        <f>+GETPIVOTDATA("XDB4",'dabac (2016)'!$A$3,"MA_HT","NTS","MA_QH","LUK")</f>
        <v>0</v>
      </c>
      <c r="I16" s="35">
        <f>+GETPIVOTDATA("XDB4",'dabac (2016)'!$A$3,"MA_HT","NTS","MA_QH","LUN")</f>
        <v>0</v>
      </c>
      <c r="J16" s="35">
        <f>+GETPIVOTDATA("XDB4",'dabac (2016)'!$A$3,"MA_HT","NTS","MA_QH","HNK")</f>
        <v>0</v>
      </c>
      <c r="K16" s="35">
        <f>+GETPIVOTDATA("XDB4",'dabac (2016)'!$A$3,"MA_HT","NTS","MA_QH","CLN")</f>
        <v>0</v>
      </c>
      <c r="L16" s="35">
        <f>+GETPIVOTDATA("XDB4",'dabac (2016)'!$A$3,"MA_HT","NTS","MA_QH","RSX")</f>
        <v>0</v>
      </c>
      <c r="M16" s="35">
        <f>+GETPIVOTDATA("XDB4",'dabac (2016)'!$A$3,"MA_HT","NTS","MA_QH","RPH")</f>
        <v>0</v>
      </c>
      <c r="N16" s="35">
        <f>+GETPIVOTDATA("XDB4",'dabac (2016)'!$A$3,"MA_HT","NTS","MA_QH","RDD")</f>
        <v>0</v>
      </c>
      <c r="O16" s="99" t="e">
        <f>$D16-$BF16</f>
        <v>#REF!</v>
      </c>
      <c r="P16" s="35">
        <f>+GETPIVOTDATA("XDB4",'dabac (2016)'!$A$3,"MA_HT","NTS","MA_QH","LMU")</f>
        <v>0</v>
      </c>
      <c r="Q16" s="35">
        <f>+GETPIVOTDATA("XDB4",'dabac (2016)'!$A$3,"MA_HT","NTS","MA_QH","NKH")</f>
        <v>0</v>
      </c>
      <c r="R16" s="63">
        <f t="shared" si="2"/>
        <v>0</v>
      </c>
      <c r="S16" s="35">
        <f>+GETPIVOTDATA("XDB4",'dabac (2016)'!$A$3,"MA_HT","NTS","MA_QH","CQP")</f>
        <v>0</v>
      </c>
      <c r="T16" s="35">
        <f>+GETPIVOTDATA("XDB4",'dabac (2016)'!$A$3,"MA_HT","NTS","MA_QH","CAN")</f>
        <v>0</v>
      </c>
      <c r="U16" s="35">
        <f>+GETPIVOTDATA("XDB4",'dabac (2016)'!$A$3,"MA_HT","NTS","MA_QH","SKK")</f>
        <v>0</v>
      </c>
      <c r="V16" s="35">
        <f>+GETPIVOTDATA("XDB4",'dabac (2016)'!$A$3,"MA_HT","NTS","MA_QH","SKT")</f>
        <v>0</v>
      </c>
      <c r="W16" s="35">
        <f>+GETPIVOTDATA("XDB4",'dabac (2016)'!$A$3,"MA_HT","NTS","MA_QH","SKN")</f>
        <v>0</v>
      </c>
      <c r="X16" s="35">
        <f>+GETPIVOTDATA("XDB4",'dabac (2016)'!$A$3,"MA_HT","NTS","MA_QH","TMD")</f>
        <v>0</v>
      </c>
      <c r="Y16" s="35">
        <f>+GETPIVOTDATA("XDB4",'dabac (2016)'!$A$3,"MA_HT","NTS","MA_QH","SKC")</f>
        <v>0</v>
      </c>
      <c r="Z16" s="35">
        <f>+GETPIVOTDATA("XDB4",'dabac (2016)'!$A$3,"MA_HT","NTS","MA_QH","SKS")</f>
        <v>0</v>
      </c>
      <c r="AA16" s="64">
        <f t="shared" si="4"/>
        <v>0</v>
      </c>
      <c r="AB16" s="35">
        <f>+GETPIVOTDATA("XDB4",'dabac (2016)'!$A$3,"MA_HT","NTS","MA_QH","DGT")</f>
        <v>0</v>
      </c>
      <c r="AC16" s="35">
        <f>+GETPIVOTDATA("XDB4",'dabac (2016)'!$A$3,"MA_HT","NTS","MA_QH","DTL")</f>
        <v>0</v>
      </c>
      <c r="AD16" s="35">
        <f>+GETPIVOTDATA("XDB4",'dabac (2016)'!$A$3,"MA_HT","NTS","MA_QH","DNL")</f>
        <v>0</v>
      </c>
      <c r="AE16" s="35">
        <f>+GETPIVOTDATA("XDB4",'dabac (2016)'!$A$3,"MA_HT","NTS","MA_QH","DBV")</f>
        <v>0</v>
      </c>
      <c r="AF16" s="35">
        <f>+GETPIVOTDATA("XDB4",'dabac (2016)'!$A$3,"MA_HT","NTS","MA_QH","DVH")</f>
        <v>0</v>
      </c>
      <c r="AG16" s="35">
        <f>+GETPIVOTDATA("XDB4",'dabac (2016)'!$A$3,"MA_HT","NTS","MA_QH","DYT")</f>
        <v>0</v>
      </c>
      <c r="AH16" s="35">
        <f>+GETPIVOTDATA("XDB4",'dabac (2016)'!$A$3,"MA_HT","NTS","MA_QH","DGD")</f>
        <v>0</v>
      </c>
      <c r="AI16" s="35">
        <f>+GETPIVOTDATA("XDB4",'dabac (2016)'!$A$3,"MA_HT","NTS","MA_QH","DTT")</f>
        <v>0</v>
      </c>
      <c r="AJ16" s="35">
        <f>+GETPIVOTDATA("XDB4",'dabac (2016)'!$A$3,"MA_HT","NTS","MA_QH","NCK")</f>
        <v>0</v>
      </c>
      <c r="AK16" s="35">
        <f>+GETPIVOTDATA("XDB4",'dabac (2016)'!$A$3,"MA_HT","NTS","MA_QH","DXH")</f>
        <v>0</v>
      </c>
      <c r="AL16" s="35">
        <f>+GETPIVOTDATA("XDB4",'dabac (2016)'!$A$3,"MA_HT","NTS","MA_QH","DCH")</f>
        <v>0</v>
      </c>
      <c r="AM16" s="35">
        <f>+GETPIVOTDATA("XDB4",'dabac (2016)'!$A$3,"MA_HT","NTS","MA_QH","DKG")</f>
        <v>0</v>
      </c>
      <c r="AN16" s="35">
        <f>+GETPIVOTDATA("XDB4",'dabac (2016)'!$A$3,"MA_HT","NTS","MA_QH","DDT")</f>
        <v>0</v>
      </c>
      <c r="AO16" s="35">
        <f>+GETPIVOTDATA("XDB4",'dabac (2016)'!$A$3,"MA_HT","NTS","MA_QH","DDL")</f>
        <v>0</v>
      </c>
      <c r="AP16" s="35">
        <f>+GETPIVOTDATA("XDB4",'dabac (2016)'!$A$3,"MA_HT","NTS","MA_QH","DRA")</f>
        <v>0</v>
      </c>
      <c r="AQ16" s="35">
        <f>+GETPIVOTDATA("XDB4",'dabac (2016)'!$A$3,"MA_HT","NTS","MA_QH","ONT")</f>
        <v>0</v>
      </c>
      <c r="AR16" s="35">
        <f>+GETPIVOTDATA("XDB4",'dabac (2016)'!$A$3,"MA_HT","NTS","MA_QH","ODT")</f>
        <v>0</v>
      </c>
      <c r="AS16" s="35">
        <f>+GETPIVOTDATA("XDB4",'dabac (2016)'!$A$3,"MA_HT","NTS","MA_QH","TSC")</f>
        <v>0</v>
      </c>
      <c r="AT16" s="35">
        <f>+GETPIVOTDATA("XDB4",'dabac (2016)'!$A$3,"MA_HT","NTS","MA_QH","DTS")</f>
        <v>0</v>
      </c>
      <c r="AU16" s="35">
        <f>+GETPIVOTDATA("XDB4",'dabac (2016)'!$A$3,"MA_HT","NTS","MA_QH","DNG")</f>
        <v>0</v>
      </c>
      <c r="AV16" s="35">
        <f>+GETPIVOTDATA("XDB4",'dabac (2016)'!$A$3,"MA_HT","NTS","MA_QH","TON")</f>
        <v>0</v>
      </c>
      <c r="AW16" s="35">
        <f>+GETPIVOTDATA("XDB4",'dabac (2016)'!$A$3,"MA_HT","NTS","MA_QH","NTD")</f>
        <v>0</v>
      </c>
      <c r="AX16" s="35">
        <f>+GETPIVOTDATA("XDB4",'dabac (2016)'!$A$3,"MA_HT","NTS","MA_QH","SKX")</f>
        <v>0</v>
      </c>
      <c r="AY16" s="35">
        <f>+GETPIVOTDATA("XDB4",'dabac (2016)'!$A$3,"MA_HT","NTS","MA_QH","DSH")</f>
        <v>0</v>
      </c>
      <c r="AZ16" s="35">
        <f>+GETPIVOTDATA("XDB4",'dabac (2016)'!$A$3,"MA_HT","NTS","MA_QH","DKV")</f>
        <v>0</v>
      </c>
      <c r="BA16" s="140">
        <f>+GETPIVOTDATA("XDB4",'dabac (2016)'!$A$3,"MA_HT","NTS","MA_QH","TIN")</f>
        <v>0</v>
      </c>
      <c r="BB16" s="74">
        <f>+GETPIVOTDATA("XDB4",'dabac (2016)'!$A$3,"MA_HT","NTS","MA_QH","SON")</f>
        <v>0</v>
      </c>
      <c r="BC16" s="74">
        <f>+GETPIVOTDATA("XDB4",'dabac (2016)'!$A$3,"MA_HT","NTS","MA_QH","MNC")</f>
        <v>0</v>
      </c>
      <c r="BD16" s="35">
        <f>+GETPIVOTDATA("XDB4",'dabac (2016)'!$A$3,"MA_HT","NTS","MA_QH","PNK")</f>
        <v>0</v>
      </c>
      <c r="BE16" s="58">
        <f>+GETPIVOTDATA("XDB4",'dabac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+GETPIVOTDATA("XDB4",'dabac (2016)'!$A$3,"MA_HT","LMU","MA_QH","LUC")</f>
        <v>0</v>
      </c>
      <c r="H17" s="35">
        <f>+GETPIVOTDATA("XDB4",'dabac (2016)'!$A$3,"MA_HT","LMU","MA_QH","LUK")</f>
        <v>0</v>
      </c>
      <c r="I17" s="35">
        <f>+GETPIVOTDATA("XDB4",'dabac (2016)'!$A$3,"MA_HT","LMU","MA_QH","LUN")</f>
        <v>0</v>
      </c>
      <c r="J17" s="35">
        <f>+GETPIVOTDATA("XDB4",'dabac (2016)'!$A$3,"MA_HT","LMU","MA_QH","HNK")</f>
        <v>0</v>
      </c>
      <c r="K17" s="35">
        <f>+GETPIVOTDATA("XDB4",'dabac (2016)'!$A$3,"MA_HT","LMU","MA_QH","CLN")</f>
        <v>0</v>
      </c>
      <c r="L17" s="35">
        <f>+GETPIVOTDATA("XDB4",'dabac (2016)'!$A$3,"MA_HT","LMU","MA_QH","RSX")</f>
        <v>0</v>
      </c>
      <c r="M17" s="35">
        <f>+GETPIVOTDATA("XDB4",'dabac (2016)'!$A$3,"MA_HT","LMU","MA_QH","RPH")</f>
        <v>0</v>
      </c>
      <c r="N17" s="35">
        <f>+GETPIVOTDATA("XDB4",'dabac (2016)'!$A$3,"MA_HT","LMU","MA_QH","RDD")</f>
        <v>0</v>
      </c>
      <c r="O17" s="35">
        <f>+GETPIVOTDATA("XDB4",'dabac (2016)'!$A$3,"MA_HT","LMU","MA_QH","NTS")</f>
        <v>0</v>
      </c>
      <c r="P17" s="99" t="e">
        <f>$D17-$BF17</f>
        <v>#REF!</v>
      </c>
      <c r="Q17" s="35">
        <f>+GETPIVOTDATA("XDB4",'dabac (2016)'!$A$3,"MA_HT","LMU","MA_QH","NKH")</f>
        <v>0</v>
      </c>
      <c r="R17" s="63">
        <f t="shared" si="2"/>
        <v>0</v>
      </c>
      <c r="S17" s="35">
        <f>+GETPIVOTDATA("XDB4",'dabac (2016)'!$A$3,"MA_HT","LMU","MA_QH","CQP")</f>
        <v>0</v>
      </c>
      <c r="T17" s="35">
        <f>+GETPIVOTDATA("XDB4",'dabac (2016)'!$A$3,"MA_HT","LMU","MA_QH","CAN")</f>
        <v>0</v>
      </c>
      <c r="U17" s="35">
        <f>+GETPIVOTDATA("XDB4",'dabac (2016)'!$A$3,"MA_HT","LMU","MA_QH","SKK")</f>
        <v>0</v>
      </c>
      <c r="V17" s="35">
        <f>+GETPIVOTDATA("XDB4",'dabac (2016)'!$A$3,"MA_HT","LMU","MA_QH","SKT")</f>
        <v>0</v>
      </c>
      <c r="W17" s="35">
        <f>+GETPIVOTDATA("XDB4",'dabac (2016)'!$A$3,"MA_HT","LMU","MA_QH","SKN")</f>
        <v>0</v>
      </c>
      <c r="X17" s="35">
        <f>+GETPIVOTDATA("XDB4",'dabac (2016)'!$A$3,"MA_HT","LMU","MA_QH","TMD")</f>
        <v>0</v>
      </c>
      <c r="Y17" s="35">
        <f>+GETPIVOTDATA("XDB4",'dabac (2016)'!$A$3,"MA_HT","LMU","MA_QH","SKC")</f>
        <v>0</v>
      </c>
      <c r="Z17" s="35">
        <f>+GETPIVOTDATA("XDB4",'dabac (2016)'!$A$3,"MA_HT","LMU","MA_QH","SKS")</f>
        <v>0</v>
      </c>
      <c r="AA17" s="64">
        <f t="shared" si="4"/>
        <v>0</v>
      </c>
      <c r="AB17" s="35">
        <f>+GETPIVOTDATA("XDB4",'dabac (2016)'!$A$3,"MA_HT","LMU","MA_QH","DGT")</f>
        <v>0</v>
      </c>
      <c r="AC17" s="35">
        <f>+GETPIVOTDATA("XDB4",'dabac (2016)'!$A$3,"MA_HT","LMU","MA_QH","DTL")</f>
        <v>0</v>
      </c>
      <c r="AD17" s="35">
        <f>+GETPIVOTDATA("XDB4",'dabac (2016)'!$A$3,"MA_HT","LMU","MA_QH","DNL")</f>
        <v>0</v>
      </c>
      <c r="AE17" s="35">
        <f>+GETPIVOTDATA("XDB4",'dabac (2016)'!$A$3,"MA_HT","LMU","MA_QH","DBV")</f>
        <v>0</v>
      </c>
      <c r="AF17" s="35">
        <f>+GETPIVOTDATA("XDB4",'dabac (2016)'!$A$3,"MA_HT","LMU","MA_QH","DVH")</f>
        <v>0</v>
      </c>
      <c r="AG17" s="35">
        <f>+GETPIVOTDATA("XDB4",'dabac (2016)'!$A$3,"MA_HT","LMU","MA_QH","DYT")</f>
        <v>0</v>
      </c>
      <c r="AH17" s="35">
        <f>+GETPIVOTDATA("XDB4",'dabac (2016)'!$A$3,"MA_HT","LMU","MA_QH","DGD")</f>
        <v>0</v>
      </c>
      <c r="AI17" s="35">
        <f>+GETPIVOTDATA("XDB4",'dabac (2016)'!$A$3,"MA_HT","LMU","MA_QH","DTT")</f>
        <v>0</v>
      </c>
      <c r="AJ17" s="35">
        <f>+GETPIVOTDATA("XDB4",'dabac (2016)'!$A$3,"MA_HT","LMU","MA_QH","NCK")</f>
        <v>0</v>
      </c>
      <c r="AK17" s="35">
        <f>+GETPIVOTDATA("XDB4",'dabac (2016)'!$A$3,"MA_HT","LMU","MA_QH","DXH")</f>
        <v>0</v>
      </c>
      <c r="AL17" s="35">
        <f>+GETPIVOTDATA("XDB4",'dabac (2016)'!$A$3,"MA_HT","LMU","MA_QH","DCH")</f>
        <v>0</v>
      </c>
      <c r="AM17" s="35">
        <f>+GETPIVOTDATA("XDB4",'dabac (2016)'!$A$3,"MA_HT","LMU","MA_QH","DKG")</f>
        <v>0</v>
      </c>
      <c r="AN17" s="35">
        <f>+GETPIVOTDATA("XDB4",'dabac (2016)'!$A$3,"MA_HT","LMU","MA_QH","DDT")</f>
        <v>0</v>
      </c>
      <c r="AO17" s="35">
        <f>+GETPIVOTDATA("XDB4",'dabac (2016)'!$A$3,"MA_HT","LMU","MA_QH","DDL")</f>
        <v>0</v>
      </c>
      <c r="AP17" s="35">
        <f>+GETPIVOTDATA("XDB4",'dabac (2016)'!$A$3,"MA_HT","LMU","MA_QH","DRA")</f>
        <v>0</v>
      </c>
      <c r="AQ17" s="35">
        <f>+GETPIVOTDATA("XDB4",'dabac (2016)'!$A$3,"MA_HT","LMU","MA_QH","ONT")</f>
        <v>0</v>
      </c>
      <c r="AR17" s="35">
        <f>+GETPIVOTDATA("XDB4",'dabac (2016)'!$A$3,"MA_HT","LMU","MA_QH","ODT")</f>
        <v>0</v>
      </c>
      <c r="AS17" s="35">
        <f>+GETPIVOTDATA("XDB4",'dabac (2016)'!$A$3,"MA_HT","LMU","MA_QH","TSC")</f>
        <v>0</v>
      </c>
      <c r="AT17" s="35">
        <f>+GETPIVOTDATA("XDB4",'dabac (2016)'!$A$3,"MA_HT","LMU","MA_QH","DTS")</f>
        <v>0</v>
      </c>
      <c r="AU17" s="35">
        <f>+GETPIVOTDATA("XDB4",'dabac (2016)'!$A$3,"MA_HT","LMU","MA_QH","DNG")</f>
        <v>0</v>
      </c>
      <c r="AV17" s="35">
        <f>+GETPIVOTDATA("XDB4",'dabac (2016)'!$A$3,"MA_HT","LMU","MA_QH","TON")</f>
        <v>0</v>
      </c>
      <c r="AW17" s="35">
        <f>+GETPIVOTDATA("XDB4",'dabac (2016)'!$A$3,"MA_HT","LMU","MA_QH","NTD")</f>
        <v>0</v>
      </c>
      <c r="AX17" s="35">
        <f>+GETPIVOTDATA("XDB4",'dabac (2016)'!$A$3,"MA_HT","LMU","MA_QH","SKX")</f>
        <v>0</v>
      </c>
      <c r="AY17" s="35">
        <f>+GETPIVOTDATA("XDB4",'dabac (2016)'!$A$3,"MA_HT","LMU","MA_QH","DSH")</f>
        <v>0</v>
      </c>
      <c r="AZ17" s="35">
        <f>+GETPIVOTDATA("XDB4",'dabac (2016)'!$A$3,"MA_HT","LMU","MA_QH","DKV")</f>
        <v>0</v>
      </c>
      <c r="BA17" s="140">
        <f>+GETPIVOTDATA("XDB4",'dabac (2016)'!$A$3,"MA_HT","LMU","MA_QH","TIN")</f>
        <v>0</v>
      </c>
      <c r="BB17" s="74">
        <f>+GETPIVOTDATA("XDB4",'dabac (2016)'!$A$3,"MA_HT","LMU","MA_QH","SON")</f>
        <v>0</v>
      </c>
      <c r="BC17" s="74">
        <f>+GETPIVOTDATA("XDB4",'dabac (2016)'!$A$3,"MA_HT","LMU","MA_QH","MNC")</f>
        <v>0</v>
      </c>
      <c r="BD17" s="35">
        <f>+GETPIVOTDATA("XDB4",'dabac (2016)'!$A$3,"MA_HT","LMU","MA_QH","PNK")</f>
        <v>0</v>
      </c>
      <c r="BE17" s="58">
        <f>+GETPIVOTDATA("XDB4",'dabac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+GETPIVOTDATA("XDB4",'dabac (2016)'!$A$3,"MA_HT","NKH","MA_QH","LUC")</f>
        <v>0</v>
      </c>
      <c r="H18" s="35">
        <f>+GETPIVOTDATA("XDB4",'dabac (2016)'!$A$3,"MA_HT","NKH","MA_QH","LUK")</f>
        <v>0</v>
      </c>
      <c r="I18" s="35">
        <f>+GETPIVOTDATA("XDB4",'dabac (2016)'!$A$3,"MA_HT","NKH","MA_QH","LUN")</f>
        <v>0</v>
      </c>
      <c r="J18" s="35">
        <f>+GETPIVOTDATA("XDB4",'dabac (2016)'!$A$3,"MA_HT","NKH","MA_QH","HNK")</f>
        <v>0</v>
      </c>
      <c r="K18" s="35">
        <f>+GETPIVOTDATA("XDB4",'dabac (2016)'!$A$3,"MA_HT","NKH","MA_QH","CLN")</f>
        <v>0</v>
      </c>
      <c r="L18" s="35">
        <f>+GETPIVOTDATA("XDB4",'dabac (2016)'!$A$3,"MA_HT","NKH","MA_QH","RSX")</f>
        <v>0</v>
      </c>
      <c r="M18" s="35">
        <f>+GETPIVOTDATA("XDB4",'dabac (2016)'!$A$3,"MA_HT","NKH","MA_QH","RPH")</f>
        <v>0</v>
      </c>
      <c r="N18" s="35">
        <f>+GETPIVOTDATA("XDB4",'dabac (2016)'!$A$3,"MA_HT","NKH","MA_QH","RDD")</f>
        <v>0</v>
      </c>
      <c r="O18" s="35">
        <f>+GETPIVOTDATA("XDB4",'dabac (2016)'!$A$3,"MA_HT","NKH","MA_QH","NTS")</f>
        <v>0</v>
      </c>
      <c r="P18" s="35">
        <f>+GETPIVOTDATA("XDB4",'dabac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+GETPIVOTDATA("XDB4",'dabac (2016)'!$A$3,"MA_HT","NKH","MA_QH","CQP")</f>
        <v>0</v>
      </c>
      <c r="T18" s="35">
        <f>+GETPIVOTDATA("XDB4",'dabac (2016)'!$A$3,"MA_HT","NKH","MA_QH","CAN")</f>
        <v>0</v>
      </c>
      <c r="U18" s="35">
        <f>+GETPIVOTDATA("XDB4",'dabac (2016)'!$A$3,"MA_HT","NKH","MA_QH","SKK")</f>
        <v>0</v>
      </c>
      <c r="V18" s="35">
        <f>+GETPIVOTDATA("XDB4",'dabac (2016)'!$A$3,"MA_HT","NKH","MA_QH","SKT")</f>
        <v>0</v>
      </c>
      <c r="W18" s="35">
        <f>+GETPIVOTDATA("XDB4",'dabac (2016)'!$A$3,"MA_HT","NKH","MA_QH","SKN")</f>
        <v>0</v>
      </c>
      <c r="X18" s="35">
        <f>+GETPIVOTDATA("XDB4",'dabac (2016)'!$A$3,"MA_HT","NKH","MA_QH","TMD")</f>
        <v>0</v>
      </c>
      <c r="Y18" s="35">
        <f>+GETPIVOTDATA("XDB4",'dabac (2016)'!$A$3,"MA_HT","NKH","MA_QH","SKC")</f>
        <v>0</v>
      </c>
      <c r="Z18" s="35">
        <f>+GETPIVOTDATA("XDB4",'dabac (2016)'!$A$3,"MA_HT","NKH","MA_QH","SKS")</f>
        <v>0</v>
      </c>
      <c r="AA18" s="64">
        <f t="shared" si="4"/>
        <v>0</v>
      </c>
      <c r="AB18" s="35">
        <f>+GETPIVOTDATA("XDB4",'dabac (2016)'!$A$3,"MA_HT","NKH","MA_QH","DGT")</f>
        <v>0</v>
      </c>
      <c r="AC18" s="35">
        <f>+GETPIVOTDATA("XDB4",'dabac (2016)'!$A$3,"MA_HT","NKH","MA_QH","DTL")</f>
        <v>0</v>
      </c>
      <c r="AD18" s="35">
        <f>+GETPIVOTDATA("XDB4",'dabac (2016)'!$A$3,"MA_HT","NKH","MA_QH","DNL")</f>
        <v>0</v>
      </c>
      <c r="AE18" s="35">
        <f>+GETPIVOTDATA("XDB4",'dabac (2016)'!$A$3,"MA_HT","NKH","MA_QH","DBV")</f>
        <v>0</v>
      </c>
      <c r="AF18" s="35">
        <f>+GETPIVOTDATA("XDB4",'dabac (2016)'!$A$3,"MA_HT","NKH","MA_QH","DVH")</f>
        <v>0</v>
      </c>
      <c r="AG18" s="35">
        <f>+GETPIVOTDATA("XDB4",'dabac (2016)'!$A$3,"MA_HT","NKH","MA_QH","DYT")</f>
        <v>0</v>
      </c>
      <c r="AH18" s="35">
        <f>+GETPIVOTDATA("XDB4",'dabac (2016)'!$A$3,"MA_HT","NKH","MA_QH","DGD")</f>
        <v>0</v>
      </c>
      <c r="AI18" s="35">
        <f>+GETPIVOTDATA("XDB4",'dabac (2016)'!$A$3,"MA_HT","NKH","MA_QH","DTT")</f>
        <v>0</v>
      </c>
      <c r="AJ18" s="35">
        <f>+GETPIVOTDATA("XDB4",'dabac (2016)'!$A$3,"MA_HT","NKH","MA_QH","NCK")</f>
        <v>0</v>
      </c>
      <c r="AK18" s="35">
        <f>+GETPIVOTDATA("XDB4",'dabac (2016)'!$A$3,"MA_HT","NKH","MA_QH","DXH")</f>
        <v>0</v>
      </c>
      <c r="AL18" s="35">
        <f>+GETPIVOTDATA("XDB4",'dabac (2016)'!$A$3,"MA_HT","NKH","MA_QH","DCH")</f>
        <v>0</v>
      </c>
      <c r="AM18" s="35">
        <f>+GETPIVOTDATA("XDB4",'dabac (2016)'!$A$3,"MA_HT","NKH","MA_QH","DKG")</f>
        <v>0</v>
      </c>
      <c r="AN18" s="35">
        <f>+GETPIVOTDATA("XDB4",'dabac (2016)'!$A$3,"MA_HT","NKH","MA_QH","DDT")</f>
        <v>0</v>
      </c>
      <c r="AO18" s="35">
        <f>+GETPIVOTDATA("XDB4",'dabac (2016)'!$A$3,"MA_HT","NKH","MA_QH","DDL")</f>
        <v>0</v>
      </c>
      <c r="AP18" s="35">
        <f>+GETPIVOTDATA("XDB4",'dabac (2016)'!$A$3,"MA_HT","NKH","MA_QH","DRA")</f>
        <v>0</v>
      </c>
      <c r="AQ18" s="35">
        <f>+GETPIVOTDATA("XDB4",'dabac (2016)'!$A$3,"MA_HT","NKH","MA_QH","ONT")</f>
        <v>0</v>
      </c>
      <c r="AR18" s="35">
        <f>+GETPIVOTDATA("XDB4",'dabac (2016)'!$A$3,"MA_HT","NKH","MA_QH","ODT")</f>
        <v>0</v>
      </c>
      <c r="AS18" s="35">
        <f>+GETPIVOTDATA("XDB4",'dabac (2016)'!$A$3,"MA_HT","NKH","MA_QH","TSC")</f>
        <v>0</v>
      </c>
      <c r="AT18" s="35">
        <f>+GETPIVOTDATA("XDB4",'dabac (2016)'!$A$3,"MA_HT","NKH","MA_QH","DTS")</f>
        <v>0</v>
      </c>
      <c r="AU18" s="35">
        <f>+GETPIVOTDATA("XDB4",'dabac (2016)'!$A$3,"MA_HT","NKH","MA_QH","DNG")</f>
        <v>0</v>
      </c>
      <c r="AV18" s="35">
        <f>+GETPIVOTDATA("XDB4",'dabac (2016)'!$A$3,"MA_HT","NKH","MA_QH","TON")</f>
        <v>0</v>
      </c>
      <c r="AW18" s="35">
        <f>+GETPIVOTDATA("XDB4",'dabac (2016)'!$A$3,"MA_HT","NKH","MA_QH","NTD")</f>
        <v>0</v>
      </c>
      <c r="AX18" s="35">
        <f>+GETPIVOTDATA("XDB4",'dabac (2016)'!$A$3,"MA_HT","NKH","MA_QH","SKX")</f>
        <v>0</v>
      </c>
      <c r="AY18" s="35">
        <f>+GETPIVOTDATA("XDB4",'dabac (2016)'!$A$3,"MA_HT","NKH","MA_QH","DSH")</f>
        <v>0</v>
      </c>
      <c r="AZ18" s="35">
        <f>+GETPIVOTDATA("XDB4",'dabac (2016)'!$A$3,"MA_HT","NKH","MA_QH","DKV")</f>
        <v>0</v>
      </c>
      <c r="BA18" s="140">
        <f>+GETPIVOTDATA("XDB4",'dabac (2016)'!$A$3,"MA_HT","NKH","MA_QH","TIN")</f>
        <v>0</v>
      </c>
      <c r="BB18" s="74">
        <f>+GETPIVOTDATA("XDB4",'dabac (2016)'!$A$3,"MA_HT","NKH","MA_QH","SON")</f>
        <v>0</v>
      </c>
      <c r="BC18" s="74">
        <f>+GETPIVOTDATA("XDB4",'dabac (2016)'!$A$3,"MA_HT","NKH","MA_QH","MNC")</f>
        <v>0</v>
      </c>
      <c r="BD18" s="35">
        <f>+GETPIVOTDATA("XDB4",'dabac (2016)'!$A$3,"MA_HT","NKH","MA_QH","PNK")</f>
        <v>0</v>
      </c>
      <c r="BE18" s="58">
        <f>+GETPIVOTDATA("XDB4",'dabac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+GETPIVOTDATA("XDB4",'dabac (2016)'!$A$3,"MA_HT","CQP","MA_QH","LUC")</f>
        <v>0</v>
      </c>
      <c r="H20" s="35">
        <f>+GETPIVOTDATA("XDB4",'dabac (2016)'!$A$3,"MA_HT","CQP","MA_QH","LUK")</f>
        <v>0</v>
      </c>
      <c r="I20" s="35">
        <f>+GETPIVOTDATA("XDB4",'dabac (2016)'!$A$3,"MA_HT","CQP","MA_QH","LUN")</f>
        <v>0</v>
      </c>
      <c r="J20" s="35">
        <f>+GETPIVOTDATA("XDB4",'dabac (2016)'!$A$3,"MA_HT","CQP","MA_QH","HNK")</f>
        <v>0</v>
      </c>
      <c r="K20" s="35">
        <f>+GETPIVOTDATA("XDB4",'dabac (2016)'!$A$3,"MA_HT","CQP","MA_QH","CLN")</f>
        <v>0</v>
      </c>
      <c r="L20" s="35">
        <f>+GETPIVOTDATA("XDB4",'dabac (2016)'!$A$3,"MA_HT","CQP","MA_QH","RSX")</f>
        <v>0</v>
      </c>
      <c r="M20" s="35">
        <f>+GETPIVOTDATA("XDB4",'dabac (2016)'!$A$3,"MA_HT","CQP","MA_QH","RPH")</f>
        <v>0</v>
      </c>
      <c r="N20" s="35">
        <f>+GETPIVOTDATA("XDB4",'dabac (2016)'!$A$3,"MA_HT","CQP","MA_QH","RDD")</f>
        <v>0</v>
      </c>
      <c r="O20" s="35">
        <f>+GETPIVOTDATA("XDB4",'dabac (2016)'!$A$3,"MA_HT","CQP","MA_QH","NTS")</f>
        <v>0</v>
      </c>
      <c r="P20" s="35">
        <f>+GETPIVOTDATA("XDB4",'dabac (2016)'!$A$3,"MA_HT","CQP","MA_QH","LMU")</f>
        <v>0</v>
      </c>
      <c r="Q20" s="35">
        <f>+GETPIVOTDATA("XDB4",'dabac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+GETPIVOTDATA("XDB4",'dabac (2016)'!$A$3,"MA_HT","CQP","MA_QH","CAN")</f>
        <v>0</v>
      </c>
      <c r="U20" s="35">
        <f>+GETPIVOTDATA("XDB4",'dabac (2016)'!$A$3,"MA_HT","CQP","MA_QH","SKK")</f>
        <v>0</v>
      </c>
      <c r="V20" s="35">
        <f>+GETPIVOTDATA("XDB4",'dabac (2016)'!$A$3,"MA_HT","CQP","MA_QH","SKT")</f>
        <v>0</v>
      </c>
      <c r="W20" s="35">
        <f>+GETPIVOTDATA("XDB4",'dabac (2016)'!$A$3,"MA_HT","CQP","MA_QH","SKN")</f>
        <v>0</v>
      </c>
      <c r="X20" s="35">
        <f>+GETPIVOTDATA("XDB4",'dabac (2016)'!$A$3,"MA_HT","CQP","MA_QH","TMD")</f>
        <v>0</v>
      </c>
      <c r="Y20" s="35">
        <f>+GETPIVOTDATA("XDB4",'dabac (2016)'!$A$3,"MA_HT","CQP","MA_QH","SKC")</f>
        <v>0</v>
      </c>
      <c r="Z20" s="35">
        <f>+GETPIVOTDATA("XDB4",'dabac (2016)'!$A$3,"MA_HT","CQP","MA_QH","SKS")</f>
        <v>0</v>
      </c>
      <c r="AA20" s="64">
        <f t="shared" ref="AA20:AA27" si="12">+SUM(AB20:AM20)</f>
        <v>0</v>
      </c>
      <c r="AB20" s="35">
        <f>+GETPIVOTDATA("XDB4",'dabac (2016)'!$A$3,"MA_HT","CQP","MA_QH","DGT")</f>
        <v>0</v>
      </c>
      <c r="AC20" s="35">
        <f>+GETPIVOTDATA("XDB4",'dabac (2016)'!$A$3,"MA_HT","CQP","MA_QH","DTL")</f>
        <v>0</v>
      </c>
      <c r="AD20" s="35">
        <f>+GETPIVOTDATA("XDB4",'dabac (2016)'!$A$3,"MA_HT","CQP","MA_QH","DNL")</f>
        <v>0</v>
      </c>
      <c r="AE20" s="35">
        <f>+GETPIVOTDATA("XDB4",'dabac (2016)'!$A$3,"MA_HT","CQP","MA_QH","DBV")</f>
        <v>0</v>
      </c>
      <c r="AF20" s="35">
        <f>+GETPIVOTDATA("XDB4",'dabac (2016)'!$A$3,"MA_HT","CQP","MA_QH","DVH")</f>
        <v>0</v>
      </c>
      <c r="AG20" s="35">
        <f>+GETPIVOTDATA("XDB4",'dabac (2016)'!$A$3,"MA_HT","CQP","MA_QH","DYT")</f>
        <v>0</v>
      </c>
      <c r="AH20" s="35">
        <f>+GETPIVOTDATA("XDB4",'dabac (2016)'!$A$3,"MA_HT","CQP","MA_QH","DGD")</f>
        <v>0</v>
      </c>
      <c r="AI20" s="35">
        <f>+GETPIVOTDATA("XDB4",'dabac (2016)'!$A$3,"MA_HT","CQP","MA_QH","DTT")</f>
        <v>0</v>
      </c>
      <c r="AJ20" s="35">
        <f>+GETPIVOTDATA("XDB4",'dabac (2016)'!$A$3,"MA_HT","CQP","MA_QH","NCK")</f>
        <v>0</v>
      </c>
      <c r="AK20" s="35">
        <f>+GETPIVOTDATA("XDB4",'dabac (2016)'!$A$3,"MA_HT","CQP","MA_QH","DXH")</f>
        <v>0</v>
      </c>
      <c r="AL20" s="35">
        <f>+GETPIVOTDATA("XDB4",'dabac (2016)'!$A$3,"MA_HT","CQP","MA_QH","DCH")</f>
        <v>0</v>
      </c>
      <c r="AM20" s="35">
        <f>+GETPIVOTDATA("XDB4",'dabac (2016)'!$A$3,"MA_HT","CQP","MA_QH","DKG")</f>
        <v>0</v>
      </c>
      <c r="AN20" s="35">
        <f>+GETPIVOTDATA("XDB4",'dabac (2016)'!$A$3,"MA_HT","CQP","MA_QH","DDT")</f>
        <v>0</v>
      </c>
      <c r="AO20" s="35">
        <f>+GETPIVOTDATA("XDB4",'dabac (2016)'!$A$3,"MA_HT","CQP","MA_QH","DDL")</f>
        <v>0</v>
      </c>
      <c r="AP20" s="35">
        <f>+GETPIVOTDATA("XDB4",'dabac (2016)'!$A$3,"MA_HT","CQP","MA_QH","DRA")</f>
        <v>0</v>
      </c>
      <c r="AQ20" s="35">
        <f>+GETPIVOTDATA("XDB4",'dabac (2016)'!$A$3,"MA_HT","CQP","MA_QH","ONT")</f>
        <v>0</v>
      </c>
      <c r="AR20" s="35">
        <f>+GETPIVOTDATA("XDB4",'dabac (2016)'!$A$3,"MA_HT","CQP","MA_QH","ODT")</f>
        <v>0</v>
      </c>
      <c r="AS20" s="35">
        <f>+GETPIVOTDATA("XDB4",'dabac (2016)'!$A$3,"MA_HT","CQP","MA_QH","TSC")</f>
        <v>0</v>
      </c>
      <c r="AT20" s="35">
        <f>+GETPIVOTDATA("XDB4",'dabac (2016)'!$A$3,"MA_HT","CQP","MA_QH","DTS")</f>
        <v>0</v>
      </c>
      <c r="AU20" s="35">
        <f>+GETPIVOTDATA("XDB4",'dabac (2016)'!$A$3,"MA_HT","CQP","MA_QH","DNG")</f>
        <v>0</v>
      </c>
      <c r="AV20" s="35">
        <f>+GETPIVOTDATA("XDB4",'dabac (2016)'!$A$3,"MA_HT","CQP","MA_QH","TON")</f>
        <v>0</v>
      </c>
      <c r="AW20" s="35">
        <f>+GETPIVOTDATA("XDB4",'dabac (2016)'!$A$3,"MA_HT","CQP","MA_QH","NTD")</f>
        <v>0</v>
      </c>
      <c r="AX20" s="35">
        <f>+GETPIVOTDATA("XDB4",'dabac (2016)'!$A$3,"MA_HT","CQP","MA_QH","SKX")</f>
        <v>0</v>
      </c>
      <c r="AY20" s="35">
        <f>+GETPIVOTDATA("XDB4",'dabac (2016)'!$A$3,"MA_HT","CQP","MA_QH","DSH")</f>
        <v>0</v>
      </c>
      <c r="AZ20" s="35">
        <f>+GETPIVOTDATA("XDB4",'dabac (2016)'!$A$3,"MA_HT","CQP","MA_QH","DKV")</f>
        <v>0</v>
      </c>
      <c r="BA20" s="140">
        <f>+GETPIVOTDATA("XDB4",'dabac (2016)'!$A$3,"MA_HT","CQP","MA_QH","TIN")</f>
        <v>0</v>
      </c>
      <c r="BB20" s="74">
        <f>+GETPIVOTDATA("XDB4",'dabac (2016)'!$A$3,"MA_HT","CQP","MA_QH","SON")</f>
        <v>0</v>
      </c>
      <c r="BC20" s="74">
        <f>+GETPIVOTDATA("XDB4",'dabac (2016)'!$A$3,"MA_HT","CQP","MA_QH","MNC")</f>
        <v>0</v>
      </c>
      <c r="BD20" s="35">
        <f>+GETPIVOTDATA("XDB4",'dabac (2016)'!$A$3,"MA_HT","CQP","MA_QH","PNK")</f>
        <v>0</v>
      </c>
      <c r="BE20" s="58">
        <f>+GETPIVOTDATA("XDB4",'dabac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+GETPIVOTDATA("XDB4",'dabac (2016)'!$A$3,"MA_HT","CAN","MA_QH","LUC")</f>
        <v>0</v>
      </c>
      <c r="H21" s="35">
        <f>+GETPIVOTDATA("XDB4",'dabac (2016)'!$A$3,"MA_HT","CAN","MA_QH","LUK")</f>
        <v>0</v>
      </c>
      <c r="I21" s="35">
        <f>+GETPIVOTDATA("XDB4",'dabac (2016)'!$A$3,"MA_HT","CAN","MA_QH","LUN")</f>
        <v>0</v>
      </c>
      <c r="J21" s="35">
        <f>+GETPIVOTDATA("XDB4",'dabac (2016)'!$A$3,"MA_HT","CAN","MA_QH","HNK")</f>
        <v>0</v>
      </c>
      <c r="K21" s="35">
        <f>+GETPIVOTDATA("XDB4",'dabac (2016)'!$A$3,"MA_HT","CAN","MA_QH","CLN")</f>
        <v>0</v>
      </c>
      <c r="L21" s="35">
        <f>+GETPIVOTDATA("XDB4",'dabac (2016)'!$A$3,"MA_HT","CAN","MA_QH","RSX")</f>
        <v>0</v>
      </c>
      <c r="M21" s="35">
        <f>+GETPIVOTDATA("XDB4",'dabac (2016)'!$A$3,"MA_HT","CAN","MA_QH","RPH")</f>
        <v>0</v>
      </c>
      <c r="N21" s="35">
        <f>+GETPIVOTDATA("XDB4",'dabac (2016)'!$A$3,"MA_HT","CAN","MA_QH","RDD")</f>
        <v>0</v>
      </c>
      <c r="O21" s="35">
        <f>+GETPIVOTDATA("XDB4",'dabac (2016)'!$A$3,"MA_HT","CAN","MA_QH","NTS")</f>
        <v>0</v>
      </c>
      <c r="P21" s="35">
        <f>+GETPIVOTDATA("XDB4",'dabac (2016)'!$A$3,"MA_HT","CAN","MA_QH","LMU")</f>
        <v>0</v>
      </c>
      <c r="Q21" s="35">
        <f>+GETPIVOTDATA("XDB4",'dabac (2016)'!$A$3,"MA_HT","CAN","MA_QH","NKH")</f>
        <v>0</v>
      </c>
      <c r="R21" s="63">
        <f>SUM(S21,U21:AA21,AN21:BD21)</f>
        <v>0</v>
      </c>
      <c r="S21" s="35">
        <f>+GETPIVOTDATA("XDB4",'dabac (2016)'!$A$3,"MA_HT","CAN","MA_QH","CQP")</f>
        <v>0</v>
      </c>
      <c r="T21" s="99" t="e">
        <f>$D21-$BF21</f>
        <v>#REF!</v>
      </c>
      <c r="U21" s="35">
        <f>+GETPIVOTDATA("XDB4",'dabac (2016)'!$A$3,"MA_HT","CAN","MA_QH","SKK")</f>
        <v>0</v>
      </c>
      <c r="V21" s="35">
        <f>+GETPIVOTDATA("XDB4",'dabac (2016)'!$A$3,"MA_HT","CAN","MA_QH","SKT")</f>
        <v>0</v>
      </c>
      <c r="W21" s="35">
        <f>+GETPIVOTDATA("XDB4",'dabac (2016)'!$A$3,"MA_HT","CAN","MA_QH","SKN")</f>
        <v>0</v>
      </c>
      <c r="X21" s="35">
        <f>+GETPIVOTDATA("XDB4",'dabac (2016)'!$A$3,"MA_HT","CAN","MA_QH","TMD")</f>
        <v>0</v>
      </c>
      <c r="Y21" s="35">
        <f>+GETPIVOTDATA("XDB4",'dabac (2016)'!$A$3,"MA_HT","CAN","MA_QH","SKC")</f>
        <v>0</v>
      </c>
      <c r="Z21" s="35">
        <f>+GETPIVOTDATA("XDB4",'dabac (2016)'!$A$3,"MA_HT","CAN","MA_QH","SKS")</f>
        <v>0</v>
      </c>
      <c r="AA21" s="64">
        <f t="shared" si="12"/>
        <v>0</v>
      </c>
      <c r="AB21" s="35">
        <f>+GETPIVOTDATA("XDB4",'dabac (2016)'!$A$3,"MA_HT","CAN","MA_QH","DGT")</f>
        <v>0</v>
      </c>
      <c r="AC21" s="35">
        <f>+GETPIVOTDATA("XDB4",'dabac (2016)'!$A$3,"MA_HT","CAN","MA_QH","DTL")</f>
        <v>0</v>
      </c>
      <c r="AD21" s="35">
        <f>+GETPIVOTDATA("XDB4",'dabac (2016)'!$A$3,"MA_HT","CAN","MA_QH","DNL")</f>
        <v>0</v>
      </c>
      <c r="AE21" s="35">
        <f>+GETPIVOTDATA("XDB4",'dabac (2016)'!$A$3,"MA_HT","CAN","MA_QH","DBV")</f>
        <v>0</v>
      </c>
      <c r="AF21" s="35">
        <f>+GETPIVOTDATA("XDB4",'dabac (2016)'!$A$3,"MA_HT","CAN","MA_QH","DVH")</f>
        <v>0</v>
      </c>
      <c r="AG21" s="35">
        <f>+GETPIVOTDATA("XDB4",'dabac (2016)'!$A$3,"MA_HT","CAN","MA_QH","DYT")</f>
        <v>0</v>
      </c>
      <c r="AH21" s="35">
        <f>+GETPIVOTDATA("XDB4",'dabac (2016)'!$A$3,"MA_HT","CAN","MA_QH","DGD")</f>
        <v>0</v>
      </c>
      <c r="AI21" s="35">
        <f>+GETPIVOTDATA("XDB4",'dabac (2016)'!$A$3,"MA_HT","CAN","MA_QH","DTT")</f>
        <v>0</v>
      </c>
      <c r="AJ21" s="35">
        <f>+GETPIVOTDATA("XDB4",'dabac (2016)'!$A$3,"MA_HT","CAN","MA_QH","NCK")</f>
        <v>0</v>
      </c>
      <c r="AK21" s="35">
        <f>+GETPIVOTDATA("XDB4",'dabac (2016)'!$A$3,"MA_HT","CAN","MA_QH","DXH")</f>
        <v>0</v>
      </c>
      <c r="AL21" s="35">
        <f>+GETPIVOTDATA("XDB4",'dabac (2016)'!$A$3,"MA_HT","CAN","MA_QH","DCH")</f>
        <v>0</v>
      </c>
      <c r="AM21" s="35">
        <f>+GETPIVOTDATA("XDB4",'dabac (2016)'!$A$3,"MA_HT","CAN","MA_QH","DKG")</f>
        <v>0</v>
      </c>
      <c r="AN21" s="35">
        <f>+GETPIVOTDATA("XDB4",'dabac (2016)'!$A$3,"MA_HT","CAN","MA_QH","DDT")</f>
        <v>0</v>
      </c>
      <c r="AO21" s="35">
        <f>+GETPIVOTDATA("XDB4",'dabac (2016)'!$A$3,"MA_HT","CAN","MA_QH","DDL")</f>
        <v>0</v>
      </c>
      <c r="AP21" s="35">
        <f>+GETPIVOTDATA("XDB4",'dabac (2016)'!$A$3,"MA_HT","CAN","MA_QH","DRA")</f>
        <v>0</v>
      </c>
      <c r="AQ21" s="35">
        <f>+GETPIVOTDATA("XDB4",'dabac (2016)'!$A$3,"MA_HT","CAN","MA_QH","ONT")</f>
        <v>0</v>
      </c>
      <c r="AR21" s="35">
        <f>+GETPIVOTDATA("XDB4",'dabac (2016)'!$A$3,"MA_HT","CAN","MA_QH","ODT")</f>
        <v>0</v>
      </c>
      <c r="AS21" s="35">
        <f>+GETPIVOTDATA("XDB4",'dabac (2016)'!$A$3,"MA_HT","CAN","MA_QH","TSC")</f>
        <v>0</v>
      </c>
      <c r="AT21" s="35">
        <f>+GETPIVOTDATA("XDB4",'dabac (2016)'!$A$3,"MA_HT","CAN","MA_QH","DTS")</f>
        <v>0</v>
      </c>
      <c r="AU21" s="35">
        <f>+GETPIVOTDATA("XDB4",'dabac (2016)'!$A$3,"MA_HT","CAN","MA_QH","DNG")</f>
        <v>0</v>
      </c>
      <c r="AV21" s="35">
        <f>+GETPIVOTDATA("XDB4",'dabac (2016)'!$A$3,"MA_HT","CAN","MA_QH","TON")</f>
        <v>0</v>
      </c>
      <c r="AW21" s="35">
        <f>+GETPIVOTDATA("XDB4",'dabac (2016)'!$A$3,"MA_HT","CAN","MA_QH","NTD")</f>
        <v>0</v>
      </c>
      <c r="AX21" s="35">
        <f>+GETPIVOTDATA("XDB4",'dabac (2016)'!$A$3,"MA_HT","CAN","MA_QH","SKX")</f>
        <v>0</v>
      </c>
      <c r="AY21" s="35">
        <f>+GETPIVOTDATA("XDB4",'dabac (2016)'!$A$3,"MA_HT","CAN","MA_QH","DSH")</f>
        <v>0</v>
      </c>
      <c r="AZ21" s="35">
        <f>+GETPIVOTDATA("XDB4",'dabac (2016)'!$A$3,"MA_HT","CAN","MA_QH","DKV")</f>
        <v>0</v>
      </c>
      <c r="BA21" s="140">
        <f>+GETPIVOTDATA("XDB4",'dabac (2016)'!$A$3,"MA_HT","CAN","MA_QH","TIN")</f>
        <v>0</v>
      </c>
      <c r="BB21" s="74">
        <f>+GETPIVOTDATA("XDB4",'dabac (2016)'!$A$3,"MA_HT","CAN","MA_QH","SON")</f>
        <v>0</v>
      </c>
      <c r="BC21" s="74">
        <f>+GETPIVOTDATA("XDB4",'dabac (2016)'!$A$3,"MA_HT","CAN","MA_QH","MNC")</f>
        <v>0</v>
      </c>
      <c r="BD21" s="35">
        <f>+GETPIVOTDATA("XDB4",'dabac (2016)'!$A$3,"MA_HT","CAN","MA_QH","PNK")</f>
        <v>0</v>
      </c>
      <c r="BE21" s="58">
        <f>+GETPIVOTDATA("XDB4",'dabac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+GETPIVOTDATA("XDB4",'dabac (2016)'!$A$3,"MA_HT","SKK","MA_QH","LUC")</f>
        <v>0</v>
      </c>
      <c r="H22" s="35">
        <f>+GETPIVOTDATA("XDB4",'dabac (2016)'!$A$3,"MA_HT","SKK","MA_QH","LUK")</f>
        <v>0</v>
      </c>
      <c r="I22" s="35">
        <f>+GETPIVOTDATA("XDB4",'dabac (2016)'!$A$3,"MA_HT","SKK","MA_QH","LUN")</f>
        <v>0</v>
      </c>
      <c r="J22" s="35">
        <f>+GETPIVOTDATA("XDB4",'dabac (2016)'!$A$3,"MA_HT","SKK","MA_QH","HNK")</f>
        <v>0</v>
      </c>
      <c r="K22" s="35">
        <f>+GETPIVOTDATA("XDB4",'dabac (2016)'!$A$3,"MA_HT","SKK","MA_QH","CLN")</f>
        <v>0</v>
      </c>
      <c r="L22" s="35">
        <f>+GETPIVOTDATA("XDB4",'dabac (2016)'!$A$3,"MA_HT","SKK","MA_QH","RSX")</f>
        <v>0</v>
      </c>
      <c r="M22" s="35">
        <f>+GETPIVOTDATA("XDB4",'dabac (2016)'!$A$3,"MA_HT","SKK","MA_QH","RPH")</f>
        <v>0</v>
      </c>
      <c r="N22" s="35">
        <f>+GETPIVOTDATA("XDB4",'dabac (2016)'!$A$3,"MA_HT","SKK","MA_QH","RDD")</f>
        <v>0</v>
      </c>
      <c r="O22" s="35">
        <f>+GETPIVOTDATA("XDB4",'dabac (2016)'!$A$3,"MA_HT","SKK","MA_QH","NTS")</f>
        <v>0</v>
      </c>
      <c r="P22" s="35">
        <f>+GETPIVOTDATA("XDB4",'dabac (2016)'!$A$3,"MA_HT","SKK","MA_QH","LMU")</f>
        <v>0</v>
      </c>
      <c r="Q22" s="35">
        <f>+GETPIVOTDATA("XDB4",'dabac (2016)'!$A$3,"MA_HT","SKK","MA_QH","NKH")</f>
        <v>0</v>
      </c>
      <c r="R22" s="63">
        <f>SUM(S22:T22,V22:AA22,AN22:BD22)</f>
        <v>0</v>
      </c>
      <c r="S22" s="35">
        <f>+GETPIVOTDATA("XDB4",'dabac (2016)'!$A$3,"MA_HT","SKK","MA_QH","CQP")</f>
        <v>0</v>
      </c>
      <c r="T22" s="35">
        <f>+GETPIVOTDATA("XDB4",'dabac (2016)'!$A$3,"MA_HT","SKK","MA_QH","CAN")</f>
        <v>0</v>
      </c>
      <c r="U22" s="99" t="e">
        <f>$D22-$BF22</f>
        <v>#REF!</v>
      </c>
      <c r="V22" s="35">
        <f>+GETPIVOTDATA("XDB4",'dabac (2016)'!$A$3,"MA_HT","SKK","MA_QH","SKT")</f>
        <v>0</v>
      </c>
      <c r="W22" s="35">
        <f>+GETPIVOTDATA("XDB4",'dabac (2016)'!$A$3,"MA_HT","SKK","MA_QH","SKN")</f>
        <v>0</v>
      </c>
      <c r="X22" s="35">
        <f>+GETPIVOTDATA("XDB4",'dabac (2016)'!$A$3,"MA_HT","SKK","MA_QH","TMD")</f>
        <v>0</v>
      </c>
      <c r="Y22" s="35">
        <f>+GETPIVOTDATA("XDB4",'dabac (2016)'!$A$3,"MA_HT","SKK","MA_QH","SKC")</f>
        <v>0</v>
      </c>
      <c r="Z22" s="35">
        <f>+GETPIVOTDATA("XDB4",'dabac (2016)'!$A$3,"MA_HT","SKK","MA_QH","SKS")</f>
        <v>0</v>
      </c>
      <c r="AA22" s="64">
        <f t="shared" si="12"/>
        <v>0</v>
      </c>
      <c r="AB22" s="35">
        <f>+GETPIVOTDATA("XDB4",'dabac (2016)'!$A$3,"MA_HT","SKK","MA_QH","DGT")</f>
        <v>0</v>
      </c>
      <c r="AC22" s="35">
        <f>+GETPIVOTDATA("XDB4",'dabac (2016)'!$A$3,"MA_HT","SKK","MA_QH","DTL")</f>
        <v>0</v>
      </c>
      <c r="AD22" s="35">
        <f>+GETPIVOTDATA("XDB4",'dabac (2016)'!$A$3,"MA_HT","SKK","MA_QH","DNL")</f>
        <v>0</v>
      </c>
      <c r="AE22" s="35">
        <f>+GETPIVOTDATA("XDB4",'dabac (2016)'!$A$3,"MA_HT","SKK","MA_QH","DBV")</f>
        <v>0</v>
      </c>
      <c r="AF22" s="35">
        <f>+GETPIVOTDATA("XDB4",'dabac (2016)'!$A$3,"MA_HT","SKK","MA_QH","DVH")</f>
        <v>0</v>
      </c>
      <c r="AG22" s="35">
        <f>+GETPIVOTDATA("XDB4",'dabac (2016)'!$A$3,"MA_HT","SKK","MA_QH","DYT")</f>
        <v>0</v>
      </c>
      <c r="AH22" s="35">
        <f>+GETPIVOTDATA("XDB4",'dabac (2016)'!$A$3,"MA_HT","SKK","MA_QH","DGD")</f>
        <v>0</v>
      </c>
      <c r="AI22" s="35">
        <f>+GETPIVOTDATA("XDB4",'dabac (2016)'!$A$3,"MA_HT","SKK","MA_QH","DTT")</f>
        <v>0</v>
      </c>
      <c r="AJ22" s="35">
        <f>+GETPIVOTDATA("XDB4",'dabac (2016)'!$A$3,"MA_HT","SKK","MA_QH","NCK")</f>
        <v>0</v>
      </c>
      <c r="AK22" s="35">
        <f>+GETPIVOTDATA("XDB4",'dabac (2016)'!$A$3,"MA_HT","SKK","MA_QH","DXH")</f>
        <v>0</v>
      </c>
      <c r="AL22" s="35">
        <f>+GETPIVOTDATA("XDB4",'dabac (2016)'!$A$3,"MA_HT","SKK","MA_QH","DCH")</f>
        <v>0</v>
      </c>
      <c r="AM22" s="35">
        <f>+GETPIVOTDATA("XDB4",'dabac (2016)'!$A$3,"MA_HT","SKK","MA_QH","DKG")</f>
        <v>0</v>
      </c>
      <c r="AN22" s="35">
        <f>+GETPIVOTDATA("XDB4",'dabac (2016)'!$A$3,"MA_HT","SKK","MA_QH","DDT")</f>
        <v>0</v>
      </c>
      <c r="AO22" s="35">
        <f>+GETPIVOTDATA("XDB4",'dabac (2016)'!$A$3,"MA_HT","SKK","MA_QH","DDL")</f>
        <v>0</v>
      </c>
      <c r="AP22" s="35">
        <f>+GETPIVOTDATA("XDB4",'dabac (2016)'!$A$3,"MA_HT","SKK","MA_QH","DRA")</f>
        <v>0</v>
      </c>
      <c r="AQ22" s="35">
        <f>+GETPIVOTDATA("XDB4",'dabac (2016)'!$A$3,"MA_HT","SKK","MA_QH","ONT")</f>
        <v>0</v>
      </c>
      <c r="AR22" s="35">
        <f>+GETPIVOTDATA("XDB4",'dabac (2016)'!$A$3,"MA_HT","SKK","MA_QH","ODT")</f>
        <v>0</v>
      </c>
      <c r="AS22" s="35">
        <f>+GETPIVOTDATA("XDB4",'dabac (2016)'!$A$3,"MA_HT","SKK","MA_QH","TSC")</f>
        <v>0</v>
      </c>
      <c r="AT22" s="35">
        <f>+GETPIVOTDATA("XDB4",'dabac (2016)'!$A$3,"MA_HT","SKK","MA_QH","DTS")</f>
        <v>0</v>
      </c>
      <c r="AU22" s="35">
        <f>+GETPIVOTDATA("XDB4",'dabac (2016)'!$A$3,"MA_HT","SKK","MA_QH","DNG")</f>
        <v>0</v>
      </c>
      <c r="AV22" s="35">
        <f>+GETPIVOTDATA("XDB4",'dabac (2016)'!$A$3,"MA_HT","SKK","MA_QH","TON")</f>
        <v>0</v>
      </c>
      <c r="AW22" s="35">
        <f>+GETPIVOTDATA("XDB4",'dabac (2016)'!$A$3,"MA_HT","SKK","MA_QH","NTD")</f>
        <v>0</v>
      </c>
      <c r="AX22" s="35">
        <f>+GETPIVOTDATA("XDB4",'dabac (2016)'!$A$3,"MA_HT","SKK","MA_QH","SKX")</f>
        <v>0</v>
      </c>
      <c r="AY22" s="35">
        <f>+GETPIVOTDATA("XDB4",'dabac (2016)'!$A$3,"MA_HT","SKK","MA_QH","DSH")</f>
        <v>0</v>
      </c>
      <c r="AZ22" s="35">
        <f>+GETPIVOTDATA("XDB4",'dabac (2016)'!$A$3,"MA_HT","SKK","MA_QH","DKV")</f>
        <v>0</v>
      </c>
      <c r="BA22" s="140">
        <f>+GETPIVOTDATA("XDB4",'dabac (2016)'!$A$3,"MA_HT","SKK","MA_QH","TIN")</f>
        <v>0</v>
      </c>
      <c r="BB22" s="74">
        <f>+GETPIVOTDATA("XDB4",'dabac (2016)'!$A$3,"MA_HT","SKK","MA_QH","SON")</f>
        <v>0</v>
      </c>
      <c r="BC22" s="74">
        <f>+GETPIVOTDATA("XDB4",'dabac (2016)'!$A$3,"MA_HT","SKK","MA_QH","MNC")</f>
        <v>0</v>
      </c>
      <c r="BD22" s="35">
        <f>+GETPIVOTDATA("XDB4",'dabac (2016)'!$A$3,"MA_HT","SKK","MA_QH","PNK")</f>
        <v>0</v>
      </c>
      <c r="BE22" s="58">
        <f>+GETPIVOTDATA("XDB4",'dabac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+GETPIVOTDATA("XDB4",'dabac (2016)'!$A$3,"MA_HT","SKT","MA_QH","LUC")</f>
        <v>0</v>
      </c>
      <c r="H23" s="35">
        <f>+GETPIVOTDATA("XDB4",'dabac (2016)'!$A$3,"MA_HT","SKT","MA_QH","LUK")</f>
        <v>0</v>
      </c>
      <c r="I23" s="35">
        <f>+GETPIVOTDATA("XDB4",'dabac (2016)'!$A$3,"MA_HT","SKT","MA_QH","LUN")</f>
        <v>0</v>
      </c>
      <c r="J23" s="35">
        <f>+GETPIVOTDATA("XDB4",'dabac (2016)'!$A$3,"MA_HT","SKT","MA_QH","HNK")</f>
        <v>0</v>
      </c>
      <c r="K23" s="35">
        <f>+GETPIVOTDATA("XDB4",'dabac (2016)'!$A$3,"MA_HT","SKT","MA_QH","CLN")</f>
        <v>0</v>
      </c>
      <c r="L23" s="35">
        <f>+GETPIVOTDATA("XDB4",'dabac (2016)'!$A$3,"MA_HT","SKT","MA_QH","RSX")</f>
        <v>0</v>
      </c>
      <c r="M23" s="35">
        <f>+GETPIVOTDATA("XDB4",'dabac (2016)'!$A$3,"MA_HT","SKT","MA_QH","RPH")</f>
        <v>0</v>
      </c>
      <c r="N23" s="35">
        <f>+GETPIVOTDATA("XDB4",'dabac (2016)'!$A$3,"MA_HT","SKT","MA_QH","RDD")</f>
        <v>0</v>
      </c>
      <c r="O23" s="35">
        <f>+GETPIVOTDATA("XDB4",'dabac (2016)'!$A$3,"MA_HT","SKT","MA_QH","NTS")</f>
        <v>0</v>
      </c>
      <c r="P23" s="35">
        <f>+GETPIVOTDATA("XDB4",'dabac (2016)'!$A$3,"MA_HT","SKT","MA_QH","LMU")</f>
        <v>0</v>
      </c>
      <c r="Q23" s="35">
        <f>+GETPIVOTDATA("XDB4",'dabac (2016)'!$A$3,"MA_HT","SKT","MA_QH","NKH")</f>
        <v>0</v>
      </c>
      <c r="R23" s="63">
        <f>SUM(S23:U23,W23:AA23,AN23:BD23)</f>
        <v>0</v>
      </c>
      <c r="S23" s="35">
        <f>+GETPIVOTDATA("XDB4",'dabac (2016)'!$A$3,"MA_HT","SKT","MA_QH","CQP")</f>
        <v>0</v>
      </c>
      <c r="T23" s="35">
        <f>+GETPIVOTDATA("XDB4",'dabac (2016)'!$A$3,"MA_HT","SKT","MA_QH","CAN")</f>
        <v>0</v>
      </c>
      <c r="U23" s="35">
        <f>+GETPIVOTDATA("XDB4",'dabac (2016)'!$A$3,"MA_HT","SKT","MA_QH","SKK")</f>
        <v>0</v>
      </c>
      <c r="V23" s="99" t="e">
        <f>$D23-$BF23</f>
        <v>#REF!</v>
      </c>
      <c r="W23" s="35">
        <f>+GETPIVOTDATA("XDB4",'dabac (2016)'!$A$3,"MA_HT","SKT","MA_QH","SKN")</f>
        <v>0</v>
      </c>
      <c r="X23" s="35">
        <f>+GETPIVOTDATA("XDB4",'dabac (2016)'!$A$3,"MA_HT","SKT","MA_QH","TMD")</f>
        <v>0</v>
      </c>
      <c r="Y23" s="35">
        <f>+GETPIVOTDATA("XDB4",'dabac (2016)'!$A$3,"MA_HT","SKT","MA_QH","SKC")</f>
        <v>0</v>
      </c>
      <c r="Z23" s="35">
        <f>+GETPIVOTDATA("XDB4",'dabac (2016)'!$A$3,"MA_HT","SKT","MA_QH","SKS")</f>
        <v>0</v>
      </c>
      <c r="AA23" s="64">
        <f t="shared" si="12"/>
        <v>0</v>
      </c>
      <c r="AB23" s="35">
        <f>+GETPIVOTDATA("XDB4",'dabac (2016)'!$A$3,"MA_HT","SKT","MA_QH","DGT")</f>
        <v>0</v>
      </c>
      <c r="AC23" s="35">
        <f>+GETPIVOTDATA("XDB4",'dabac (2016)'!$A$3,"MA_HT","SKT","MA_QH","DTL")</f>
        <v>0</v>
      </c>
      <c r="AD23" s="35">
        <f>+GETPIVOTDATA("XDB4",'dabac (2016)'!$A$3,"MA_HT","SKT","MA_QH","DNL")</f>
        <v>0</v>
      </c>
      <c r="AE23" s="35">
        <f>+GETPIVOTDATA("XDB4",'dabac (2016)'!$A$3,"MA_HT","SKT","MA_QH","DBV")</f>
        <v>0</v>
      </c>
      <c r="AF23" s="35">
        <f>+GETPIVOTDATA("XDB4",'dabac (2016)'!$A$3,"MA_HT","SKT","MA_QH","DVH")</f>
        <v>0</v>
      </c>
      <c r="AG23" s="35">
        <f>+GETPIVOTDATA("XDB4",'dabac (2016)'!$A$3,"MA_HT","SKT","MA_QH","DYT")</f>
        <v>0</v>
      </c>
      <c r="AH23" s="35">
        <f>+GETPIVOTDATA("XDB4",'dabac (2016)'!$A$3,"MA_HT","SKT","MA_QH","DGD")</f>
        <v>0</v>
      </c>
      <c r="AI23" s="35">
        <f>+GETPIVOTDATA("XDB4",'dabac (2016)'!$A$3,"MA_HT","SKT","MA_QH","DTT")</f>
        <v>0</v>
      </c>
      <c r="AJ23" s="35">
        <f>+GETPIVOTDATA("XDB4",'dabac (2016)'!$A$3,"MA_HT","SKT","MA_QH","NCK")</f>
        <v>0</v>
      </c>
      <c r="AK23" s="35">
        <f>+GETPIVOTDATA("XDB4",'dabac (2016)'!$A$3,"MA_HT","SKT","MA_QH","DXH")</f>
        <v>0</v>
      </c>
      <c r="AL23" s="35">
        <f>+GETPIVOTDATA("XDB4",'dabac (2016)'!$A$3,"MA_HT","SKT","MA_QH","DCH")</f>
        <v>0</v>
      </c>
      <c r="AM23" s="35">
        <f>+GETPIVOTDATA("XDB4",'dabac (2016)'!$A$3,"MA_HT","SKT","MA_QH","DKG")</f>
        <v>0</v>
      </c>
      <c r="AN23" s="35">
        <f>+GETPIVOTDATA("XDB4",'dabac (2016)'!$A$3,"MA_HT","SKT","MA_QH","DDT")</f>
        <v>0</v>
      </c>
      <c r="AO23" s="35">
        <f>+GETPIVOTDATA("XDB4",'dabac (2016)'!$A$3,"MA_HT","SKT","MA_QH","DDL")</f>
        <v>0</v>
      </c>
      <c r="AP23" s="35">
        <f>+GETPIVOTDATA("XDB4",'dabac (2016)'!$A$3,"MA_HT","SKT","MA_QH","DRA")</f>
        <v>0</v>
      </c>
      <c r="AQ23" s="35">
        <f>+GETPIVOTDATA("XDB4",'dabac (2016)'!$A$3,"MA_HT","SKT","MA_QH","ONT")</f>
        <v>0</v>
      </c>
      <c r="AR23" s="35">
        <f>+GETPIVOTDATA("XDB4",'dabac (2016)'!$A$3,"MA_HT","SKT","MA_QH","ODT")</f>
        <v>0</v>
      </c>
      <c r="AS23" s="35">
        <f>+GETPIVOTDATA("XDB4",'dabac (2016)'!$A$3,"MA_HT","SKT","MA_QH","TSC")</f>
        <v>0</v>
      </c>
      <c r="AT23" s="35">
        <f>+GETPIVOTDATA("XDB4",'dabac (2016)'!$A$3,"MA_HT","SKT","MA_QH","DTS")</f>
        <v>0</v>
      </c>
      <c r="AU23" s="35">
        <f>+GETPIVOTDATA("XDB4",'dabac (2016)'!$A$3,"MA_HT","SKT","MA_QH","DNG")</f>
        <v>0</v>
      </c>
      <c r="AV23" s="35">
        <f>+GETPIVOTDATA("XDB4",'dabac (2016)'!$A$3,"MA_HT","SKT","MA_QH","TON")</f>
        <v>0</v>
      </c>
      <c r="AW23" s="35">
        <f>+GETPIVOTDATA("XDB4",'dabac (2016)'!$A$3,"MA_HT","SKT","MA_QH","NTD")</f>
        <v>0</v>
      </c>
      <c r="AX23" s="35">
        <f>+GETPIVOTDATA("XDB4",'dabac (2016)'!$A$3,"MA_HT","SKT","MA_QH","SKX")</f>
        <v>0</v>
      </c>
      <c r="AY23" s="35">
        <f>+GETPIVOTDATA("XDB4",'dabac (2016)'!$A$3,"MA_HT","SKT","MA_QH","DSH")</f>
        <v>0</v>
      </c>
      <c r="AZ23" s="35">
        <f>+GETPIVOTDATA("XDB4",'dabac (2016)'!$A$3,"MA_HT","SKT","MA_QH","DKV")</f>
        <v>0</v>
      </c>
      <c r="BA23" s="140">
        <f>+GETPIVOTDATA("XDB4",'dabac (2016)'!$A$3,"MA_HT","SKT","MA_QH","TIN")</f>
        <v>0</v>
      </c>
      <c r="BB23" s="74">
        <f>+GETPIVOTDATA("XDB4",'dabac (2016)'!$A$3,"MA_HT","SKT","MA_QH","SON")</f>
        <v>0</v>
      </c>
      <c r="BC23" s="74">
        <f>+GETPIVOTDATA("XDB4",'dabac (2016)'!$A$3,"MA_HT","SKT","MA_QH","MNC")</f>
        <v>0</v>
      </c>
      <c r="BD23" s="35">
        <f>+GETPIVOTDATA("XDB4",'dabac (2016)'!$A$3,"MA_HT","SKT","MA_QH","PNK")</f>
        <v>0</v>
      </c>
      <c r="BE23" s="58">
        <f>+GETPIVOTDATA("XDB4",'dabac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+GETPIVOTDATA("XDB4",'dabac (2016)'!$A$3,"MA_HT","SKN","MA_QH","LUC")</f>
        <v>0</v>
      </c>
      <c r="H24" s="35">
        <f>+GETPIVOTDATA("XDB4",'dabac (2016)'!$A$3,"MA_HT","SKN","MA_QH","LUK")</f>
        <v>0</v>
      </c>
      <c r="I24" s="35">
        <f>+GETPIVOTDATA("XDB4",'dabac (2016)'!$A$3,"MA_HT","SKN","MA_QH","LUN")</f>
        <v>0</v>
      </c>
      <c r="J24" s="35">
        <f>+GETPIVOTDATA("XDB4",'dabac (2016)'!$A$3,"MA_HT","SKN","MA_QH","HNK")</f>
        <v>0</v>
      </c>
      <c r="K24" s="35">
        <f>+GETPIVOTDATA("XDB4",'dabac (2016)'!$A$3,"MA_HT","SKN","MA_QH","CLN")</f>
        <v>0</v>
      </c>
      <c r="L24" s="35">
        <f>+GETPIVOTDATA("XDB4",'dabac (2016)'!$A$3,"MA_HT","SKN","MA_QH","RSX")</f>
        <v>0</v>
      </c>
      <c r="M24" s="35">
        <f>+GETPIVOTDATA("XDB4",'dabac (2016)'!$A$3,"MA_HT","SKN","MA_QH","RPH")</f>
        <v>0</v>
      </c>
      <c r="N24" s="35">
        <f>+GETPIVOTDATA("XDB4",'dabac (2016)'!$A$3,"MA_HT","SKN","MA_QH","RDD")</f>
        <v>0</v>
      </c>
      <c r="O24" s="35">
        <f>+GETPIVOTDATA("XDB4",'dabac (2016)'!$A$3,"MA_HT","SKN","MA_QH","NTS")</f>
        <v>0</v>
      </c>
      <c r="P24" s="35">
        <f>+GETPIVOTDATA("XDB4",'dabac (2016)'!$A$3,"MA_HT","SKN","MA_QH","LMU")</f>
        <v>0</v>
      </c>
      <c r="Q24" s="35">
        <f>+GETPIVOTDATA("XDB4",'dabac (2016)'!$A$3,"MA_HT","SKN","MA_QH","NKH")</f>
        <v>0</v>
      </c>
      <c r="R24" s="63">
        <f>SUM(S24:V24,X24:AA24,AN24:BD24)</f>
        <v>0</v>
      </c>
      <c r="S24" s="35">
        <f>+GETPIVOTDATA("XDB4",'dabac (2016)'!$A$3,"MA_HT","SKN","MA_QH","CQP")</f>
        <v>0</v>
      </c>
      <c r="T24" s="35">
        <f>+GETPIVOTDATA("XDB4",'dabac (2016)'!$A$3,"MA_HT","SKN","MA_QH","CAN")</f>
        <v>0</v>
      </c>
      <c r="U24" s="35">
        <f>+GETPIVOTDATA("XDB4",'dabac (2016)'!$A$3,"MA_HT","SKN","MA_QH","SKK")</f>
        <v>0</v>
      </c>
      <c r="V24" s="35">
        <f>+GETPIVOTDATA("XDB4",'dabac (2016)'!$A$3,"MA_HT","SKN","MA_QH","SKT")</f>
        <v>0</v>
      </c>
      <c r="W24" s="99" t="e">
        <f>$D24-$BF24</f>
        <v>#REF!</v>
      </c>
      <c r="X24" s="35">
        <f>+GETPIVOTDATA("XDB4",'dabac (2016)'!$A$3,"MA_HT","SKN","MA_QH","TMD")</f>
        <v>0</v>
      </c>
      <c r="Y24" s="35">
        <f>+GETPIVOTDATA("XDB4",'dabac (2016)'!$A$3,"MA_HT","SKN","MA_QH","SKC")</f>
        <v>0</v>
      </c>
      <c r="Z24" s="35">
        <f>+GETPIVOTDATA("XDB4",'dabac (2016)'!$A$3,"MA_HT","SKN","MA_QH","SKS")</f>
        <v>0</v>
      </c>
      <c r="AA24" s="64">
        <f t="shared" si="12"/>
        <v>0</v>
      </c>
      <c r="AB24" s="35">
        <f>+GETPIVOTDATA("XDB4",'dabac (2016)'!$A$3,"MA_HT","SKN","MA_QH","DGT")</f>
        <v>0</v>
      </c>
      <c r="AC24" s="35">
        <f>+GETPIVOTDATA("XDB4",'dabac (2016)'!$A$3,"MA_HT","SKN","MA_QH","DTL")</f>
        <v>0</v>
      </c>
      <c r="AD24" s="35">
        <f>+GETPIVOTDATA("XDB4",'dabac (2016)'!$A$3,"MA_HT","SKN","MA_QH","DNL")</f>
        <v>0</v>
      </c>
      <c r="AE24" s="35">
        <f>+GETPIVOTDATA("XDB4",'dabac (2016)'!$A$3,"MA_HT","SKN","MA_QH","DBV")</f>
        <v>0</v>
      </c>
      <c r="AF24" s="35">
        <f>+GETPIVOTDATA("XDB4",'dabac (2016)'!$A$3,"MA_HT","SKN","MA_QH","DVH")</f>
        <v>0</v>
      </c>
      <c r="AG24" s="35">
        <f>+GETPIVOTDATA("XDB4",'dabac (2016)'!$A$3,"MA_HT","SKN","MA_QH","DYT")</f>
        <v>0</v>
      </c>
      <c r="AH24" s="35">
        <f>+GETPIVOTDATA("XDB4",'dabac (2016)'!$A$3,"MA_HT","SKN","MA_QH","DGD")</f>
        <v>0</v>
      </c>
      <c r="AI24" s="35">
        <f>+GETPIVOTDATA("XDB4",'dabac (2016)'!$A$3,"MA_HT","SKN","MA_QH","DTT")</f>
        <v>0</v>
      </c>
      <c r="AJ24" s="35">
        <f>+GETPIVOTDATA("XDB4",'dabac (2016)'!$A$3,"MA_HT","SKN","MA_QH","NCK")</f>
        <v>0</v>
      </c>
      <c r="AK24" s="35">
        <f>+GETPIVOTDATA("XDB4",'dabac (2016)'!$A$3,"MA_HT","SKN","MA_QH","DXH")</f>
        <v>0</v>
      </c>
      <c r="AL24" s="35">
        <f>+GETPIVOTDATA("XDB4",'dabac (2016)'!$A$3,"MA_HT","SKN","MA_QH","DCH")</f>
        <v>0</v>
      </c>
      <c r="AM24" s="35">
        <f>+GETPIVOTDATA("XDB4",'dabac (2016)'!$A$3,"MA_HT","SKN","MA_QH","DKG")</f>
        <v>0</v>
      </c>
      <c r="AN24" s="35">
        <f>+GETPIVOTDATA("XDB4",'dabac (2016)'!$A$3,"MA_HT","SKN","MA_QH","DDT")</f>
        <v>0</v>
      </c>
      <c r="AO24" s="35">
        <f>+GETPIVOTDATA("XDB4",'dabac (2016)'!$A$3,"MA_HT","SKN","MA_QH","DDL")</f>
        <v>0</v>
      </c>
      <c r="AP24" s="35">
        <f>+GETPIVOTDATA("XDB4",'dabac (2016)'!$A$3,"MA_HT","SKN","MA_QH","DRA")</f>
        <v>0</v>
      </c>
      <c r="AQ24" s="35">
        <f>+GETPIVOTDATA("XDB4",'dabac (2016)'!$A$3,"MA_HT","SKN","MA_QH","ONT")</f>
        <v>0</v>
      </c>
      <c r="AR24" s="35">
        <f>+GETPIVOTDATA("XDB4",'dabac (2016)'!$A$3,"MA_HT","SKN","MA_QH","ODT")</f>
        <v>0</v>
      </c>
      <c r="AS24" s="35">
        <f>+GETPIVOTDATA("XDB4",'dabac (2016)'!$A$3,"MA_HT","SKN","MA_QH","TSC")</f>
        <v>0</v>
      </c>
      <c r="AT24" s="35">
        <f>+GETPIVOTDATA("XDB4",'dabac (2016)'!$A$3,"MA_HT","SKN","MA_QH","DTS")</f>
        <v>0</v>
      </c>
      <c r="AU24" s="35">
        <f>+GETPIVOTDATA("XDB4",'dabac (2016)'!$A$3,"MA_HT","SKN","MA_QH","DNG")</f>
        <v>0</v>
      </c>
      <c r="AV24" s="35">
        <f>+GETPIVOTDATA("XDB4",'dabac (2016)'!$A$3,"MA_HT","SKN","MA_QH","TON")</f>
        <v>0</v>
      </c>
      <c r="AW24" s="35">
        <f>+GETPIVOTDATA("XDB4",'dabac (2016)'!$A$3,"MA_HT","SKN","MA_QH","NTD")</f>
        <v>0</v>
      </c>
      <c r="AX24" s="35">
        <f>+GETPIVOTDATA("XDB4",'dabac (2016)'!$A$3,"MA_HT","SKN","MA_QH","SKX")</f>
        <v>0</v>
      </c>
      <c r="AY24" s="35">
        <f>+GETPIVOTDATA("XDB4",'dabac (2016)'!$A$3,"MA_HT","SKN","MA_QH","DSH")</f>
        <v>0</v>
      </c>
      <c r="AZ24" s="35">
        <f>+GETPIVOTDATA("XDB4",'dabac (2016)'!$A$3,"MA_HT","SKN","MA_QH","DKV")</f>
        <v>0</v>
      </c>
      <c r="BA24" s="140">
        <f>+GETPIVOTDATA("XDB4",'dabac (2016)'!$A$3,"MA_HT","SKN","MA_QH","TIN")</f>
        <v>0</v>
      </c>
      <c r="BB24" s="74">
        <f>+GETPIVOTDATA("XDB4",'dabac (2016)'!$A$3,"MA_HT","SKN","MA_QH","SON")</f>
        <v>0</v>
      </c>
      <c r="BC24" s="74">
        <f>+GETPIVOTDATA("XDB4",'dabac (2016)'!$A$3,"MA_HT","SKN","MA_QH","MNC")</f>
        <v>0</v>
      </c>
      <c r="BD24" s="35">
        <f>+GETPIVOTDATA("XDB4",'dabac (2016)'!$A$3,"MA_HT","SKN","MA_QH","PNK")</f>
        <v>0</v>
      </c>
      <c r="BE24" s="58">
        <f>+GETPIVOTDATA("XDB4",'dabac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+GETPIVOTDATA("XDB4",'dabac (2016)'!$A$3,"MA_HT","TMD","MA_QH","LUC")</f>
        <v>0</v>
      </c>
      <c r="H25" s="35">
        <f>+GETPIVOTDATA("XDB4",'dabac (2016)'!$A$3,"MA_HT","TMD","MA_QH","LUK")</f>
        <v>0</v>
      </c>
      <c r="I25" s="35">
        <f>+GETPIVOTDATA("XDB4",'dabac (2016)'!$A$3,"MA_HT","TMD","MA_QH","LUN")</f>
        <v>0</v>
      </c>
      <c r="J25" s="35">
        <f>+GETPIVOTDATA("XDB4",'dabac (2016)'!$A$3,"MA_HT","TMD","MA_QH","HNK")</f>
        <v>0</v>
      </c>
      <c r="K25" s="35">
        <f>+GETPIVOTDATA("XDB4",'dabac (2016)'!$A$3,"MA_HT","TMD","MA_QH","CLN")</f>
        <v>0</v>
      </c>
      <c r="L25" s="35">
        <f>+GETPIVOTDATA("XDB4",'dabac (2016)'!$A$3,"MA_HT","TMD","MA_QH","RSX")</f>
        <v>0</v>
      </c>
      <c r="M25" s="35">
        <f>+GETPIVOTDATA("XDB4",'dabac (2016)'!$A$3,"MA_HT","TMD","MA_QH","RPH")</f>
        <v>0</v>
      </c>
      <c r="N25" s="35">
        <f>+GETPIVOTDATA("XDB4",'dabac (2016)'!$A$3,"MA_HT","TMD","MA_QH","RDD")</f>
        <v>0</v>
      </c>
      <c r="O25" s="35">
        <f>+GETPIVOTDATA("XDB4",'dabac (2016)'!$A$3,"MA_HT","TMD","MA_QH","NTS")</f>
        <v>0</v>
      </c>
      <c r="P25" s="35">
        <f>+GETPIVOTDATA("XDB4",'dabac (2016)'!$A$3,"MA_HT","TMD","MA_QH","LMU")</f>
        <v>0</v>
      </c>
      <c r="Q25" s="35">
        <f>+GETPIVOTDATA("XDB4",'dabac (2016)'!$A$3,"MA_HT","TMD","MA_QH","NKH")</f>
        <v>0</v>
      </c>
      <c r="R25" s="63">
        <f>SUM(S25:W25,Y25:AA25,AN25:BD25)</f>
        <v>0</v>
      </c>
      <c r="S25" s="35">
        <f>+GETPIVOTDATA("XDB4",'dabac (2016)'!$A$3,"MA_HT","TMD","MA_QH","CQP")</f>
        <v>0</v>
      </c>
      <c r="T25" s="35">
        <f>+GETPIVOTDATA("XDB4",'dabac (2016)'!$A$3,"MA_HT","TMD","MA_QH","CAN")</f>
        <v>0</v>
      </c>
      <c r="U25" s="35">
        <f>+GETPIVOTDATA("XDB4",'dabac (2016)'!$A$3,"MA_HT","TMD","MA_QH","SKK")</f>
        <v>0</v>
      </c>
      <c r="V25" s="35">
        <f>+GETPIVOTDATA("XDB4",'dabac (2016)'!$A$3,"MA_HT","TMD","MA_QH","SKT")</f>
        <v>0</v>
      </c>
      <c r="W25" s="35">
        <f>+GETPIVOTDATA("XDB4",'dabac (2016)'!$A$3,"MA_HT","TMD","MA_QH","SKN")</f>
        <v>0</v>
      </c>
      <c r="X25" s="99" t="e">
        <f>$D25-$BF25</f>
        <v>#REF!</v>
      </c>
      <c r="Y25" s="35">
        <f>+GETPIVOTDATA("XDB4",'dabac (2016)'!$A$3,"MA_HT","TMD","MA_QH","SKC")</f>
        <v>0</v>
      </c>
      <c r="Z25" s="35">
        <f>+GETPIVOTDATA("XDB4",'dabac (2016)'!$A$3,"MA_HT","TMD","MA_QH","SKS")</f>
        <v>0</v>
      </c>
      <c r="AA25" s="64">
        <f t="shared" si="12"/>
        <v>0</v>
      </c>
      <c r="AB25" s="35">
        <f>+GETPIVOTDATA("XDB4",'dabac (2016)'!$A$3,"MA_HT","TMD","MA_QH","DGT")</f>
        <v>0</v>
      </c>
      <c r="AC25" s="35">
        <f>+GETPIVOTDATA("XDB4",'dabac (2016)'!$A$3,"MA_HT","TMD","MA_QH","DTL")</f>
        <v>0</v>
      </c>
      <c r="AD25" s="35">
        <f>+GETPIVOTDATA("XDB4",'dabac (2016)'!$A$3,"MA_HT","TMD","MA_QH","DNL")</f>
        <v>0</v>
      </c>
      <c r="AE25" s="35">
        <f>+GETPIVOTDATA("XDB4",'dabac (2016)'!$A$3,"MA_HT","TMD","MA_QH","DBV")</f>
        <v>0</v>
      </c>
      <c r="AF25" s="35">
        <f>+GETPIVOTDATA("XDB4",'dabac (2016)'!$A$3,"MA_HT","TMD","MA_QH","DVH")</f>
        <v>0</v>
      </c>
      <c r="AG25" s="35">
        <f>+GETPIVOTDATA("XDB4",'dabac (2016)'!$A$3,"MA_HT","TMD","MA_QH","DYT")</f>
        <v>0</v>
      </c>
      <c r="AH25" s="35">
        <f>+GETPIVOTDATA("XDB4",'dabac (2016)'!$A$3,"MA_HT","TMD","MA_QH","DGD")</f>
        <v>0</v>
      </c>
      <c r="AI25" s="35">
        <f>+GETPIVOTDATA("XDB4",'dabac (2016)'!$A$3,"MA_HT","TMD","MA_QH","DTT")</f>
        <v>0</v>
      </c>
      <c r="AJ25" s="35">
        <f>+GETPIVOTDATA("XDB4",'dabac (2016)'!$A$3,"MA_HT","TMD","MA_QH","NCK")</f>
        <v>0</v>
      </c>
      <c r="AK25" s="35">
        <f>+GETPIVOTDATA("XDB4",'dabac (2016)'!$A$3,"MA_HT","TMD","MA_QH","DXH")</f>
        <v>0</v>
      </c>
      <c r="AL25" s="35">
        <f>+GETPIVOTDATA("XDB4",'dabac (2016)'!$A$3,"MA_HT","TMD","MA_QH","DCH")</f>
        <v>0</v>
      </c>
      <c r="AM25" s="35">
        <f>+GETPIVOTDATA("XDB4",'dabac (2016)'!$A$3,"MA_HT","TMD","MA_QH","DKG")</f>
        <v>0</v>
      </c>
      <c r="AN25" s="35">
        <f>+GETPIVOTDATA("XDB4",'dabac (2016)'!$A$3,"MA_HT","TMD","MA_QH","DDT")</f>
        <v>0</v>
      </c>
      <c r="AO25" s="35">
        <f>+GETPIVOTDATA("XDB4",'dabac (2016)'!$A$3,"MA_HT","TMD","MA_QH","DDL")</f>
        <v>0</v>
      </c>
      <c r="AP25" s="35">
        <f>+GETPIVOTDATA("XDB4",'dabac (2016)'!$A$3,"MA_HT","TMD","MA_QH","DRA")</f>
        <v>0</v>
      </c>
      <c r="AQ25" s="35">
        <f>+GETPIVOTDATA("XDB4",'dabac (2016)'!$A$3,"MA_HT","TMD","MA_QH","ONT")</f>
        <v>0</v>
      </c>
      <c r="AR25" s="35">
        <f>+GETPIVOTDATA("XDB4",'dabac (2016)'!$A$3,"MA_HT","TMD","MA_QH","ODT")</f>
        <v>0</v>
      </c>
      <c r="AS25" s="35">
        <f>+GETPIVOTDATA("XDB4",'dabac (2016)'!$A$3,"MA_HT","TMD","MA_QH","TSC")</f>
        <v>0</v>
      </c>
      <c r="AT25" s="35">
        <f>+GETPIVOTDATA("XDB4",'dabac (2016)'!$A$3,"MA_HT","TMD","MA_QH","DTS")</f>
        <v>0</v>
      </c>
      <c r="AU25" s="35">
        <f>+GETPIVOTDATA("XDB4",'dabac (2016)'!$A$3,"MA_HT","TMD","MA_QH","DNG")</f>
        <v>0</v>
      </c>
      <c r="AV25" s="35">
        <f>+GETPIVOTDATA("XDB4",'dabac (2016)'!$A$3,"MA_HT","TMD","MA_QH","TON")</f>
        <v>0</v>
      </c>
      <c r="AW25" s="35">
        <f>+GETPIVOTDATA("XDB4",'dabac (2016)'!$A$3,"MA_HT","TMD","MA_QH","NTD")</f>
        <v>0</v>
      </c>
      <c r="AX25" s="35">
        <f>+GETPIVOTDATA("XDB4",'dabac (2016)'!$A$3,"MA_HT","TMD","MA_QH","SKX")</f>
        <v>0</v>
      </c>
      <c r="AY25" s="35">
        <f>+GETPIVOTDATA("XDB4",'dabac (2016)'!$A$3,"MA_HT","TMD","MA_QH","DSH")</f>
        <v>0</v>
      </c>
      <c r="AZ25" s="35">
        <f>+GETPIVOTDATA("XDB4",'dabac (2016)'!$A$3,"MA_HT","TMD","MA_QH","DKV")</f>
        <v>0</v>
      </c>
      <c r="BA25" s="140">
        <f>+GETPIVOTDATA("XDB4",'dabac (2016)'!$A$3,"MA_HT","TMD","MA_QH","TIN")</f>
        <v>0</v>
      </c>
      <c r="BB25" s="74">
        <f>+GETPIVOTDATA("XDB4",'dabac (2016)'!$A$3,"MA_HT","TMD","MA_QH","SON")</f>
        <v>0</v>
      </c>
      <c r="BC25" s="74">
        <f>+GETPIVOTDATA("XDB4",'dabac (2016)'!$A$3,"MA_HT","TMD","MA_QH","MNC")</f>
        <v>0</v>
      </c>
      <c r="BD25" s="35">
        <f>+GETPIVOTDATA("XDB4",'dabac (2016)'!$A$3,"MA_HT","TMD","MA_QH","PNK")</f>
        <v>0</v>
      </c>
      <c r="BE25" s="58">
        <f>+GETPIVOTDATA("XDB4",'dabac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+GETPIVOTDATA("XDB4",'dabac (2016)'!$A$3,"MA_HT","SKC","MA_QH","LUC")</f>
        <v>0</v>
      </c>
      <c r="H26" s="35">
        <f>+GETPIVOTDATA("XDB4",'dabac (2016)'!$A$3,"MA_HT","SKC","MA_QH","LUK")</f>
        <v>0</v>
      </c>
      <c r="I26" s="35">
        <f>+GETPIVOTDATA("XDB4",'dabac (2016)'!$A$3,"MA_HT","SKC","MA_QH","LUN")</f>
        <v>0</v>
      </c>
      <c r="J26" s="35">
        <f>+GETPIVOTDATA("XDB4",'dabac (2016)'!$A$3,"MA_HT","SKC","MA_QH","HNK")</f>
        <v>0</v>
      </c>
      <c r="K26" s="35">
        <f>+GETPIVOTDATA("XDB4",'dabac (2016)'!$A$3,"MA_HT","SKC","MA_QH","CLN")</f>
        <v>0</v>
      </c>
      <c r="L26" s="35">
        <f>+GETPIVOTDATA("XDB4",'dabac (2016)'!$A$3,"MA_HT","SKC","MA_QH","RSX")</f>
        <v>0</v>
      </c>
      <c r="M26" s="35">
        <f>+GETPIVOTDATA("XDB4",'dabac (2016)'!$A$3,"MA_HT","SKC","MA_QH","RPH")</f>
        <v>0</v>
      </c>
      <c r="N26" s="35">
        <f>+GETPIVOTDATA("XDB4",'dabac (2016)'!$A$3,"MA_HT","SKC","MA_QH","RDD")</f>
        <v>0</v>
      </c>
      <c r="O26" s="35">
        <f>+GETPIVOTDATA("XDB4",'dabac (2016)'!$A$3,"MA_HT","SKC","MA_QH","NTS")</f>
        <v>0</v>
      </c>
      <c r="P26" s="35">
        <f>+GETPIVOTDATA("XDB4",'dabac (2016)'!$A$3,"MA_HT","SKC","MA_QH","LMU")</f>
        <v>0</v>
      </c>
      <c r="Q26" s="35">
        <f>+GETPIVOTDATA("XDB4",'dabac (2016)'!$A$3,"MA_HT","SKC","MA_QH","NKH")</f>
        <v>0</v>
      </c>
      <c r="R26" s="63">
        <f>SUM(S26:X26,Z26,AN26:BD26)</f>
        <v>0</v>
      </c>
      <c r="S26" s="35">
        <f>+GETPIVOTDATA("XDB4",'dabac (2016)'!$A$3,"MA_HT","SKC","MA_QH","CQP")</f>
        <v>0</v>
      </c>
      <c r="T26" s="35">
        <f>+GETPIVOTDATA("XDB4",'dabac (2016)'!$A$3,"MA_HT","SKC","MA_QH","CAN")</f>
        <v>0</v>
      </c>
      <c r="U26" s="35">
        <f>+GETPIVOTDATA("XDB4",'dabac (2016)'!$A$3,"MA_HT","SKC","MA_QH","SKK")</f>
        <v>0</v>
      </c>
      <c r="V26" s="35">
        <f>+GETPIVOTDATA("XDB4",'dabac (2016)'!$A$3,"MA_HT","SKC","MA_QH","SKT")</f>
        <v>0</v>
      </c>
      <c r="W26" s="35">
        <f>+GETPIVOTDATA("XDB4",'dabac (2016)'!$A$3,"MA_HT","SKC","MA_QH","SKN")</f>
        <v>0</v>
      </c>
      <c r="X26" s="35">
        <f>+GETPIVOTDATA("XDB4",'dabac (2016)'!$A$3,"MA_HT","SKC","MA_QH","TMD")</f>
        <v>0</v>
      </c>
      <c r="Y26" s="99" t="e">
        <f>$D26-$BF26</f>
        <v>#REF!</v>
      </c>
      <c r="Z26" s="35">
        <f>+GETPIVOTDATA("XDB4",'dabac (2016)'!$A$3,"MA_HT","SKC","MA_QH","SKS")</f>
        <v>0</v>
      </c>
      <c r="AA26" s="64">
        <f t="shared" si="12"/>
        <v>0</v>
      </c>
      <c r="AB26" s="35">
        <f>+GETPIVOTDATA("XDB4",'dabac (2016)'!$A$3,"MA_HT","SKC","MA_QH","DGT")</f>
        <v>0</v>
      </c>
      <c r="AC26" s="35">
        <f>+GETPIVOTDATA("XDB4",'dabac (2016)'!$A$3,"MA_HT","SKC","MA_QH","DTL")</f>
        <v>0</v>
      </c>
      <c r="AD26" s="35">
        <f>+GETPIVOTDATA("XDB4",'dabac (2016)'!$A$3,"MA_HT","SKC","MA_QH","DNL")</f>
        <v>0</v>
      </c>
      <c r="AE26" s="35">
        <f>+GETPIVOTDATA("XDB4",'dabac (2016)'!$A$3,"MA_HT","SKC","MA_QH","DBV")</f>
        <v>0</v>
      </c>
      <c r="AF26" s="35">
        <f>+GETPIVOTDATA("XDB4",'dabac (2016)'!$A$3,"MA_HT","SKC","MA_QH","DVH")</f>
        <v>0</v>
      </c>
      <c r="AG26" s="35">
        <f>+GETPIVOTDATA("XDB4",'dabac (2016)'!$A$3,"MA_HT","SKC","MA_QH","DYT")</f>
        <v>0</v>
      </c>
      <c r="AH26" s="35">
        <f>+GETPIVOTDATA("XDB4",'dabac (2016)'!$A$3,"MA_HT","SKC","MA_QH","DGD")</f>
        <v>0</v>
      </c>
      <c r="AI26" s="35">
        <f>+GETPIVOTDATA("XDB4",'dabac (2016)'!$A$3,"MA_HT","SKC","MA_QH","DTT")</f>
        <v>0</v>
      </c>
      <c r="AJ26" s="35">
        <f>+GETPIVOTDATA("XDB4",'dabac (2016)'!$A$3,"MA_HT","SKC","MA_QH","NCK")</f>
        <v>0</v>
      </c>
      <c r="AK26" s="35">
        <f>+GETPIVOTDATA("XDB4",'dabac (2016)'!$A$3,"MA_HT","SKC","MA_QH","DXH")</f>
        <v>0</v>
      </c>
      <c r="AL26" s="35">
        <f>+GETPIVOTDATA("XDB4",'dabac (2016)'!$A$3,"MA_HT","SKC","MA_QH","DCH")</f>
        <v>0</v>
      </c>
      <c r="AM26" s="35">
        <f>+GETPIVOTDATA("XDB4",'dabac (2016)'!$A$3,"MA_HT","SKC","MA_QH","DKG")</f>
        <v>0</v>
      </c>
      <c r="AN26" s="35">
        <f>+GETPIVOTDATA("XDB4",'dabac (2016)'!$A$3,"MA_HT","SKC","MA_QH","DDT")</f>
        <v>0</v>
      </c>
      <c r="AO26" s="35">
        <f>+GETPIVOTDATA("XDB4",'dabac (2016)'!$A$3,"MA_HT","SKC","MA_QH","DDL")</f>
        <v>0</v>
      </c>
      <c r="AP26" s="35">
        <f>+GETPIVOTDATA("XDB4",'dabac (2016)'!$A$3,"MA_HT","SKC","MA_QH","DRA")</f>
        <v>0</v>
      </c>
      <c r="AQ26" s="35">
        <f>+GETPIVOTDATA("XDB4",'dabac (2016)'!$A$3,"MA_HT","SKC","MA_QH","ONT")</f>
        <v>0</v>
      </c>
      <c r="AR26" s="35">
        <f>+GETPIVOTDATA("XDB4",'dabac (2016)'!$A$3,"MA_HT","SKC","MA_QH","ODT")</f>
        <v>0</v>
      </c>
      <c r="AS26" s="35">
        <f>+GETPIVOTDATA("XDB4",'dabac (2016)'!$A$3,"MA_HT","SKC","MA_QH","TSC")</f>
        <v>0</v>
      </c>
      <c r="AT26" s="35">
        <f>+GETPIVOTDATA("XDB4",'dabac (2016)'!$A$3,"MA_HT","SKC","MA_QH","DTS")</f>
        <v>0</v>
      </c>
      <c r="AU26" s="35">
        <f>+GETPIVOTDATA("XDB4",'dabac (2016)'!$A$3,"MA_HT","SKC","MA_QH","DNG")</f>
        <v>0</v>
      </c>
      <c r="AV26" s="35">
        <f>+GETPIVOTDATA("XDB4",'dabac (2016)'!$A$3,"MA_HT","SKC","MA_QH","TON")</f>
        <v>0</v>
      </c>
      <c r="AW26" s="35">
        <f>+GETPIVOTDATA("XDB4",'dabac (2016)'!$A$3,"MA_HT","SKC","MA_QH","NTD")</f>
        <v>0</v>
      </c>
      <c r="AX26" s="35">
        <f>+GETPIVOTDATA("XDB4",'dabac (2016)'!$A$3,"MA_HT","SKC","MA_QH","SKX")</f>
        <v>0</v>
      </c>
      <c r="AY26" s="35">
        <f>+GETPIVOTDATA("XDB4",'dabac (2016)'!$A$3,"MA_HT","SKC","MA_QH","DSH")</f>
        <v>0</v>
      </c>
      <c r="AZ26" s="35">
        <f>+GETPIVOTDATA("XDB4",'dabac (2016)'!$A$3,"MA_HT","SKC","MA_QH","DKV")</f>
        <v>0</v>
      </c>
      <c r="BA26" s="140">
        <f>+GETPIVOTDATA("XDB4",'dabac (2016)'!$A$3,"MA_HT","SKC","MA_QH","TIN")</f>
        <v>0</v>
      </c>
      <c r="BB26" s="74">
        <f>+GETPIVOTDATA("XDB4",'dabac (2016)'!$A$3,"MA_HT","SKC","MA_QH","SON")</f>
        <v>0</v>
      </c>
      <c r="BC26" s="74">
        <f>+GETPIVOTDATA("XDB4",'dabac (2016)'!$A$3,"MA_HT","SKC","MA_QH","MNC")</f>
        <v>0</v>
      </c>
      <c r="BD26" s="35">
        <f>+GETPIVOTDATA("XDB4",'dabac (2016)'!$A$3,"MA_HT","SKC","MA_QH","PNK")</f>
        <v>0</v>
      </c>
      <c r="BE26" s="58">
        <f>+GETPIVOTDATA("XDB4",'dabac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+GETPIVOTDATA("XDB4",'dabac (2016)'!$A$3,"MA_HT","SKS","MA_QH","LUC")</f>
        <v>0</v>
      </c>
      <c r="H27" s="35">
        <f>+GETPIVOTDATA("XDB4",'dabac (2016)'!$A$3,"MA_HT","SKS","MA_QH","LUK")</f>
        <v>0</v>
      </c>
      <c r="I27" s="35">
        <f>+GETPIVOTDATA("XDB4",'dabac (2016)'!$A$3,"MA_HT","SKS","MA_QH","LUN")</f>
        <v>0</v>
      </c>
      <c r="J27" s="35">
        <f>+GETPIVOTDATA("XDB4",'dabac (2016)'!$A$3,"MA_HT","SKS","MA_QH","HNK")</f>
        <v>0</v>
      </c>
      <c r="K27" s="35">
        <f>+GETPIVOTDATA("XDB4",'dabac (2016)'!$A$3,"MA_HT","SKS","MA_QH","CLN")</f>
        <v>0</v>
      </c>
      <c r="L27" s="35">
        <f>+GETPIVOTDATA("XDB4",'dabac (2016)'!$A$3,"MA_HT","SKS","MA_QH","RSX")</f>
        <v>0</v>
      </c>
      <c r="M27" s="35">
        <f>+GETPIVOTDATA("XDB4",'dabac (2016)'!$A$3,"MA_HT","SKS","MA_QH","RPH")</f>
        <v>0</v>
      </c>
      <c r="N27" s="35">
        <f>+GETPIVOTDATA("XDB4",'dabac (2016)'!$A$3,"MA_HT","SKS","MA_QH","RDD")</f>
        <v>0</v>
      </c>
      <c r="O27" s="35">
        <f>+GETPIVOTDATA("XDB4",'dabac (2016)'!$A$3,"MA_HT","SKS","MA_QH","NTS")</f>
        <v>0</v>
      </c>
      <c r="P27" s="35">
        <f>+GETPIVOTDATA("XDB4",'dabac (2016)'!$A$3,"MA_HT","SKS","MA_QH","LMU")</f>
        <v>0</v>
      </c>
      <c r="Q27" s="35">
        <f>+GETPIVOTDATA("XDB4",'dabac (2016)'!$A$3,"MA_HT","SKS","MA_QH","NKH")</f>
        <v>0</v>
      </c>
      <c r="R27" s="63">
        <f>SUM(S27:Y27,AA27,AN27:BD27)</f>
        <v>0</v>
      </c>
      <c r="S27" s="35">
        <f>+GETPIVOTDATA("XDB4",'dabac (2016)'!$A$3,"MA_HT","SKS","MA_QH","CQP")</f>
        <v>0</v>
      </c>
      <c r="T27" s="35">
        <f>+GETPIVOTDATA("XDB4",'dabac (2016)'!$A$3,"MA_HT","SKS","MA_QH","CAN")</f>
        <v>0</v>
      </c>
      <c r="U27" s="35">
        <f>+GETPIVOTDATA("XDB4",'dabac (2016)'!$A$3,"MA_HT","SKS","MA_QH","SKK")</f>
        <v>0</v>
      </c>
      <c r="V27" s="35">
        <f>+GETPIVOTDATA("XDB4",'dabac (2016)'!$A$3,"MA_HT","SKS","MA_QH","SKT")</f>
        <v>0</v>
      </c>
      <c r="W27" s="35">
        <f>+GETPIVOTDATA("XDB4",'dabac (2016)'!$A$3,"MA_HT","SKS","MA_QH","SKN")</f>
        <v>0</v>
      </c>
      <c r="X27" s="35">
        <f>+GETPIVOTDATA("XDB4",'dabac (2016)'!$A$3,"MA_HT","SKS","MA_QH","TMD")</f>
        <v>0</v>
      </c>
      <c r="Y27" s="35">
        <f>+GETPIVOTDATA("XDB4",'dabac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+GETPIVOTDATA("XDB4",'dabac (2016)'!$A$3,"MA_HT","SKS","MA_QH","DGT")</f>
        <v>0</v>
      </c>
      <c r="AC27" s="35">
        <f>+GETPIVOTDATA("XDB4",'dabac (2016)'!$A$3,"MA_HT","SKS","MA_QH","DTL")</f>
        <v>0</v>
      </c>
      <c r="AD27" s="35">
        <f>+GETPIVOTDATA("XDB4",'dabac (2016)'!$A$3,"MA_HT","SKS","MA_QH","DNL")</f>
        <v>0</v>
      </c>
      <c r="AE27" s="35">
        <f>+GETPIVOTDATA("XDB4",'dabac (2016)'!$A$3,"MA_HT","SKS","MA_QH","DBV")</f>
        <v>0</v>
      </c>
      <c r="AF27" s="35">
        <f>+GETPIVOTDATA("XDB4",'dabac (2016)'!$A$3,"MA_HT","SKS","MA_QH","DVH")</f>
        <v>0</v>
      </c>
      <c r="AG27" s="35">
        <f>+GETPIVOTDATA("XDB4",'dabac (2016)'!$A$3,"MA_HT","SKS","MA_QH","DYT")</f>
        <v>0</v>
      </c>
      <c r="AH27" s="35">
        <f>+GETPIVOTDATA("XDB4",'dabac (2016)'!$A$3,"MA_HT","SKS","MA_QH","DGD")</f>
        <v>0</v>
      </c>
      <c r="AI27" s="35">
        <f>+GETPIVOTDATA("XDB4",'dabac (2016)'!$A$3,"MA_HT","SKS","MA_QH","DTT")</f>
        <v>0</v>
      </c>
      <c r="AJ27" s="35">
        <f>+GETPIVOTDATA("XDB4",'dabac (2016)'!$A$3,"MA_HT","SKS","MA_QH","NCK")</f>
        <v>0</v>
      </c>
      <c r="AK27" s="35">
        <f>+GETPIVOTDATA("XDB4",'dabac (2016)'!$A$3,"MA_HT","SKS","MA_QH","DXH")</f>
        <v>0</v>
      </c>
      <c r="AL27" s="35">
        <f>+GETPIVOTDATA("XDB4",'dabac (2016)'!$A$3,"MA_HT","SKS","MA_QH","DCH")</f>
        <v>0</v>
      </c>
      <c r="AM27" s="35">
        <f>+GETPIVOTDATA("XDB4",'dabac (2016)'!$A$3,"MA_HT","SKS","MA_QH","DKG")</f>
        <v>0</v>
      </c>
      <c r="AN27" s="35">
        <f>+GETPIVOTDATA("XDB4",'dabac (2016)'!$A$3,"MA_HT","SKS","MA_QH","DDT")</f>
        <v>0</v>
      </c>
      <c r="AO27" s="35">
        <f>+GETPIVOTDATA("XDB4",'dabac (2016)'!$A$3,"MA_HT","SKS","MA_QH","DDL")</f>
        <v>0</v>
      </c>
      <c r="AP27" s="35">
        <f>+GETPIVOTDATA("XDB4",'dabac (2016)'!$A$3,"MA_HT","SKS","MA_QH","DRA")</f>
        <v>0</v>
      </c>
      <c r="AQ27" s="35">
        <f>+GETPIVOTDATA("XDB4",'dabac (2016)'!$A$3,"MA_HT","SKS","MA_QH","ONT")</f>
        <v>0</v>
      </c>
      <c r="AR27" s="35">
        <f>+GETPIVOTDATA("XDB4",'dabac (2016)'!$A$3,"MA_HT","SKS","MA_QH","ODT")</f>
        <v>0</v>
      </c>
      <c r="AS27" s="35">
        <f>+GETPIVOTDATA("XDB4",'dabac (2016)'!$A$3,"MA_HT","SKS","MA_QH","TSC")</f>
        <v>0</v>
      </c>
      <c r="AT27" s="35">
        <f>+GETPIVOTDATA("XDB4",'dabac (2016)'!$A$3,"MA_HT","SKS","MA_QH","DTS")</f>
        <v>0</v>
      </c>
      <c r="AU27" s="35">
        <f>+GETPIVOTDATA("XDB4",'dabac (2016)'!$A$3,"MA_HT","SKS","MA_QH","DNG")</f>
        <v>0</v>
      </c>
      <c r="AV27" s="35">
        <f>+GETPIVOTDATA("XDB4",'dabac (2016)'!$A$3,"MA_HT","SKS","MA_QH","TON")</f>
        <v>0</v>
      </c>
      <c r="AW27" s="35">
        <f>+GETPIVOTDATA("XDB4",'dabac (2016)'!$A$3,"MA_HT","SKS","MA_QH","NTD")</f>
        <v>0</v>
      </c>
      <c r="AX27" s="35">
        <f>+GETPIVOTDATA("XDB4",'dabac (2016)'!$A$3,"MA_HT","SKS","MA_QH","SKX")</f>
        <v>0</v>
      </c>
      <c r="AY27" s="35">
        <f>+GETPIVOTDATA("XDB4",'dabac (2016)'!$A$3,"MA_HT","SKS","MA_QH","DSH")</f>
        <v>0</v>
      </c>
      <c r="AZ27" s="35">
        <f>+GETPIVOTDATA("XDB4",'dabac (2016)'!$A$3,"MA_HT","SKS","MA_QH","DKV")</f>
        <v>0</v>
      </c>
      <c r="BA27" s="140">
        <f>+GETPIVOTDATA("XDB4",'dabac (2016)'!$A$3,"MA_HT","SKS","MA_QH","TIN")</f>
        <v>0</v>
      </c>
      <c r="BB27" s="74">
        <f>+GETPIVOTDATA("XDB4",'dabac (2016)'!$A$3,"MA_HT","SKS","MA_QH","SON")</f>
        <v>0</v>
      </c>
      <c r="BC27" s="74">
        <f>+GETPIVOTDATA("XDB4",'dabac (2016)'!$A$3,"MA_HT","SKS","MA_QH","MNC")</f>
        <v>0</v>
      </c>
      <c r="BD27" s="35">
        <f>+GETPIVOTDATA("XDB4",'dabac (2016)'!$A$3,"MA_HT","SKS","MA_QH","PNK")</f>
        <v>0</v>
      </c>
      <c r="BE27" s="58">
        <f>+GETPIVOTDATA("XDB4",'dabac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+GETPIVOTDATA("XDB4",'dabac (2016)'!$A$3,"MA_HT","DGT","MA_QH","LUC")</f>
        <v>0</v>
      </c>
      <c r="H29" s="74">
        <f>+GETPIVOTDATA("XDB4",'dabac (2016)'!$A$3,"MA_HT","DGT","MA_QH","LUK")</f>
        <v>0</v>
      </c>
      <c r="I29" s="74">
        <f>+GETPIVOTDATA("XDB4",'dabac (2016)'!$A$3,"MA_HT","DGT","MA_QH","LUN")</f>
        <v>0</v>
      </c>
      <c r="J29" s="74">
        <f>+GETPIVOTDATA("XDB4",'dabac (2016)'!$A$3,"MA_HT","DGT","MA_QH","HNK")</f>
        <v>0</v>
      </c>
      <c r="K29" s="74">
        <f>+GETPIVOTDATA("XDB4",'dabac (2016)'!$A$3,"MA_HT","DGT","MA_QH","CLN")</f>
        <v>0</v>
      </c>
      <c r="L29" s="74">
        <f>+GETPIVOTDATA("XDB4",'dabac (2016)'!$A$3,"MA_HT","DGT","MA_QH","RSX")</f>
        <v>0</v>
      </c>
      <c r="M29" s="74">
        <f>+GETPIVOTDATA("XDB4",'dabac (2016)'!$A$3,"MA_HT","DGT","MA_QH","RPH")</f>
        <v>0</v>
      </c>
      <c r="N29" s="74">
        <f>+GETPIVOTDATA("XDB4",'dabac (2016)'!$A$3,"MA_HT","DGT","MA_QH","RDD")</f>
        <v>0</v>
      </c>
      <c r="O29" s="74">
        <f>+GETPIVOTDATA("XDB4",'dabac (2016)'!$A$3,"MA_HT","DGT","MA_QH","NTS")</f>
        <v>0</v>
      </c>
      <c r="P29" s="74">
        <f>+GETPIVOTDATA("XDB4",'dabac (2016)'!$A$3,"MA_HT","DGT","MA_QH","LMU")</f>
        <v>0</v>
      </c>
      <c r="Q29" s="74">
        <f>+GETPIVOTDATA("XDB4",'dabac (2016)'!$A$3,"MA_HT","DGT","MA_QH","NKH")</f>
        <v>0</v>
      </c>
      <c r="R29" s="72">
        <f>SUM(S29:AA29,AN29:BD29)</f>
        <v>0</v>
      </c>
      <c r="S29" s="74">
        <f>+GETPIVOTDATA("XDB4",'dabac (2016)'!$A$3,"MA_HT","DGT","MA_QH","CQP")</f>
        <v>0</v>
      </c>
      <c r="T29" s="74">
        <f>+GETPIVOTDATA("XDB4",'dabac (2016)'!$A$3,"MA_HT","DGT","MA_QH","CAN")</f>
        <v>0</v>
      </c>
      <c r="U29" s="74">
        <f>+GETPIVOTDATA("XDB4",'dabac (2016)'!$A$3,"MA_HT","DGT","MA_QH","SKK")</f>
        <v>0</v>
      </c>
      <c r="V29" s="74">
        <f>+GETPIVOTDATA("XDB4",'dabac (2016)'!$A$3,"MA_HT","DGT","MA_QH","SKT")</f>
        <v>0</v>
      </c>
      <c r="W29" s="74">
        <f>+GETPIVOTDATA("XDB4",'dabac (2016)'!$A$3,"MA_HT","DGT","MA_QH","SKN")</f>
        <v>0</v>
      </c>
      <c r="X29" s="74">
        <f>+GETPIVOTDATA("XDB4",'dabac (2016)'!$A$3,"MA_HT","DGT","MA_QH","TMD")</f>
        <v>0</v>
      </c>
      <c r="Y29" s="74">
        <f>+GETPIVOTDATA("XDB4",'dabac (2016)'!$A$3,"MA_HT","DGT","MA_QH","SKC")</f>
        <v>0</v>
      </c>
      <c r="Z29" s="74">
        <f>+GETPIVOTDATA("XDB4",'dabac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+GETPIVOTDATA("XDB4",'dabac (2016)'!$A$3,"MA_HT","DGT","MA_QH","DTL")</f>
        <v>0</v>
      </c>
      <c r="AD29" s="74">
        <f>+GETPIVOTDATA("XDB4",'dabac (2016)'!$A$3,"MA_HT","DGT","MA_QH","DNL")</f>
        <v>0</v>
      </c>
      <c r="AE29" s="74">
        <f>+GETPIVOTDATA("XDB4",'dabac (2016)'!$A$3,"MA_HT","DGT","MA_QH","DBV")</f>
        <v>0</v>
      </c>
      <c r="AF29" s="74">
        <f>+GETPIVOTDATA("XDB4",'dabac (2016)'!$A$3,"MA_HT","DGT","MA_QH","DVH")</f>
        <v>0</v>
      </c>
      <c r="AG29" s="74">
        <f>+GETPIVOTDATA("XDB4",'dabac (2016)'!$A$3,"MA_HT","DGT","MA_QH","DYT")</f>
        <v>0</v>
      </c>
      <c r="AH29" s="74">
        <f>+GETPIVOTDATA("XDB4",'dabac (2016)'!$A$3,"MA_HT","DGT","MA_QH","DGD")</f>
        <v>0</v>
      </c>
      <c r="AI29" s="74">
        <f>+GETPIVOTDATA("XDB4",'dabac (2016)'!$A$3,"MA_HT","DGT","MA_QH","DTT")</f>
        <v>0</v>
      </c>
      <c r="AJ29" s="74">
        <f>+GETPIVOTDATA("XDB4",'dabac (2016)'!$A$3,"MA_HT","DGT","MA_QH","NCK")</f>
        <v>0</v>
      </c>
      <c r="AK29" s="74">
        <f>+GETPIVOTDATA("XDB4",'dabac (2016)'!$A$3,"MA_HT","DGT","MA_QH","DXH")</f>
        <v>0</v>
      </c>
      <c r="AL29" s="74">
        <f>+GETPIVOTDATA("XDB4",'dabac (2016)'!$A$3,"MA_HT","DGT","MA_QH","DCH")</f>
        <v>0</v>
      </c>
      <c r="AM29" s="74">
        <f>+GETPIVOTDATA("XDB4",'dabac (2016)'!$A$3,"MA_HT","DGT","MA_QH","DKG")</f>
        <v>0</v>
      </c>
      <c r="AN29" s="74">
        <f>+GETPIVOTDATA("XDB4",'dabac (2016)'!$A$3,"MA_HT","DGT","MA_QH","DDT")</f>
        <v>0</v>
      </c>
      <c r="AO29" s="74">
        <f>+GETPIVOTDATA("XDB4",'dabac (2016)'!$A$3,"MA_HT","DGT","MA_QH","DDL")</f>
        <v>0</v>
      </c>
      <c r="AP29" s="74">
        <f>+GETPIVOTDATA("XDB4",'dabac (2016)'!$A$3,"MA_HT","DGT","MA_QH","DRA")</f>
        <v>0</v>
      </c>
      <c r="AQ29" s="74">
        <f>+GETPIVOTDATA("XDB4",'dabac (2016)'!$A$3,"MA_HT","DGT","MA_QH","ONT")</f>
        <v>0</v>
      </c>
      <c r="AR29" s="74">
        <f>+GETPIVOTDATA("XDB4",'dabac (2016)'!$A$3,"MA_HT","DGT","MA_QH","ODT")</f>
        <v>0</v>
      </c>
      <c r="AS29" s="74">
        <f>+GETPIVOTDATA("XDB4",'dabac (2016)'!$A$3,"MA_HT","DGT","MA_QH","TSC")</f>
        <v>0</v>
      </c>
      <c r="AT29" s="74">
        <f>+GETPIVOTDATA("XDB4",'dabac (2016)'!$A$3,"MA_HT","DGT","MA_QH","DTS")</f>
        <v>0</v>
      </c>
      <c r="AU29" s="74">
        <f>+GETPIVOTDATA("XDB4",'dabac (2016)'!$A$3,"MA_HT","DGT","MA_QH","DNG")</f>
        <v>0</v>
      </c>
      <c r="AV29" s="74">
        <f>+GETPIVOTDATA("XDB4",'dabac (2016)'!$A$3,"MA_HT","DGT","MA_QH","TON")</f>
        <v>0</v>
      </c>
      <c r="AW29" s="74">
        <f>+GETPIVOTDATA("XDB4",'dabac (2016)'!$A$3,"MA_HT","DGT","MA_QH","NTD")</f>
        <v>0</v>
      </c>
      <c r="AX29" s="74">
        <f>+GETPIVOTDATA("XDB4",'dabac (2016)'!$A$3,"MA_HT","DGT","MA_QH","SKX")</f>
        <v>0</v>
      </c>
      <c r="AY29" s="74">
        <f>+GETPIVOTDATA("XDB4",'dabac (2016)'!$A$3,"MA_HT","DGT","MA_QH","DSH")</f>
        <v>0</v>
      </c>
      <c r="AZ29" s="74">
        <f>+GETPIVOTDATA("XDB4",'dabac (2016)'!$A$3,"MA_HT","DGT","MA_QH","DKV")</f>
        <v>0</v>
      </c>
      <c r="BA29" s="139">
        <f>+GETPIVOTDATA("XDB4",'dabac (2016)'!$A$3,"MA_HT","DGT","MA_QH","TIN")</f>
        <v>0</v>
      </c>
      <c r="BB29" s="74">
        <f>+GETPIVOTDATA("XDB4",'dabac (2016)'!$A$3,"MA_HT","DGT","MA_QH","SON")</f>
        <v>0</v>
      </c>
      <c r="BC29" s="74">
        <f>+GETPIVOTDATA("XDB4",'dabac (2016)'!$A$3,"MA_HT","DGT","MA_QH","MNC")</f>
        <v>0</v>
      </c>
      <c r="BD29" s="74">
        <f>+GETPIVOTDATA("XDB4",'dabac (2016)'!$A$3,"MA_HT","DGT","MA_QH","PNK")</f>
        <v>0</v>
      </c>
      <c r="BE29" s="102">
        <f>+GETPIVOTDATA("XDB4",'dabac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+GETPIVOTDATA("XDB4",'dabac (2016)'!$A$3,"MA_HT","DTL","MA_QH","LUC")</f>
        <v>0</v>
      </c>
      <c r="H30" s="74">
        <f>+GETPIVOTDATA("XDB4",'dabac (2016)'!$A$3,"MA_HT","DTL","MA_QH","LUK")</f>
        <v>0</v>
      </c>
      <c r="I30" s="74">
        <f>+GETPIVOTDATA("XDB4",'dabac (2016)'!$A$3,"MA_HT","DTL","MA_QH","LUN")</f>
        <v>0</v>
      </c>
      <c r="J30" s="74">
        <f>+GETPIVOTDATA("XDB4",'dabac (2016)'!$A$3,"MA_HT","DTL","MA_QH","HNK")</f>
        <v>0</v>
      </c>
      <c r="K30" s="74">
        <f>+GETPIVOTDATA("XDB4",'dabac (2016)'!$A$3,"MA_HT","DTL","MA_QH","CLN")</f>
        <v>0</v>
      </c>
      <c r="L30" s="74">
        <f>+GETPIVOTDATA("XDB4",'dabac (2016)'!$A$3,"MA_HT","DTL","MA_QH","RSX")</f>
        <v>0</v>
      </c>
      <c r="M30" s="74">
        <f>+GETPIVOTDATA("XDB4",'dabac (2016)'!$A$3,"MA_HT","DTL","MA_QH","RPH")</f>
        <v>0</v>
      </c>
      <c r="N30" s="74">
        <f>+GETPIVOTDATA("XDB4",'dabac (2016)'!$A$3,"MA_HT","DTL","MA_QH","RDD")</f>
        <v>0</v>
      </c>
      <c r="O30" s="74">
        <f>+GETPIVOTDATA("XDB4",'dabac (2016)'!$A$3,"MA_HT","DTL","MA_QH","NTS")</f>
        <v>0</v>
      </c>
      <c r="P30" s="74">
        <f>+GETPIVOTDATA("XDB4",'dabac (2016)'!$A$3,"MA_HT","DTL","MA_QH","LMU")</f>
        <v>0</v>
      </c>
      <c r="Q30" s="74">
        <f>+GETPIVOTDATA("XDB4",'dabac (2016)'!$A$3,"MA_HT","DTL","MA_QH","NKH")</f>
        <v>0</v>
      </c>
      <c r="R30" s="72">
        <f t="shared" ref="R30:R39" si="20">SUM(S30:AA30,AN30:BD30)</f>
        <v>0</v>
      </c>
      <c r="S30" s="74">
        <f>+GETPIVOTDATA("XDB4",'dabac (2016)'!$A$3,"MA_HT","DTL","MA_QH","CQP")</f>
        <v>0</v>
      </c>
      <c r="T30" s="74">
        <f>+GETPIVOTDATA("XDB4",'dabac (2016)'!$A$3,"MA_HT","DTL","MA_QH","CAN")</f>
        <v>0</v>
      </c>
      <c r="U30" s="74">
        <f>+GETPIVOTDATA("XDB4",'dabac (2016)'!$A$3,"MA_HT","DTL","MA_QH","SKK")</f>
        <v>0</v>
      </c>
      <c r="V30" s="74">
        <f>+GETPIVOTDATA("XDB4",'dabac (2016)'!$A$3,"MA_HT","DTL","MA_QH","SKT")</f>
        <v>0</v>
      </c>
      <c r="W30" s="74">
        <f>+GETPIVOTDATA("XDB4",'dabac (2016)'!$A$3,"MA_HT","DTL","MA_QH","SKN")</f>
        <v>0</v>
      </c>
      <c r="X30" s="74">
        <f>+GETPIVOTDATA("XDB4",'dabac (2016)'!$A$3,"MA_HT","DTL","MA_QH","TMD")</f>
        <v>0</v>
      </c>
      <c r="Y30" s="74">
        <f>+GETPIVOTDATA("XDB4",'dabac (2016)'!$A$3,"MA_HT","DTL","MA_QH","SKC")</f>
        <v>0</v>
      </c>
      <c r="Z30" s="74">
        <f>+GETPIVOTDATA("XDB4",'dabac (2016)'!$A$3,"MA_HT","DTL","MA_QH","SKS")</f>
        <v>0</v>
      </c>
      <c r="AA30" s="64">
        <f>+SUM(AB30,AD30:AM30)</f>
        <v>0</v>
      </c>
      <c r="AB30" s="74">
        <f>+GETPIVOTDATA("XDB4",'dabac (2016)'!$A$3,"MA_HT","DTL","MA_QH","DGT")</f>
        <v>0</v>
      </c>
      <c r="AC30" s="100" t="e">
        <f>$D30-$BF30</f>
        <v>#REF!</v>
      </c>
      <c r="AD30" s="74">
        <f>+GETPIVOTDATA("XDB4",'dabac (2016)'!$A$3,"MA_HT","DTL","MA_QH","DNL")</f>
        <v>0</v>
      </c>
      <c r="AE30" s="74">
        <f>+GETPIVOTDATA("XDB4",'dabac (2016)'!$A$3,"MA_HT","DTL","MA_QH","DBV")</f>
        <v>0</v>
      </c>
      <c r="AF30" s="74">
        <f>+GETPIVOTDATA("XDB4",'dabac (2016)'!$A$3,"MA_HT","DTL","MA_QH","DVH")</f>
        <v>0</v>
      </c>
      <c r="AG30" s="74">
        <f>+GETPIVOTDATA("XDB4",'dabac (2016)'!$A$3,"MA_HT","DTL","MA_QH","DYT")</f>
        <v>0</v>
      </c>
      <c r="AH30" s="74">
        <f>+GETPIVOTDATA("XDB4",'dabac (2016)'!$A$3,"MA_HT","DTL","MA_QH","DGD")</f>
        <v>0</v>
      </c>
      <c r="AI30" s="74">
        <f>+GETPIVOTDATA("XDB4",'dabac (2016)'!$A$3,"MA_HT","DTL","MA_QH","DTT")</f>
        <v>0</v>
      </c>
      <c r="AJ30" s="74">
        <f>+GETPIVOTDATA("XDB4",'dabac (2016)'!$A$3,"MA_HT","DTL","MA_QH","NCK")</f>
        <v>0</v>
      </c>
      <c r="AK30" s="74">
        <f>+GETPIVOTDATA("XDB4",'dabac (2016)'!$A$3,"MA_HT","DTL","MA_QH","DXH")</f>
        <v>0</v>
      </c>
      <c r="AL30" s="74">
        <f>+GETPIVOTDATA("XDB4",'dabac (2016)'!$A$3,"MA_HT","DTL","MA_QH","DCH")</f>
        <v>0</v>
      </c>
      <c r="AM30" s="74">
        <f>+GETPIVOTDATA("XDB4",'dabac (2016)'!$A$3,"MA_HT","DTL","MA_QH","DKG")</f>
        <v>0</v>
      </c>
      <c r="AN30" s="74">
        <f>+GETPIVOTDATA("XDB4",'dabac (2016)'!$A$3,"MA_HT","DTL","MA_QH","DDT")</f>
        <v>0</v>
      </c>
      <c r="AO30" s="74">
        <f>+GETPIVOTDATA("XDB4",'dabac (2016)'!$A$3,"MA_HT","DTL","MA_QH","DDL")</f>
        <v>0</v>
      </c>
      <c r="AP30" s="74">
        <f>+GETPIVOTDATA("XDB4",'dabac (2016)'!$A$3,"MA_HT","DTL","MA_QH","DRA")</f>
        <v>0</v>
      </c>
      <c r="AQ30" s="74">
        <f>+GETPIVOTDATA("XDB4",'dabac (2016)'!$A$3,"MA_HT","DTL","MA_QH","ONT")</f>
        <v>0</v>
      </c>
      <c r="AR30" s="74">
        <f>+GETPIVOTDATA("XDB4",'dabac (2016)'!$A$3,"MA_HT","DTL","MA_QH","ODT")</f>
        <v>0</v>
      </c>
      <c r="AS30" s="74">
        <f>+GETPIVOTDATA("XDB4",'dabac (2016)'!$A$3,"MA_HT","DTL","MA_QH","TSC")</f>
        <v>0</v>
      </c>
      <c r="AT30" s="74">
        <f>+GETPIVOTDATA("XDB4",'dabac (2016)'!$A$3,"MA_HT","DTL","MA_QH","DTS")</f>
        <v>0</v>
      </c>
      <c r="AU30" s="74">
        <f>+GETPIVOTDATA("XDB4",'dabac (2016)'!$A$3,"MA_HT","DTL","MA_QH","DNG")</f>
        <v>0</v>
      </c>
      <c r="AV30" s="74">
        <f>+GETPIVOTDATA("XDB4",'dabac (2016)'!$A$3,"MA_HT","DTL","MA_QH","TON")</f>
        <v>0</v>
      </c>
      <c r="AW30" s="74">
        <f>+GETPIVOTDATA("XDB4",'dabac (2016)'!$A$3,"MA_HT","DTL","MA_QH","NTD")</f>
        <v>0</v>
      </c>
      <c r="AX30" s="74">
        <f>+GETPIVOTDATA("XDB4",'dabac (2016)'!$A$3,"MA_HT","DTL","MA_QH","SKX")</f>
        <v>0</v>
      </c>
      <c r="AY30" s="74">
        <f>+GETPIVOTDATA("XDB4",'dabac (2016)'!$A$3,"MA_HT","DTL","MA_QH","DSH")</f>
        <v>0</v>
      </c>
      <c r="AZ30" s="74">
        <f>+GETPIVOTDATA("XDB4",'dabac (2016)'!$A$3,"MA_HT","DTL","MA_QH","DKV")</f>
        <v>0</v>
      </c>
      <c r="BA30" s="139">
        <f>+GETPIVOTDATA("XDB4",'dabac (2016)'!$A$3,"MA_HT","DTL","MA_QH","TIN")</f>
        <v>0</v>
      </c>
      <c r="BB30" s="74">
        <f>+GETPIVOTDATA("XDB4",'dabac (2016)'!$A$3,"MA_HT","DTL","MA_QH","SON")</f>
        <v>0</v>
      </c>
      <c r="BC30" s="74">
        <f>+GETPIVOTDATA("XDB4",'dabac (2016)'!$A$3,"MA_HT","DTL","MA_QH","MNC")</f>
        <v>0</v>
      </c>
      <c r="BD30" s="74">
        <f>+GETPIVOTDATA("XDB4",'dabac (2016)'!$A$3,"MA_HT","DTL","MA_QH","PNK")</f>
        <v>0</v>
      </c>
      <c r="BE30" s="102">
        <f>+GETPIVOTDATA("XDB4",'dabac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+GETPIVOTDATA("XDB4",'dabac (2016)'!$A$3,"MA_HT","DNL","MA_QH","LUC")</f>
        <v>0</v>
      </c>
      <c r="H31" s="74">
        <f>+GETPIVOTDATA("XDB4",'dabac (2016)'!$A$3,"MA_HT","DNL","MA_QH","LUK")</f>
        <v>0</v>
      </c>
      <c r="I31" s="74">
        <f>+GETPIVOTDATA("XDB4",'dabac (2016)'!$A$3,"MA_HT","DNL","MA_QH","LUN")</f>
        <v>0</v>
      </c>
      <c r="J31" s="74">
        <f>+GETPIVOTDATA("XDB4",'dabac (2016)'!$A$3,"MA_HT","DNL","MA_QH","HNK")</f>
        <v>0</v>
      </c>
      <c r="K31" s="74">
        <f>+GETPIVOTDATA("XDB4",'dabac (2016)'!$A$3,"MA_HT","DNL","MA_QH","CLN")</f>
        <v>0</v>
      </c>
      <c r="L31" s="74">
        <f>+GETPIVOTDATA("XDB4",'dabac (2016)'!$A$3,"MA_HT","DNL","MA_QH","RSX")</f>
        <v>0</v>
      </c>
      <c r="M31" s="74">
        <f>+GETPIVOTDATA("XDB4",'dabac (2016)'!$A$3,"MA_HT","DNL","MA_QH","RPH")</f>
        <v>0</v>
      </c>
      <c r="N31" s="74">
        <f>+GETPIVOTDATA("XDB4",'dabac (2016)'!$A$3,"MA_HT","DNL","MA_QH","RDD")</f>
        <v>0</v>
      </c>
      <c r="O31" s="74">
        <f>+GETPIVOTDATA("XDB4",'dabac (2016)'!$A$3,"MA_HT","DNL","MA_QH","NTS")</f>
        <v>0</v>
      </c>
      <c r="P31" s="74">
        <f>+GETPIVOTDATA("XDB4",'dabac (2016)'!$A$3,"MA_HT","DNL","MA_QH","LMU")</f>
        <v>0</v>
      </c>
      <c r="Q31" s="74">
        <f>+GETPIVOTDATA("XDB4",'dabac (2016)'!$A$3,"MA_HT","DNL","MA_QH","NKH")</f>
        <v>0</v>
      </c>
      <c r="R31" s="72">
        <f t="shared" si="20"/>
        <v>0</v>
      </c>
      <c r="S31" s="74">
        <f>+GETPIVOTDATA("XDB4",'dabac (2016)'!$A$3,"MA_HT","DNL","MA_QH","CQP")</f>
        <v>0</v>
      </c>
      <c r="T31" s="74">
        <f>+GETPIVOTDATA("XDB4",'dabac (2016)'!$A$3,"MA_HT","DNL","MA_QH","CAN")</f>
        <v>0</v>
      </c>
      <c r="U31" s="74">
        <f>+GETPIVOTDATA("XDB4",'dabac (2016)'!$A$3,"MA_HT","DNL","MA_QH","SKK")</f>
        <v>0</v>
      </c>
      <c r="V31" s="74">
        <f>+GETPIVOTDATA("XDB4",'dabac (2016)'!$A$3,"MA_HT","DNL","MA_QH","SKT")</f>
        <v>0</v>
      </c>
      <c r="W31" s="74">
        <f>+GETPIVOTDATA("XDB4",'dabac (2016)'!$A$3,"MA_HT","DNL","MA_QH","SKN")</f>
        <v>0</v>
      </c>
      <c r="X31" s="74">
        <f>+GETPIVOTDATA("XDB4",'dabac (2016)'!$A$3,"MA_HT","DNL","MA_QH","TMD")</f>
        <v>0</v>
      </c>
      <c r="Y31" s="74">
        <f>+GETPIVOTDATA("XDB4",'dabac (2016)'!$A$3,"MA_HT","DNL","MA_QH","SKC")</f>
        <v>0</v>
      </c>
      <c r="Z31" s="74">
        <f>+GETPIVOTDATA("XDB4",'dabac (2016)'!$A$3,"MA_HT","DNL","MA_QH","SKS")</f>
        <v>0</v>
      </c>
      <c r="AA31" s="64">
        <f>+SUM(AB31:AC31,AE31:AM31)</f>
        <v>0</v>
      </c>
      <c r="AB31" s="74">
        <f>+GETPIVOTDATA("XDB4",'dabac (2016)'!$A$3,"MA_HT","DNL","MA_QH","DGT")</f>
        <v>0</v>
      </c>
      <c r="AC31" s="74">
        <f>+GETPIVOTDATA("XDB4",'dabac (2016)'!$A$3,"MA_HT","DNL","MA_QH","DTL")</f>
        <v>0</v>
      </c>
      <c r="AD31" s="100" t="e">
        <f>$D31-$BF31</f>
        <v>#REF!</v>
      </c>
      <c r="AE31" s="74">
        <f>+GETPIVOTDATA("XDB4",'dabac (2016)'!$A$3,"MA_HT","DNL","MA_QH","DBV")</f>
        <v>0</v>
      </c>
      <c r="AF31" s="74">
        <f>+GETPIVOTDATA("XDB4",'dabac (2016)'!$A$3,"MA_HT","DNL","MA_QH","DVH")</f>
        <v>0</v>
      </c>
      <c r="AG31" s="74">
        <f>+GETPIVOTDATA("XDB4",'dabac (2016)'!$A$3,"MA_HT","DNL","MA_QH","DYT")</f>
        <v>0</v>
      </c>
      <c r="AH31" s="74">
        <f>+GETPIVOTDATA("XDB4",'dabac (2016)'!$A$3,"MA_HT","DNL","MA_QH","DGD")</f>
        <v>0</v>
      </c>
      <c r="AI31" s="74">
        <f>+GETPIVOTDATA("XDB4",'dabac (2016)'!$A$3,"MA_HT","DNL","MA_QH","DTT")</f>
        <v>0</v>
      </c>
      <c r="AJ31" s="74">
        <f>+GETPIVOTDATA("XDB4",'dabac (2016)'!$A$3,"MA_HT","DNL","MA_QH","NCK")</f>
        <v>0</v>
      </c>
      <c r="AK31" s="74">
        <f>+GETPIVOTDATA("XDB4",'dabac (2016)'!$A$3,"MA_HT","DNL","MA_QH","DXH")</f>
        <v>0</v>
      </c>
      <c r="AL31" s="74">
        <f>+GETPIVOTDATA("XDB4",'dabac (2016)'!$A$3,"MA_HT","DNL","MA_QH","DCH")</f>
        <v>0</v>
      </c>
      <c r="AM31" s="74">
        <f>+GETPIVOTDATA("XDB4",'dabac (2016)'!$A$3,"MA_HT","DNL","MA_QH","DKG")</f>
        <v>0</v>
      </c>
      <c r="AN31" s="74">
        <f>+GETPIVOTDATA("XDB4",'dabac (2016)'!$A$3,"MA_HT","DNL","MA_QH","DDT")</f>
        <v>0</v>
      </c>
      <c r="AO31" s="74">
        <f>+GETPIVOTDATA("XDB4",'dabac (2016)'!$A$3,"MA_HT","DNL","MA_QH","DDL")</f>
        <v>0</v>
      </c>
      <c r="AP31" s="74">
        <f>+GETPIVOTDATA("XDB4",'dabac (2016)'!$A$3,"MA_HT","DNL","MA_QH","DRA")</f>
        <v>0</v>
      </c>
      <c r="AQ31" s="74">
        <f>+GETPIVOTDATA("XDB4",'dabac (2016)'!$A$3,"MA_HT","DNL","MA_QH","ONT")</f>
        <v>0</v>
      </c>
      <c r="AR31" s="74">
        <f>+GETPIVOTDATA("XDB4",'dabac (2016)'!$A$3,"MA_HT","DNL","MA_QH","ODT")</f>
        <v>0</v>
      </c>
      <c r="AS31" s="74">
        <f>+GETPIVOTDATA("XDB4",'dabac (2016)'!$A$3,"MA_HT","DNL","MA_QH","TSC")</f>
        <v>0</v>
      </c>
      <c r="AT31" s="74">
        <f>+GETPIVOTDATA("XDB4",'dabac (2016)'!$A$3,"MA_HT","DNL","MA_QH","DTS")</f>
        <v>0</v>
      </c>
      <c r="AU31" s="74">
        <f>+GETPIVOTDATA("XDB4",'dabac (2016)'!$A$3,"MA_HT","DNL","MA_QH","DNG")</f>
        <v>0</v>
      </c>
      <c r="AV31" s="74">
        <f>+GETPIVOTDATA("XDB4",'dabac (2016)'!$A$3,"MA_HT","DNL","MA_QH","TON")</f>
        <v>0</v>
      </c>
      <c r="AW31" s="74">
        <f>+GETPIVOTDATA("XDB4",'dabac (2016)'!$A$3,"MA_HT","DNL","MA_QH","NTD")</f>
        <v>0</v>
      </c>
      <c r="AX31" s="74">
        <f>+GETPIVOTDATA("XDB4",'dabac (2016)'!$A$3,"MA_HT","DNL","MA_QH","SKX")</f>
        <v>0</v>
      </c>
      <c r="AY31" s="74">
        <f>+GETPIVOTDATA("XDB4",'dabac (2016)'!$A$3,"MA_HT","DNL","MA_QH","DSH")</f>
        <v>0</v>
      </c>
      <c r="AZ31" s="74">
        <f>+GETPIVOTDATA("XDB4",'dabac (2016)'!$A$3,"MA_HT","DNL","MA_QH","DKV")</f>
        <v>0</v>
      </c>
      <c r="BA31" s="139">
        <f>+GETPIVOTDATA("XDB4",'dabac (2016)'!$A$3,"MA_HT","DNL","MA_QH","TIN")</f>
        <v>0</v>
      </c>
      <c r="BB31" s="74">
        <f>+GETPIVOTDATA("XDB4",'dabac (2016)'!$A$3,"MA_HT","DNL","MA_QH","SON")</f>
        <v>0</v>
      </c>
      <c r="BC31" s="74">
        <f>+GETPIVOTDATA("XDB4",'dabac (2016)'!$A$3,"MA_HT","DNL","MA_QH","MNC")</f>
        <v>0</v>
      </c>
      <c r="BD31" s="74">
        <f>+GETPIVOTDATA("XDB4",'dabac (2016)'!$A$3,"MA_HT","DNL","MA_QH","PNK")</f>
        <v>0</v>
      </c>
      <c r="BE31" s="102">
        <f>+GETPIVOTDATA("XDB4",'dabac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+GETPIVOTDATA("XDB4",'dabac (2016)'!$A$3,"MA_HT","DBV","MA_QH","LUC")</f>
        <v>0</v>
      </c>
      <c r="H32" s="74">
        <f>+GETPIVOTDATA("XDB4",'dabac (2016)'!$A$3,"MA_HT","DBV","MA_QH","LUK")</f>
        <v>0</v>
      </c>
      <c r="I32" s="74">
        <f>+GETPIVOTDATA("XDB4",'dabac (2016)'!$A$3,"MA_HT","DBV","MA_QH","LUN")</f>
        <v>0</v>
      </c>
      <c r="J32" s="74">
        <f>+GETPIVOTDATA("XDB4",'dabac (2016)'!$A$3,"MA_HT","DBV","MA_QH","HNK")</f>
        <v>0</v>
      </c>
      <c r="K32" s="74">
        <f>+GETPIVOTDATA("XDB4",'dabac (2016)'!$A$3,"MA_HT","DBV","MA_QH","CLN")</f>
        <v>0</v>
      </c>
      <c r="L32" s="74">
        <f>+GETPIVOTDATA("XDB4",'dabac (2016)'!$A$3,"MA_HT","DBV","MA_QH","RSX")</f>
        <v>0</v>
      </c>
      <c r="M32" s="74">
        <f>+GETPIVOTDATA("XDB4",'dabac (2016)'!$A$3,"MA_HT","DBV","MA_QH","RPH")</f>
        <v>0</v>
      </c>
      <c r="N32" s="74">
        <f>+GETPIVOTDATA("XDB4",'dabac (2016)'!$A$3,"MA_HT","DBV","MA_QH","RDD")</f>
        <v>0</v>
      </c>
      <c r="O32" s="74">
        <f>+GETPIVOTDATA("XDB4",'dabac (2016)'!$A$3,"MA_HT","DBV","MA_QH","NTS")</f>
        <v>0</v>
      </c>
      <c r="P32" s="74">
        <f>+GETPIVOTDATA("XDB4",'dabac (2016)'!$A$3,"MA_HT","DBV","MA_QH","LMU")</f>
        <v>0</v>
      </c>
      <c r="Q32" s="74">
        <f>+GETPIVOTDATA("XDB4",'dabac (2016)'!$A$3,"MA_HT","DBV","MA_QH","NKH")</f>
        <v>0</v>
      </c>
      <c r="R32" s="72">
        <f t="shared" si="20"/>
        <v>0</v>
      </c>
      <c r="S32" s="74">
        <f>+GETPIVOTDATA("XDB4",'dabac (2016)'!$A$3,"MA_HT","DBV","MA_QH","CQP")</f>
        <v>0</v>
      </c>
      <c r="T32" s="74">
        <f>+GETPIVOTDATA("XDB4",'dabac (2016)'!$A$3,"MA_HT","DBV","MA_QH","CAN")</f>
        <v>0</v>
      </c>
      <c r="U32" s="74">
        <f>+GETPIVOTDATA("XDB4",'dabac (2016)'!$A$3,"MA_HT","DBV","MA_QH","SKK")</f>
        <v>0</v>
      </c>
      <c r="V32" s="74">
        <f>+GETPIVOTDATA("XDB4",'dabac (2016)'!$A$3,"MA_HT","DBV","MA_QH","SKT")</f>
        <v>0</v>
      </c>
      <c r="W32" s="74">
        <f>+GETPIVOTDATA("XDB4",'dabac (2016)'!$A$3,"MA_HT","DBV","MA_QH","SKN")</f>
        <v>0</v>
      </c>
      <c r="X32" s="74">
        <f>+GETPIVOTDATA("XDB4",'dabac (2016)'!$A$3,"MA_HT","DBV","MA_QH","TMD")</f>
        <v>0</v>
      </c>
      <c r="Y32" s="74">
        <f>+GETPIVOTDATA("XDB4",'dabac (2016)'!$A$3,"MA_HT","DBV","MA_QH","SKC")</f>
        <v>0</v>
      </c>
      <c r="Z32" s="74">
        <f>+GETPIVOTDATA("XDB4",'dabac (2016)'!$A$3,"MA_HT","DBV","MA_QH","SKS")</f>
        <v>0</v>
      </c>
      <c r="AA32" s="64">
        <f>+SUM(AB32:AD32,AF32:AM32)</f>
        <v>0</v>
      </c>
      <c r="AB32" s="74">
        <f>+GETPIVOTDATA("XDB4",'dabac (2016)'!$A$3,"MA_HT","DBV","MA_QH","DGT")</f>
        <v>0</v>
      </c>
      <c r="AC32" s="74">
        <f>+GETPIVOTDATA("XDB4",'dabac (2016)'!$A$3,"MA_HT","DBV","MA_QH","DTL")</f>
        <v>0</v>
      </c>
      <c r="AD32" s="74">
        <f>+GETPIVOTDATA("XDB4",'dabac (2016)'!$A$3,"MA_HT","DBV","MA_QH","DNL")</f>
        <v>0</v>
      </c>
      <c r="AE32" s="100" t="e">
        <f>$D32-$BF32</f>
        <v>#REF!</v>
      </c>
      <c r="AF32" s="74">
        <f>+GETPIVOTDATA("XDB4",'dabac (2016)'!$A$3,"MA_HT","DBV","MA_QH","DVH")</f>
        <v>0</v>
      </c>
      <c r="AG32" s="74">
        <f>+GETPIVOTDATA("XDB4",'dabac (2016)'!$A$3,"MA_HT","DBV","MA_QH","DYT")</f>
        <v>0</v>
      </c>
      <c r="AH32" s="74">
        <f>+GETPIVOTDATA("XDB4",'dabac (2016)'!$A$3,"MA_HT","DBV","MA_QH","DGD")</f>
        <v>0</v>
      </c>
      <c r="AI32" s="74">
        <f>+GETPIVOTDATA("XDB4",'dabac (2016)'!$A$3,"MA_HT","DBV","MA_QH","DTT")</f>
        <v>0</v>
      </c>
      <c r="AJ32" s="74">
        <f>+GETPIVOTDATA("XDB4",'dabac (2016)'!$A$3,"MA_HT","DBV","MA_QH","NCK")</f>
        <v>0</v>
      </c>
      <c r="AK32" s="74">
        <f>+GETPIVOTDATA("XDB4",'dabac (2016)'!$A$3,"MA_HT","DBV","MA_QH","DXH")</f>
        <v>0</v>
      </c>
      <c r="AL32" s="74">
        <f>+GETPIVOTDATA("XDB4",'dabac (2016)'!$A$3,"MA_HT","DBV","MA_QH","DCH")</f>
        <v>0</v>
      </c>
      <c r="AM32" s="74">
        <f>+GETPIVOTDATA("XDB4",'dabac (2016)'!$A$3,"MA_HT","DBV","MA_QH","DKG")</f>
        <v>0</v>
      </c>
      <c r="AN32" s="74">
        <f>+GETPIVOTDATA("XDB4",'dabac (2016)'!$A$3,"MA_HT","DBV","MA_QH","DDT")</f>
        <v>0</v>
      </c>
      <c r="AO32" s="74">
        <f>+GETPIVOTDATA("XDB4",'dabac (2016)'!$A$3,"MA_HT","DBV","MA_QH","DDL")</f>
        <v>0</v>
      </c>
      <c r="AP32" s="74">
        <f>+GETPIVOTDATA("XDB4",'dabac (2016)'!$A$3,"MA_HT","DBV","MA_QH","DRA")</f>
        <v>0</v>
      </c>
      <c r="AQ32" s="74">
        <f>+GETPIVOTDATA("XDB4",'dabac (2016)'!$A$3,"MA_HT","DBV","MA_QH","ONT")</f>
        <v>0</v>
      </c>
      <c r="AR32" s="74">
        <f>+GETPIVOTDATA("XDB4",'dabac (2016)'!$A$3,"MA_HT","DBV","MA_QH","ODT")</f>
        <v>0</v>
      </c>
      <c r="AS32" s="74">
        <f>+GETPIVOTDATA("XDB4",'dabac (2016)'!$A$3,"MA_HT","DBV","MA_QH","TSC")</f>
        <v>0</v>
      </c>
      <c r="AT32" s="74">
        <f>+GETPIVOTDATA("XDB4",'dabac (2016)'!$A$3,"MA_HT","DBV","MA_QH","DTS")</f>
        <v>0</v>
      </c>
      <c r="AU32" s="74">
        <f>+GETPIVOTDATA("XDB4",'dabac (2016)'!$A$3,"MA_HT","DBV","MA_QH","DNG")</f>
        <v>0</v>
      </c>
      <c r="AV32" s="74">
        <f>+GETPIVOTDATA("XDB4",'dabac (2016)'!$A$3,"MA_HT","DBV","MA_QH","TON")</f>
        <v>0</v>
      </c>
      <c r="AW32" s="74">
        <f>+GETPIVOTDATA("XDB4",'dabac (2016)'!$A$3,"MA_HT","DBV","MA_QH","NTD")</f>
        <v>0</v>
      </c>
      <c r="AX32" s="74">
        <f>+GETPIVOTDATA("XDB4",'dabac (2016)'!$A$3,"MA_HT","DBV","MA_QH","SKX")</f>
        <v>0</v>
      </c>
      <c r="AY32" s="74">
        <f>+GETPIVOTDATA("XDB4",'dabac (2016)'!$A$3,"MA_HT","DBV","MA_QH","DSH")</f>
        <v>0</v>
      </c>
      <c r="AZ32" s="74">
        <f>+GETPIVOTDATA("XDB4",'dabac (2016)'!$A$3,"MA_HT","DBV","MA_QH","DKV")</f>
        <v>0</v>
      </c>
      <c r="BA32" s="139">
        <f>+GETPIVOTDATA("XDB4",'dabac (2016)'!$A$3,"MA_HT","DBV","MA_QH","TIN")</f>
        <v>0</v>
      </c>
      <c r="BB32" s="74">
        <f>+GETPIVOTDATA("XDB4",'dabac (2016)'!$A$3,"MA_HT","DBV","MA_QH","SON")</f>
        <v>0</v>
      </c>
      <c r="BC32" s="74">
        <f>+GETPIVOTDATA("XDB4",'dabac (2016)'!$A$3,"MA_HT","DBV","MA_QH","MNC")</f>
        <v>0</v>
      </c>
      <c r="BD32" s="74">
        <f>+GETPIVOTDATA("XDB4",'dabac (2016)'!$A$3,"MA_HT","DBV","MA_QH","PNK")</f>
        <v>0</v>
      </c>
      <c r="BE32" s="102">
        <f>+GETPIVOTDATA("XDB4",'dabac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+GETPIVOTDATA("XDB4",'dabac (2016)'!$A$3,"MA_HT","DVH","MA_QH","LUC")</f>
        <v>0</v>
      </c>
      <c r="H33" s="74">
        <f>+GETPIVOTDATA("XDB4",'dabac (2016)'!$A$3,"MA_HT","DVH","MA_QH","LUK")</f>
        <v>0</v>
      </c>
      <c r="I33" s="74">
        <f>+GETPIVOTDATA("XDB4",'dabac (2016)'!$A$3,"MA_HT","DVH","MA_QH","LUN")</f>
        <v>0</v>
      </c>
      <c r="J33" s="74">
        <f>+GETPIVOTDATA("XDB4",'dabac (2016)'!$A$3,"MA_HT","DVH","MA_QH","HNK")</f>
        <v>0</v>
      </c>
      <c r="K33" s="74">
        <f>+GETPIVOTDATA("XDB4",'dabac (2016)'!$A$3,"MA_HT","DVH","MA_QH","CLN")</f>
        <v>0</v>
      </c>
      <c r="L33" s="74">
        <f>+GETPIVOTDATA("XDB4",'dabac (2016)'!$A$3,"MA_HT","DVH","MA_QH","RSX")</f>
        <v>0</v>
      </c>
      <c r="M33" s="74">
        <f>+GETPIVOTDATA("XDB4",'dabac (2016)'!$A$3,"MA_HT","DVH","MA_QH","RPH")</f>
        <v>0</v>
      </c>
      <c r="N33" s="74">
        <f>+GETPIVOTDATA("XDB4",'dabac (2016)'!$A$3,"MA_HT","DVH","MA_QH","RDD")</f>
        <v>0</v>
      </c>
      <c r="O33" s="74">
        <f>+GETPIVOTDATA("XDB4",'dabac (2016)'!$A$3,"MA_HT","DVH","MA_QH","NTS")</f>
        <v>0</v>
      </c>
      <c r="P33" s="74">
        <f>+GETPIVOTDATA("XDB4",'dabac (2016)'!$A$3,"MA_HT","DVH","MA_QH","LMU")</f>
        <v>0</v>
      </c>
      <c r="Q33" s="74">
        <f>+GETPIVOTDATA("XDB4",'dabac (2016)'!$A$3,"MA_HT","DVH","MA_QH","NKH")</f>
        <v>0</v>
      </c>
      <c r="R33" s="72">
        <f t="shared" si="20"/>
        <v>0</v>
      </c>
      <c r="S33" s="74">
        <f>+GETPIVOTDATA("XDB4",'dabac (2016)'!$A$3,"MA_HT","DVH","MA_QH","CQP")</f>
        <v>0</v>
      </c>
      <c r="T33" s="74">
        <f>+GETPIVOTDATA("XDB4",'dabac (2016)'!$A$3,"MA_HT","DVH","MA_QH","CAN")</f>
        <v>0</v>
      </c>
      <c r="U33" s="74">
        <f>+GETPIVOTDATA("XDB4",'dabac (2016)'!$A$3,"MA_HT","DVH","MA_QH","SKK")</f>
        <v>0</v>
      </c>
      <c r="V33" s="74">
        <f>+GETPIVOTDATA("XDB4",'dabac (2016)'!$A$3,"MA_HT","DVH","MA_QH","SKT")</f>
        <v>0</v>
      </c>
      <c r="W33" s="74">
        <f>+GETPIVOTDATA("XDB4",'dabac (2016)'!$A$3,"MA_HT","DVH","MA_QH","SKN")</f>
        <v>0</v>
      </c>
      <c r="X33" s="74">
        <f>+GETPIVOTDATA("XDB4",'dabac (2016)'!$A$3,"MA_HT","DVH","MA_QH","TMD")</f>
        <v>0</v>
      </c>
      <c r="Y33" s="74">
        <f>+GETPIVOTDATA("XDB4",'dabac (2016)'!$A$3,"MA_HT","DVH","MA_QH","SKC")</f>
        <v>0</v>
      </c>
      <c r="Z33" s="74">
        <f>+GETPIVOTDATA("XDB4",'dabac (2016)'!$A$3,"MA_HT","DVH","MA_QH","SKS")</f>
        <v>0</v>
      </c>
      <c r="AA33" s="64">
        <f>+SUM(AB33:AE33,AG33:AM33)</f>
        <v>0</v>
      </c>
      <c r="AB33" s="74">
        <f>+GETPIVOTDATA("XDB4",'dabac (2016)'!$A$3,"MA_HT","DVH","MA_QH","DGT")</f>
        <v>0</v>
      </c>
      <c r="AC33" s="74">
        <f>+GETPIVOTDATA("XDB4",'dabac (2016)'!$A$3,"MA_HT","DVH","MA_QH","DTL")</f>
        <v>0</v>
      </c>
      <c r="AD33" s="74">
        <f>+GETPIVOTDATA("XDB4",'dabac (2016)'!$A$3,"MA_HT","DVH","MA_QH","DNL")</f>
        <v>0</v>
      </c>
      <c r="AE33" s="74">
        <f>+GETPIVOTDATA("XDB4",'dabac (2016)'!$A$3,"MA_HT","DVH","MA_QH","DBV")</f>
        <v>0</v>
      </c>
      <c r="AF33" s="100" t="e">
        <f>$D33-$BF33</f>
        <v>#REF!</v>
      </c>
      <c r="AG33" s="74">
        <f>+GETPIVOTDATA("XDB4",'dabac (2016)'!$A$3,"MA_HT","DVH","MA_QH","DYT")</f>
        <v>0</v>
      </c>
      <c r="AH33" s="74">
        <f>+GETPIVOTDATA("XDB4",'dabac (2016)'!$A$3,"MA_HT","DVH","MA_QH","DGD")</f>
        <v>0</v>
      </c>
      <c r="AI33" s="74">
        <f>+GETPIVOTDATA("XDB4",'dabac (2016)'!$A$3,"MA_HT","DVH","MA_QH","DTT")</f>
        <v>0</v>
      </c>
      <c r="AJ33" s="74">
        <f>+GETPIVOTDATA("XDB4",'dabac (2016)'!$A$3,"MA_HT","DVH","MA_QH","NCK")</f>
        <v>0</v>
      </c>
      <c r="AK33" s="74">
        <f>+GETPIVOTDATA("XDB4",'dabac (2016)'!$A$3,"MA_HT","DVH","MA_QH","DXH")</f>
        <v>0</v>
      </c>
      <c r="AL33" s="74">
        <f>+GETPIVOTDATA("XDB4",'dabac (2016)'!$A$3,"MA_HT","DVH","MA_QH","DCH")</f>
        <v>0</v>
      </c>
      <c r="AM33" s="74">
        <f>+GETPIVOTDATA("XDB4",'dabac (2016)'!$A$3,"MA_HT","DVH","MA_QH","DKG")</f>
        <v>0</v>
      </c>
      <c r="AN33" s="74">
        <f>+GETPIVOTDATA("XDB4",'dabac (2016)'!$A$3,"MA_HT","DVH","MA_QH","DDT")</f>
        <v>0</v>
      </c>
      <c r="AO33" s="74">
        <f>+GETPIVOTDATA("XDB4",'dabac (2016)'!$A$3,"MA_HT","DVH","MA_QH","DDL")</f>
        <v>0</v>
      </c>
      <c r="AP33" s="74">
        <f>+GETPIVOTDATA("XDB4",'dabac (2016)'!$A$3,"MA_HT","DVH","MA_QH","DRA")</f>
        <v>0</v>
      </c>
      <c r="AQ33" s="74">
        <f>+GETPIVOTDATA("XDB4",'dabac (2016)'!$A$3,"MA_HT","DVH","MA_QH","ONT")</f>
        <v>0</v>
      </c>
      <c r="AR33" s="74">
        <f>+GETPIVOTDATA("XDB4",'dabac (2016)'!$A$3,"MA_HT","DVH","MA_QH","ODT")</f>
        <v>0</v>
      </c>
      <c r="AS33" s="74">
        <f>+GETPIVOTDATA("XDB4",'dabac (2016)'!$A$3,"MA_HT","DVH","MA_QH","TSC")</f>
        <v>0</v>
      </c>
      <c r="AT33" s="74">
        <f>+GETPIVOTDATA("XDB4",'dabac (2016)'!$A$3,"MA_HT","DVH","MA_QH","DTS")</f>
        <v>0</v>
      </c>
      <c r="AU33" s="74">
        <f>+GETPIVOTDATA("XDB4",'dabac (2016)'!$A$3,"MA_HT","DVH","MA_QH","DNG")</f>
        <v>0</v>
      </c>
      <c r="AV33" s="74">
        <f>+GETPIVOTDATA("XDB4",'dabac (2016)'!$A$3,"MA_HT","DVH","MA_QH","TON")</f>
        <v>0</v>
      </c>
      <c r="AW33" s="74">
        <f>+GETPIVOTDATA("XDB4",'dabac (2016)'!$A$3,"MA_HT","DVH","MA_QH","NTD")</f>
        <v>0</v>
      </c>
      <c r="AX33" s="74">
        <f>+GETPIVOTDATA("XDB4",'dabac (2016)'!$A$3,"MA_HT","DVH","MA_QH","SKX")</f>
        <v>0</v>
      </c>
      <c r="AY33" s="74">
        <f>+GETPIVOTDATA("XDB4",'dabac (2016)'!$A$3,"MA_HT","DVH","MA_QH","DSH")</f>
        <v>0</v>
      </c>
      <c r="AZ33" s="74">
        <f>+GETPIVOTDATA("XDB4",'dabac (2016)'!$A$3,"MA_HT","DVH","MA_QH","DKV")</f>
        <v>0</v>
      </c>
      <c r="BA33" s="139">
        <f>+GETPIVOTDATA("XDB4",'dabac (2016)'!$A$3,"MA_HT","DVH","MA_QH","TIN")</f>
        <v>0</v>
      </c>
      <c r="BB33" s="74">
        <f>+GETPIVOTDATA("XDB4",'dabac (2016)'!$A$3,"MA_HT","DVH","MA_QH","SON")</f>
        <v>0</v>
      </c>
      <c r="BC33" s="74">
        <f>+GETPIVOTDATA("XDB4",'dabac (2016)'!$A$3,"MA_HT","DVH","MA_QH","MNC")</f>
        <v>0</v>
      </c>
      <c r="BD33" s="74">
        <f>+GETPIVOTDATA("XDB4",'dabac (2016)'!$A$3,"MA_HT","DVH","MA_QH","PNK")</f>
        <v>0</v>
      </c>
      <c r="BE33" s="102">
        <f>+GETPIVOTDATA("XDB4",'dabac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+GETPIVOTDATA("XDB4",'dabac (2016)'!$A$3,"MA_HT","DYT","MA_QH","LUC")</f>
        <v>0</v>
      </c>
      <c r="H34" s="74">
        <f>+GETPIVOTDATA("XDB4",'dabac (2016)'!$A$3,"MA_HT","DYT","MA_QH","LUK")</f>
        <v>0</v>
      </c>
      <c r="I34" s="74">
        <f>+GETPIVOTDATA("XDB4",'dabac (2016)'!$A$3,"MA_HT","DYT","MA_QH","LUN")</f>
        <v>0</v>
      </c>
      <c r="J34" s="74">
        <f>+GETPIVOTDATA("XDB4",'dabac (2016)'!$A$3,"MA_HT","DYT","MA_QH","HNK")</f>
        <v>0</v>
      </c>
      <c r="K34" s="74">
        <f>+GETPIVOTDATA("XDB4",'dabac (2016)'!$A$3,"MA_HT","DYT","MA_QH","CLN")</f>
        <v>0</v>
      </c>
      <c r="L34" s="74">
        <f>+GETPIVOTDATA("XDB4",'dabac (2016)'!$A$3,"MA_HT","DYT","MA_QH","RSX")</f>
        <v>0</v>
      </c>
      <c r="M34" s="74">
        <f>+GETPIVOTDATA("XDB4",'dabac (2016)'!$A$3,"MA_HT","DYT","MA_QH","RPH")</f>
        <v>0</v>
      </c>
      <c r="N34" s="74">
        <f>+GETPIVOTDATA("XDB4",'dabac (2016)'!$A$3,"MA_HT","DYT","MA_QH","RDD")</f>
        <v>0</v>
      </c>
      <c r="O34" s="74">
        <f>+GETPIVOTDATA("XDB4",'dabac (2016)'!$A$3,"MA_HT","DYT","MA_QH","NTS")</f>
        <v>0</v>
      </c>
      <c r="P34" s="74">
        <f>+GETPIVOTDATA("XDB4",'dabac (2016)'!$A$3,"MA_HT","DYT","MA_QH","LMU")</f>
        <v>0</v>
      </c>
      <c r="Q34" s="74">
        <f>+GETPIVOTDATA("XDB4",'dabac (2016)'!$A$3,"MA_HT","DYT","MA_QH","NKH")</f>
        <v>0</v>
      </c>
      <c r="R34" s="72">
        <f t="shared" si="20"/>
        <v>0</v>
      </c>
      <c r="S34" s="74">
        <f>+GETPIVOTDATA("XDB4",'dabac (2016)'!$A$3,"MA_HT","DYT","MA_QH","CQP")</f>
        <v>0</v>
      </c>
      <c r="T34" s="74">
        <f>+GETPIVOTDATA("XDB4",'dabac (2016)'!$A$3,"MA_HT","DYT","MA_QH","CAN")</f>
        <v>0</v>
      </c>
      <c r="U34" s="74">
        <f>+GETPIVOTDATA("XDB4",'dabac (2016)'!$A$3,"MA_HT","DYT","MA_QH","SKK")</f>
        <v>0</v>
      </c>
      <c r="V34" s="74">
        <f>+GETPIVOTDATA("XDB4",'dabac (2016)'!$A$3,"MA_HT","DYT","MA_QH","SKT")</f>
        <v>0</v>
      </c>
      <c r="W34" s="74">
        <f>+GETPIVOTDATA("XDB4",'dabac (2016)'!$A$3,"MA_HT","DYT","MA_QH","SKN")</f>
        <v>0</v>
      </c>
      <c r="X34" s="74">
        <f>+GETPIVOTDATA("XDB4",'dabac (2016)'!$A$3,"MA_HT","DYT","MA_QH","TMD")</f>
        <v>0</v>
      </c>
      <c r="Y34" s="74">
        <f>+GETPIVOTDATA("XDB4",'dabac (2016)'!$A$3,"MA_HT","DYT","MA_QH","SKC")</f>
        <v>0</v>
      </c>
      <c r="Z34" s="74">
        <f>+GETPIVOTDATA("XDB4",'dabac (2016)'!$A$3,"MA_HT","DYT","MA_QH","SKS")</f>
        <v>0</v>
      </c>
      <c r="AA34" s="64">
        <f>+SUM(AB34:AF34,AH34:AM34)</f>
        <v>0</v>
      </c>
      <c r="AB34" s="74">
        <f>+GETPIVOTDATA("XDB4",'dabac (2016)'!$A$3,"MA_HT","DYT","MA_QH","DGT")</f>
        <v>0</v>
      </c>
      <c r="AC34" s="74">
        <f>+GETPIVOTDATA("XDB4",'dabac (2016)'!$A$3,"MA_HT","DYT","MA_QH","DTL")</f>
        <v>0</v>
      </c>
      <c r="AD34" s="74">
        <f>+GETPIVOTDATA("XDB4",'dabac (2016)'!$A$3,"MA_HT","DYT","MA_QH","DNL")</f>
        <v>0</v>
      </c>
      <c r="AE34" s="74">
        <f>+GETPIVOTDATA("XDB4",'dabac (2016)'!$A$3,"MA_HT","DYT","MA_QH","DBV")</f>
        <v>0</v>
      </c>
      <c r="AF34" s="74">
        <f>+GETPIVOTDATA("XDB4",'dabac (2016)'!$A$3,"MA_HT","DYT","MA_QH","DVH")</f>
        <v>0</v>
      </c>
      <c r="AG34" s="100" t="e">
        <f>$D34-$BF34</f>
        <v>#REF!</v>
      </c>
      <c r="AH34" s="74">
        <f>+GETPIVOTDATA("XDB4",'dabac (2016)'!$A$3,"MA_HT","DYT","MA_QH","DGD")</f>
        <v>0</v>
      </c>
      <c r="AI34" s="74">
        <f>+GETPIVOTDATA("XDB4",'dabac (2016)'!$A$3,"MA_HT","DYT","MA_QH","DTT")</f>
        <v>0</v>
      </c>
      <c r="AJ34" s="74">
        <f>+GETPIVOTDATA("XDB4",'dabac (2016)'!$A$3,"MA_HT","DYT","MA_QH","NCK")</f>
        <v>0</v>
      </c>
      <c r="AK34" s="74">
        <f>+GETPIVOTDATA("XDB4",'dabac (2016)'!$A$3,"MA_HT","DYT","MA_QH","DXH")</f>
        <v>0</v>
      </c>
      <c r="AL34" s="74">
        <f>+GETPIVOTDATA("XDB4",'dabac (2016)'!$A$3,"MA_HT","DYT","MA_QH","DCH")</f>
        <v>0</v>
      </c>
      <c r="AM34" s="74">
        <f>+GETPIVOTDATA("XDB4",'dabac (2016)'!$A$3,"MA_HT","DYT","MA_QH","DKG")</f>
        <v>0</v>
      </c>
      <c r="AN34" s="74">
        <f>+GETPIVOTDATA("XDB4",'dabac (2016)'!$A$3,"MA_HT","DYT","MA_QH","DDT")</f>
        <v>0</v>
      </c>
      <c r="AO34" s="74">
        <f>+GETPIVOTDATA("XDB4",'dabac (2016)'!$A$3,"MA_HT","DYT","MA_QH","DDL")</f>
        <v>0</v>
      </c>
      <c r="AP34" s="74">
        <f>+GETPIVOTDATA("XDB4",'dabac (2016)'!$A$3,"MA_HT","DYT","MA_QH","DRA")</f>
        <v>0</v>
      </c>
      <c r="AQ34" s="74">
        <f>+GETPIVOTDATA("XDB4",'dabac (2016)'!$A$3,"MA_HT","DYT","MA_QH","ONT")</f>
        <v>0</v>
      </c>
      <c r="AR34" s="74">
        <f>+GETPIVOTDATA("XDB4",'dabac (2016)'!$A$3,"MA_HT","DYT","MA_QH","ODT")</f>
        <v>0</v>
      </c>
      <c r="AS34" s="74">
        <f>+GETPIVOTDATA("XDB4",'dabac (2016)'!$A$3,"MA_HT","DYT","MA_QH","TSC")</f>
        <v>0</v>
      </c>
      <c r="AT34" s="74">
        <f>+GETPIVOTDATA("XDB4",'dabac (2016)'!$A$3,"MA_HT","DYT","MA_QH","DTS")</f>
        <v>0</v>
      </c>
      <c r="AU34" s="74">
        <f>+GETPIVOTDATA("XDB4",'dabac (2016)'!$A$3,"MA_HT","DYT","MA_QH","DNG")</f>
        <v>0</v>
      </c>
      <c r="AV34" s="74">
        <f>+GETPIVOTDATA("XDB4",'dabac (2016)'!$A$3,"MA_HT","DYT","MA_QH","TON")</f>
        <v>0</v>
      </c>
      <c r="AW34" s="74">
        <f>+GETPIVOTDATA("XDB4",'dabac (2016)'!$A$3,"MA_HT","DYT","MA_QH","NTD")</f>
        <v>0</v>
      </c>
      <c r="AX34" s="74">
        <f>+GETPIVOTDATA("XDB4",'dabac (2016)'!$A$3,"MA_HT","DYT","MA_QH","SKX")</f>
        <v>0</v>
      </c>
      <c r="AY34" s="74">
        <f>+GETPIVOTDATA("XDB4",'dabac (2016)'!$A$3,"MA_HT","DYT","MA_QH","DSH")</f>
        <v>0</v>
      </c>
      <c r="AZ34" s="74">
        <f>+GETPIVOTDATA("XDB4",'dabac (2016)'!$A$3,"MA_HT","DYT","MA_QH","DKV")</f>
        <v>0</v>
      </c>
      <c r="BA34" s="139">
        <f>+GETPIVOTDATA("XDB4",'dabac (2016)'!$A$3,"MA_HT","DYT","MA_QH","TIN")</f>
        <v>0</v>
      </c>
      <c r="BB34" s="74">
        <f>+GETPIVOTDATA("XDB4",'dabac (2016)'!$A$3,"MA_HT","DYT","MA_QH","SON")</f>
        <v>0</v>
      </c>
      <c r="BC34" s="74">
        <f>+GETPIVOTDATA("XDB4",'dabac (2016)'!$A$3,"MA_HT","DYT","MA_QH","MNC")</f>
        <v>0</v>
      </c>
      <c r="BD34" s="74">
        <f>+GETPIVOTDATA("XDB4",'dabac (2016)'!$A$3,"MA_HT","DYT","MA_QH","PNK")</f>
        <v>0</v>
      </c>
      <c r="BE34" s="102">
        <f>+GETPIVOTDATA("XDB4",'dabac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+GETPIVOTDATA("XDB4",'dabac (2016)'!$A$3,"MA_HT","DGD","MA_QH","LUC")</f>
        <v>0</v>
      </c>
      <c r="H35" s="74">
        <f>+GETPIVOTDATA("XDB4",'dabac (2016)'!$A$3,"MA_HT","DGD","MA_QH","LUK")</f>
        <v>0</v>
      </c>
      <c r="I35" s="74">
        <f>+GETPIVOTDATA("XDB4",'dabac (2016)'!$A$3,"MA_HT","DGD","MA_QH","LUN")</f>
        <v>0</v>
      </c>
      <c r="J35" s="74">
        <f>+GETPIVOTDATA("XDB4",'dabac (2016)'!$A$3,"MA_HT","DGD","MA_QH","HNK")</f>
        <v>0</v>
      </c>
      <c r="K35" s="74">
        <f>+GETPIVOTDATA("XDB4",'dabac (2016)'!$A$3,"MA_HT","DGD","MA_QH","CLN")</f>
        <v>0</v>
      </c>
      <c r="L35" s="74">
        <f>+GETPIVOTDATA("XDB4",'dabac (2016)'!$A$3,"MA_HT","DGD","MA_QH","RSX")</f>
        <v>0</v>
      </c>
      <c r="M35" s="74">
        <f>+GETPIVOTDATA("XDB4",'dabac (2016)'!$A$3,"MA_HT","DGD","MA_QH","RPH")</f>
        <v>0</v>
      </c>
      <c r="N35" s="74">
        <f>+GETPIVOTDATA("XDB4",'dabac (2016)'!$A$3,"MA_HT","DGD","MA_QH","RDD")</f>
        <v>0</v>
      </c>
      <c r="O35" s="74">
        <f>+GETPIVOTDATA("XDB4",'dabac (2016)'!$A$3,"MA_HT","DGD","MA_QH","NTS")</f>
        <v>0</v>
      </c>
      <c r="P35" s="74">
        <f>+GETPIVOTDATA("XDB4",'dabac (2016)'!$A$3,"MA_HT","DGD","MA_QH","LMU")</f>
        <v>0</v>
      </c>
      <c r="Q35" s="74">
        <f>+GETPIVOTDATA("XDB4",'dabac (2016)'!$A$3,"MA_HT","DGD","MA_QH","NKH")</f>
        <v>0</v>
      </c>
      <c r="R35" s="72">
        <f t="shared" si="20"/>
        <v>0</v>
      </c>
      <c r="S35" s="74">
        <f>+GETPIVOTDATA("XDB4",'dabac (2016)'!$A$3,"MA_HT","DGD","MA_QH","CQP")</f>
        <v>0</v>
      </c>
      <c r="T35" s="74">
        <f>+GETPIVOTDATA("XDB4",'dabac (2016)'!$A$3,"MA_HT","DGD","MA_QH","CAN")</f>
        <v>0</v>
      </c>
      <c r="U35" s="74">
        <f>+GETPIVOTDATA("XDB4",'dabac (2016)'!$A$3,"MA_HT","DGD","MA_QH","SKK")</f>
        <v>0</v>
      </c>
      <c r="V35" s="74">
        <f>+GETPIVOTDATA("XDB4",'dabac (2016)'!$A$3,"MA_HT","DGD","MA_QH","SKT")</f>
        <v>0</v>
      </c>
      <c r="W35" s="74">
        <f>+GETPIVOTDATA("XDB4",'dabac (2016)'!$A$3,"MA_HT","DGD","MA_QH","SKN")</f>
        <v>0</v>
      </c>
      <c r="X35" s="74">
        <f>+GETPIVOTDATA("XDB4",'dabac (2016)'!$A$3,"MA_HT","DGD","MA_QH","TMD")</f>
        <v>0</v>
      </c>
      <c r="Y35" s="74">
        <f>+GETPIVOTDATA("XDB4",'dabac (2016)'!$A$3,"MA_HT","DGD","MA_QH","SKC")</f>
        <v>0</v>
      </c>
      <c r="Z35" s="74">
        <f>+GETPIVOTDATA("XDB4",'dabac (2016)'!$A$3,"MA_HT","DGD","MA_QH","SKS")</f>
        <v>0</v>
      </c>
      <c r="AA35" s="64">
        <f>+SUM(AB35:AG35,AI35:AM35)</f>
        <v>0</v>
      </c>
      <c r="AB35" s="74">
        <f>+GETPIVOTDATA("XDB4",'dabac (2016)'!$A$3,"MA_HT","DGD","MA_QH","DGT")</f>
        <v>0</v>
      </c>
      <c r="AC35" s="74">
        <f>+GETPIVOTDATA("XDB4",'dabac (2016)'!$A$3,"MA_HT","DGD","MA_QH","DTL")</f>
        <v>0</v>
      </c>
      <c r="AD35" s="74">
        <f>+GETPIVOTDATA("XDB4",'dabac (2016)'!$A$3,"MA_HT","DGD","MA_QH","DNL")</f>
        <v>0</v>
      </c>
      <c r="AE35" s="74">
        <f>+GETPIVOTDATA("XDB4",'dabac (2016)'!$A$3,"MA_HT","DGD","MA_QH","DBV")</f>
        <v>0</v>
      </c>
      <c r="AF35" s="74">
        <f>+GETPIVOTDATA("XDB4",'dabac (2016)'!$A$3,"MA_HT","DGD","MA_QH","DVH")</f>
        <v>0</v>
      </c>
      <c r="AG35" s="74">
        <f>+GETPIVOTDATA("XDB4",'dabac (2016)'!$A$3,"MA_HT","DGD","MA_QH","DYT")</f>
        <v>0</v>
      </c>
      <c r="AH35" s="100" t="e">
        <f>$D35-$BF35</f>
        <v>#REF!</v>
      </c>
      <c r="AI35" s="74">
        <f>+GETPIVOTDATA("XDB4",'dabac (2016)'!$A$3,"MA_HT","DGD","MA_QH","DTT")</f>
        <v>0</v>
      </c>
      <c r="AJ35" s="74">
        <f>+GETPIVOTDATA("XDB4",'dabac (2016)'!$A$3,"MA_HT","DGD","MA_QH","NCK")</f>
        <v>0</v>
      </c>
      <c r="AK35" s="74">
        <f>+GETPIVOTDATA("XDB4",'dabac (2016)'!$A$3,"MA_HT","DGD","MA_QH","DXH")</f>
        <v>0</v>
      </c>
      <c r="AL35" s="74">
        <f>+GETPIVOTDATA("XDB4",'dabac (2016)'!$A$3,"MA_HT","DGD","MA_QH","DCH")</f>
        <v>0</v>
      </c>
      <c r="AM35" s="74">
        <f>+GETPIVOTDATA("XDB4",'dabac (2016)'!$A$3,"MA_HT","DGD","MA_QH","DKG")</f>
        <v>0</v>
      </c>
      <c r="AN35" s="74">
        <f>+GETPIVOTDATA("XDB4",'dabac (2016)'!$A$3,"MA_HT","DGD","MA_QH","DDT")</f>
        <v>0</v>
      </c>
      <c r="AO35" s="74">
        <f>+GETPIVOTDATA("XDB4",'dabac (2016)'!$A$3,"MA_HT","DGD","MA_QH","DDL")</f>
        <v>0</v>
      </c>
      <c r="AP35" s="74">
        <f>+GETPIVOTDATA("XDB4",'dabac (2016)'!$A$3,"MA_HT","DGD","MA_QH","DRA")</f>
        <v>0</v>
      </c>
      <c r="AQ35" s="74">
        <f>+GETPIVOTDATA("XDB4",'dabac (2016)'!$A$3,"MA_HT","DGD","MA_QH","ONT")</f>
        <v>0</v>
      </c>
      <c r="AR35" s="74">
        <f>+GETPIVOTDATA("XDB4",'dabac (2016)'!$A$3,"MA_HT","DGD","MA_QH","ODT")</f>
        <v>0</v>
      </c>
      <c r="AS35" s="74">
        <f>+GETPIVOTDATA("XDB4",'dabac (2016)'!$A$3,"MA_HT","DGD","MA_QH","TSC")</f>
        <v>0</v>
      </c>
      <c r="AT35" s="74">
        <f>+GETPIVOTDATA("XDB4",'dabac (2016)'!$A$3,"MA_HT","DGD","MA_QH","DTS")</f>
        <v>0</v>
      </c>
      <c r="AU35" s="74">
        <f>+GETPIVOTDATA("XDB4",'dabac (2016)'!$A$3,"MA_HT","DGD","MA_QH","DNG")</f>
        <v>0</v>
      </c>
      <c r="AV35" s="74">
        <f>+GETPIVOTDATA("XDB4",'dabac (2016)'!$A$3,"MA_HT","DGD","MA_QH","TON")</f>
        <v>0</v>
      </c>
      <c r="AW35" s="74">
        <f>+GETPIVOTDATA("XDB4",'dabac (2016)'!$A$3,"MA_HT","DGD","MA_QH","NTD")</f>
        <v>0</v>
      </c>
      <c r="AX35" s="74">
        <f>+GETPIVOTDATA("XDB4",'dabac (2016)'!$A$3,"MA_HT","DGD","MA_QH","SKX")</f>
        <v>0</v>
      </c>
      <c r="AY35" s="74">
        <f>+GETPIVOTDATA("XDB4",'dabac (2016)'!$A$3,"MA_HT","DGD","MA_QH","DSH")</f>
        <v>0</v>
      </c>
      <c r="AZ35" s="74">
        <f>+GETPIVOTDATA("XDB4",'dabac (2016)'!$A$3,"MA_HT","DGD","MA_QH","DKV")</f>
        <v>0</v>
      </c>
      <c r="BA35" s="139">
        <f>+GETPIVOTDATA("XDB4",'dabac (2016)'!$A$3,"MA_HT","DGD","MA_QH","TIN")</f>
        <v>0</v>
      </c>
      <c r="BB35" s="74">
        <f>+GETPIVOTDATA("XDB4",'dabac (2016)'!$A$3,"MA_HT","DGD","MA_QH","SON")</f>
        <v>0</v>
      </c>
      <c r="BC35" s="74">
        <f>+GETPIVOTDATA("XDB4",'dabac (2016)'!$A$3,"MA_HT","DGD","MA_QH","MNC")</f>
        <v>0</v>
      </c>
      <c r="BD35" s="74">
        <f>+GETPIVOTDATA("XDB4",'dabac (2016)'!$A$3,"MA_HT","DGD","MA_QH","PNK")</f>
        <v>0</v>
      </c>
      <c r="BE35" s="102">
        <f>+GETPIVOTDATA("XDB4",'dabac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+GETPIVOTDATA("XDB4",'dabac (2016)'!$A$3,"MA_HT","DTT","MA_QH","LUC")</f>
        <v>0</v>
      </c>
      <c r="H36" s="74">
        <f>+GETPIVOTDATA("XDB4",'dabac (2016)'!$A$3,"MA_HT","DTT","MA_QH","LUK")</f>
        <v>0</v>
      </c>
      <c r="I36" s="74">
        <f>+GETPIVOTDATA("XDB4",'dabac (2016)'!$A$3,"MA_HT","DTT","MA_QH","LUN")</f>
        <v>0</v>
      </c>
      <c r="J36" s="74">
        <f>+GETPIVOTDATA("XDB4",'dabac (2016)'!$A$3,"MA_HT","DTT","MA_QH","HNK")</f>
        <v>0</v>
      </c>
      <c r="K36" s="74">
        <f>+GETPIVOTDATA("XDB4",'dabac (2016)'!$A$3,"MA_HT","DTT","MA_QH","CLN")</f>
        <v>0</v>
      </c>
      <c r="L36" s="74">
        <f>+GETPIVOTDATA("XDB4",'dabac (2016)'!$A$3,"MA_HT","DTT","MA_QH","RSX")</f>
        <v>0</v>
      </c>
      <c r="M36" s="74">
        <f>+GETPIVOTDATA("XDB4",'dabac (2016)'!$A$3,"MA_HT","DTT","MA_QH","RPH")</f>
        <v>0</v>
      </c>
      <c r="N36" s="74">
        <f>+GETPIVOTDATA("XDB4",'dabac (2016)'!$A$3,"MA_HT","DTT","MA_QH","RDD")</f>
        <v>0</v>
      </c>
      <c r="O36" s="74">
        <f>+GETPIVOTDATA("XDB4",'dabac (2016)'!$A$3,"MA_HT","DTT","MA_QH","NTS")</f>
        <v>0</v>
      </c>
      <c r="P36" s="74">
        <f>+GETPIVOTDATA("XDB4",'dabac (2016)'!$A$3,"MA_HT","DTT","MA_QH","LMU")</f>
        <v>0</v>
      </c>
      <c r="Q36" s="74">
        <f>+GETPIVOTDATA("XDB4",'dabac (2016)'!$A$3,"MA_HT","DTT","MA_QH","NKH")</f>
        <v>0</v>
      </c>
      <c r="R36" s="72">
        <f>SUM(S36:AA36,AN36:BD36)</f>
        <v>0</v>
      </c>
      <c r="S36" s="74">
        <f>+GETPIVOTDATA("XDB4",'dabac (2016)'!$A$3,"MA_HT","DTT","MA_QH","CQP")</f>
        <v>0</v>
      </c>
      <c r="T36" s="74">
        <f>+GETPIVOTDATA("XDB4",'dabac (2016)'!$A$3,"MA_HT","DTT","MA_QH","CAN")</f>
        <v>0</v>
      </c>
      <c r="U36" s="74">
        <f>+GETPIVOTDATA("XDB4",'dabac (2016)'!$A$3,"MA_HT","DTT","MA_QH","SKK")</f>
        <v>0</v>
      </c>
      <c r="V36" s="74">
        <f>+GETPIVOTDATA("XDB4",'dabac (2016)'!$A$3,"MA_HT","DTT","MA_QH","SKT")</f>
        <v>0</v>
      </c>
      <c r="W36" s="74">
        <f>+GETPIVOTDATA("XDB4",'dabac (2016)'!$A$3,"MA_HT","DTT","MA_QH","SKN")</f>
        <v>0</v>
      </c>
      <c r="X36" s="74">
        <f>+GETPIVOTDATA("XDB4",'dabac (2016)'!$A$3,"MA_HT","DTT","MA_QH","TMD")</f>
        <v>0</v>
      </c>
      <c r="Y36" s="74">
        <f>+GETPIVOTDATA("XDB4",'dabac (2016)'!$A$3,"MA_HT","DTT","MA_QH","SKC")</f>
        <v>0</v>
      </c>
      <c r="Z36" s="74">
        <f>+GETPIVOTDATA("XDB4",'dabac (2016)'!$A$3,"MA_HT","DTT","MA_QH","SKS")</f>
        <v>0</v>
      </c>
      <c r="AA36" s="64">
        <f>+SUM(AB36:AH36,AJ36:AM36)</f>
        <v>0</v>
      </c>
      <c r="AB36" s="74">
        <f>+GETPIVOTDATA("XDB4",'dabac (2016)'!$A$3,"MA_HT","DTT","MA_QH","DGT")</f>
        <v>0</v>
      </c>
      <c r="AC36" s="74">
        <f>+GETPIVOTDATA("XDB4",'dabac (2016)'!$A$3,"MA_HT","DTT","MA_QH","DTL")</f>
        <v>0</v>
      </c>
      <c r="AD36" s="74">
        <f>+GETPIVOTDATA("XDB4",'dabac (2016)'!$A$3,"MA_HT","DTT","MA_QH","DNL")</f>
        <v>0</v>
      </c>
      <c r="AE36" s="74">
        <f>+GETPIVOTDATA("XDB4",'dabac (2016)'!$A$3,"MA_HT","DTT","MA_QH","DBV")</f>
        <v>0</v>
      </c>
      <c r="AF36" s="74">
        <f>+GETPIVOTDATA("XDB4",'dabac (2016)'!$A$3,"MA_HT","DTT","MA_QH","DVH")</f>
        <v>0</v>
      </c>
      <c r="AG36" s="74">
        <f>+GETPIVOTDATA("XDB4",'dabac (2016)'!$A$3,"MA_HT","DTT","MA_QH","DYT")</f>
        <v>0</v>
      </c>
      <c r="AH36" s="74">
        <f>+GETPIVOTDATA("XDB4",'dabac (2016)'!$A$3,"MA_HT","DTT","MA_QH","DGD")</f>
        <v>0</v>
      </c>
      <c r="AI36" s="100" t="e">
        <f>$D36-$BF36</f>
        <v>#REF!</v>
      </c>
      <c r="AJ36" s="74">
        <f>+GETPIVOTDATA("XDB4",'dabac (2016)'!$A$3,"MA_HT","DTT","MA_QH","NCK")</f>
        <v>0</v>
      </c>
      <c r="AK36" s="74">
        <f>+GETPIVOTDATA("XDB4",'dabac (2016)'!$A$3,"MA_HT","DTT","MA_QH","DXH")</f>
        <v>0</v>
      </c>
      <c r="AL36" s="74">
        <f>+GETPIVOTDATA("XDB4",'dabac (2016)'!$A$3,"MA_HT","DTT","MA_QH","DCH")</f>
        <v>0</v>
      </c>
      <c r="AM36" s="74">
        <f>+GETPIVOTDATA("XDB4",'dabac (2016)'!$A$3,"MA_HT","DTT","MA_QH","DKG")</f>
        <v>0</v>
      </c>
      <c r="AN36" s="74">
        <f>+GETPIVOTDATA("XDB4",'dabac (2016)'!$A$3,"MA_HT","DTT","MA_QH","DDT")</f>
        <v>0</v>
      </c>
      <c r="AO36" s="74">
        <f>+GETPIVOTDATA("XDB4",'dabac (2016)'!$A$3,"MA_HT","DTT","MA_QH","DDL")</f>
        <v>0</v>
      </c>
      <c r="AP36" s="74">
        <f>+GETPIVOTDATA("XDB4",'dabac (2016)'!$A$3,"MA_HT","DTT","MA_QH","DRA")</f>
        <v>0</v>
      </c>
      <c r="AQ36" s="74">
        <f>+GETPIVOTDATA("XDB4",'dabac (2016)'!$A$3,"MA_HT","DTT","MA_QH","ONT")</f>
        <v>0</v>
      </c>
      <c r="AR36" s="74">
        <f>+GETPIVOTDATA("XDB4",'dabac (2016)'!$A$3,"MA_HT","DTT","MA_QH","ODT")</f>
        <v>0</v>
      </c>
      <c r="AS36" s="74">
        <f>+GETPIVOTDATA("XDB4",'dabac (2016)'!$A$3,"MA_HT","DTT","MA_QH","TSC")</f>
        <v>0</v>
      </c>
      <c r="AT36" s="74">
        <f>+GETPIVOTDATA("XDB4",'dabac (2016)'!$A$3,"MA_HT","DTT","MA_QH","DTS")</f>
        <v>0</v>
      </c>
      <c r="AU36" s="74">
        <f>+GETPIVOTDATA("XDB4",'dabac (2016)'!$A$3,"MA_HT","DTT","MA_QH","DNG")</f>
        <v>0</v>
      </c>
      <c r="AV36" s="74">
        <f>+GETPIVOTDATA("XDB4",'dabac (2016)'!$A$3,"MA_HT","DTT","MA_QH","TON")</f>
        <v>0</v>
      </c>
      <c r="AW36" s="74">
        <f>+GETPIVOTDATA("XDB4",'dabac (2016)'!$A$3,"MA_HT","DTT","MA_QH","NTD")</f>
        <v>0</v>
      </c>
      <c r="AX36" s="74">
        <f>+GETPIVOTDATA("XDB4",'dabac (2016)'!$A$3,"MA_HT","DTT","MA_QH","SKX")</f>
        <v>0</v>
      </c>
      <c r="AY36" s="74">
        <f>+GETPIVOTDATA("XDB4",'dabac (2016)'!$A$3,"MA_HT","DTT","MA_QH","DSH")</f>
        <v>0</v>
      </c>
      <c r="AZ36" s="74">
        <f>+GETPIVOTDATA("XDB4",'dabac (2016)'!$A$3,"MA_HT","DTT","MA_QH","DKV")</f>
        <v>0</v>
      </c>
      <c r="BA36" s="139">
        <f>+GETPIVOTDATA("XDB4",'dabac (2016)'!$A$3,"MA_HT","DTT","MA_QH","TIN")</f>
        <v>0</v>
      </c>
      <c r="BB36" s="74">
        <f>+GETPIVOTDATA("XDB4",'dabac (2016)'!$A$3,"MA_HT","DTT","MA_QH","SON")</f>
        <v>0</v>
      </c>
      <c r="BC36" s="74">
        <f>+GETPIVOTDATA("XDB4",'dabac (2016)'!$A$3,"MA_HT","DTT","MA_QH","MNC")</f>
        <v>0</v>
      </c>
      <c r="BD36" s="74">
        <f>+GETPIVOTDATA("XDB4",'dabac (2016)'!$A$3,"MA_HT","DTT","MA_QH","PNK")</f>
        <v>0</v>
      </c>
      <c r="BE36" s="102">
        <f>+GETPIVOTDATA("XDB4",'dabac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+GETPIVOTDATA("XDB4",'dabac (2016)'!$A$3,"MA_HT","NCK","MA_QH","LUC")</f>
        <v>0</v>
      </c>
      <c r="H37" s="74">
        <f>+GETPIVOTDATA("XDB4",'dabac (2016)'!$A$3,"MA_HT","NCK","MA_QH","LUK")</f>
        <v>0</v>
      </c>
      <c r="I37" s="74">
        <f>+GETPIVOTDATA("XDB4",'dabac (2016)'!$A$3,"MA_HT","NCK","MA_QH","LUN")</f>
        <v>0</v>
      </c>
      <c r="J37" s="74">
        <f>+GETPIVOTDATA("XDB4",'dabac (2016)'!$A$3,"MA_HT","NCK","MA_QH","HNK")</f>
        <v>0</v>
      </c>
      <c r="K37" s="74">
        <f>+GETPIVOTDATA("XDB4",'dabac (2016)'!$A$3,"MA_HT","NCK","MA_QH","CLN")</f>
        <v>0</v>
      </c>
      <c r="L37" s="74">
        <f>+GETPIVOTDATA("XDB4",'dabac (2016)'!$A$3,"MA_HT","NCK","MA_QH","RSX")</f>
        <v>0</v>
      </c>
      <c r="M37" s="74">
        <f>+GETPIVOTDATA("XDB4",'dabac (2016)'!$A$3,"MA_HT","NCK","MA_QH","RPH")</f>
        <v>0</v>
      </c>
      <c r="N37" s="74">
        <f>+GETPIVOTDATA("XDB4",'dabac (2016)'!$A$3,"MA_HT","NCK","MA_QH","RDD")</f>
        <v>0</v>
      </c>
      <c r="O37" s="74">
        <f>+GETPIVOTDATA("XDB4",'dabac (2016)'!$A$3,"MA_HT","NCK","MA_QH","NTS")</f>
        <v>0</v>
      </c>
      <c r="P37" s="74">
        <f>+GETPIVOTDATA("XDB4",'dabac (2016)'!$A$3,"MA_HT","NCK","MA_QH","LMU")</f>
        <v>0</v>
      </c>
      <c r="Q37" s="74">
        <f>+GETPIVOTDATA("XDB4",'dabac (2016)'!$A$3,"MA_HT","NCK","MA_QH","NKH")</f>
        <v>0</v>
      </c>
      <c r="R37" s="72">
        <f t="shared" si="20"/>
        <v>0</v>
      </c>
      <c r="S37" s="74">
        <f>+GETPIVOTDATA("XDB4",'dabac (2016)'!$A$3,"MA_HT","NCK","MA_QH","CQP")</f>
        <v>0</v>
      </c>
      <c r="T37" s="74">
        <f>+GETPIVOTDATA("XDB4",'dabac (2016)'!$A$3,"MA_HT","NCK","MA_QH","CAN")</f>
        <v>0</v>
      </c>
      <c r="U37" s="74">
        <f>+GETPIVOTDATA("XDB4",'dabac (2016)'!$A$3,"MA_HT","NCK","MA_QH","SKK")</f>
        <v>0</v>
      </c>
      <c r="V37" s="74">
        <f>+GETPIVOTDATA("XDB4",'dabac (2016)'!$A$3,"MA_HT","NCK","MA_QH","SKT")</f>
        <v>0</v>
      </c>
      <c r="W37" s="74">
        <f>+GETPIVOTDATA("XDB4",'dabac (2016)'!$A$3,"MA_HT","NCK","MA_QH","SKN")</f>
        <v>0</v>
      </c>
      <c r="X37" s="74">
        <f>+GETPIVOTDATA("XDB4",'dabac (2016)'!$A$3,"MA_HT","NCK","MA_QH","TMD")</f>
        <v>0</v>
      </c>
      <c r="Y37" s="74">
        <f>+GETPIVOTDATA("XDB4",'dabac (2016)'!$A$3,"MA_HT","NCK","MA_QH","SKC")</f>
        <v>0</v>
      </c>
      <c r="Z37" s="74">
        <f>+GETPIVOTDATA("XDB4",'dabac (2016)'!$A$3,"MA_HT","NCK","MA_QH","SKS")</f>
        <v>0</v>
      </c>
      <c r="AA37" s="64">
        <f>+SUM(AB37:AI37,AK37:AM37)</f>
        <v>0</v>
      </c>
      <c r="AB37" s="74">
        <f>+GETPIVOTDATA("XDB4",'dabac (2016)'!$A$3,"MA_HT","NCK","MA_QH","DGT")</f>
        <v>0</v>
      </c>
      <c r="AC37" s="74">
        <f>+GETPIVOTDATA("XDB4",'dabac (2016)'!$A$3,"MA_HT","NCK","MA_QH","DTL")</f>
        <v>0</v>
      </c>
      <c r="AD37" s="74">
        <f>+GETPIVOTDATA("XDB4",'dabac (2016)'!$A$3,"MA_HT","NCK","MA_QH","DNL")</f>
        <v>0</v>
      </c>
      <c r="AE37" s="74">
        <f>+GETPIVOTDATA("XDB4",'dabac (2016)'!$A$3,"MA_HT","NCK","MA_QH","DBV")</f>
        <v>0</v>
      </c>
      <c r="AF37" s="74">
        <f>+GETPIVOTDATA("XDB4",'dabac (2016)'!$A$3,"MA_HT","NCK","MA_QH","DVH")</f>
        <v>0</v>
      </c>
      <c r="AG37" s="74">
        <f>+GETPIVOTDATA("XDB4",'dabac (2016)'!$A$3,"MA_HT","NCK","MA_QH","DYT")</f>
        <v>0</v>
      </c>
      <c r="AH37" s="74">
        <f>+GETPIVOTDATA("XDB4",'dabac (2016)'!$A$3,"MA_HT","NCK","MA_QH","DGD")</f>
        <v>0</v>
      </c>
      <c r="AI37" s="74">
        <f>+GETPIVOTDATA("XDB4",'dabac (2016)'!$A$3,"MA_HT","NCK","MA_QH","DTT")</f>
        <v>0</v>
      </c>
      <c r="AJ37" s="100" t="e">
        <f>$D37-$BF37</f>
        <v>#REF!</v>
      </c>
      <c r="AK37" s="74">
        <f>+GETPIVOTDATA("XDB4",'dabac (2016)'!$A$3,"MA_HT","NCK","MA_QH","DXH")</f>
        <v>0</v>
      </c>
      <c r="AL37" s="74">
        <f>+GETPIVOTDATA("XDB4",'dabac (2016)'!$A$3,"MA_HT","NCK","MA_QH","DCH")</f>
        <v>0</v>
      </c>
      <c r="AM37" s="74">
        <f>+GETPIVOTDATA("XDB4",'dabac (2016)'!$A$3,"MA_HT","NCK","MA_QH","DKG")</f>
        <v>0</v>
      </c>
      <c r="AN37" s="74">
        <f>+GETPIVOTDATA("XDB4",'dabac (2016)'!$A$3,"MA_HT","NCK","MA_QH","DDT")</f>
        <v>0</v>
      </c>
      <c r="AO37" s="74">
        <f>+GETPIVOTDATA("XDB4",'dabac (2016)'!$A$3,"MA_HT","NCK","MA_QH","DDL")</f>
        <v>0</v>
      </c>
      <c r="AP37" s="74">
        <f>+GETPIVOTDATA("XDB4",'dabac (2016)'!$A$3,"MA_HT","NCK","MA_QH","DRA")</f>
        <v>0</v>
      </c>
      <c r="AQ37" s="74">
        <f>+GETPIVOTDATA("XDB4",'dabac (2016)'!$A$3,"MA_HT","NCK","MA_QH","ONT")</f>
        <v>0</v>
      </c>
      <c r="AR37" s="74">
        <f>+GETPIVOTDATA("XDB4",'dabac (2016)'!$A$3,"MA_HT","NCK","MA_QH","ODT")</f>
        <v>0</v>
      </c>
      <c r="AS37" s="74">
        <f>+GETPIVOTDATA("XDB4",'dabac (2016)'!$A$3,"MA_HT","NCK","MA_QH","TSC")</f>
        <v>0</v>
      </c>
      <c r="AT37" s="74">
        <f>+GETPIVOTDATA("XDB4",'dabac (2016)'!$A$3,"MA_HT","NCK","MA_QH","DTS")</f>
        <v>0</v>
      </c>
      <c r="AU37" s="74">
        <f>+GETPIVOTDATA("XDB4",'dabac (2016)'!$A$3,"MA_HT","NCK","MA_QH","DNG")</f>
        <v>0</v>
      </c>
      <c r="AV37" s="74">
        <f>+GETPIVOTDATA("XDB4",'dabac (2016)'!$A$3,"MA_HT","NCK","MA_QH","TON")</f>
        <v>0</v>
      </c>
      <c r="AW37" s="74">
        <f>+GETPIVOTDATA("XDB4",'dabac (2016)'!$A$3,"MA_HT","NCK","MA_QH","NTD")</f>
        <v>0</v>
      </c>
      <c r="AX37" s="74">
        <f>+GETPIVOTDATA("XDB4",'dabac (2016)'!$A$3,"MA_HT","NCK","MA_QH","SKX")</f>
        <v>0</v>
      </c>
      <c r="AY37" s="74">
        <f>+GETPIVOTDATA("XDB4",'dabac (2016)'!$A$3,"MA_HT","NCK","MA_QH","DSH")</f>
        <v>0</v>
      </c>
      <c r="AZ37" s="74">
        <f>+GETPIVOTDATA("XDB4",'dabac (2016)'!$A$3,"MA_HT","NCK","MA_QH","DKV")</f>
        <v>0</v>
      </c>
      <c r="BA37" s="139">
        <f>+GETPIVOTDATA("XDB4",'dabac (2016)'!$A$3,"MA_HT","NCK","MA_QH","TIN")</f>
        <v>0</v>
      </c>
      <c r="BB37" s="74">
        <f>+GETPIVOTDATA("XDB4",'dabac (2016)'!$A$3,"MA_HT","NCK","MA_QH","SON")</f>
        <v>0</v>
      </c>
      <c r="BC37" s="74">
        <f>+GETPIVOTDATA("XDB4",'dabac (2016)'!$A$3,"MA_HT","NCK","MA_QH","MNC")</f>
        <v>0</v>
      </c>
      <c r="BD37" s="74">
        <f>+GETPIVOTDATA("XDB4",'dabac (2016)'!$A$3,"MA_HT","NCK","MA_QH","PNK")</f>
        <v>0</v>
      </c>
      <c r="BE37" s="102">
        <f>+GETPIVOTDATA("XDB4",'dabac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+GETPIVOTDATA("XDB4",'dabac (2016)'!$A$3,"MA_HT","DXH","MA_QH","LUC")</f>
        <v>0</v>
      </c>
      <c r="H38" s="74">
        <f>+GETPIVOTDATA("XDB4",'dabac (2016)'!$A$3,"MA_HT","DXH","MA_QH","LUK")</f>
        <v>0</v>
      </c>
      <c r="I38" s="74">
        <f>+GETPIVOTDATA("XDB4",'dabac (2016)'!$A$3,"MA_HT","DXH","MA_QH","LUN")</f>
        <v>0</v>
      </c>
      <c r="J38" s="74">
        <f>+GETPIVOTDATA("XDB4",'dabac (2016)'!$A$3,"MA_HT","DXH","MA_QH","HNK")</f>
        <v>0</v>
      </c>
      <c r="K38" s="74">
        <f>+GETPIVOTDATA("XDB4",'dabac (2016)'!$A$3,"MA_HT","DXH","MA_QH","CLN")</f>
        <v>0</v>
      </c>
      <c r="L38" s="74">
        <f>+GETPIVOTDATA("XDB4",'dabac (2016)'!$A$3,"MA_HT","DXH","MA_QH","RSX")</f>
        <v>0</v>
      </c>
      <c r="M38" s="74">
        <f>+GETPIVOTDATA("XDB4",'dabac (2016)'!$A$3,"MA_HT","DXH","MA_QH","RPH")</f>
        <v>0</v>
      </c>
      <c r="N38" s="74">
        <f>+GETPIVOTDATA("XDB4",'dabac (2016)'!$A$3,"MA_HT","DXH","MA_QH","RDD")</f>
        <v>0</v>
      </c>
      <c r="O38" s="74">
        <f>+GETPIVOTDATA("XDB4",'dabac (2016)'!$A$3,"MA_HT","DXH","MA_QH","NTS")</f>
        <v>0</v>
      </c>
      <c r="P38" s="74">
        <f>+GETPIVOTDATA("XDB4",'dabac (2016)'!$A$3,"MA_HT","DXH","MA_QH","LMU")</f>
        <v>0</v>
      </c>
      <c r="Q38" s="74">
        <f>+GETPIVOTDATA("XDB4",'dabac (2016)'!$A$3,"MA_HT","DXH","MA_QH","NKH")</f>
        <v>0</v>
      </c>
      <c r="R38" s="72">
        <f t="shared" si="20"/>
        <v>0</v>
      </c>
      <c r="S38" s="74">
        <f>+GETPIVOTDATA("XDB4",'dabac (2016)'!$A$3,"MA_HT","DXH","MA_QH","CQP")</f>
        <v>0</v>
      </c>
      <c r="T38" s="74">
        <f>+GETPIVOTDATA("XDB4",'dabac (2016)'!$A$3,"MA_HT","DXH","MA_QH","CAN")</f>
        <v>0</v>
      </c>
      <c r="U38" s="74">
        <f>+GETPIVOTDATA("XDB4",'dabac (2016)'!$A$3,"MA_HT","DXH","MA_QH","SKK")</f>
        <v>0</v>
      </c>
      <c r="V38" s="74">
        <f>+GETPIVOTDATA("XDB4",'dabac (2016)'!$A$3,"MA_HT","DXH","MA_QH","SKT")</f>
        <v>0</v>
      </c>
      <c r="W38" s="74">
        <f>+GETPIVOTDATA("XDB4",'dabac (2016)'!$A$3,"MA_HT","DXH","MA_QH","SKN")</f>
        <v>0</v>
      </c>
      <c r="X38" s="74">
        <f>+GETPIVOTDATA("XDB4",'dabac (2016)'!$A$3,"MA_HT","DXH","MA_QH","TMD")</f>
        <v>0</v>
      </c>
      <c r="Y38" s="74">
        <f>+GETPIVOTDATA("XDB4",'dabac (2016)'!$A$3,"MA_HT","DXH","MA_QH","SKC")</f>
        <v>0</v>
      </c>
      <c r="Z38" s="74">
        <f>+GETPIVOTDATA("XDB4",'dabac (2016)'!$A$3,"MA_HT","DXH","MA_QH","SKS")</f>
        <v>0</v>
      </c>
      <c r="AA38" s="64">
        <f>+SUM(AB38:AJ38,AL38:AM38)</f>
        <v>0</v>
      </c>
      <c r="AB38" s="74">
        <f>+GETPIVOTDATA("XDB4",'dabac (2016)'!$A$3,"MA_HT","DXH","MA_QH","DGT")</f>
        <v>0</v>
      </c>
      <c r="AC38" s="74">
        <f>+GETPIVOTDATA("XDB4",'dabac (2016)'!$A$3,"MA_HT","DXH","MA_QH","DTL")</f>
        <v>0</v>
      </c>
      <c r="AD38" s="74">
        <f>+GETPIVOTDATA("XDB4",'dabac (2016)'!$A$3,"MA_HT","DXH","MA_QH","DNL")</f>
        <v>0</v>
      </c>
      <c r="AE38" s="74">
        <f>+GETPIVOTDATA("XDB4",'dabac (2016)'!$A$3,"MA_HT","DXH","MA_QH","DBV")</f>
        <v>0</v>
      </c>
      <c r="AF38" s="74">
        <f>+GETPIVOTDATA("XDB4",'dabac (2016)'!$A$3,"MA_HT","DXH","MA_QH","DVH")</f>
        <v>0</v>
      </c>
      <c r="AG38" s="74">
        <f>+GETPIVOTDATA("XDB4",'dabac (2016)'!$A$3,"MA_HT","DXH","MA_QH","DYT")</f>
        <v>0</v>
      </c>
      <c r="AH38" s="74">
        <f>+GETPIVOTDATA("XDB4",'dabac (2016)'!$A$3,"MA_HT","DXH","MA_QH","DGD")</f>
        <v>0</v>
      </c>
      <c r="AI38" s="74">
        <f>+GETPIVOTDATA("XDB4",'dabac (2016)'!$A$3,"MA_HT","DXH","MA_QH","DTT")</f>
        <v>0</v>
      </c>
      <c r="AJ38" s="74">
        <f>+GETPIVOTDATA("XDB4",'dabac (2016)'!$A$3,"MA_HT","DXH","MA_QH","NCK")</f>
        <v>0</v>
      </c>
      <c r="AK38" s="100" t="e">
        <f>$D38-$BF38</f>
        <v>#REF!</v>
      </c>
      <c r="AL38" s="74">
        <f>+GETPIVOTDATA("XDB4",'dabac (2016)'!$A$3,"MA_HT","DXH","MA_QH","DCH")</f>
        <v>0</v>
      </c>
      <c r="AM38" s="74">
        <f>+GETPIVOTDATA("XDB4",'dabac (2016)'!$A$3,"MA_HT","DXH","MA_QH","DKG")</f>
        <v>0</v>
      </c>
      <c r="AN38" s="74">
        <f>+GETPIVOTDATA("XDB4",'dabac (2016)'!$A$3,"MA_HT","DXH","MA_QH","DDT")</f>
        <v>0</v>
      </c>
      <c r="AO38" s="74">
        <f>+GETPIVOTDATA("XDB4",'dabac (2016)'!$A$3,"MA_HT","DXH","MA_QH","DDL")</f>
        <v>0</v>
      </c>
      <c r="AP38" s="74">
        <f>+GETPIVOTDATA("XDB4",'dabac (2016)'!$A$3,"MA_HT","DXH","MA_QH","DRA")</f>
        <v>0</v>
      </c>
      <c r="AQ38" s="74">
        <f>+GETPIVOTDATA("XDB4",'dabac (2016)'!$A$3,"MA_HT","DXH","MA_QH","ONT")</f>
        <v>0</v>
      </c>
      <c r="AR38" s="74">
        <f>+GETPIVOTDATA("XDB4",'dabac (2016)'!$A$3,"MA_HT","DXH","MA_QH","ODT")</f>
        <v>0</v>
      </c>
      <c r="AS38" s="74">
        <f>+GETPIVOTDATA("XDB4",'dabac (2016)'!$A$3,"MA_HT","DXH","MA_QH","TSC")</f>
        <v>0</v>
      </c>
      <c r="AT38" s="74">
        <f>+GETPIVOTDATA("XDB4",'dabac (2016)'!$A$3,"MA_HT","DXH","MA_QH","DTS")</f>
        <v>0</v>
      </c>
      <c r="AU38" s="74">
        <f>+GETPIVOTDATA("XDB4",'dabac (2016)'!$A$3,"MA_HT","DXH","MA_QH","DNG")</f>
        <v>0</v>
      </c>
      <c r="AV38" s="74">
        <f>+GETPIVOTDATA("XDB4",'dabac (2016)'!$A$3,"MA_HT","DXH","MA_QH","TON")</f>
        <v>0</v>
      </c>
      <c r="AW38" s="74">
        <f>+GETPIVOTDATA("XDB4",'dabac (2016)'!$A$3,"MA_HT","DXH","MA_QH","NTD")</f>
        <v>0</v>
      </c>
      <c r="AX38" s="74">
        <f>+GETPIVOTDATA("XDB4",'dabac (2016)'!$A$3,"MA_HT","DXH","MA_QH","SKX")</f>
        <v>0</v>
      </c>
      <c r="AY38" s="74">
        <f>+GETPIVOTDATA("XDB4",'dabac (2016)'!$A$3,"MA_HT","DXH","MA_QH","DSH")</f>
        <v>0</v>
      </c>
      <c r="AZ38" s="74">
        <f>+GETPIVOTDATA("XDB4",'dabac (2016)'!$A$3,"MA_HT","DXH","MA_QH","DKV")</f>
        <v>0</v>
      </c>
      <c r="BA38" s="139">
        <f>+GETPIVOTDATA("XDB4",'dabac (2016)'!$A$3,"MA_HT","DXH","MA_QH","TIN")</f>
        <v>0</v>
      </c>
      <c r="BB38" s="74">
        <f>+GETPIVOTDATA("XDB4",'dabac (2016)'!$A$3,"MA_HT","DXH","MA_QH","SON")</f>
        <v>0</v>
      </c>
      <c r="BC38" s="74">
        <f>+GETPIVOTDATA("XDB4",'dabac (2016)'!$A$3,"MA_HT","DXH","MA_QH","MNC")</f>
        <v>0</v>
      </c>
      <c r="BD38" s="74">
        <f>+GETPIVOTDATA("XDB4",'dabac (2016)'!$A$3,"MA_HT","DXH","MA_QH","PNK")</f>
        <v>0</v>
      </c>
      <c r="BE38" s="102">
        <f>+GETPIVOTDATA("XDB4",'dabac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+GETPIVOTDATA("XDB4",'dabac (2016)'!$A$3,"MA_HT","DCH","MA_QH","LUC")</f>
        <v>0</v>
      </c>
      <c r="H39" s="74">
        <f>+GETPIVOTDATA("XDB4",'dabac (2016)'!$A$3,"MA_HT","DCH","MA_QH","LUK")</f>
        <v>0</v>
      </c>
      <c r="I39" s="74">
        <f>+GETPIVOTDATA("XDB4",'dabac (2016)'!$A$3,"MA_HT","DCH","MA_QH","LUN")</f>
        <v>0</v>
      </c>
      <c r="J39" s="74">
        <f>+GETPIVOTDATA("XDB4",'dabac (2016)'!$A$3,"MA_HT","DCH","MA_QH","HNK")</f>
        <v>0</v>
      </c>
      <c r="K39" s="74">
        <f>+GETPIVOTDATA("XDB4",'dabac (2016)'!$A$3,"MA_HT","DCH","MA_QH","CLN")</f>
        <v>0</v>
      </c>
      <c r="L39" s="74">
        <f>+GETPIVOTDATA("XDB4",'dabac (2016)'!$A$3,"MA_HT","DCH","MA_QH","RSX")</f>
        <v>0</v>
      </c>
      <c r="M39" s="74">
        <f>+GETPIVOTDATA("XDB4",'dabac (2016)'!$A$3,"MA_HT","DCH","MA_QH","RPH")</f>
        <v>0</v>
      </c>
      <c r="N39" s="74">
        <f>+GETPIVOTDATA("XDB4",'dabac (2016)'!$A$3,"MA_HT","DCH","MA_QH","RDD")</f>
        <v>0</v>
      </c>
      <c r="O39" s="74">
        <f>+GETPIVOTDATA("XDB4",'dabac (2016)'!$A$3,"MA_HT","DCH","MA_QH","NTS")</f>
        <v>0</v>
      </c>
      <c r="P39" s="74">
        <f>+GETPIVOTDATA("XDB4",'dabac (2016)'!$A$3,"MA_HT","DCH","MA_QH","LMU")</f>
        <v>0</v>
      </c>
      <c r="Q39" s="74">
        <f>+GETPIVOTDATA("XDB4",'dabac (2016)'!$A$3,"MA_HT","DCH","MA_QH","NKH")</f>
        <v>0</v>
      </c>
      <c r="R39" s="72">
        <f t="shared" si="20"/>
        <v>0</v>
      </c>
      <c r="S39" s="74">
        <f>+GETPIVOTDATA("XDB4",'dabac (2016)'!$A$3,"MA_HT","DCH","MA_QH","CQP")</f>
        <v>0</v>
      </c>
      <c r="T39" s="74">
        <f>+GETPIVOTDATA("XDB4",'dabac (2016)'!$A$3,"MA_HT","DCH","MA_QH","CAN")</f>
        <v>0</v>
      </c>
      <c r="U39" s="74">
        <f>+GETPIVOTDATA("XDB4",'dabac (2016)'!$A$3,"MA_HT","DCH","MA_QH","SKK")</f>
        <v>0</v>
      </c>
      <c r="V39" s="74">
        <f>+GETPIVOTDATA("XDB4",'dabac (2016)'!$A$3,"MA_HT","DCH","MA_QH","SKT")</f>
        <v>0</v>
      </c>
      <c r="W39" s="74">
        <f>+GETPIVOTDATA("XDB4",'dabac (2016)'!$A$3,"MA_HT","DCH","MA_QH","SKN")</f>
        <v>0</v>
      </c>
      <c r="X39" s="74">
        <f>+GETPIVOTDATA("XDB4",'dabac (2016)'!$A$3,"MA_HT","DCH","MA_QH","TMD")</f>
        <v>0</v>
      </c>
      <c r="Y39" s="74">
        <f>+GETPIVOTDATA("XDB4",'dabac (2016)'!$A$3,"MA_HT","DCH","MA_QH","SKC")</f>
        <v>0</v>
      </c>
      <c r="Z39" s="74">
        <f>+GETPIVOTDATA("XDB4",'dabac (2016)'!$A$3,"MA_HT","DCH","MA_QH","SKS")</f>
        <v>0</v>
      </c>
      <c r="AA39" s="64">
        <f>+SUM(AB39:AK39,AM39)</f>
        <v>0</v>
      </c>
      <c r="AB39" s="74">
        <f>+GETPIVOTDATA("XDB4",'dabac (2016)'!$A$3,"MA_HT","DCH","MA_QH","DGT")</f>
        <v>0</v>
      </c>
      <c r="AC39" s="74">
        <f>+GETPIVOTDATA("XDB4",'dabac (2016)'!$A$3,"MA_HT","DCH","MA_QH","DTL")</f>
        <v>0</v>
      </c>
      <c r="AD39" s="74">
        <f>+GETPIVOTDATA("XDB4",'dabac (2016)'!$A$3,"MA_HT","DCH","MA_QH","DNL")</f>
        <v>0</v>
      </c>
      <c r="AE39" s="74">
        <f>+GETPIVOTDATA("XDB4",'dabac (2016)'!$A$3,"MA_HT","DCH","MA_QH","DBV")</f>
        <v>0</v>
      </c>
      <c r="AF39" s="74">
        <f>+GETPIVOTDATA("XDB4",'dabac (2016)'!$A$3,"MA_HT","DCH","MA_QH","DVH")</f>
        <v>0</v>
      </c>
      <c r="AG39" s="74">
        <f>+GETPIVOTDATA("XDB4",'dabac (2016)'!$A$3,"MA_HT","DCH","MA_QH","DYT")</f>
        <v>0</v>
      </c>
      <c r="AH39" s="74">
        <f>+GETPIVOTDATA("XDB4",'dabac (2016)'!$A$3,"MA_HT","DCH","MA_QH","DGD")</f>
        <v>0</v>
      </c>
      <c r="AI39" s="74">
        <f>+GETPIVOTDATA("XDB4",'dabac (2016)'!$A$3,"MA_HT","DCH","MA_QH","DTT")</f>
        <v>0</v>
      </c>
      <c r="AJ39" s="74">
        <f>+GETPIVOTDATA("XDB4",'dabac (2016)'!$A$3,"MA_HT","DCH","MA_QH","NCK")</f>
        <v>0</v>
      </c>
      <c r="AK39" s="74">
        <f>+GETPIVOTDATA("XDB4",'dabac (2016)'!$A$3,"MA_HT","DCH","MA_QH","DXH")</f>
        <v>0</v>
      </c>
      <c r="AL39" s="100" t="e">
        <f>$D39-$BF39</f>
        <v>#REF!</v>
      </c>
      <c r="AM39" s="74">
        <f>+GETPIVOTDATA("XDB4",'dabac (2016)'!$A$3,"MA_HT","DXH","MA_QH","DKG")</f>
        <v>0</v>
      </c>
      <c r="AN39" s="74">
        <f>+GETPIVOTDATA("XDB4",'dabac (2016)'!$A$3,"MA_HT","DCH","MA_QH","DDT")</f>
        <v>0</v>
      </c>
      <c r="AO39" s="74">
        <f>+GETPIVOTDATA("XDB4",'dabac (2016)'!$A$3,"MA_HT","DCH","MA_QH","DDL")</f>
        <v>0</v>
      </c>
      <c r="AP39" s="74">
        <f>+GETPIVOTDATA("XDB4",'dabac (2016)'!$A$3,"MA_HT","DCH","MA_QH","DRA")</f>
        <v>0</v>
      </c>
      <c r="AQ39" s="74">
        <f>+GETPIVOTDATA("XDB4",'dabac (2016)'!$A$3,"MA_HT","DCH","MA_QH","ONT")</f>
        <v>0</v>
      </c>
      <c r="AR39" s="74">
        <f>+GETPIVOTDATA("XDB4",'dabac (2016)'!$A$3,"MA_HT","DCH","MA_QH","ODT")</f>
        <v>0</v>
      </c>
      <c r="AS39" s="74">
        <f>+GETPIVOTDATA("XDB4",'dabac (2016)'!$A$3,"MA_HT","DCH","MA_QH","TSC")</f>
        <v>0</v>
      </c>
      <c r="AT39" s="74">
        <f>+GETPIVOTDATA("XDB4",'dabac (2016)'!$A$3,"MA_HT","DCH","MA_QH","DTS")</f>
        <v>0</v>
      </c>
      <c r="AU39" s="74">
        <f>+GETPIVOTDATA("XDB4",'dabac (2016)'!$A$3,"MA_HT","DCH","MA_QH","DNG")</f>
        <v>0</v>
      </c>
      <c r="AV39" s="74">
        <f>+GETPIVOTDATA("XDB4",'dabac (2016)'!$A$3,"MA_HT","DCH","MA_QH","TON")</f>
        <v>0</v>
      </c>
      <c r="AW39" s="74">
        <f>+GETPIVOTDATA("XDB4",'dabac (2016)'!$A$3,"MA_HT","DCH","MA_QH","NTD")</f>
        <v>0</v>
      </c>
      <c r="AX39" s="74">
        <f>+GETPIVOTDATA("XDB4",'dabac (2016)'!$A$3,"MA_HT","DCH","MA_QH","SKX")</f>
        <v>0</v>
      </c>
      <c r="AY39" s="74">
        <f>+GETPIVOTDATA("XDB4",'dabac (2016)'!$A$3,"MA_HT","DCH","MA_QH","DSH")</f>
        <v>0</v>
      </c>
      <c r="AZ39" s="74">
        <f>+GETPIVOTDATA("XDB4",'dabac (2016)'!$A$3,"MA_HT","DCH","MA_QH","DKV")</f>
        <v>0</v>
      </c>
      <c r="BA39" s="139">
        <f>+GETPIVOTDATA("XDB4",'dabac (2016)'!$A$3,"MA_HT","DCH","MA_QH","TIN")</f>
        <v>0</v>
      </c>
      <c r="BB39" s="74">
        <f>+GETPIVOTDATA("XDB4",'dabac (2016)'!$A$3,"MA_HT","DCH","MA_QH","SON")</f>
        <v>0</v>
      </c>
      <c r="BC39" s="74">
        <f>+GETPIVOTDATA("XDB4",'dabac (2016)'!$A$3,"MA_HT","DCH","MA_QH","MNC")</f>
        <v>0</v>
      </c>
      <c r="BD39" s="74">
        <f>+GETPIVOTDATA("XDB4",'dabac (2016)'!$A$3,"MA_HT","DCH","MA_QH","PNK")</f>
        <v>0</v>
      </c>
      <c r="BE39" s="102">
        <f>+GETPIVOTDATA("XDB4",'dabac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+GETPIVOTDATA("XDB4",'dabac (2016)'!$A$3,"MA_HT","DKG","MA_QH","LUC")</f>
        <v>0</v>
      </c>
      <c r="H40" s="74">
        <f>+GETPIVOTDATA("XDB4",'dabac (2016)'!$A$3,"MA_HT","DKG","MA_QH","LUK")</f>
        <v>0</v>
      </c>
      <c r="I40" s="74">
        <f>+GETPIVOTDATA("XDB4",'dabac (2016)'!$A$3,"MA_HT","DKG","MA_QH","LUN")</f>
        <v>0</v>
      </c>
      <c r="J40" s="74">
        <f>+GETPIVOTDATA("XDB4",'dabac (2016)'!$A$3,"MA_HT","DKG","MA_QH","HNK")</f>
        <v>0</v>
      </c>
      <c r="K40" s="74">
        <f>+GETPIVOTDATA("XDB4",'dabac (2016)'!$A$3,"MA_HT","DKG","MA_QH","CLN")</f>
        <v>0</v>
      </c>
      <c r="L40" s="74">
        <f>+GETPIVOTDATA("XDB4",'dabac (2016)'!$A$3,"MA_HT","DKG","MA_QH","RSX")</f>
        <v>0</v>
      </c>
      <c r="M40" s="74">
        <f>+GETPIVOTDATA("XDB4",'dabac (2016)'!$A$3,"MA_HT","DKG","MA_QH","RPH")</f>
        <v>0</v>
      </c>
      <c r="N40" s="74">
        <f>+GETPIVOTDATA("XDB4",'dabac (2016)'!$A$3,"MA_HT","DKG","MA_QH","RDD")</f>
        <v>0</v>
      </c>
      <c r="O40" s="74">
        <f>+GETPIVOTDATA("XDB4",'dabac (2016)'!$A$3,"MA_HT","DKG","MA_QH","NTS")</f>
        <v>0</v>
      </c>
      <c r="P40" s="74">
        <f>+GETPIVOTDATA("XDB4",'dabac (2016)'!$A$3,"MA_HT","DKG","MA_QH","LMU")</f>
        <v>0</v>
      </c>
      <c r="Q40" s="74">
        <f>+GETPIVOTDATA("XDB4",'dabac (2016)'!$A$3,"MA_HT","DKG","MA_QH","NKH")</f>
        <v>0</v>
      </c>
      <c r="R40" s="72">
        <f>SUM(S40:AA40,AN40:BD40)</f>
        <v>0</v>
      </c>
      <c r="S40" s="74">
        <f>+GETPIVOTDATA("XDB4",'dabac (2016)'!$A$3,"MA_HT","DKG","MA_QH","CQP")</f>
        <v>0</v>
      </c>
      <c r="T40" s="74">
        <f>+GETPIVOTDATA("XDB4",'dabac (2016)'!$A$3,"MA_HT","DKG","MA_QH","CAN")</f>
        <v>0</v>
      </c>
      <c r="U40" s="74">
        <f>+GETPIVOTDATA("XDB4",'dabac (2016)'!$A$3,"MA_HT","DKG","MA_QH","SKK")</f>
        <v>0</v>
      </c>
      <c r="V40" s="74">
        <f>+GETPIVOTDATA("XDB4",'dabac (2016)'!$A$3,"MA_HT","DKG","MA_QH","SKT")</f>
        <v>0</v>
      </c>
      <c r="W40" s="74">
        <f>+GETPIVOTDATA("XDB4",'dabac (2016)'!$A$3,"MA_HT","DKG","MA_QH","SKN")</f>
        <v>0</v>
      </c>
      <c r="X40" s="74">
        <f>+GETPIVOTDATA("XDB4",'dabac (2016)'!$A$3,"MA_HT","DKG","MA_QH","TMD")</f>
        <v>0</v>
      </c>
      <c r="Y40" s="74">
        <f>+GETPIVOTDATA("XDB4",'dabac (2016)'!$A$3,"MA_HT","DKG","MA_QH","SKC")</f>
        <v>0</v>
      </c>
      <c r="Z40" s="74">
        <f>+GETPIVOTDATA("XDB4",'dabac (2016)'!$A$3,"MA_HT","DKG","MA_QH","SKS")</f>
        <v>0</v>
      </c>
      <c r="AA40" s="64">
        <f>+SUM(AB40:AL40)</f>
        <v>0</v>
      </c>
      <c r="AB40" s="74">
        <f>+GETPIVOTDATA("XDB4",'dabac (2016)'!$A$3,"MA_HT","DKG","MA_QH","DGT")</f>
        <v>0</v>
      </c>
      <c r="AC40" s="74">
        <f>+GETPIVOTDATA("XDB4",'dabac (2016)'!$A$3,"MA_HT","DKG","MA_QH","DTL")</f>
        <v>0</v>
      </c>
      <c r="AD40" s="74">
        <f>+GETPIVOTDATA("XDB4",'dabac (2016)'!$A$3,"MA_HT","DKG","MA_QH","DNL")</f>
        <v>0</v>
      </c>
      <c r="AE40" s="74">
        <f>+GETPIVOTDATA("XDB4",'dabac (2016)'!$A$3,"MA_HT","DKG","MA_QH","DBV")</f>
        <v>0</v>
      </c>
      <c r="AF40" s="74">
        <f>+GETPIVOTDATA("XDB4",'dabac (2016)'!$A$3,"MA_HT","DKG","MA_QH","DVH")</f>
        <v>0</v>
      </c>
      <c r="AG40" s="74">
        <f>+GETPIVOTDATA("XDB4",'dabac (2016)'!$A$3,"MA_HT","DKG","MA_QH","DYT")</f>
        <v>0</v>
      </c>
      <c r="AH40" s="74">
        <f>+GETPIVOTDATA("XDB4",'dabac (2016)'!$A$3,"MA_HT","DKG","MA_QH","DGD")</f>
        <v>0</v>
      </c>
      <c r="AI40" s="74">
        <f>+GETPIVOTDATA("XDB4",'dabac (2016)'!$A$3,"MA_HT","DKG","MA_QH","DTT")</f>
        <v>0</v>
      </c>
      <c r="AJ40" s="74">
        <f>+GETPIVOTDATA("XDB4",'dabac (2016)'!$A$3,"MA_HT","DKG","MA_QH","NCK")</f>
        <v>0</v>
      </c>
      <c r="AK40" s="74">
        <f>+GETPIVOTDATA("XDB4",'dabac (2016)'!$A$3,"MA_HT","DKG","MA_QH","DXH")</f>
        <v>0</v>
      </c>
      <c r="AL40" s="122">
        <f>+GETPIVOTDATA("XDB4",'dabac (2016)'!$A$3,"MA_HT","DDT","MA_QH","DKG")</f>
        <v>0</v>
      </c>
      <c r="AM40" s="100" t="e">
        <f>$D40-$BF40</f>
        <v>#REF!</v>
      </c>
      <c r="AN40" s="74">
        <f>+GETPIVOTDATA("XDB4",'dabac (2016)'!$A$3,"MA_HT","DKG","MA_QH","DDT")</f>
        <v>0</v>
      </c>
      <c r="AO40" s="74">
        <f>+GETPIVOTDATA("XDB4",'dabac (2016)'!$A$3,"MA_HT","DKG","MA_QH","DDL")</f>
        <v>0</v>
      </c>
      <c r="AP40" s="74">
        <f>+GETPIVOTDATA("XDB4",'dabac (2016)'!$A$3,"MA_HT","DKG","MA_QH","DRA")</f>
        <v>0</v>
      </c>
      <c r="AQ40" s="74">
        <f>+GETPIVOTDATA("XDB4",'dabac (2016)'!$A$3,"MA_HT","DKG","MA_QH","ONT")</f>
        <v>0</v>
      </c>
      <c r="AR40" s="74">
        <f>+GETPIVOTDATA("XDB4",'dabac (2016)'!$A$3,"MA_HT","DKG","MA_QH","ODT")</f>
        <v>0</v>
      </c>
      <c r="AS40" s="74">
        <f>+GETPIVOTDATA("XDB4",'dabac (2016)'!$A$3,"MA_HT","DKG","MA_QH","TSC")</f>
        <v>0</v>
      </c>
      <c r="AT40" s="74">
        <f>+GETPIVOTDATA("XDB4",'dabac (2016)'!$A$3,"MA_HT","DKG","MA_QH","DTS")</f>
        <v>0</v>
      </c>
      <c r="AU40" s="74">
        <f>+GETPIVOTDATA("XDB4",'dabac (2016)'!$A$3,"MA_HT","DKG","MA_QH","DNG")</f>
        <v>0</v>
      </c>
      <c r="AV40" s="74">
        <f>+GETPIVOTDATA("XDB4",'dabac (2016)'!$A$3,"MA_HT","DKG","MA_QH","TON")</f>
        <v>0</v>
      </c>
      <c r="AW40" s="74">
        <f>+GETPIVOTDATA("XDB4",'dabac (2016)'!$A$3,"MA_HT","DKG","MA_QH","NTD")</f>
        <v>0</v>
      </c>
      <c r="AX40" s="74">
        <f>+GETPIVOTDATA("XDB4",'dabac (2016)'!$A$3,"MA_HT","DKG","MA_QH","SKX")</f>
        <v>0</v>
      </c>
      <c r="AY40" s="74">
        <f>+GETPIVOTDATA("XDB4",'dabac (2016)'!$A$3,"MA_HT","DKG","MA_QH","DSH")</f>
        <v>0</v>
      </c>
      <c r="AZ40" s="74">
        <f>+GETPIVOTDATA("XDB4",'dabac (2016)'!$A$3,"MA_HT","DKG","MA_QH","DKV")</f>
        <v>0</v>
      </c>
      <c r="BA40" s="139">
        <f>+GETPIVOTDATA("XDB4",'dabac (2016)'!$A$3,"MA_HT","DKG","MA_QH","TIN")</f>
        <v>0</v>
      </c>
      <c r="BB40" s="74">
        <f>+GETPIVOTDATA("XDB4",'dabac (2016)'!$A$3,"MA_HT","DKG","MA_QH","SON")</f>
        <v>0</v>
      </c>
      <c r="BC40" s="74">
        <f>+GETPIVOTDATA("XDB4",'dabac (2016)'!$A$3,"MA_HT","DKG","MA_QH","MNC")</f>
        <v>0</v>
      </c>
      <c r="BD40" s="74">
        <f>+GETPIVOTDATA("XDB4",'dabac (2016)'!$A$3,"MA_HT","DKG","MA_QH","PNK")</f>
        <v>0</v>
      </c>
      <c r="BE40" s="102">
        <f>+GETPIVOTDATA("XDB4",'dabac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+GETPIVOTDATA("XDB4",'dabac (2016)'!$A$3,"MA_HT","DDT","MA_QH","LUC")</f>
        <v>0</v>
      </c>
      <c r="H41" s="122">
        <f>+GETPIVOTDATA("XDB4",'dabac (2016)'!$A$3,"MA_HT","DDT","MA_QH","LUK")</f>
        <v>0</v>
      </c>
      <c r="I41" s="122">
        <f>+GETPIVOTDATA("XDB4",'dabac (2016)'!$A$3,"MA_HT","DDT","MA_QH","LUN")</f>
        <v>0</v>
      </c>
      <c r="J41" s="122">
        <f>+GETPIVOTDATA("XDB4",'dabac (2016)'!$A$3,"MA_HT","DDT","MA_QH","HNK")</f>
        <v>0</v>
      </c>
      <c r="K41" s="122">
        <f>+GETPIVOTDATA("XDB4",'dabac (2016)'!$A$3,"MA_HT","DDT","MA_QH","CLN")</f>
        <v>0</v>
      </c>
      <c r="L41" s="122">
        <f>+GETPIVOTDATA("XDB4",'dabac (2016)'!$A$3,"MA_HT","DDT","MA_QH","RSX")</f>
        <v>0</v>
      </c>
      <c r="M41" s="122">
        <f>+GETPIVOTDATA("XDB4",'dabac (2016)'!$A$3,"MA_HT","DDT","MA_QH","RPH")</f>
        <v>0</v>
      </c>
      <c r="N41" s="122">
        <f>+GETPIVOTDATA("XDB4",'dabac (2016)'!$A$3,"MA_HT","DDT","MA_QH","RDD")</f>
        <v>0</v>
      </c>
      <c r="O41" s="122">
        <f>+GETPIVOTDATA("XDB4",'dabac (2016)'!$A$3,"MA_HT","DDT","MA_QH","NTS")</f>
        <v>0</v>
      </c>
      <c r="P41" s="122">
        <f>+GETPIVOTDATA("XDB4",'dabac (2016)'!$A$3,"MA_HT","DDT","MA_QH","LMU")</f>
        <v>0</v>
      </c>
      <c r="Q41" s="122">
        <f>+GETPIVOTDATA("XDB4",'dabac (2016)'!$A$3,"MA_HT","DDT","MA_QH","NKH")</f>
        <v>0</v>
      </c>
      <c r="R41" s="123">
        <f>SUM(S41:AA41,AO41:BD41)</f>
        <v>0</v>
      </c>
      <c r="S41" s="122">
        <f>+GETPIVOTDATA("XDB4",'dabac (2016)'!$A$3,"MA_HT","DDT","MA_QH","CQP")</f>
        <v>0</v>
      </c>
      <c r="T41" s="122">
        <f>+GETPIVOTDATA("XDB4",'dabac (2016)'!$A$3,"MA_HT","DDT","MA_QH","CAN")</f>
        <v>0</v>
      </c>
      <c r="U41" s="122">
        <f>+GETPIVOTDATA("XDB4",'dabac (2016)'!$A$3,"MA_HT","DDT","MA_QH","SKK")</f>
        <v>0</v>
      </c>
      <c r="V41" s="122">
        <f>+GETPIVOTDATA("XDB4",'dabac (2016)'!$A$3,"MA_HT","DDT","MA_QH","SKT")</f>
        <v>0</v>
      </c>
      <c r="W41" s="122">
        <f>+GETPIVOTDATA("XDB4",'dabac (2016)'!$A$3,"MA_HT","DDT","MA_QH","SKN")</f>
        <v>0</v>
      </c>
      <c r="X41" s="122">
        <f>+GETPIVOTDATA("XDB4",'dabac (2016)'!$A$3,"MA_HT","DDT","MA_QH","TMD")</f>
        <v>0</v>
      </c>
      <c r="Y41" s="122">
        <f>+GETPIVOTDATA("XDB4",'dabac (2016)'!$A$3,"MA_HT","DDT","MA_QH","SKC")</f>
        <v>0</v>
      </c>
      <c r="Z41" s="122">
        <f>+GETPIVOTDATA("XDB4",'dabac (2016)'!$A$3,"MA_HT","DDT","MA_QH","SKS")</f>
        <v>0</v>
      </c>
      <c r="AA41" s="121">
        <f t="shared" ref="AA41:AA58" si="21">+SUM(AB41:AM41)</f>
        <v>0</v>
      </c>
      <c r="AB41" s="122">
        <f>+GETPIVOTDATA("XDB4",'dabac (2016)'!$A$3,"MA_HT","DDT","MA_QH","DGT")</f>
        <v>0</v>
      </c>
      <c r="AC41" s="122">
        <f>+GETPIVOTDATA("XDB4",'dabac (2016)'!$A$3,"MA_HT","DDT","MA_QH","DTL")</f>
        <v>0</v>
      </c>
      <c r="AD41" s="122">
        <f>+GETPIVOTDATA("XDB4",'dabac (2016)'!$A$3,"MA_HT","DDT","MA_QH","DNL")</f>
        <v>0</v>
      </c>
      <c r="AE41" s="122">
        <f>+GETPIVOTDATA("XDB4",'dabac (2016)'!$A$3,"MA_HT","DDT","MA_QH","DBV")</f>
        <v>0</v>
      </c>
      <c r="AF41" s="122">
        <f>+GETPIVOTDATA("XDB4",'dabac (2016)'!$A$3,"MA_HT","DDT","MA_QH","DVH")</f>
        <v>0</v>
      </c>
      <c r="AG41" s="122">
        <f>+GETPIVOTDATA("XDB4",'dabac (2016)'!$A$3,"MA_HT","DDT","MA_QH","DYT")</f>
        <v>0</v>
      </c>
      <c r="AH41" s="122">
        <f>+GETPIVOTDATA("XDB4",'dabac (2016)'!$A$3,"MA_HT","DDT","MA_QH","DGD")</f>
        <v>0</v>
      </c>
      <c r="AI41" s="122">
        <f>+GETPIVOTDATA("XDB4",'dabac (2016)'!$A$3,"MA_HT","DDT","MA_QH","DTT")</f>
        <v>0</v>
      </c>
      <c r="AJ41" s="122">
        <f>+GETPIVOTDATA("XDB4",'dabac (2016)'!$A$3,"MA_HT","DDT","MA_QH","NCK")</f>
        <v>0</v>
      </c>
      <c r="AK41" s="122">
        <f>+GETPIVOTDATA("XDB4",'dabac (2016)'!$A$3,"MA_HT","DDT","MA_QH","DXH")</f>
        <v>0</v>
      </c>
      <c r="AL41" s="122">
        <f>+GETPIVOTDATA("XDB4",'dabac (2016)'!$A$3,"MA_HT","DDT","MA_QH","DCH")</f>
        <v>0</v>
      </c>
      <c r="AM41" s="122">
        <f>+GETPIVOTDATA("XDB4",'dabac (2016)'!$A$3,"MA_HT","DDT","MA_QH","DKG")</f>
        <v>0</v>
      </c>
      <c r="AN41" s="124" t="e">
        <f>$D41-$BF41</f>
        <v>#REF!</v>
      </c>
      <c r="AO41" s="122">
        <f>+GETPIVOTDATA("XDB4",'dabac (2016)'!$A$3,"MA_HT","DDT","MA_QH","DDL")</f>
        <v>0</v>
      </c>
      <c r="AP41" s="122">
        <f>+GETPIVOTDATA("XDB4",'dabac (2016)'!$A$3,"MA_HT","DDT","MA_QH","DRA")</f>
        <v>0</v>
      </c>
      <c r="AQ41" s="122">
        <f>+GETPIVOTDATA("XDB4",'dabac (2016)'!$A$3,"MA_HT","DDT","MA_QH","ONT")</f>
        <v>0</v>
      </c>
      <c r="AR41" s="122">
        <f>+GETPIVOTDATA("XDB4",'dabac (2016)'!$A$3,"MA_HT","DDT","MA_QH","ODT")</f>
        <v>0</v>
      </c>
      <c r="AS41" s="122">
        <f>+GETPIVOTDATA("XDB4",'dabac (2016)'!$A$3,"MA_HT","DDT","MA_QH","TSC")</f>
        <v>0</v>
      </c>
      <c r="AT41" s="122">
        <f>+GETPIVOTDATA("XDB4",'dabac (2016)'!$A$3,"MA_HT","DDT","MA_QH","DTS")</f>
        <v>0</v>
      </c>
      <c r="AU41" s="122">
        <f>+GETPIVOTDATA("XDB4",'dabac (2016)'!$A$3,"MA_HT","DDT","MA_QH","DNG")</f>
        <v>0</v>
      </c>
      <c r="AV41" s="122">
        <f>+GETPIVOTDATA("XDB4",'dabac (2016)'!$A$3,"MA_HT","DDT","MA_QH","TON")</f>
        <v>0</v>
      </c>
      <c r="AW41" s="122">
        <f>+GETPIVOTDATA("XDB4",'dabac (2016)'!$A$3,"MA_HT","DDT","MA_QH","NTD")</f>
        <v>0</v>
      </c>
      <c r="AX41" s="122">
        <f>+GETPIVOTDATA("XDB4",'dabac (2016)'!$A$3,"MA_HT","DDT","MA_QH","SKX")</f>
        <v>0</v>
      </c>
      <c r="AY41" s="122">
        <f>+GETPIVOTDATA("XDB4",'dabac (2016)'!$A$3,"MA_HT","DDT","MA_QH","DSH")</f>
        <v>0</v>
      </c>
      <c r="AZ41" s="122">
        <f>+GETPIVOTDATA("XDB4",'dabac (2016)'!$A$3,"MA_HT","DDT","MA_QH","DKV")</f>
        <v>0</v>
      </c>
      <c r="BA41" s="141">
        <f>+GETPIVOTDATA("XDB4",'dabac (2016)'!$A$3,"MA_HT","DDT","MA_QH","TIN")</f>
        <v>0</v>
      </c>
      <c r="BB41" s="125">
        <f>+GETPIVOTDATA("XDB4",'dabac (2016)'!$A$3,"MA_HT","DDT","MA_QH","SON")</f>
        <v>0</v>
      </c>
      <c r="BC41" s="125">
        <f>+GETPIVOTDATA("XDB4",'dabac (2016)'!$A$3,"MA_HT","DDT","MA_QH","MNC")</f>
        <v>0</v>
      </c>
      <c r="BD41" s="122">
        <f>+GETPIVOTDATA("XDB4",'dabac (2016)'!$A$3,"MA_HT","DDT","MA_QH","PNK")</f>
        <v>0</v>
      </c>
      <c r="BE41" s="126">
        <f>+GETPIVOTDATA("XDB4",'dabac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+GETPIVOTDATA("XDB4",'dabac (2016)'!$A$3,"MA_HT","DDL","MA_QH","LUC")</f>
        <v>0</v>
      </c>
      <c r="H42" s="35">
        <f>+GETPIVOTDATA("XDB4",'dabac (2016)'!$A$3,"MA_HT","DDL","MA_QH","LUK")</f>
        <v>0</v>
      </c>
      <c r="I42" s="35">
        <f>+GETPIVOTDATA("XDB4",'dabac (2016)'!$A$3,"MA_HT","DDL","MA_QH","LUN")</f>
        <v>0</v>
      </c>
      <c r="J42" s="35">
        <f>+GETPIVOTDATA("XDB4",'dabac (2016)'!$A$3,"MA_HT","DDL","MA_QH","HNK")</f>
        <v>0</v>
      </c>
      <c r="K42" s="35">
        <f>+GETPIVOTDATA("XDB4",'dabac (2016)'!$A$3,"MA_HT","DDL","MA_QH","CLN")</f>
        <v>0</v>
      </c>
      <c r="L42" s="35">
        <f>+GETPIVOTDATA("XDB4",'dabac (2016)'!$A$3,"MA_HT","DDL","MA_QH","RSX")</f>
        <v>0</v>
      </c>
      <c r="M42" s="35">
        <f>+GETPIVOTDATA("XDB4",'dabac (2016)'!$A$3,"MA_HT","DDL","MA_QH","RPH")</f>
        <v>0</v>
      </c>
      <c r="N42" s="35">
        <f>+GETPIVOTDATA("XDB4",'dabac (2016)'!$A$3,"MA_HT","DDL","MA_QH","RDD")</f>
        <v>0</v>
      </c>
      <c r="O42" s="35">
        <f>+GETPIVOTDATA("XDB4",'dabac (2016)'!$A$3,"MA_HT","DDL","MA_QH","NTS")</f>
        <v>0</v>
      </c>
      <c r="P42" s="35">
        <f>+GETPIVOTDATA("XDB4",'dabac (2016)'!$A$3,"MA_HT","DDL","MA_QH","LMU")</f>
        <v>0</v>
      </c>
      <c r="Q42" s="35">
        <f>+GETPIVOTDATA("XDB4",'dabac (2016)'!$A$3,"MA_HT","DDL","MA_QH","NKH")</f>
        <v>0</v>
      </c>
      <c r="R42" s="106">
        <f>SUM(S42:AA42,AN42,AP42:BD42)</f>
        <v>0</v>
      </c>
      <c r="S42" s="35">
        <f>+GETPIVOTDATA("XDB4",'dabac (2016)'!$A$3,"MA_HT","DDL","MA_QH","CQP")</f>
        <v>0</v>
      </c>
      <c r="T42" s="35">
        <f>+GETPIVOTDATA("XDB4",'dabac (2016)'!$A$3,"MA_HT","DDL","MA_QH","CAN")</f>
        <v>0</v>
      </c>
      <c r="U42" s="35">
        <f>+GETPIVOTDATA("XDB4",'dabac (2016)'!$A$3,"MA_HT","DDL","MA_QH","SKK")</f>
        <v>0</v>
      </c>
      <c r="V42" s="35">
        <f>+GETPIVOTDATA("XDB4",'dabac (2016)'!$A$3,"MA_HT","DDL","MA_QH","SKT")</f>
        <v>0</v>
      </c>
      <c r="W42" s="35">
        <f>+GETPIVOTDATA("XDB4",'dabac (2016)'!$A$3,"MA_HT","DDL","MA_QH","SKN")</f>
        <v>0</v>
      </c>
      <c r="X42" s="35">
        <f>+GETPIVOTDATA("XDB4",'dabac (2016)'!$A$3,"MA_HT","DDL","MA_QH","TMD")</f>
        <v>0</v>
      </c>
      <c r="Y42" s="35">
        <f>+GETPIVOTDATA("XDB4",'dabac (2016)'!$A$3,"MA_HT","DDL","MA_QH","SKC")</f>
        <v>0</v>
      </c>
      <c r="Z42" s="35">
        <f>+GETPIVOTDATA("XDB4",'dabac (2016)'!$A$3,"MA_HT","DDL","MA_QH","SKS")</f>
        <v>0</v>
      </c>
      <c r="AA42" s="64">
        <f t="shared" si="21"/>
        <v>0</v>
      </c>
      <c r="AB42" s="35">
        <f>+GETPIVOTDATA("XDB4",'dabac (2016)'!$A$3,"MA_HT","DDL","MA_QH","DGT")</f>
        <v>0</v>
      </c>
      <c r="AC42" s="35">
        <f>+GETPIVOTDATA("XDB4",'dabac (2016)'!$A$3,"MA_HT","DDL","MA_QH","DTL")</f>
        <v>0</v>
      </c>
      <c r="AD42" s="35">
        <f>+GETPIVOTDATA("XDB4",'dabac (2016)'!$A$3,"MA_HT","DDL","MA_QH","DNL")</f>
        <v>0</v>
      </c>
      <c r="AE42" s="35">
        <f>+GETPIVOTDATA("XDB4",'dabac (2016)'!$A$3,"MA_HT","DDL","MA_QH","DBV")</f>
        <v>0</v>
      </c>
      <c r="AF42" s="35">
        <f>+GETPIVOTDATA("XDB4",'dabac (2016)'!$A$3,"MA_HT","DDL","MA_QH","DVH")</f>
        <v>0</v>
      </c>
      <c r="AG42" s="35">
        <f>+GETPIVOTDATA("XDB4",'dabac (2016)'!$A$3,"MA_HT","DDL","MA_QH","DYT")</f>
        <v>0</v>
      </c>
      <c r="AH42" s="35">
        <f>+GETPIVOTDATA("XDB4",'dabac (2016)'!$A$3,"MA_HT","DDL","MA_QH","DGD")</f>
        <v>0</v>
      </c>
      <c r="AI42" s="35">
        <f>+GETPIVOTDATA("XDB4",'dabac (2016)'!$A$3,"MA_HT","DDL","MA_QH","DTT")</f>
        <v>0</v>
      </c>
      <c r="AJ42" s="35">
        <f>+GETPIVOTDATA("XDB4",'dabac (2016)'!$A$3,"MA_HT","DDL","MA_QH","NCK")</f>
        <v>0</v>
      </c>
      <c r="AK42" s="35">
        <f>+GETPIVOTDATA("XDB4",'dabac (2016)'!$A$3,"MA_HT","DDL","MA_QH","DXH")</f>
        <v>0</v>
      </c>
      <c r="AL42" s="35">
        <f>+GETPIVOTDATA("XDB4",'dabac (2016)'!$A$3,"MA_HT","DDL","MA_QH","DCH")</f>
        <v>0</v>
      </c>
      <c r="AM42" s="35">
        <f>+GETPIVOTDATA("XDB4",'dabac (2016)'!$A$3,"MA_HT","DDL","MA_QH","DKG")</f>
        <v>0</v>
      </c>
      <c r="AN42" s="35">
        <f>+GETPIVOTDATA("XDB4",'dabac (2016)'!$A$3,"MA_HT","DDL","MA_QH","DDT")</f>
        <v>0</v>
      </c>
      <c r="AO42" s="99" t="e">
        <f>$D42-$BF42</f>
        <v>#REF!</v>
      </c>
      <c r="AP42" s="35">
        <f>+GETPIVOTDATA("XDB4",'dabac (2016)'!$A$3,"MA_HT","DDL","MA_QH","DRA")</f>
        <v>0</v>
      </c>
      <c r="AQ42" s="35">
        <f>+GETPIVOTDATA("XDB4",'dabac (2016)'!$A$3,"MA_HT","DDL","MA_QH","ONT")</f>
        <v>0</v>
      </c>
      <c r="AR42" s="35">
        <f>+GETPIVOTDATA("XDB4",'dabac (2016)'!$A$3,"MA_HT","DDL","MA_QH","ODT")</f>
        <v>0</v>
      </c>
      <c r="AS42" s="35">
        <f>+GETPIVOTDATA("XDB4",'dabac (2016)'!$A$3,"MA_HT","DDL","MA_QH","TSC")</f>
        <v>0</v>
      </c>
      <c r="AT42" s="35">
        <f>+GETPIVOTDATA("XDB4",'dabac (2016)'!$A$3,"MA_HT","DDL","MA_QH","DTS")</f>
        <v>0</v>
      </c>
      <c r="AU42" s="35">
        <f>+GETPIVOTDATA("XDB4",'dabac (2016)'!$A$3,"MA_HT","DDL","MA_QH","DNG")</f>
        <v>0</v>
      </c>
      <c r="AV42" s="35">
        <f>+GETPIVOTDATA("XDB4",'dabac (2016)'!$A$3,"MA_HT","DDL","MA_QH","TON")</f>
        <v>0</v>
      </c>
      <c r="AW42" s="35">
        <f>+GETPIVOTDATA("XDB4",'dabac (2016)'!$A$3,"MA_HT","DDL","MA_QH","NTD")</f>
        <v>0</v>
      </c>
      <c r="AX42" s="35">
        <f>+GETPIVOTDATA("XDB4",'dabac (2016)'!$A$3,"MA_HT","DDL","MA_QH","SKX")</f>
        <v>0</v>
      </c>
      <c r="AY42" s="35">
        <f>+GETPIVOTDATA("XDB4",'dabac (2016)'!$A$3,"MA_HT","DDL","MA_QH","DSH")</f>
        <v>0</v>
      </c>
      <c r="AZ42" s="35">
        <f>+GETPIVOTDATA("XDB4",'dabac (2016)'!$A$3,"MA_HT","DDL","MA_QH","DKV")</f>
        <v>0</v>
      </c>
      <c r="BA42" s="140">
        <f>+GETPIVOTDATA("XDB4",'dabac (2016)'!$A$3,"MA_HT","DDL","MA_QH","TIN")</f>
        <v>0</v>
      </c>
      <c r="BB42" s="74">
        <f>+GETPIVOTDATA("XDB4",'dabac (2016)'!$A$3,"MA_HT","DDL","MA_QH","SON")</f>
        <v>0</v>
      </c>
      <c r="BC42" s="74">
        <f>+GETPIVOTDATA("XDB4",'dabac (2016)'!$A$3,"MA_HT","DDL","MA_QH","MNC")</f>
        <v>0</v>
      </c>
      <c r="BD42" s="35">
        <f>+GETPIVOTDATA("XDB4",'dabac (2016)'!$A$3,"MA_HT","DDL","MA_QH","PNK")</f>
        <v>0</v>
      </c>
      <c r="BE42" s="58">
        <f>+GETPIVOTDATA("XDB4",'dabac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+GETPIVOTDATA("XDB4",'dabac (2016)'!$A$3,"MA_HT","DRA","MA_QH","LUC")</f>
        <v>0</v>
      </c>
      <c r="H43" s="35">
        <f>+GETPIVOTDATA("XDB4",'dabac (2016)'!$A$3,"MA_HT","DRA","MA_QH","LUK")</f>
        <v>0</v>
      </c>
      <c r="I43" s="35">
        <f>+GETPIVOTDATA("XDB4",'dabac (2016)'!$A$3,"MA_HT","DRA","MA_QH","LUN")</f>
        <v>0</v>
      </c>
      <c r="J43" s="35">
        <f>+GETPIVOTDATA("XDB4",'dabac (2016)'!$A$3,"MA_HT","DRA","MA_QH","HNK")</f>
        <v>0</v>
      </c>
      <c r="K43" s="35">
        <f>+GETPIVOTDATA("XDB4",'dabac (2016)'!$A$3,"MA_HT","DRA","MA_QH","CLN")</f>
        <v>0</v>
      </c>
      <c r="L43" s="35">
        <f>+GETPIVOTDATA("XDB4",'dabac (2016)'!$A$3,"MA_HT","DRA","MA_QH","RSX")</f>
        <v>0</v>
      </c>
      <c r="M43" s="35">
        <f>+GETPIVOTDATA("XDB4",'dabac (2016)'!$A$3,"MA_HT","DRA","MA_QH","RPH")</f>
        <v>0</v>
      </c>
      <c r="N43" s="35">
        <f>+GETPIVOTDATA("XDB4",'dabac (2016)'!$A$3,"MA_HT","DRA","MA_QH","RDD")</f>
        <v>0</v>
      </c>
      <c r="O43" s="35">
        <f>+GETPIVOTDATA("XDB4",'dabac (2016)'!$A$3,"MA_HT","DRA","MA_QH","NTS")</f>
        <v>0</v>
      </c>
      <c r="P43" s="35">
        <f>+GETPIVOTDATA("XDB4",'dabac (2016)'!$A$3,"MA_HT","DRA","MA_QH","LMU")</f>
        <v>0</v>
      </c>
      <c r="Q43" s="35">
        <f>+GETPIVOTDATA("XDB4",'dabac (2016)'!$A$3,"MA_HT","DRA","MA_QH","NKH")</f>
        <v>0</v>
      </c>
      <c r="R43" s="106">
        <f>SUM(S43:AA43,AN43:AO43,AQ43:BD43)</f>
        <v>0</v>
      </c>
      <c r="S43" s="35">
        <f>+GETPIVOTDATA("XDB4",'dabac (2016)'!$A$3,"MA_HT","DRA","MA_QH","CQP")</f>
        <v>0</v>
      </c>
      <c r="T43" s="35">
        <f>+GETPIVOTDATA("XDB4",'dabac (2016)'!$A$3,"MA_HT","DRA","MA_QH","CAN")</f>
        <v>0</v>
      </c>
      <c r="U43" s="35">
        <f>+GETPIVOTDATA("XDB4",'dabac (2016)'!$A$3,"MA_HT","DRA","MA_QH","SKK")</f>
        <v>0</v>
      </c>
      <c r="V43" s="35">
        <f>+GETPIVOTDATA("XDB4",'dabac (2016)'!$A$3,"MA_HT","DRA","MA_QH","SKT")</f>
        <v>0</v>
      </c>
      <c r="W43" s="35">
        <f>+GETPIVOTDATA("XDB4",'dabac (2016)'!$A$3,"MA_HT","DRA","MA_QH","SKN")</f>
        <v>0</v>
      </c>
      <c r="X43" s="35">
        <f>+GETPIVOTDATA("XDB4",'dabac (2016)'!$A$3,"MA_HT","DRA","MA_QH","TMD")</f>
        <v>0</v>
      </c>
      <c r="Y43" s="35">
        <f>+GETPIVOTDATA("XDB4",'dabac (2016)'!$A$3,"MA_HT","DRA","MA_QH","SKC")</f>
        <v>0</v>
      </c>
      <c r="Z43" s="35">
        <f>+GETPIVOTDATA("XDB4",'dabac (2016)'!$A$3,"MA_HT","DRA","MA_QH","SKS")</f>
        <v>0</v>
      </c>
      <c r="AA43" s="64">
        <f t="shared" si="21"/>
        <v>0</v>
      </c>
      <c r="AB43" s="35">
        <f>+GETPIVOTDATA("XDB4",'dabac (2016)'!$A$3,"MA_HT","DRA","MA_QH","DGT")</f>
        <v>0</v>
      </c>
      <c r="AC43" s="35">
        <f>+GETPIVOTDATA("XDB4",'dabac (2016)'!$A$3,"MA_HT","DRA","MA_QH","DTL")</f>
        <v>0</v>
      </c>
      <c r="AD43" s="35">
        <f>+GETPIVOTDATA("XDB4",'dabac (2016)'!$A$3,"MA_HT","DRA","MA_QH","DNL")</f>
        <v>0</v>
      </c>
      <c r="AE43" s="35">
        <f>+GETPIVOTDATA("XDB4",'dabac (2016)'!$A$3,"MA_HT","DRA","MA_QH","DBV")</f>
        <v>0</v>
      </c>
      <c r="AF43" s="35">
        <f>+GETPIVOTDATA("XDB4",'dabac (2016)'!$A$3,"MA_HT","DRA","MA_QH","DVH")</f>
        <v>0</v>
      </c>
      <c r="AG43" s="35">
        <f>+GETPIVOTDATA("XDB4",'dabac (2016)'!$A$3,"MA_HT","DRA","MA_QH","DYT")</f>
        <v>0</v>
      </c>
      <c r="AH43" s="35">
        <f>+GETPIVOTDATA("XDB4",'dabac (2016)'!$A$3,"MA_HT","DRA","MA_QH","DGD")</f>
        <v>0</v>
      </c>
      <c r="AI43" s="35">
        <f>+GETPIVOTDATA("XDB4",'dabac (2016)'!$A$3,"MA_HT","DRA","MA_QH","DTT")</f>
        <v>0</v>
      </c>
      <c r="AJ43" s="35">
        <f>+GETPIVOTDATA("XDB4",'dabac (2016)'!$A$3,"MA_HT","DRA","MA_QH","NCK")</f>
        <v>0</v>
      </c>
      <c r="AK43" s="35">
        <f>+GETPIVOTDATA("XDB4",'dabac (2016)'!$A$3,"MA_HT","DRA","MA_QH","DXH")</f>
        <v>0</v>
      </c>
      <c r="AL43" s="35">
        <f>+GETPIVOTDATA("XDB4",'dabac (2016)'!$A$3,"MA_HT","DRA","MA_QH","DCH")</f>
        <v>0</v>
      </c>
      <c r="AM43" s="35">
        <f>+GETPIVOTDATA("XDB4",'dabac (2016)'!$A$3,"MA_HT","DRA","MA_QH","DKG")</f>
        <v>0</v>
      </c>
      <c r="AN43" s="35">
        <f>+GETPIVOTDATA("XDB4",'dabac (2016)'!$A$3,"MA_HT","DRA","MA_QH","DDT")</f>
        <v>0</v>
      </c>
      <c r="AO43" s="35">
        <f>+GETPIVOTDATA("XDB4",'dabac (2016)'!$A$3,"MA_HT","DRA","MA_QH","DDL")</f>
        <v>0</v>
      </c>
      <c r="AP43" s="99" t="e">
        <f>$D43-$BF43</f>
        <v>#REF!</v>
      </c>
      <c r="AQ43" s="35">
        <f>+GETPIVOTDATA("XDB4",'dabac (2016)'!$A$3,"MA_HT","DRA","MA_QH","ONT")</f>
        <v>0</v>
      </c>
      <c r="AR43" s="35">
        <f>+GETPIVOTDATA("XDB4",'dabac (2016)'!$A$3,"MA_HT","DRA","MA_QH","ODT")</f>
        <v>0</v>
      </c>
      <c r="AS43" s="35">
        <f>+GETPIVOTDATA("XDB4",'dabac (2016)'!$A$3,"MA_HT","DRA","MA_QH","TSC")</f>
        <v>0</v>
      </c>
      <c r="AT43" s="35">
        <f>+GETPIVOTDATA("XDB4",'dabac (2016)'!$A$3,"MA_HT","DRA","MA_QH","DTS")</f>
        <v>0</v>
      </c>
      <c r="AU43" s="35">
        <f>+GETPIVOTDATA("XDB4",'dabac (2016)'!$A$3,"MA_HT","DRA","MA_QH","DNG")</f>
        <v>0</v>
      </c>
      <c r="AV43" s="35">
        <f>+GETPIVOTDATA("XDB4",'dabac (2016)'!$A$3,"MA_HT","DRA","MA_QH","TON")</f>
        <v>0</v>
      </c>
      <c r="AW43" s="35">
        <f>+GETPIVOTDATA("XDB4",'dabac (2016)'!$A$3,"MA_HT","DRA","MA_QH","NTD")</f>
        <v>0</v>
      </c>
      <c r="AX43" s="35">
        <f>+GETPIVOTDATA("XDB4",'dabac (2016)'!$A$3,"MA_HT","DRA","MA_QH","SKX")</f>
        <v>0</v>
      </c>
      <c r="AY43" s="35">
        <f>+GETPIVOTDATA("XDB4",'dabac (2016)'!$A$3,"MA_HT","DRA","MA_QH","DSH")</f>
        <v>0</v>
      </c>
      <c r="AZ43" s="35">
        <f>+GETPIVOTDATA("XDB4",'dabac (2016)'!$A$3,"MA_HT","DRA","MA_QH","DKV")</f>
        <v>0</v>
      </c>
      <c r="BA43" s="140">
        <f>+GETPIVOTDATA("XDB4",'dabac (2016)'!$A$3,"MA_HT","DRA","MA_QH","TIN")</f>
        <v>0</v>
      </c>
      <c r="BB43" s="74">
        <f>+GETPIVOTDATA("XDB4",'dabac (2016)'!$A$3,"MA_HT","DRA","MA_QH","SON")</f>
        <v>0</v>
      </c>
      <c r="BC43" s="74">
        <f>+GETPIVOTDATA("XDB4",'dabac (2016)'!$A$3,"MA_HT","DRA","MA_QH","MNC")</f>
        <v>0</v>
      </c>
      <c r="BD43" s="35">
        <f>+GETPIVOTDATA("XDB4",'dabac (2016)'!$A$3,"MA_HT","DRA","MA_QH","PNK")</f>
        <v>0</v>
      </c>
      <c r="BE43" s="58">
        <f>+GETPIVOTDATA("XDB4",'dabac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+GETPIVOTDATA("XDB4",'dabac (2016)'!$A$3,"MA_HT","ONT","MA_QH","LUC")</f>
        <v>0</v>
      </c>
      <c r="H44" s="35">
        <f>+GETPIVOTDATA("XDB4",'dabac (2016)'!$A$3,"MA_HT","ONT","MA_QH","LUK")</f>
        <v>0</v>
      </c>
      <c r="I44" s="35">
        <f>+GETPIVOTDATA("XDB4",'dabac (2016)'!$A$3,"MA_HT","ONT","MA_QH","LUN")</f>
        <v>0</v>
      </c>
      <c r="J44" s="35">
        <f>+GETPIVOTDATA("XDB4",'dabac (2016)'!$A$3,"MA_HT","ONT","MA_QH","HNK")</f>
        <v>0</v>
      </c>
      <c r="K44" s="35">
        <f>+GETPIVOTDATA("XDB4",'dabac (2016)'!$A$3,"MA_HT","ONT","MA_QH","CLN")</f>
        <v>0</v>
      </c>
      <c r="L44" s="35">
        <f>+GETPIVOTDATA("XDB4",'dabac (2016)'!$A$3,"MA_HT","ONT","MA_QH","RSX")</f>
        <v>0</v>
      </c>
      <c r="M44" s="35">
        <f>+GETPIVOTDATA("XDB4",'dabac (2016)'!$A$3,"MA_HT","ONT","MA_QH","RPH")</f>
        <v>0</v>
      </c>
      <c r="N44" s="35">
        <f>+GETPIVOTDATA("XDB4",'dabac (2016)'!$A$3,"MA_HT","ONT","MA_QH","RDD")</f>
        <v>0</v>
      </c>
      <c r="O44" s="35">
        <f>+GETPIVOTDATA("XDB4",'dabac (2016)'!$A$3,"MA_HT","ONT","MA_QH","NTS")</f>
        <v>0</v>
      </c>
      <c r="P44" s="35">
        <f>+GETPIVOTDATA("XDB4",'dabac (2016)'!$A$3,"MA_HT","ONT","MA_QH","LMU")</f>
        <v>0</v>
      </c>
      <c r="Q44" s="35">
        <f>+GETPIVOTDATA("XDB4",'dabac (2016)'!$A$3,"MA_HT","ONT","MA_QH","NKH")</f>
        <v>0</v>
      </c>
      <c r="R44" s="106">
        <f>SUM(S44:AA44,AN44:AP44,AR44:BD44)</f>
        <v>0</v>
      </c>
      <c r="S44" s="35">
        <f>+GETPIVOTDATA("XDB4",'dabac (2016)'!$A$3,"MA_HT","ONT","MA_QH","CQP")</f>
        <v>0</v>
      </c>
      <c r="T44" s="35">
        <f>+GETPIVOTDATA("XDB4",'dabac (2016)'!$A$3,"MA_HT","ONT","MA_QH","CAN")</f>
        <v>0</v>
      </c>
      <c r="U44" s="35">
        <f>+GETPIVOTDATA("XDB4",'dabac (2016)'!$A$3,"MA_HT","ONT","MA_QH","SKK")</f>
        <v>0</v>
      </c>
      <c r="V44" s="35">
        <f>+GETPIVOTDATA("XDB4",'dabac (2016)'!$A$3,"MA_HT","ONT","MA_QH","SKT")</f>
        <v>0</v>
      </c>
      <c r="W44" s="35">
        <f>+GETPIVOTDATA("XDB4",'dabac (2016)'!$A$3,"MA_HT","ONT","MA_QH","SKN")</f>
        <v>0</v>
      </c>
      <c r="X44" s="35">
        <f>+GETPIVOTDATA("XDB4",'dabac (2016)'!$A$3,"MA_HT","ONT","MA_QH","TMD")</f>
        <v>0</v>
      </c>
      <c r="Y44" s="35">
        <f>+GETPIVOTDATA("XDB4",'dabac (2016)'!$A$3,"MA_HT","ONT","MA_QH","SKC")</f>
        <v>0</v>
      </c>
      <c r="Z44" s="35">
        <f>+GETPIVOTDATA("XDB4",'dabac (2016)'!$A$3,"MA_HT","ONT","MA_QH","SKS")</f>
        <v>0</v>
      </c>
      <c r="AA44" s="64">
        <f t="shared" si="21"/>
        <v>0</v>
      </c>
      <c r="AB44" s="35">
        <f>+GETPIVOTDATA("XDB4",'dabac (2016)'!$A$3,"MA_HT","ONT","MA_QH","DGT")</f>
        <v>0</v>
      </c>
      <c r="AC44" s="35">
        <f>+GETPIVOTDATA("XDB4",'dabac (2016)'!$A$3,"MA_HT","ONT","MA_QH","DTL")</f>
        <v>0</v>
      </c>
      <c r="AD44" s="35">
        <f>+GETPIVOTDATA("XDB4",'dabac (2016)'!$A$3,"MA_HT","ONT","MA_QH","DNL")</f>
        <v>0</v>
      </c>
      <c r="AE44" s="35">
        <f>+GETPIVOTDATA("XDB4",'dabac (2016)'!$A$3,"MA_HT","ONT","MA_QH","DBV")</f>
        <v>0</v>
      </c>
      <c r="AF44" s="35">
        <f>+GETPIVOTDATA("XDB4",'dabac (2016)'!$A$3,"MA_HT","ONT","MA_QH","DVH")</f>
        <v>0</v>
      </c>
      <c r="AG44" s="35">
        <f>+GETPIVOTDATA("XDB4",'dabac (2016)'!$A$3,"MA_HT","ONT","MA_QH","DYT")</f>
        <v>0</v>
      </c>
      <c r="AH44" s="35">
        <f>+GETPIVOTDATA("XDB4",'dabac (2016)'!$A$3,"MA_HT","ONT","MA_QH","DGD")</f>
        <v>0</v>
      </c>
      <c r="AI44" s="35">
        <f>+GETPIVOTDATA("XDB4",'dabac (2016)'!$A$3,"MA_HT","ONT","MA_QH","DTT")</f>
        <v>0</v>
      </c>
      <c r="AJ44" s="35">
        <f>+GETPIVOTDATA("XDB4",'dabac (2016)'!$A$3,"MA_HT","ONT","MA_QH","NCK")</f>
        <v>0</v>
      </c>
      <c r="AK44" s="35">
        <f>+GETPIVOTDATA("XDB4",'dabac (2016)'!$A$3,"MA_HT","ONT","MA_QH","DXH")</f>
        <v>0</v>
      </c>
      <c r="AL44" s="35">
        <f>+GETPIVOTDATA("XDB4",'dabac (2016)'!$A$3,"MA_HT","ONT","MA_QH","DCH")</f>
        <v>0</v>
      </c>
      <c r="AM44" s="35">
        <f>+GETPIVOTDATA("XDB4",'dabac (2016)'!$A$3,"MA_HT","ONT","MA_QH","DKG")</f>
        <v>0</v>
      </c>
      <c r="AN44" s="35">
        <f>+GETPIVOTDATA("XDB4",'dabac (2016)'!$A$3,"MA_HT","ONT","MA_QH","DDT")</f>
        <v>0</v>
      </c>
      <c r="AO44" s="35">
        <f>+GETPIVOTDATA("XDB4",'dabac (2016)'!$A$3,"MA_HT","ONT","MA_QH","DDL")</f>
        <v>0</v>
      </c>
      <c r="AP44" s="35">
        <f>+GETPIVOTDATA("XDB4",'dabac (2016)'!$A$3,"MA_HT","ONT","MA_QH","DRA")</f>
        <v>0</v>
      </c>
      <c r="AQ44" s="99" t="e">
        <f>$D44-$BF44</f>
        <v>#REF!</v>
      </c>
      <c r="AR44" s="35">
        <f>+GETPIVOTDATA("XDB4",'dabac (2016)'!$A$3,"MA_HT","ONT","MA_QH","ODT")</f>
        <v>0</v>
      </c>
      <c r="AS44" s="35">
        <f>+GETPIVOTDATA("XDB4",'dabac (2016)'!$A$3,"MA_HT","ONT","MA_QH","TSC")</f>
        <v>0</v>
      </c>
      <c r="AT44" s="35">
        <f>+GETPIVOTDATA("XDB4",'dabac (2016)'!$A$3,"MA_HT","ONT","MA_QH","DTS")</f>
        <v>0</v>
      </c>
      <c r="AU44" s="35">
        <f>+GETPIVOTDATA("XDB4",'dabac (2016)'!$A$3,"MA_HT","ONT","MA_QH","DNG")</f>
        <v>0</v>
      </c>
      <c r="AV44" s="35">
        <f>+GETPIVOTDATA("XDB4",'dabac (2016)'!$A$3,"MA_HT","ONT","MA_QH","TON")</f>
        <v>0</v>
      </c>
      <c r="AW44" s="35">
        <f>+GETPIVOTDATA("XDB4",'dabac (2016)'!$A$3,"MA_HT","ONT","MA_QH","NTD")</f>
        <v>0</v>
      </c>
      <c r="AX44" s="35">
        <f>+GETPIVOTDATA("XDB4",'dabac (2016)'!$A$3,"MA_HT","ONT","MA_QH","SKX")</f>
        <v>0</v>
      </c>
      <c r="AY44" s="35">
        <f>+GETPIVOTDATA("XDB4",'dabac (2016)'!$A$3,"MA_HT","ONT","MA_QH","DSH")</f>
        <v>0</v>
      </c>
      <c r="AZ44" s="35">
        <f>+GETPIVOTDATA("XDB4",'dabac (2016)'!$A$3,"MA_HT","ONT","MA_QH","DKV")</f>
        <v>0</v>
      </c>
      <c r="BA44" s="140">
        <f>+GETPIVOTDATA("XDB4",'dabac (2016)'!$A$3,"MA_HT","ONT","MA_QH","TIN")</f>
        <v>0</v>
      </c>
      <c r="BB44" s="74">
        <f>+GETPIVOTDATA("XDB4",'dabac (2016)'!$A$3,"MA_HT","ONT","MA_QH","SON")</f>
        <v>0</v>
      </c>
      <c r="BC44" s="74">
        <f>+GETPIVOTDATA("XDB4",'dabac (2016)'!$A$3,"MA_HT","ONT","MA_QH","MNC")</f>
        <v>0</v>
      </c>
      <c r="BD44" s="35">
        <f>+GETPIVOTDATA("XDB4",'dabac (2016)'!$A$3,"MA_HT","ONT","MA_QH","PNK")</f>
        <v>0</v>
      </c>
      <c r="BE44" s="58">
        <f>+GETPIVOTDATA("XDB4",'dabac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+GETPIVOTDATA("XDB4",'dabac (2016)'!$A$3,"MA_HT","ODT","MA_QH","LUC")</f>
        <v>0</v>
      </c>
      <c r="H45" s="111">
        <f>+GETPIVOTDATA("XDB4",'dabac (2016)'!$A$3,"MA_HT","ODT","MA_QH","LUK")</f>
        <v>0</v>
      </c>
      <c r="I45" s="111">
        <f>+GETPIVOTDATA("XDB4",'dabac (2016)'!$A$3,"MA_HT","ODT","MA_QH","LUN")</f>
        <v>0</v>
      </c>
      <c r="J45" s="111">
        <f>+GETPIVOTDATA("XDB4",'dabac (2016)'!$A$3,"MA_HT","ODT","MA_QH","HNK")</f>
        <v>0</v>
      </c>
      <c r="K45" s="111">
        <f>+GETPIVOTDATA("XDB4",'dabac (2016)'!$A$3,"MA_HT","ODT","MA_QH","CLN")</f>
        <v>0</v>
      </c>
      <c r="L45" s="111">
        <f>+GETPIVOTDATA("XDB4",'dabac (2016)'!$A$3,"MA_HT","ODT","MA_QH","RSX")</f>
        <v>0</v>
      </c>
      <c r="M45" s="111">
        <f>+GETPIVOTDATA("XDB4",'dabac (2016)'!$A$3,"MA_HT","ODT","MA_QH","RPH")</f>
        <v>0</v>
      </c>
      <c r="N45" s="111">
        <f>+GETPIVOTDATA("XDB4",'dabac (2016)'!$A$3,"MA_HT","ODT","MA_QH","RDD")</f>
        <v>0</v>
      </c>
      <c r="O45" s="111">
        <f>+GETPIVOTDATA("XDB4",'dabac (2016)'!$A$3,"MA_HT","ODT","MA_QH","NTS")</f>
        <v>0</v>
      </c>
      <c r="P45" s="111">
        <f>+GETPIVOTDATA("XDB4",'dabac (2016)'!$A$3,"MA_HT","ODT","MA_QH","LMU")</f>
        <v>0</v>
      </c>
      <c r="Q45" s="111">
        <f>+GETPIVOTDATA("XDB4",'dabac (2016)'!$A$3,"MA_HT","ODT","MA_QH","NKH")</f>
        <v>0</v>
      </c>
      <c r="R45" s="106">
        <f>SUM(S45:AA45,AN45:AQ45,AS45:BD45)</f>
        <v>0</v>
      </c>
      <c r="S45" s="111">
        <f>+GETPIVOTDATA("XDB4",'dabac (2016)'!$A$3,"MA_HT","ODT","MA_QH","CQP")</f>
        <v>0</v>
      </c>
      <c r="T45" s="111">
        <f>+GETPIVOTDATA("XDB4",'dabac (2016)'!$A$3,"MA_HT","ODT","MA_QH","CAN")</f>
        <v>0</v>
      </c>
      <c r="U45" s="111">
        <f>+GETPIVOTDATA("XDB4",'dabac (2016)'!$A$3,"MA_HT","ODT","MA_QH","SKK")</f>
        <v>0</v>
      </c>
      <c r="V45" s="111">
        <f>+GETPIVOTDATA("XDB4",'dabac (2016)'!$A$3,"MA_HT","ODT","MA_QH","SKT")</f>
        <v>0</v>
      </c>
      <c r="W45" s="111">
        <f>+GETPIVOTDATA("XDB4",'dabac (2016)'!$A$3,"MA_HT","ODT","MA_QH","SKN")</f>
        <v>0</v>
      </c>
      <c r="X45" s="111">
        <f>+GETPIVOTDATA("XDB4",'dabac (2016)'!$A$3,"MA_HT","ODT","MA_QH","TMD")</f>
        <v>0</v>
      </c>
      <c r="Y45" s="111">
        <f>+GETPIVOTDATA("XDB4",'dabac (2016)'!$A$3,"MA_HT","ODT","MA_QH","SKC")</f>
        <v>0</v>
      </c>
      <c r="Z45" s="111">
        <f>+GETPIVOTDATA("XDB4",'dabac (2016)'!$A$3,"MA_HT","ODT","MA_QH","SKS")</f>
        <v>0</v>
      </c>
      <c r="AA45" s="104">
        <f t="shared" si="21"/>
        <v>0</v>
      </c>
      <c r="AB45" s="111">
        <f>+GETPIVOTDATA("XDB4",'dabac (2016)'!$A$3,"MA_HT","ODT","MA_QH","DGT")</f>
        <v>0</v>
      </c>
      <c r="AC45" s="111">
        <f>+GETPIVOTDATA("XDB4",'dabac (2016)'!$A$3,"MA_HT","ODT","MA_QH","DTL")</f>
        <v>0</v>
      </c>
      <c r="AD45" s="111">
        <f>+GETPIVOTDATA("XDB4",'dabac (2016)'!$A$3,"MA_HT","ODT","MA_QH","DNL")</f>
        <v>0</v>
      </c>
      <c r="AE45" s="111">
        <f>+GETPIVOTDATA("XDB4",'dabac (2016)'!$A$3,"MA_HT","ODT","MA_QH","DBV")</f>
        <v>0</v>
      </c>
      <c r="AF45" s="111">
        <f>+GETPIVOTDATA("XDB4",'dabac (2016)'!$A$3,"MA_HT","ODT","MA_QH","DVH")</f>
        <v>0</v>
      </c>
      <c r="AG45" s="111">
        <f>+GETPIVOTDATA("XDB4",'dabac (2016)'!$A$3,"MA_HT","ODT","MA_QH","DYT")</f>
        <v>0</v>
      </c>
      <c r="AH45" s="111">
        <f>+GETPIVOTDATA("XDB4",'dabac (2016)'!$A$3,"MA_HT","ODT","MA_QH","DGD")</f>
        <v>0</v>
      </c>
      <c r="AI45" s="111">
        <f>+GETPIVOTDATA("XDB4",'dabac (2016)'!$A$3,"MA_HT","ODT","MA_QH","DTT")</f>
        <v>0</v>
      </c>
      <c r="AJ45" s="111">
        <f>+GETPIVOTDATA("XDB4",'dabac (2016)'!$A$3,"MA_HT","ODT","MA_QH","NCK")</f>
        <v>0</v>
      </c>
      <c r="AK45" s="111">
        <f>+GETPIVOTDATA("XDB4",'dabac (2016)'!$A$3,"MA_HT","ODT","MA_QH","DXH")</f>
        <v>0</v>
      </c>
      <c r="AL45" s="111">
        <f>+GETPIVOTDATA("XDB4",'dabac (2016)'!$A$3,"MA_HT","ODT","MA_QH","DCH")</f>
        <v>0</v>
      </c>
      <c r="AM45" s="111">
        <f>+GETPIVOTDATA("XDB4",'dabac (2016)'!$A$3,"MA_HT","ODT","MA_QH","DKG")</f>
        <v>0</v>
      </c>
      <c r="AN45" s="111">
        <f>+GETPIVOTDATA("XDB4",'dabac (2016)'!$A$3,"MA_HT","ODT","MA_QH","DDT")</f>
        <v>0</v>
      </c>
      <c r="AO45" s="111">
        <f>+GETPIVOTDATA("XDB4",'dabac (2016)'!$A$3,"MA_HT","ODT","MA_QH","DDL")</f>
        <v>0</v>
      </c>
      <c r="AP45" s="111">
        <f>+GETPIVOTDATA("XDB4",'dabac (2016)'!$A$3,"MA_HT","ODT","MA_QH","DRA")</f>
        <v>0</v>
      </c>
      <c r="AQ45" s="111">
        <f>+GETPIVOTDATA("XDB4",'dabac (2016)'!$A$3,"MA_HT","ODT","MA_QH","ONT")</f>
        <v>0</v>
      </c>
      <c r="AR45" s="112" t="e">
        <f>$D45-$BF45</f>
        <v>#REF!</v>
      </c>
      <c r="AS45" s="111">
        <f>+GETPIVOTDATA("XDB4",'dabac (2016)'!$A$3,"MA_HT","ODT","MA_QH","TSC")</f>
        <v>0</v>
      </c>
      <c r="AT45" s="111">
        <f>+GETPIVOTDATA("XDB4",'dabac (2016)'!$A$3,"MA_HT","ODT","MA_QH","DTS")</f>
        <v>0</v>
      </c>
      <c r="AU45" s="111">
        <f>+GETPIVOTDATA("XDB4",'dabac (2016)'!$A$3,"MA_HT","ODT","MA_QH","DNG")</f>
        <v>0</v>
      </c>
      <c r="AV45" s="111">
        <f>+GETPIVOTDATA("XDB4",'dabac (2016)'!$A$3,"MA_HT","ODT","MA_QH","TON")</f>
        <v>0</v>
      </c>
      <c r="AW45" s="111">
        <f>+GETPIVOTDATA("XDB4",'dabac (2016)'!$A$3,"MA_HT","ODT","MA_QH","NTD")</f>
        <v>0</v>
      </c>
      <c r="AX45" s="111">
        <f>+GETPIVOTDATA("XDB4",'dabac (2016)'!$A$3,"MA_HT","ODT","MA_QH","SKX")</f>
        <v>0</v>
      </c>
      <c r="AY45" s="111">
        <f>+GETPIVOTDATA("XDB4",'dabac (2016)'!$A$3,"MA_HT","ODT","MA_QH","DSH")</f>
        <v>0</v>
      </c>
      <c r="AZ45" s="111">
        <f>+GETPIVOTDATA("XDB4",'dabac (2016)'!$A$3,"MA_HT","ODT","MA_QH","DKV")</f>
        <v>0</v>
      </c>
      <c r="BA45" s="142">
        <f>+GETPIVOTDATA("XDB4",'dabac (2016)'!$A$3,"MA_HT","ODT","MA_QH","TIN")</f>
        <v>0</v>
      </c>
      <c r="BB45" s="105">
        <f>+GETPIVOTDATA("XDB4",'dabac (2016)'!$A$3,"MA_HT","ODT","MA_QH","SON")</f>
        <v>0</v>
      </c>
      <c r="BC45" s="105">
        <f>+GETPIVOTDATA("XDB4",'dabac (2016)'!$A$3,"MA_HT","ODT","MA_QH","MNC")</f>
        <v>0</v>
      </c>
      <c r="BD45" s="111">
        <f>+GETPIVOTDATA("XDB4",'dabac (2016)'!$A$3,"MA_HT","ODT","MA_QH","PNK")</f>
        <v>0</v>
      </c>
      <c r="BE45" s="113">
        <f>+GETPIVOTDATA("XDB4",'dabac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+GETPIVOTDATA("XDB4",'dabac (2016)'!$A$3,"MA_HT","TSC","MA_QH","LUC")</f>
        <v>0</v>
      </c>
      <c r="H46" s="35">
        <f>+GETPIVOTDATA("XDB4",'dabac (2016)'!$A$3,"MA_HT","TSC","MA_QH","LUK")</f>
        <v>0</v>
      </c>
      <c r="I46" s="35">
        <f>+GETPIVOTDATA("XDB4",'dabac (2016)'!$A$3,"MA_HT","TSC","MA_QH","LUN")</f>
        <v>0</v>
      </c>
      <c r="J46" s="35">
        <f>+GETPIVOTDATA("XDB4",'dabac (2016)'!$A$3,"MA_HT","TSC","MA_QH","HNK")</f>
        <v>0</v>
      </c>
      <c r="K46" s="35">
        <f>+GETPIVOTDATA("XDB4",'dabac (2016)'!$A$3,"MA_HT","TSC","MA_QH","CLN")</f>
        <v>0</v>
      </c>
      <c r="L46" s="35">
        <f>+GETPIVOTDATA("XDB4",'dabac (2016)'!$A$3,"MA_HT","TSC","MA_QH","RSX")</f>
        <v>0</v>
      </c>
      <c r="M46" s="35">
        <f>+GETPIVOTDATA("XDB4",'dabac (2016)'!$A$3,"MA_HT","TSC","MA_QH","RPH")</f>
        <v>0</v>
      </c>
      <c r="N46" s="35">
        <f>+GETPIVOTDATA("XDB4",'dabac (2016)'!$A$3,"MA_HT","TSC","MA_QH","RDD")</f>
        <v>0</v>
      </c>
      <c r="O46" s="35">
        <f>+GETPIVOTDATA("XDB4",'dabac (2016)'!$A$3,"MA_HT","TSC","MA_QH","NTS")</f>
        <v>0</v>
      </c>
      <c r="P46" s="35">
        <f>+GETPIVOTDATA("XDB4",'dabac (2016)'!$A$3,"MA_HT","TSC","MA_QH","LMU")</f>
        <v>0</v>
      </c>
      <c r="Q46" s="35">
        <f>+GETPIVOTDATA("XDB4",'dabac (2016)'!$A$3,"MA_HT","TSC","MA_QH","NKH")</f>
        <v>0</v>
      </c>
      <c r="R46" s="72">
        <f>SUM(S46:AA46,AN46:AR46,AT46:BD46)</f>
        <v>0</v>
      </c>
      <c r="S46" s="35">
        <f>+GETPIVOTDATA("XDB4",'dabac (2016)'!$A$3,"MA_HT","TSC","MA_QH","CQP")</f>
        <v>0</v>
      </c>
      <c r="T46" s="35">
        <f>+GETPIVOTDATA("XDB4",'dabac (2016)'!$A$3,"MA_HT","TSC","MA_QH","CAN")</f>
        <v>0</v>
      </c>
      <c r="U46" s="35">
        <f>+GETPIVOTDATA("XDB4",'dabac (2016)'!$A$3,"MA_HT","TSC","MA_QH","SKK")</f>
        <v>0</v>
      </c>
      <c r="V46" s="35">
        <f>+GETPIVOTDATA("XDB4",'dabac (2016)'!$A$3,"MA_HT","TSC","MA_QH","SKT")</f>
        <v>0</v>
      </c>
      <c r="W46" s="35">
        <f>+GETPIVOTDATA("XDB4",'dabac (2016)'!$A$3,"MA_HT","TSC","MA_QH","SKN")</f>
        <v>0</v>
      </c>
      <c r="X46" s="35">
        <f>+GETPIVOTDATA("XDB4",'dabac (2016)'!$A$3,"MA_HT","TSC","MA_QH","TMD")</f>
        <v>0</v>
      </c>
      <c r="Y46" s="35">
        <f>+GETPIVOTDATA("XDB4",'dabac (2016)'!$A$3,"MA_HT","TSC","MA_QH","SKC")</f>
        <v>0</v>
      </c>
      <c r="Z46" s="35">
        <f>+GETPIVOTDATA("XDB4",'dabac (2016)'!$A$3,"MA_HT","TSC","MA_QH","SKS")</f>
        <v>0</v>
      </c>
      <c r="AA46" s="64">
        <f t="shared" si="21"/>
        <v>0</v>
      </c>
      <c r="AB46" s="35">
        <f>+GETPIVOTDATA("XDB4",'dabac (2016)'!$A$3,"MA_HT","TSC","MA_QH","DGT")</f>
        <v>0</v>
      </c>
      <c r="AC46" s="35">
        <f>+GETPIVOTDATA("XDB4",'dabac (2016)'!$A$3,"MA_HT","TSC","MA_QH","DTL")</f>
        <v>0</v>
      </c>
      <c r="AD46" s="35">
        <f>+GETPIVOTDATA("XDB4",'dabac (2016)'!$A$3,"MA_HT","TSC","MA_QH","DNL")</f>
        <v>0</v>
      </c>
      <c r="AE46" s="35">
        <f>+GETPIVOTDATA("XDB4",'dabac (2016)'!$A$3,"MA_HT","TSC","MA_QH","DBV")</f>
        <v>0</v>
      </c>
      <c r="AF46" s="35">
        <f>+GETPIVOTDATA("XDB4",'dabac (2016)'!$A$3,"MA_HT","TSC","MA_QH","DVH")</f>
        <v>0</v>
      </c>
      <c r="AG46" s="35">
        <f>+GETPIVOTDATA("XDB4",'dabac (2016)'!$A$3,"MA_HT","TSC","MA_QH","DYT")</f>
        <v>0</v>
      </c>
      <c r="AH46" s="35">
        <f>+GETPIVOTDATA("XDB4",'dabac (2016)'!$A$3,"MA_HT","TSC","MA_QH","DGD")</f>
        <v>0</v>
      </c>
      <c r="AI46" s="35">
        <f>+GETPIVOTDATA("XDB4",'dabac (2016)'!$A$3,"MA_HT","TSC","MA_QH","DTT")</f>
        <v>0</v>
      </c>
      <c r="AJ46" s="35">
        <f>+GETPIVOTDATA("XDB4",'dabac (2016)'!$A$3,"MA_HT","TSC","MA_QH","NCK")</f>
        <v>0</v>
      </c>
      <c r="AK46" s="35">
        <f>+GETPIVOTDATA("XDB4",'dabac (2016)'!$A$3,"MA_HT","TSC","MA_QH","DXH")</f>
        <v>0</v>
      </c>
      <c r="AL46" s="35">
        <f>+GETPIVOTDATA("XDB4",'dabac (2016)'!$A$3,"MA_HT","TSC","MA_QH","DCH")</f>
        <v>0</v>
      </c>
      <c r="AM46" s="35">
        <f>+GETPIVOTDATA("XDB4",'dabac (2016)'!$A$3,"MA_HT","TSC","MA_QH","DKG")</f>
        <v>0</v>
      </c>
      <c r="AN46" s="35">
        <f>+GETPIVOTDATA("XDB4",'dabac (2016)'!$A$3,"MA_HT","TSC","MA_QH","DDT")</f>
        <v>0</v>
      </c>
      <c r="AO46" s="35">
        <f>+GETPIVOTDATA("XDB4",'dabac (2016)'!$A$3,"MA_HT","TSC","MA_QH","DDL")</f>
        <v>0</v>
      </c>
      <c r="AP46" s="35">
        <f>+GETPIVOTDATA("XDB4",'dabac (2016)'!$A$3,"MA_HT","TSC","MA_QH","DRA")</f>
        <v>0</v>
      </c>
      <c r="AQ46" s="35">
        <f>+GETPIVOTDATA("XDB4",'dabac (2016)'!$A$3,"MA_HT","TSC","MA_QH","ONT")</f>
        <v>0</v>
      </c>
      <c r="AR46" s="35">
        <f>+GETPIVOTDATA("XDB4",'dabac (2016)'!$A$3,"MA_HT","TSC","MA_QH","ODT")</f>
        <v>0</v>
      </c>
      <c r="AS46" s="99" t="e">
        <f>$D46-$BF46</f>
        <v>#REF!</v>
      </c>
      <c r="AT46" s="35">
        <f>+GETPIVOTDATA("XDB4",'dabac (2016)'!$A$3,"MA_HT","TSC","MA_QH","DTS")</f>
        <v>0</v>
      </c>
      <c r="AU46" s="35">
        <f>+GETPIVOTDATA("XDB4",'dabac (2016)'!$A$3,"MA_HT","TSC","MA_QH","DNG")</f>
        <v>0</v>
      </c>
      <c r="AV46" s="35">
        <f>+GETPIVOTDATA("XDB4",'dabac (2016)'!$A$3,"MA_HT","TSC","MA_QH","TON")</f>
        <v>0</v>
      </c>
      <c r="AW46" s="35">
        <f>+GETPIVOTDATA("XDB4",'dabac (2016)'!$A$3,"MA_HT","TSC","MA_QH","NTD")</f>
        <v>0</v>
      </c>
      <c r="AX46" s="35">
        <f>+GETPIVOTDATA("XDB4",'dabac (2016)'!$A$3,"MA_HT","TSC","MA_QH","SKX")</f>
        <v>0</v>
      </c>
      <c r="AY46" s="35">
        <f>+GETPIVOTDATA("XDB4",'dabac (2016)'!$A$3,"MA_HT","TSC","MA_QH","DSH")</f>
        <v>0</v>
      </c>
      <c r="AZ46" s="35">
        <f>+GETPIVOTDATA("XDB4",'dabac (2016)'!$A$3,"MA_HT","TSC","MA_QH","DKV")</f>
        <v>0</v>
      </c>
      <c r="BA46" s="140">
        <f>+GETPIVOTDATA("XDB4",'dabac (2016)'!$A$3,"MA_HT","TSC","MA_QH","TIN")</f>
        <v>0</v>
      </c>
      <c r="BB46" s="74">
        <f>+GETPIVOTDATA("XDB4",'dabac (2016)'!$A$3,"MA_HT","TSC","MA_QH","SON")</f>
        <v>0</v>
      </c>
      <c r="BC46" s="74">
        <f>+GETPIVOTDATA("XDB4",'dabac (2016)'!$A$3,"MA_HT","TSC","MA_QH","MNC")</f>
        <v>0</v>
      </c>
      <c r="BD46" s="35">
        <f>+GETPIVOTDATA("XDB4",'dabac (2016)'!$A$3,"MA_HT","TSC","MA_QH","PNK")</f>
        <v>0</v>
      </c>
      <c r="BE46" s="58">
        <f>+GETPIVOTDATA("XDB4",'dabac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+GETPIVOTDATA("XDB4",'dabac (2016)'!$A$3,"MA_HT","DTS","MA_QH","LUC")</f>
        <v>0</v>
      </c>
      <c r="H47" s="122">
        <f>+GETPIVOTDATA("XDB4",'dabac (2016)'!$A$3,"MA_HT","DTS","MA_QH","LUK")</f>
        <v>0</v>
      </c>
      <c r="I47" s="122">
        <f>+GETPIVOTDATA("XDB4",'dabac (2016)'!$A$3,"MA_HT","DTS","MA_QH","LUN")</f>
        <v>0</v>
      </c>
      <c r="J47" s="122">
        <f>+GETPIVOTDATA("XDB4",'dabac (2016)'!$A$3,"MA_HT","DTS","MA_QH","HNK")</f>
        <v>0</v>
      </c>
      <c r="K47" s="122">
        <f>+GETPIVOTDATA("XDB4",'dabac (2016)'!$A$3,"MA_HT","DTS","MA_QH","CLN")</f>
        <v>0</v>
      </c>
      <c r="L47" s="122">
        <f>+GETPIVOTDATA("XDB4",'dabac (2016)'!$A$3,"MA_HT","DTS","MA_QH","RSX")</f>
        <v>0</v>
      </c>
      <c r="M47" s="122">
        <f>+GETPIVOTDATA("XDB4",'dabac (2016)'!$A$3,"MA_HT","DTS","MA_QH","RPH")</f>
        <v>0</v>
      </c>
      <c r="N47" s="122">
        <f>+GETPIVOTDATA("XDB4",'dabac (2016)'!$A$3,"MA_HT","DTS","MA_QH","RDD")</f>
        <v>0</v>
      </c>
      <c r="O47" s="122">
        <f>+GETPIVOTDATA("XDB4",'dabac (2016)'!$A$3,"MA_HT","DTS","MA_QH","NTS")</f>
        <v>0</v>
      </c>
      <c r="P47" s="122">
        <f>+GETPIVOTDATA("XDB4",'dabac (2016)'!$A$3,"MA_HT","DTS","MA_QH","LMU")</f>
        <v>0</v>
      </c>
      <c r="Q47" s="122">
        <f>+GETPIVOTDATA("XDB4",'dabac (2016)'!$A$3,"MA_HT","DTS","MA_QH","NKH")</f>
        <v>0</v>
      </c>
      <c r="R47" s="123">
        <f>SUM(S47:AA47,AN47:AS47,AU47:BD47)</f>
        <v>0</v>
      </c>
      <c r="S47" s="122">
        <f>+GETPIVOTDATA("XDB4",'dabac (2016)'!$A$3,"MA_HT","DTS","MA_QH","CQP")</f>
        <v>0</v>
      </c>
      <c r="T47" s="122">
        <f>+GETPIVOTDATA("XDB4",'dabac (2016)'!$A$3,"MA_HT","DTS","MA_QH","CAN")</f>
        <v>0</v>
      </c>
      <c r="U47" s="122">
        <f>+GETPIVOTDATA("XDB4",'dabac (2016)'!$A$3,"MA_HT","DTS","MA_QH","SKK")</f>
        <v>0</v>
      </c>
      <c r="V47" s="122">
        <f>+GETPIVOTDATA("XDB4",'dabac (2016)'!$A$3,"MA_HT","DTS","MA_QH","SKT")</f>
        <v>0</v>
      </c>
      <c r="W47" s="122">
        <f>+GETPIVOTDATA("XDB4",'dabac (2016)'!$A$3,"MA_HT","DTS","MA_QH","SKN")</f>
        <v>0</v>
      </c>
      <c r="X47" s="122">
        <f>+GETPIVOTDATA("XDB4",'dabac (2016)'!$A$3,"MA_HT","DTS","MA_QH","TMD")</f>
        <v>0</v>
      </c>
      <c r="Y47" s="122">
        <f>+GETPIVOTDATA("XDB4",'dabac (2016)'!$A$3,"MA_HT","DTS","MA_QH","SKC")</f>
        <v>0</v>
      </c>
      <c r="Z47" s="122">
        <f>+GETPIVOTDATA("XDB4",'dabac (2016)'!$A$3,"MA_HT","DTS","MA_QH","SKS")</f>
        <v>0</v>
      </c>
      <c r="AA47" s="121">
        <f t="shared" si="21"/>
        <v>0</v>
      </c>
      <c r="AB47" s="122">
        <f>+GETPIVOTDATA("XDB4",'dabac (2016)'!$A$3,"MA_HT","DTS","MA_QH","DGT")</f>
        <v>0</v>
      </c>
      <c r="AC47" s="122">
        <f>+GETPIVOTDATA("XDB4",'dabac (2016)'!$A$3,"MA_HT","DTS","MA_QH","DTL")</f>
        <v>0</v>
      </c>
      <c r="AD47" s="122">
        <f>+GETPIVOTDATA("XDB4",'dabac (2016)'!$A$3,"MA_HT","DTS","MA_QH","DNL")</f>
        <v>0</v>
      </c>
      <c r="AE47" s="122">
        <f>+GETPIVOTDATA("XDB4",'dabac (2016)'!$A$3,"MA_HT","DTS","MA_QH","DBV")</f>
        <v>0</v>
      </c>
      <c r="AF47" s="122">
        <f>+GETPIVOTDATA("XDB4",'dabac (2016)'!$A$3,"MA_HT","DTS","MA_QH","DVH")</f>
        <v>0</v>
      </c>
      <c r="AG47" s="122">
        <f>+GETPIVOTDATA("XDB4",'dabac (2016)'!$A$3,"MA_HT","DTS","MA_QH","DYT")</f>
        <v>0</v>
      </c>
      <c r="AH47" s="122">
        <f>+GETPIVOTDATA("XDB4",'dabac (2016)'!$A$3,"MA_HT","DTS","MA_QH","DGD")</f>
        <v>0</v>
      </c>
      <c r="AI47" s="122">
        <f>+GETPIVOTDATA("XDB4",'dabac (2016)'!$A$3,"MA_HT","DTS","MA_QH","DTT")</f>
        <v>0</v>
      </c>
      <c r="AJ47" s="122">
        <f>+GETPIVOTDATA("XDB4",'dabac (2016)'!$A$3,"MA_HT","DTS","MA_QH","NCK")</f>
        <v>0</v>
      </c>
      <c r="AK47" s="122">
        <f>+GETPIVOTDATA("XDB4",'dabac (2016)'!$A$3,"MA_HT","DTS","MA_QH","DXH")</f>
        <v>0</v>
      </c>
      <c r="AL47" s="122">
        <f>+GETPIVOTDATA("XDB4",'dabac (2016)'!$A$3,"MA_HT","DTS","MA_QH","DCH")</f>
        <v>0</v>
      </c>
      <c r="AM47" s="122">
        <f>+GETPIVOTDATA("XDB4",'dabac (2016)'!$A$3,"MA_HT","DTS","MA_QH","DKG")</f>
        <v>0</v>
      </c>
      <c r="AN47" s="122">
        <f>+GETPIVOTDATA("XDB4",'dabac (2016)'!$A$3,"MA_HT","DTS","MA_QH","DDT")</f>
        <v>0</v>
      </c>
      <c r="AO47" s="122">
        <f>+GETPIVOTDATA("XDB4",'dabac (2016)'!$A$3,"MA_HT","DTS","MA_QH","DDL")</f>
        <v>0</v>
      </c>
      <c r="AP47" s="122">
        <f>+GETPIVOTDATA("XDB4",'dabac (2016)'!$A$3,"MA_HT","DTS","MA_QH","DRA")</f>
        <v>0</v>
      </c>
      <c r="AQ47" s="122">
        <f>+GETPIVOTDATA("XDB4",'dabac (2016)'!$A$3,"MA_HT","DTS","MA_QH","ONT")</f>
        <v>0</v>
      </c>
      <c r="AR47" s="122">
        <f>+GETPIVOTDATA("XDB4",'dabac (2016)'!$A$3,"MA_HT","DTS","MA_QH","ODT")</f>
        <v>0</v>
      </c>
      <c r="AS47" s="122">
        <f>+GETPIVOTDATA("XDB4",'dabac (2016)'!$A$3,"MA_HT","DTS","MA_QH","TSC")</f>
        <v>0</v>
      </c>
      <c r="AT47" s="124" t="e">
        <f>$D47-$BF47</f>
        <v>#REF!</v>
      </c>
      <c r="AU47" s="122">
        <f>+GETPIVOTDATA("XDB4",'dabac (2016)'!$A$3,"MA_HT","DTS","MA_QH","DNG")</f>
        <v>0</v>
      </c>
      <c r="AV47" s="122">
        <f>+GETPIVOTDATA("XDB4",'dabac (2016)'!$A$3,"MA_HT","DTS","MA_QH","TON")</f>
        <v>0</v>
      </c>
      <c r="AW47" s="122">
        <f>+GETPIVOTDATA("XDB4",'dabac (2016)'!$A$3,"MA_HT","DTS","MA_QH","NTD")</f>
        <v>0</v>
      </c>
      <c r="AX47" s="122">
        <f>+GETPIVOTDATA("XDB4",'dabac (2016)'!$A$3,"MA_HT","DTS","MA_QH","SKX")</f>
        <v>0</v>
      </c>
      <c r="AY47" s="122">
        <f>+GETPIVOTDATA("XDB4",'dabac (2016)'!$A$3,"MA_HT","DTS","MA_QH","DSH")</f>
        <v>0</v>
      </c>
      <c r="AZ47" s="122">
        <f>+GETPIVOTDATA("XDB4",'dabac (2016)'!$A$3,"MA_HT","DTS","MA_QH","DKV")</f>
        <v>0</v>
      </c>
      <c r="BA47" s="141">
        <f>+GETPIVOTDATA("XDB4",'dabac (2016)'!$A$3,"MA_HT","DTS","MA_QH","TIN")</f>
        <v>0</v>
      </c>
      <c r="BB47" s="125">
        <f>+GETPIVOTDATA("XDB4",'dabac (2016)'!$A$3,"MA_HT","DTS","MA_QH","SON")</f>
        <v>0</v>
      </c>
      <c r="BC47" s="125">
        <f>+GETPIVOTDATA("XDB4",'dabac (2016)'!$A$3,"MA_HT","DTS","MA_QH","MNC")</f>
        <v>0</v>
      </c>
      <c r="BD47" s="122">
        <f>+GETPIVOTDATA("XDB4",'dabac (2016)'!$A$3,"MA_HT","DTS","MA_QH","PNK")</f>
        <v>0</v>
      </c>
      <c r="BE47" s="126">
        <f>+GETPIVOTDATA("XDB4",'dabac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+GETPIVOTDATA("XDB4",'dabac (2016)'!$A$3,"MA_HT","DNG","MA_QH","LUC")</f>
        <v>0</v>
      </c>
      <c r="H48" s="35">
        <f>+GETPIVOTDATA("XDB4",'dabac (2016)'!$A$3,"MA_HT","DNG","MA_QH","LUK")</f>
        <v>0</v>
      </c>
      <c r="I48" s="35">
        <f>+GETPIVOTDATA("XDB4",'dabac (2016)'!$A$3,"MA_HT","DNG","MA_QH","LUN")</f>
        <v>0</v>
      </c>
      <c r="J48" s="35">
        <f>+GETPIVOTDATA("XDB4",'dabac (2016)'!$A$3,"MA_HT","DNG","MA_QH","HNK")</f>
        <v>0</v>
      </c>
      <c r="K48" s="35">
        <f>+GETPIVOTDATA("XDB4",'dabac (2016)'!$A$3,"MA_HT","DNG","MA_QH","CLN")</f>
        <v>0</v>
      </c>
      <c r="L48" s="35">
        <f>+GETPIVOTDATA("XDB4",'dabac (2016)'!$A$3,"MA_HT","DNG","MA_QH","RSX")</f>
        <v>0</v>
      </c>
      <c r="M48" s="35">
        <f>+GETPIVOTDATA("XDB4",'dabac (2016)'!$A$3,"MA_HT","DNG","MA_QH","RPH")</f>
        <v>0</v>
      </c>
      <c r="N48" s="35">
        <f>+GETPIVOTDATA("XDB4",'dabac (2016)'!$A$3,"MA_HT","DNG","MA_QH","RDD")</f>
        <v>0</v>
      </c>
      <c r="O48" s="35">
        <f>+GETPIVOTDATA("XDB4",'dabac (2016)'!$A$3,"MA_HT","DNG","MA_QH","NTS")</f>
        <v>0</v>
      </c>
      <c r="P48" s="35">
        <f>+GETPIVOTDATA("XDB4",'dabac (2016)'!$A$3,"MA_HT","DNG","MA_QH","LMU")</f>
        <v>0</v>
      </c>
      <c r="Q48" s="35">
        <f>+GETPIVOTDATA("XDB4",'dabac (2016)'!$A$3,"MA_HT","DNG","MA_QH","NKH")</f>
        <v>0</v>
      </c>
      <c r="R48" s="106">
        <f>SUM(S48:AA48,AN48:AT48,AV48:BD48)</f>
        <v>0</v>
      </c>
      <c r="S48" s="35">
        <f>+GETPIVOTDATA("XDB4",'dabac (2016)'!$A$3,"MA_HT","DNG","MA_QH","CQP")</f>
        <v>0</v>
      </c>
      <c r="T48" s="35">
        <f>+GETPIVOTDATA("XDB4",'dabac (2016)'!$A$3,"MA_HT","DNG","MA_QH","CAN")</f>
        <v>0</v>
      </c>
      <c r="U48" s="35">
        <f>+GETPIVOTDATA("XDB4",'dabac (2016)'!$A$3,"MA_HT","DNG","MA_QH","SKK")</f>
        <v>0</v>
      </c>
      <c r="V48" s="35">
        <f>+GETPIVOTDATA("XDB4",'dabac (2016)'!$A$3,"MA_HT","DNG","MA_QH","SKT")</f>
        <v>0</v>
      </c>
      <c r="W48" s="35">
        <f>+GETPIVOTDATA("XDB4",'dabac (2016)'!$A$3,"MA_HT","DNG","MA_QH","SKN")</f>
        <v>0</v>
      </c>
      <c r="X48" s="35">
        <f>+GETPIVOTDATA("XDB4",'dabac (2016)'!$A$3,"MA_HT","DNG","MA_QH","TMD")</f>
        <v>0</v>
      </c>
      <c r="Y48" s="35">
        <f>+GETPIVOTDATA("XDB4",'dabac (2016)'!$A$3,"MA_HT","DNG","MA_QH","SKC")</f>
        <v>0</v>
      </c>
      <c r="Z48" s="35">
        <f>+GETPIVOTDATA("XDB4",'dabac (2016)'!$A$3,"MA_HT","DNG","MA_QH","SKS")</f>
        <v>0</v>
      </c>
      <c r="AA48" s="64">
        <f t="shared" si="21"/>
        <v>0</v>
      </c>
      <c r="AB48" s="35">
        <f>+GETPIVOTDATA("XDB4",'dabac (2016)'!$A$3,"MA_HT","DNG","MA_QH","DGT")</f>
        <v>0</v>
      </c>
      <c r="AC48" s="35">
        <f>+GETPIVOTDATA("XDB4",'dabac (2016)'!$A$3,"MA_HT","DNG","MA_QH","DTL")</f>
        <v>0</v>
      </c>
      <c r="AD48" s="35">
        <f>+GETPIVOTDATA("XDB4",'dabac (2016)'!$A$3,"MA_HT","DNG","MA_QH","DNL")</f>
        <v>0</v>
      </c>
      <c r="AE48" s="35">
        <f>+GETPIVOTDATA("XDB4",'dabac (2016)'!$A$3,"MA_HT","DNG","MA_QH","DBV")</f>
        <v>0</v>
      </c>
      <c r="AF48" s="35">
        <f>+GETPIVOTDATA("XDB4",'dabac (2016)'!$A$3,"MA_HT","DNG","MA_QH","DVH")</f>
        <v>0</v>
      </c>
      <c r="AG48" s="35">
        <f>+GETPIVOTDATA("XDB4",'dabac (2016)'!$A$3,"MA_HT","DNG","MA_QH","DYT")</f>
        <v>0</v>
      </c>
      <c r="AH48" s="35">
        <f>+GETPIVOTDATA("XDB4",'dabac (2016)'!$A$3,"MA_HT","DNG","MA_QH","DGD")</f>
        <v>0</v>
      </c>
      <c r="AI48" s="35">
        <f>+GETPIVOTDATA("XDB4",'dabac (2016)'!$A$3,"MA_HT","DNG","MA_QH","DTT")</f>
        <v>0</v>
      </c>
      <c r="AJ48" s="35">
        <f>+GETPIVOTDATA("XDB4",'dabac (2016)'!$A$3,"MA_HT","DNG","MA_QH","NCK")</f>
        <v>0</v>
      </c>
      <c r="AK48" s="35">
        <f>+GETPIVOTDATA("XDB4",'dabac (2016)'!$A$3,"MA_HT","DNG","MA_QH","DXH")</f>
        <v>0</v>
      </c>
      <c r="AL48" s="35">
        <f>+GETPIVOTDATA("XDB4",'dabac (2016)'!$A$3,"MA_HT","DNG","MA_QH","DCH")</f>
        <v>0</v>
      </c>
      <c r="AM48" s="35">
        <f>+GETPIVOTDATA("XDB4",'dabac (2016)'!$A$3,"MA_HT","DNG","MA_QH","DKG")</f>
        <v>0</v>
      </c>
      <c r="AN48" s="35">
        <f>+GETPIVOTDATA("XDB4",'dabac (2016)'!$A$3,"MA_HT","DNG","MA_QH","DDT")</f>
        <v>0</v>
      </c>
      <c r="AO48" s="35">
        <f>+GETPIVOTDATA("XDB4",'dabac (2016)'!$A$3,"MA_HT","DNG","MA_QH","DDL")</f>
        <v>0</v>
      </c>
      <c r="AP48" s="35">
        <f>+GETPIVOTDATA("XDB4",'dabac (2016)'!$A$3,"MA_HT","DNG","MA_QH","DRA")</f>
        <v>0</v>
      </c>
      <c r="AQ48" s="35">
        <f>+GETPIVOTDATA("XDB4",'dabac (2016)'!$A$3,"MA_HT","DNG","MA_QH","ONT")</f>
        <v>0</v>
      </c>
      <c r="AR48" s="35">
        <f>+GETPIVOTDATA("XDB4",'dabac (2016)'!$A$3,"MA_HT","DNG","MA_QH","ODT")</f>
        <v>0</v>
      </c>
      <c r="AS48" s="35">
        <f>+GETPIVOTDATA("XDB4",'dabac (2016)'!$A$3,"MA_HT","DNG","MA_QH","TSC")</f>
        <v>0</v>
      </c>
      <c r="AT48" s="35">
        <f>+GETPIVOTDATA("XDB4",'dabac (2016)'!$A$3,"MA_HT","DNG","MA_QH","DTS")</f>
        <v>0</v>
      </c>
      <c r="AU48" s="99" t="e">
        <f>$D48-$BF48</f>
        <v>#REF!</v>
      </c>
      <c r="AV48" s="35">
        <f>+GETPIVOTDATA("XDB4",'dabac (2016)'!$A$3,"MA_HT","DNG","MA_QH","TON")</f>
        <v>0</v>
      </c>
      <c r="AW48" s="35">
        <f>+GETPIVOTDATA("XDB4",'dabac (2016)'!$A$3,"MA_HT","DNG","MA_QH","NTD")</f>
        <v>0</v>
      </c>
      <c r="AX48" s="35">
        <f>+GETPIVOTDATA("XDB4",'dabac (2016)'!$A$3,"MA_HT","DNG","MA_QH","SKX")</f>
        <v>0</v>
      </c>
      <c r="AY48" s="35">
        <f>+GETPIVOTDATA("XDB4",'dabac (2016)'!$A$3,"MA_HT","DNG","MA_QH","DSH")</f>
        <v>0</v>
      </c>
      <c r="AZ48" s="35">
        <f>+GETPIVOTDATA("XDB4",'dabac (2016)'!$A$3,"MA_HT","DNG","MA_QH","DKV")</f>
        <v>0</v>
      </c>
      <c r="BA48" s="140">
        <f>+GETPIVOTDATA("XDB4",'dabac (2016)'!$A$3,"MA_HT","DNG","MA_QH","TIN")</f>
        <v>0</v>
      </c>
      <c r="BB48" s="74">
        <f>+GETPIVOTDATA("XDB4",'dabac (2016)'!$A$3,"MA_HT","DNG","MA_QH","SON")</f>
        <v>0</v>
      </c>
      <c r="BC48" s="74">
        <f>+GETPIVOTDATA("XDB4",'dabac (2016)'!$A$3,"MA_HT","DNG","MA_QH","MNC")</f>
        <v>0</v>
      </c>
      <c r="BD48" s="35">
        <f>+GETPIVOTDATA("XDB4",'dabac (2016)'!$A$3,"MA_HT","DNG","MA_QH","PNK")</f>
        <v>0</v>
      </c>
      <c r="BE48" s="58">
        <f>+GETPIVOTDATA("XDB4",'dabac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+GETPIVOTDATA("XDB4",'dabac (2016)'!$A$3,"MA_HT","TON","MA_QH","LUC")</f>
        <v>0</v>
      </c>
      <c r="H49" s="35">
        <f>+GETPIVOTDATA("XDB4",'dabac (2016)'!$A$3,"MA_HT","TON","MA_QH","LUK")</f>
        <v>0</v>
      </c>
      <c r="I49" s="35">
        <f>+GETPIVOTDATA("XDB4",'dabac (2016)'!$A$3,"MA_HT","TON","MA_QH","LUN")</f>
        <v>0</v>
      </c>
      <c r="J49" s="35">
        <f>+GETPIVOTDATA("XDB4",'dabac (2016)'!$A$3,"MA_HT","TON","MA_QH","HNK")</f>
        <v>0</v>
      </c>
      <c r="K49" s="35">
        <f>+GETPIVOTDATA("XDB4",'dabac (2016)'!$A$3,"MA_HT","TON","MA_QH","CLN")</f>
        <v>0</v>
      </c>
      <c r="L49" s="35">
        <f>+GETPIVOTDATA("XDB4",'dabac (2016)'!$A$3,"MA_HT","TON","MA_QH","RSX")</f>
        <v>0</v>
      </c>
      <c r="M49" s="35">
        <f>+GETPIVOTDATA("XDB4",'dabac (2016)'!$A$3,"MA_HT","TON","MA_QH","RPH")</f>
        <v>0</v>
      </c>
      <c r="N49" s="35">
        <f>+GETPIVOTDATA("XDB4",'dabac (2016)'!$A$3,"MA_HT","TON","MA_QH","RDD")</f>
        <v>0</v>
      </c>
      <c r="O49" s="35">
        <f>+GETPIVOTDATA("XDB4",'dabac (2016)'!$A$3,"MA_HT","TON","MA_QH","NTS")</f>
        <v>0</v>
      </c>
      <c r="P49" s="35">
        <f>+GETPIVOTDATA("XDB4",'dabac (2016)'!$A$3,"MA_HT","TON","MA_QH","LMU")</f>
        <v>0</v>
      </c>
      <c r="Q49" s="35">
        <f>+GETPIVOTDATA("XDB4",'dabac (2016)'!$A$3,"MA_HT","TON","MA_QH","NKH")</f>
        <v>0</v>
      </c>
      <c r="R49" s="106">
        <f>SUM(S49:AA49,AN49:AU49,AW49:BD49)</f>
        <v>0</v>
      </c>
      <c r="S49" s="35">
        <f>+GETPIVOTDATA("XDB4",'dabac (2016)'!$A$3,"MA_HT","TON","MA_QH","CQP")</f>
        <v>0</v>
      </c>
      <c r="T49" s="35">
        <f>+GETPIVOTDATA("XDB4",'dabac (2016)'!$A$3,"MA_HT","TON","MA_QH","CAN")</f>
        <v>0</v>
      </c>
      <c r="U49" s="35">
        <f>+GETPIVOTDATA("XDB4",'dabac (2016)'!$A$3,"MA_HT","TON","MA_QH","SKK")</f>
        <v>0</v>
      </c>
      <c r="V49" s="35">
        <f>+GETPIVOTDATA("XDB4",'dabac (2016)'!$A$3,"MA_HT","TON","MA_QH","SKT")</f>
        <v>0</v>
      </c>
      <c r="W49" s="35">
        <f>+GETPIVOTDATA("XDB4",'dabac (2016)'!$A$3,"MA_HT","TON","MA_QH","SKN")</f>
        <v>0</v>
      </c>
      <c r="X49" s="35">
        <f>+GETPIVOTDATA("XDB4",'dabac (2016)'!$A$3,"MA_HT","TON","MA_QH","TMD")</f>
        <v>0</v>
      </c>
      <c r="Y49" s="35">
        <f>+GETPIVOTDATA("XDB4",'dabac (2016)'!$A$3,"MA_HT","TON","MA_QH","SKC")</f>
        <v>0</v>
      </c>
      <c r="Z49" s="35">
        <f>+GETPIVOTDATA("XDB4",'dabac (2016)'!$A$3,"MA_HT","TON","MA_QH","SKS")</f>
        <v>0</v>
      </c>
      <c r="AA49" s="64">
        <f t="shared" si="21"/>
        <v>0</v>
      </c>
      <c r="AB49" s="35">
        <f>+GETPIVOTDATA("XDB4",'dabac (2016)'!$A$3,"MA_HT","TON","MA_QH","DGT")</f>
        <v>0</v>
      </c>
      <c r="AC49" s="35">
        <f>+GETPIVOTDATA("XDB4",'dabac (2016)'!$A$3,"MA_HT","TON","MA_QH","DTL")</f>
        <v>0</v>
      </c>
      <c r="AD49" s="35">
        <f>+GETPIVOTDATA("XDB4",'dabac (2016)'!$A$3,"MA_HT","TON","MA_QH","DNL")</f>
        <v>0</v>
      </c>
      <c r="AE49" s="35">
        <f>+GETPIVOTDATA("XDB4",'dabac (2016)'!$A$3,"MA_HT","TON","MA_QH","DBV")</f>
        <v>0</v>
      </c>
      <c r="AF49" s="35">
        <f>+GETPIVOTDATA("XDB4",'dabac (2016)'!$A$3,"MA_HT","TON","MA_QH","DVH")</f>
        <v>0</v>
      </c>
      <c r="AG49" s="35">
        <f>+GETPIVOTDATA("XDB4",'dabac (2016)'!$A$3,"MA_HT","TON","MA_QH","DYT")</f>
        <v>0</v>
      </c>
      <c r="AH49" s="35">
        <f>+GETPIVOTDATA("XDB4",'dabac (2016)'!$A$3,"MA_HT","TON","MA_QH","DGD")</f>
        <v>0</v>
      </c>
      <c r="AI49" s="35">
        <f>+GETPIVOTDATA("XDB4",'dabac (2016)'!$A$3,"MA_HT","TON","MA_QH","DTT")</f>
        <v>0</v>
      </c>
      <c r="AJ49" s="35">
        <f>+GETPIVOTDATA("XDB4",'dabac (2016)'!$A$3,"MA_HT","TON","MA_QH","NCK")</f>
        <v>0</v>
      </c>
      <c r="AK49" s="35">
        <f>+GETPIVOTDATA("XDB4",'dabac (2016)'!$A$3,"MA_HT","TON","MA_QH","DXH")</f>
        <v>0</v>
      </c>
      <c r="AL49" s="35">
        <f>+GETPIVOTDATA("XDB4",'dabac (2016)'!$A$3,"MA_HT","TON","MA_QH","DCH")</f>
        <v>0</v>
      </c>
      <c r="AM49" s="35">
        <f>+GETPIVOTDATA("XDB4",'dabac (2016)'!$A$3,"MA_HT","TON","MA_QH","DKG")</f>
        <v>0</v>
      </c>
      <c r="AN49" s="35">
        <f>+GETPIVOTDATA("XDB4",'dabac (2016)'!$A$3,"MA_HT","TON","MA_QH","DDT")</f>
        <v>0</v>
      </c>
      <c r="AO49" s="35">
        <f>+GETPIVOTDATA("XDB4",'dabac (2016)'!$A$3,"MA_HT","TON","MA_QH","DDL")</f>
        <v>0</v>
      </c>
      <c r="AP49" s="35">
        <f>+GETPIVOTDATA("XDB4",'dabac (2016)'!$A$3,"MA_HT","TON","MA_QH","DRA")</f>
        <v>0</v>
      </c>
      <c r="AQ49" s="35">
        <f>+GETPIVOTDATA("XDB4",'dabac (2016)'!$A$3,"MA_HT","TON","MA_QH","ONT")</f>
        <v>0</v>
      </c>
      <c r="AR49" s="35">
        <f>+GETPIVOTDATA("XDB4",'dabac (2016)'!$A$3,"MA_HT","TON","MA_QH","ODT")</f>
        <v>0</v>
      </c>
      <c r="AS49" s="35">
        <f>+GETPIVOTDATA("XDB4",'dabac (2016)'!$A$3,"MA_HT","TON","MA_QH","TSC")</f>
        <v>0</v>
      </c>
      <c r="AT49" s="35">
        <f>+GETPIVOTDATA("XDB4",'dabac (2016)'!$A$3,"MA_HT","TON","MA_QH","DTS")</f>
        <v>0</v>
      </c>
      <c r="AU49" s="35">
        <f>+GETPIVOTDATA("XDB4",'dabac (2016)'!$A$3,"MA_HT","TON","MA_QH","DNG")</f>
        <v>0</v>
      </c>
      <c r="AV49" s="99" t="e">
        <f>$D49-$BF49</f>
        <v>#REF!</v>
      </c>
      <c r="AW49" s="35">
        <f>+GETPIVOTDATA("XDB4",'dabac (2016)'!$A$3,"MA_HT","TON","MA_QH","NTD")</f>
        <v>0</v>
      </c>
      <c r="AX49" s="35">
        <f>+GETPIVOTDATA("XDB4",'dabac (2016)'!$A$3,"MA_HT","TON","MA_QH","SKX")</f>
        <v>0</v>
      </c>
      <c r="AY49" s="35">
        <f>+GETPIVOTDATA("XDB4",'dabac (2016)'!$A$3,"MA_HT","TON","MA_QH","DSH")</f>
        <v>0</v>
      </c>
      <c r="AZ49" s="35">
        <f>+GETPIVOTDATA("XDB4",'dabac (2016)'!$A$3,"MA_HT","TON","MA_QH","DKV")</f>
        <v>0</v>
      </c>
      <c r="BA49" s="140">
        <f>+GETPIVOTDATA("XDB4",'dabac (2016)'!$A$3,"MA_HT","TON","MA_QH","TIN")</f>
        <v>0</v>
      </c>
      <c r="BB49" s="74">
        <f>+GETPIVOTDATA("XDB4",'dabac (2016)'!$A$3,"MA_HT","TON","MA_QH","SON")</f>
        <v>0</v>
      </c>
      <c r="BC49" s="74">
        <f>+GETPIVOTDATA("XDB4",'dabac (2016)'!$A$3,"MA_HT","TON","MA_QH","MNC")</f>
        <v>0</v>
      </c>
      <c r="BD49" s="35">
        <f>+GETPIVOTDATA("XDB4",'dabac (2016)'!$A$3,"MA_HT","TON","MA_QH","PNK")</f>
        <v>0</v>
      </c>
      <c r="BE49" s="58">
        <f>+GETPIVOTDATA("XDB4",'dabac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+GETPIVOTDATA("XDB4",'dabac (2016)'!$A$3,"MA_HT","NTD","MA_QH","LUC")</f>
        <v>0</v>
      </c>
      <c r="H50" s="35">
        <f>+GETPIVOTDATA("XDB4",'dabac (2016)'!$A$3,"MA_HT","NTD","MA_QH","LUK")</f>
        <v>0</v>
      </c>
      <c r="I50" s="35">
        <f>+GETPIVOTDATA("XDB4",'dabac (2016)'!$A$3,"MA_HT","NTD","MA_QH","LUN")</f>
        <v>0</v>
      </c>
      <c r="J50" s="35">
        <f>+GETPIVOTDATA("XDB4",'dabac (2016)'!$A$3,"MA_HT","NTD","MA_QH","HNK")</f>
        <v>0</v>
      </c>
      <c r="K50" s="35">
        <f>+GETPIVOTDATA("XDB4",'dabac (2016)'!$A$3,"MA_HT","NTD","MA_QH","CLN")</f>
        <v>0</v>
      </c>
      <c r="L50" s="35">
        <f>+GETPIVOTDATA("XDB4",'dabac (2016)'!$A$3,"MA_HT","NTD","MA_QH","RSX")</f>
        <v>0</v>
      </c>
      <c r="M50" s="35">
        <f>+GETPIVOTDATA("XDB4",'dabac (2016)'!$A$3,"MA_HT","NTD","MA_QH","RPH")</f>
        <v>0</v>
      </c>
      <c r="N50" s="35">
        <f>+GETPIVOTDATA("XDB4",'dabac (2016)'!$A$3,"MA_HT","NTD","MA_QH","RDD")</f>
        <v>0</v>
      </c>
      <c r="O50" s="35">
        <f>+GETPIVOTDATA("XDB4",'dabac (2016)'!$A$3,"MA_HT","NTD","MA_QH","NTS")</f>
        <v>0</v>
      </c>
      <c r="P50" s="35">
        <f>+GETPIVOTDATA("XDB4",'dabac (2016)'!$A$3,"MA_HT","NTD","MA_QH","LMU")</f>
        <v>0</v>
      </c>
      <c r="Q50" s="35">
        <f>+GETPIVOTDATA("XDB4",'dabac (2016)'!$A$3,"MA_HT","NTD","MA_QH","NKH")</f>
        <v>0</v>
      </c>
      <c r="R50" s="106">
        <f>SUM(S50:AA50,AN50:AV50,AX50:BD50)</f>
        <v>0</v>
      </c>
      <c r="S50" s="35">
        <f>+GETPIVOTDATA("XDB4",'dabac (2016)'!$A$3,"MA_HT","NTD","MA_QH","CQP")</f>
        <v>0</v>
      </c>
      <c r="T50" s="35">
        <f>+GETPIVOTDATA("XDB4",'dabac (2016)'!$A$3,"MA_HT","NTD","MA_QH","CAN")</f>
        <v>0</v>
      </c>
      <c r="U50" s="35">
        <f>+GETPIVOTDATA("XDB4",'dabac (2016)'!$A$3,"MA_HT","NTD","MA_QH","SKK")</f>
        <v>0</v>
      </c>
      <c r="V50" s="35">
        <f>+GETPIVOTDATA("XDB4",'dabac (2016)'!$A$3,"MA_HT","NTD","MA_QH","SKT")</f>
        <v>0</v>
      </c>
      <c r="W50" s="35">
        <f>+GETPIVOTDATA("XDB4",'dabac (2016)'!$A$3,"MA_HT","NTD","MA_QH","SKN")</f>
        <v>0</v>
      </c>
      <c r="X50" s="35">
        <f>+GETPIVOTDATA("XDB4",'dabac (2016)'!$A$3,"MA_HT","NTD","MA_QH","TMD")</f>
        <v>0</v>
      </c>
      <c r="Y50" s="35">
        <f>+GETPIVOTDATA("XDB4",'dabac (2016)'!$A$3,"MA_HT","NTD","MA_QH","SKC")</f>
        <v>0</v>
      </c>
      <c r="Z50" s="35">
        <f>+GETPIVOTDATA("XDB4",'dabac (2016)'!$A$3,"MA_HT","NTD","MA_QH","SKS")</f>
        <v>0</v>
      </c>
      <c r="AA50" s="64">
        <f t="shared" si="21"/>
        <v>0</v>
      </c>
      <c r="AB50" s="35">
        <f>+GETPIVOTDATA("XDB4",'dabac (2016)'!$A$3,"MA_HT","NTD","MA_QH","DGT")</f>
        <v>0</v>
      </c>
      <c r="AC50" s="35">
        <f>+GETPIVOTDATA("XDB4",'dabac (2016)'!$A$3,"MA_HT","NTD","MA_QH","DTL")</f>
        <v>0</v>
      </c>
      <c r="AD50" s="35">
        <f>+GETPIVOTDATA("XDB4",'dabac (2016)'!$A$3,"MA_HT","NTD","MA_QH","DNL")</f>
        <v>0</v>
      </c>
      <c r="AE50" s="35">
        <f>+GETPIVOTDATA("XDB4",'dabac (2016)'!$A$3,"MA_HT","NTD","MA_QH","DBV")</f>
        <v>0</v>
      </c>
      <c r="AF50" s="35">
        <f>+GETPIVOTDATA("XDB4",'dabac (2016)'!$A$3,"MA_HT","NTD","MA_QH","DVH")</f>
        <v>0</v>
      </c>
      <c r="AG50" s="35">
        <f>+GETPIVOTDATA("XDB4",'dabac (2016)'!$A$3,"MA_HT","NTD","MA_QH","DYT")</f>
        <v>0</v>
      </c>
      <c r="AH50" s="35">
        <f>+GETPIVOTDATA("XDB4",'dabac (2016)'!$A$3,"MA_HT","NTD","MA_QH","DGD")</f>
        <v>0</v>
      </c>
      <c r="AI50" s="35">
        <f>+GETPIVOTDATA("XDB4",'dabac (2016)'!$A$3,"MA_HT","NTD","MA_QH","DTT")</f>
        <v>0</v>
      </c>
      <c r="AJ50" s="35">
        <f>+GETPIVOTDATA("XDB4",'dabac (2016)'!$A$3,"MA_HT","NTD","MA_QH","NCK")</f>
        <v>0</v>
      </c>
      <c r="AK50" s="35">
        <f>+GETPIVOTDATA("XDB4",'dabac (2016)'!$A$3,"MA_HT","NTD","MA_QH","DXH")</f>
        <v>0</v>
      </c>
      <c r="AL50" s="35">
        <f>+GETPIVOTDATA("XDB4",'dabac (2016)'!$A$3,"MA_HT","NTD","MA_QH","DCH")</f>
        <v>0</v>
      </c>
      <c r="AM50" s="35">
        <f>+GETPIVOTDATA("XDB4",'dabac (2016)'!$A$3,"MA_HT","NTD","MA_QH","DKG")</f>
        <v>0</v>
      </c>
      <c r="AN50" s="35">
        <f>+GETPIVOTDATA("XDB4",'dabac (2016)'!$A$3,"MA_HT","NTD","MA_QH","DDT")</f>
        <v>0</v>
      </c>
      <c r="AO50" s="35">
        <f>+GETPIVOTDATA("XDB4",'dabac (2016)'!$A$3,"MA_HT","NTD","MA_QH","DDL")</f>
        <v>0</v>
      </c>
      <c r="AP50" s="35">
        <f>+GETPIVOTDATA("XDB4",'dabac (2016)'!$A$3,"MA_HT","NTD","MA_QH","DRA")</f>
        <v>0</v>
      </c>
      <c r="AQ50" s="35">
        <f>+GETPIVOTDATA("XDB4",'dabac (2016)'!$A$3,"MA_HT","NTD","MA_QH","ONT")</f>
        <v>0</v>
      </c>
      <c r="AR50" s="35">
        <f>+GETPIVOTDATA("XDB4",'dabac (2016)'!$A$3,"MA_HT","NTD","MA_QH","ODT")</f>
        <v>0</v>
      </c>
      <c r="AS50" s="35">
        <f>+GETPIVOTDATA("XDB4",'dabac (2016)'!$A$3,"MA_HT","NTD","MA_QH","TSC")</f>
        <v>0</v>
      </c>
      <c r="AT50" s="35">
        <f>+GETPIVOTDATA("XDB4",'dabac (2016)'!$A$3,"MA_HT","NTD","MA_QH","DTS")</f>
        <v>0</v>
      </c>
      <c r="AU50" s="35">
        <f>+GETPIVOTDATA("XDB4",'dabac (2016)'!$A$3,"MA_HT","NTD","MA_QH","DNG")</f>
        <v>0</v>
      </c>
      <c r="AV50" s="35">
        <f>+GETPIVOTDATA("XDB4",'dabac (2016)'!$A$3,"MA_HT","NTD","MA_QH","TON")</f>
        <v>0</v>
      </c>
      <c r="AW50" s="99" t="e">
        <f>$D50-$BF50</f>
        <v>#REF!</v>
      </c>
      <c r="AX50" s="35">
        <f>+GETPIVOTDATA("XDB4",'dabac (2016)'!$A$3,"MA_HT","NTD","MA_QH","SKX")</f>
        <v>0</v>
      </c>
      <c r="AY50" s="35">
        <f>+GETPIVOTDATA("XDB4",'dabac (2016)'!$A$3,"MA_HT","NTD","MA_QH","DSH")</f>
        <v>0</v>
      </c>
      <c r="AZ50" s="35">
        <f>+GETPIVOTDATA("XDB4",'dabac (2016)'!$A$3,"MA_HT","NTD","MA_QH","DKV")</f>
        <v>0</v>
      </c>
      <c r="BA50" s="140">
        <f>+GETPIVOTDATA("XDB4",'dabac (2016)'!$A$3,"MA_HT","NTD","MA_QH","TIN")</f>
        <v>0</v>
      </c>
      <c r="BB50" s="74">
        <f>+GETPIVOTDATA("XDB4",'dabac (2016)'!$A$3,"MA_HT","NTD","MA_QH","SON")</f>
        <v>0</v>
      </c>
      <c r="BC50" s="74">
        <f>+GETPIVOTDATA("XDB4",'dabac (2016)'!$A$3,"MA_HT","NTD","MA_QH","MNC")</f>
        <v>0</v>
      </c>
      <c r="BD50" s="35">
        <f>+GETPIVOTDATA("XDB4",'dabac (2016)'!$A$3,"MA_HT","NTD","MA_QH","PNK")</f>
        <v>0</v>
      </c>
      <c r="BE50" s="58">
        <f>+GETPIVOTDATA("XDB4",'dabac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+GETPIVOTDATA("XDB4",'dabac (2016)'!$A$3,"MA_HT","SKX","MA_QH","LUC")</f>
        <v>0</v>
      </c>
      <c r="H51" s="35">
        <f>+GETPIVOTDATA("XDB4",'dabac (2016)'!$A$3,"MA_HT","SKX","MA_QH","LUK")</f>
        <v>0</v>
      </c>
      <c r="I51" s="35">
        <f>+GETPIVOTDATA("XDB4",'dabac (2016)'!$A$3,"MA_HT","SKX","MA_QH","LUN")</f>
        <v>0</v>
      </c>
      <c r="J51" s="35">
        <f>+GETPIVOTDATA("XDB4",'dabac (2016)'!$A$3,"MA_HT","SKX","MA_QH","HNK")</f>
        <v>0</v>
      </c>
      <c r="K51" s="35">
        <f>+GETPIVOTDATA("XDB4",'dabac (2016)'!$A$3,"MA_HT","SKX","MA_QH","CLN")</f>
        <v>0</v>
      </c>
      <c r="L51" s="35">
        <f>+GETPIVOTDATA("XDB4",'dabac (2016)'!$A$3,"MA_HT","SKX","MA_QH","RSX")</f>
        <v>0</v>
      </c>
      <c r="M51" s="35">
        <f>+GETPIVOTDATA("XDB4",'dabac (2016)'!$A$3,"MA_HT","SKX","MA_QH","RPH")</f>
        <v>0</v>
      </c>
      <c r="N51" s="35">
        <f>+GETPIVOTDATA("XDB4",'dabac (2016)'!$A$3,"MA_HT","SKX","MA_QH","RDD")</f>
        <v>0</v>
      </c>
      <c r="O51" s="35">
        <f>+GETPIVOTDATA("XDB4",'dabac (2016)'!$A$3,"MA_HT","SKX","MA_QH","NTS")</f>
        <v>0</v>
      </c>
      <c r="P51" s="35">
        <f>+GETPIVOTDATA("XDB4",'dabac (2016)'!$A$3,"MA_HT","SKX","MA_QH","LMU")</f>
        <v>0</v>
      </c>
      <c r="Q51" s="35">
        <f>+GETPIVOTDATA("XDB4",'dabac (2016)'!$A$3,"MA_HT","SKX","MA_QH","NKH")</f>
        <v>0</v>
      </c>
      <c r="R51" s="106">
        <f>SUM(S51:AA51,AN51:AW51,AY51:BD51)</f>
        <v>0</v>
      </c>
      <c r="S51" s="35">
        <f>+GETPIVOTDATA("XDB4",'dabac (2016)'!$A$3,"MA_HT","SKX","MA_QH","CQP")</f>
        <v>0</v>
      </c>
      <c r="T51" s="35">
        <f>+GETPIVOTDATA("XDB4",'dabac (2016)'!$A$3,"MA_HT","SKX","MA_QH","CAN")</f>
        <v>0</v>
      </c>
      <c r="U51" s="35">
        <f>+GETPIVOTDATA("XDB4",'dabac (2016)'!$A$3,"MA_HT","SKX","MA_QH","SKK")</f>
        <v>0</v>
      </c>
      <c r="V51" s="35">
        <f>+GETPIVOTDATA("XDB4",'dabac (2016)'!$A$3,"MA_HT","SKX","MA_QH","SKT")</f>
        <v>0</v>
      </c>
      <c r="W51" s="35">
        <f>+GETPIVOTDATA("XDB4",'dabac (2016)'!$A$3,"MA_HT","SKX","MA_QH","SKN")</f>
        <v>0</v>
      </c>
      <c r="X51" s="35">
        <f>+GETPIVOTDATA("XDB4",'dabac (2016)'!$A$3,"MA_HT","SKX","MA_QH","TMD")</f>
        <v>0</v>
      </c>
      <c r="Y51" s="35">
        <f>+GETPIVOTDATA("XDB4",'dabac (2016)'!$A$3,"MA_HT","SKX","MA_QH","SKC")</f>
        <v>0</v>
      </c>
      <c r="Z51" s="35">
        <f>+GETPIVOTDATA("XDB4",'dabac (2016)'!$A$3,"MA_HT","SKX","MA_QH","SKS")</f>
        <v>0</v>
      </c>
      <c r="AA51" s="64">
        <f t="shared" si="21"/>
        <v>0</v>
      </c>
      <c r="AB51" s="35">
        <f>+GETPIVOTDATA("XDB4",'dabac (2016)'!$A$3,"MA_HT","SKX","MA_QH","DGT")</f>
        <v>0</v>
      </c>
      <c r="AC51" s="35">
        <f>+GETPIVOTDATA("XDB4",'dabac (2016)'!$A$3,"MA_HT","SKX","MA_QH","DTL")</f>
        <v>0</v>
      </c>
      <c r="AD51" s="35">
        <f>+GETPIVOTDATA("XDB4",'dabac (2016)'!$A$3,"MA_HT","SKX","MA_QH","DNL")</f>
        <v>0</v>
      </c>
      <c r="AE51" s="35">
        <f>+GETPIVOTDATA("XDB4",'dabac (2016)'!$A$3,"MA_HT","SKX","MA_QH","DBV")</f>
        <v>0</v>
      </c>
      <c r="AF51" s="35">
        <f>+GETPIVOTDATA("XDB4",'dabac (2016)'!$A$3,"MA_HT","SKX","MA_QH","DVH")</f>
        <v>0</v>
      </c>
      <c r="AG51" s="35">
        <f>+GETPIVOTDATA("XDB4",'dabac (2016)'!$A$3,"MA_HT","SKX","MA_QH","DYT")</f>
        <v>0</v>
      </c>
      <c r="AH51" s="35">
        <f>+GETPIVOTDATA("XDB4",'dabac (2016)'!$A$3,"MA_HT","SKX","MA_QH","DGD")</f>
        <v>0</v>
      </c>
      <c r="AI51" s="35">
        <f>+GETPIVOTDATA("XDB4",'dabac (2016)'!$A$3,"MA_HT","SKX","MA_QH","DTT")</f>
        <v>0</v>
      </c>
      <c r="AJ51" s="35">
        <f>+GETPIVOTDATA("XDB4",'dabac (2016)'!$A$3,"MA_HT","SKX","MA_QH","NCK")</f>
        <v>0</v>
      </c>
      <c r="AK51" s="35">
        <f>+GETPIVOTDATA("XDB4",'dabac (2016)'!$A$3,"MA_HT","SKX","MA_QH","DXH")</f>
        <v>0</v>
      </c>
      <c r="AL51" s="35">
        <f>+GETPIVOTDATA("XDB4",'dabac (2016)'!$A$3,"MA_HT","SKX","MA_QH","DCH")</f>
        <v>0</v>
      </c>
      <c r="AM51" s="35">
        <f>+GETPIVOTDATA("XDB4",'dabac (2016)'!$A$3,"MA_HT","SKX","MA_QH","DKG")</f>
        <v>0</v>
      </c>
      <c r="AN51" s="35">
        <f>+GETPIVOTDATA("XDB4",'dabac (2016)'!$A$3,"MA_HT","SKX","MA_QH","DDT")</f>
        <v>0</v>
      </c>
      <c r="AO51" s="35">
        <f>+GETPIVOTDATA("XDB4",'dabac (2016)'!$A$3,"MA_HT","SKX","MA_QH","DDL")</f>
        <v>0</v>
      </c>
      <c r="AP51" s="35">
        <f>+GETPIVOTDATA("XDB4",'dabac (2016)'!$A$3,"MA_HT","SKX","MA_QH","DRA")</f>
        <v>0</v>
      </c>
      <c r="AQ51" s="35">
        <f>+GETPIVOTDATA("XDB4",'dabac (2016)'!$A$3,"MA_HT","SKX","MA_QH","ONT")</f>
        <v>0</v>
      </c>
      <c r="AR51" s="35">
        <f>+GETPIVOTDATA("XDB4",'dabac (2016)'!$A$3,"MA_HT","SKX","MA_QH","ODT")</f>
        <v>0</v>
      </c>
      <c r="AS51" s="35">
        <f>+GETPIVOTDATA("XDB4",'dabac (2016)'!$A$3,"MA_HT","SKX","MA_QH","TSC")</f>
        <v>0</v>
      </c>
      <c r="AT51" s="35">
        <f>+GETPIVOTDATA("XDB4",'dabac (2016)'!$A$3,"MA_HT","SKX","MA_QH","DTS")</f>
        <v>0</v>
      </c>
      <c r="AU51" s="35">
        <f>+GETPIVOTDATA("XDB4",'dabac (2016)'!$A$3,"MA_HT","SKX","MA_QH","DNG")</f>
        <v>0</v>
      </c>
      <c r="AV51" s="35">
        <f>+GETPIVOTDATA("XDB4",'dabac (2016)'!$A$3,"MA_HT","SKX","MA_QH","TON")</f>
        <v>0</v>
      </c>
      <c r="AW51" s="35">
        <f>+GETPIVOTDATA("XDB4",'dabac (2016)'!$A$3,"MA_HT","SKX","MA_QH","NTD")</f>
        <v>0</v>
      </c>
      <c r="AX51" s="99" t="e">
        <f>$D51-$BF51</f>
        <v>#REF!</v>
      </c>
      <c r="AY51" s="35">
        <f>+GETPIVOTDATA("XDB4",'dabac (2016)'!$A$3,"MA_HT","SKX","MA_QH","DSH")</f>
        <v>0</v>
      </c>
      <c r="AZ51" s="35">
        <f>+GETPIVOTDATA("XDB4",'dabac (2016)'!$A$3,"MA_HT","SKX","MA_QH","DKV")</f>
        <v>0</v>
      </c>
      <c r="BA51" s="140">
        <f>+GETPIVOTDATA("XDB4",'dabac (2016)'!$A$3,"MA_HT","SKX","MA_QH","TIN")</f>
        <v>0</v>
      </c>
      <c r="BB51" s="74">
        <f>+GETPIVOTDATA("XDB4",'dabac (2016)'!$A$3,"MA_HT","SKX","MA_QH","SON")</f>
        <v>0</v>
      </c>
      <c r="BC51" s="74">
        <f>+GETPIVOTDATA("XDB4",'dabac (2016)'!$A$3,"MA_HT","SKX","MA_QH","MNC")</f>
        <v>0</v>
      </c>
      <c r="BD51" s="35">
        <f>+GETPIVOTDATA("XDB4",'dabac (2016)'!$A$3,"MA_HT","SKX","MA_QH","PNK")</f>
        <v>0</v>
      </c>
      <c r="BE51" s="58">
        <f>+GETPIVOTDATA("XDB4",'dabac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+GETPIVOTDATA("XDB4",'dabac (2016)'!$A$3,"MA_HT","DSH","MA_QH","LUC")</f>
        <v>0</v>
      </c>
      <c r="H52" s="35">
        <f>+GETPIVOTDATA("XDB4",'dabac (2016)'!$A$3,"MA_HT","DSH","MA_QH","LUK")</f>
        <v>0</v>
      </c>
      <c r="I52" s="35">
        <f>+GETPIVOTDATA("XDB4",'dabac (2016)'!$A$3,"MA_HT","DSH","MA_QH","LUN")</f>
        <v>0</v>
      </c>
      <c r="J52" s="35">
        <f>+GETPIVOTDATA("XDB4",'dabac (2016)'!$A$3,"MA_HT","DSH","MA_QH","HNK")</f>
        <v>0</v>
      </c>
      <c r="K52" s="35">
        <f>+GETPIVOTDATA("XDB4",'dabac (2016)'!$A$3,"MA_HT","DSH","MA_QH","CLN")</f>
        <v>0</v>
      </c>
      <c r="L52" s="35">
        <f>+GETPIVOTDATA("XDB4",'dabac (2016)'!$A$3,"MA_HT","DSH","MA_QH","RSX")</f>
        <v>0</v>
      </c>
      <c r="M52" s="35">
        <f>+GETPIVOTDATA("XDB4",'dabac (2016)'!$A$3,"MA_HT","DSH","MA_QH","RPH")</f>
        <v>0</v>
      </c>
      <c r="N52" s="35">
        <f>+GETPIVOTDATA("XDB4",'dabac (2016)'!$A$3,"MA_HT","DSH","MA_QH","RDD")</f>
        <v>0</v>
      </c>
      <c r="O52" s="35">
        <f>+GETPIVOTDATA("XDB4",'dabac (2016)'!$A$3,"MA_HT","DSH","MA_QH","NTS")</f>
        <v>0</v>
      </c>
      <c r="P52" s="35">
        <f>+GETPIVOTDATA("XDB4",'dabac (2016)'!$A$3,"MA_HT","DSH","MA_QH","LMU")</f>
        <v>0</v>
      </c>
      <c r="Q52" s="35">
        <f>+GETPIVOTDATA("XDB4",'dabac (2016)'!$A$3,"MA_HT","DSH","MA_QH","NKH")</f>
        <v>0</v>
      </c>
      <c r="R52" s="106">
        <f>SUM(S52:AA52,AN52:AX52,AZ52:BD52)</f>
        <v>0</v>
      </c>
      <c r="S52" s="35">
        <f>+GETPIVOTDATA("XDB4",'dabac (2016)'!$A$3,"MA_HT","DSH","MA_QH","CQP")</f>
        <v>0</v>
      </c>
      <c r="T52" s="35">
        <f>+GETPIVOTDATA("XDB4",'dabac (2016)'!$A$3,"MA_HT","DSH","MA_QH","CAN")</f>
        <v>0</v>
      </c>
      <c r="U52" s="35">
        <f>+GETPIVOTDATA("XDB4",'dabac (2016)'!$A$3,"MA_HT","DSH","MA_QH","SKK")</f>
        <v>0</v>
      </c>
      <c r="V52" s="35">
        <f>+GETPIVOTDATA("XDB4",'dabac (2016)'!$A$3,"MA_HT","DSH","MA_QH","SKT")</f>
        <v>0</v>
      </c>
      <c r="W52" s="35">
        <f>+GETPIVOTDATA("XDB4",'dabac (2016)'!$A$3,"MA_HT","DSH","MA_QH","SKN")</f>
        <v>0</v>
      </c>
      <c r="X52" s="35">
        <f>+GETPIVOTDATA("XDB4",'dabac (2016)'!$A$3,"MA_HT","DSH","MA_QH","TMD")</f>
        <v>0</v>
      </c>
      <c r="Y52" s="35">
        <f>+GETPIVOTDATA("XDB4",'dabac (2016)'!$A$3,"MA_HT","DSH","MA_QH","SKC")</f>
        <v>0</v>
      </c>
      <c r="Z52" s="35">
        <f>+GETPIVOTDATA("XDB4",'dabac (2016)'!$A$3,"MA_HT","DSH","MA_QH","SKS")</f>
        <v>0</v>
      </c>
      <c r="AA52" s="64">
        <f t="shared" si="21"/>
        <v>0</v>
      </c>
      <c r="AB52" s="35">
        <f>+GETPIVOTDATA("XDB4",'dabac (2016)'!$A$3,"MA_HT","DSH","MA_QH","DGT")</f>
        <v>0</v>
      </c>
      <c r="AC52" s="35">
        <f>+GETPIVOTDATA("XDB4",'dabac (2016)'!$A$3,"MA_HT","DSH","MA_QH","DTL")</f>
        <v>0</v>
      </c>
      <c r="AD52" s="35">
        <f>+GETPIVOTDATA("XDB4",'dabac (2016)'!$A$3,"MA_HT","DSH","MA_QH","DNL")</f>
        <v>0</v>
      </c>
      <c r="AE52" s="35">
        <f>+GETPIVOTDATA("XDB4",'dabac (2016)'!$A$3,"MA_HT","DSH","MA_QH","DBV")</f>
        <v>0</v>
      </c>
      <c r="AF52" s="35">
        <f>+GETPIVOTDATA("XDB4",'dabac (2016)'!$A$3,"MA_HT","DSH","MA_QH","DVH")</f>
        <v>0</v>
      </c>
      <c r="AG52" s="35">
        <f>+GETPIVOTDATA("XDB4",'dabac (2016)'!$A$3,"MA_HT","DSH","MA_QH","DYT")</f>
        <v>0</v>
      </c>
      <c r="AH52" s="35">
        <f>+GETPIVOTDATA("XDB4",'dabac (2016)'!$A$3,"MA_HT","DSH","MA_QH","DGD")</f>
        <v>0</v>
      </c>
      <c r="AI52" s="35">
        <f>+GETPIVOTDATA("XDB4",'dabac (2016)'!$A$3,"MA_HT","DSH","MA_QH","DTT")</f>
        <v>0</v>
      </c>
      <c r="AJ52" s="35">
        <f>+GETPIVOTDATA("XDB4",'dabac (2016)'!$A$3,"MA_HT","DSH","MA_QH","NCK")</f>
        <v>0</v>
      </c>
      <c r="AK52" s="35">
        <f>+GETPIVOTDATA("XDB4",'dabac (2016)'!$A$3,"MA_HT","DSH","MA_QH","DXH")</f>
        <v>0</v>
      </c>
      <c r="AL52" s="35">
        <f>+GETPIVOTDATA("XDB4",'dabac (2016)'!$A$3,"MA_HT","DSH","MA_QH","DCH")</f>
        <v>0</v>
      </c>
      <c r="AM52" s="35">
        <f>+GETPIVOTDATA("XDB4",'dabac (2016)'!$A$3,"MA_HT","DSH","MA_QH","DKG")</f>
        <v>0</v>
      </c>
      <c r="AN52" s="35">
        <f>+GETPIVOTDATA("XDB4",'dabac (2016)'!$A$3,"MA_HT","DSH","MA_QH","DDT")</f>
        <v>0</v>
      </c>
      <c r="AO52" s="35">
        <f>+GETPIVOTDATA("XDB4",'dabac (2016)'!$A$3,"MA_HT","DSH","MA_QH","DDL")</f>
        <v>0</v>
      </c>
      <c r="AP52" s="35">
        <f>+GETPIVOTDATA("XDB4",'dabac (2016)'!$A$3,"MA_HT","DSH","MA_QH","DRA")</f>
        <v>0</v>
      </c>
      <c r="AQ52" s="35">
        <f>+GETPIVOTDATA("XDB4",'dabac (2016)'!$A$3,"MA_HT","DSH","MA_QH","ONT")</f>
        <v>0</v>
      </c>
      <c r="AR52" s="35">
        <f>+GETPIVOTDATA("XDB4",'dabac (2016)'!$A$3,"MA_HT","DSH","MA_QH","ODT")</f>
        <v>0</v>
      </c>
      <c r="AS52" s="35">
        <f>+GETPIVOTDATA("XDB4",'dabac (2016)'!$A$3,"MA_HT","DSH","MA_QH","TSC")</f>
        <v>0</v>
      </c>
      <c r="AT52" s="35">
        <f>+GETPIVOTDATA("XDB4",'dabac (2016)'!$A$3,"MA_HT","DSH","MA_QH","DTS")</f>
        <v>0</v>
      </c>
      <c r="AU52" s="35">
        <f>+GETPIVOTDATA("XDB4",'dabac (2016)'!$A$3,"MA_HT","DSH","MA_QH","DNG")</f>
        <v>0</v>
      </c>
      <c r="AV52" s="35">
        <f>+GETPIVOTDATA("XDB4",'dabac (2016)'!$A$3,"MA_HT","DSH","MA_QH","TON")</f>
        <v>0</v>
      </c>
      <c r="AW52" s="35">
        <f>+GETPIVOTDATA("XDB4",'dabac (2016)'!$A$3,"MA_HT","DSH","MA_QH","NTD")</f>
        <v>0</v>
      </c>
      <c r="AX52" s="35">
        <f>+GETPIVOTDATA("XDB4",'dabac (2016)'!$A$3,"MA_HT","DSH","MA_QH","SKX")</f>
        <v>0</v>
      </c>
      <c r="AY52" s="99" t="e">
        <f>$D52-$BF52</f>
        <v>#REF!</v>
      </c>
      <c r="AZ52" s="35">
        <f>+GETPIVOTDATA("XDB4",'dabac (2016)'!$A$3,"MA_HT","DSH","MA_QH","DKV")</f>
        <v>0</v>
      </c>
      <c r="BA52" s="140">
        <f>+GETPIVOTDATA("XDB4",'dabac (2016)'!$A$3,"MA_HT","DSH","MA_QH","TIN")</f>
        <v>0</v>
      </c>
      <c r="BB52" s="74">
        <f>+GETPIVOTDATA("XDB4",'dabac (2016)'!$A$3,"MA_HT","DSH","MA_QH","SON")</f>
        <v>0</v>
      </c>
      <c r="BC52" s="74">
        <f>+GETPIVOTDATA("XDB4",'dabac (2016)'!$A$3,"MA_HT","DSH","MA_QH","MNC")</f>
        <v>0</v>
      </c>
      <c r="BD52" s="35">
        <f>+GETPIVOTDATA("XDB4",'dabac (2016)'!$A$3,"MA_HT","DSH","MA_QH","PNK")</f>
        <v>0</v>
      </c>
      <c r="BE52" s="58">
        <f>+GETPIVOTDATA("XDB4",'dabac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+GETPIVOTDATA("XDB4",'dabac (2016)'!$A$3,"MA_HT","DKV","MA_QH","LUC")</f>
        <v>0</v>
      </c>
      <c r="H53" s="35">
        <f>+GETPIVOTDATA("XDB4",'dabac (2016)'!$A$3,"MA_HT","DKV","MA_QH","LUK")</f>
        <v>0</v>
      </c>
      <c r="I53" s="35">
        <f>+GETPIVOTDATA("XDB4",'dabac (2016)'!$A$3,"MA_HT","DKV","MA_QH","LUN")</f>
        <v>0</v>
      </c>
      <c r="J53" s="35">
        <f>+GETPIVOTDATA("XDB4",'dabac (2016)'!$A$3,"MA_HT","DKV","MA_QH","HNK")</f>
        <v>0</v>
      </c>
      <c r="K53" s="35">
        <f>+GETPIVOTDATA("XDB4",'dabac (2016)'!$A$3,"MA_HT","DKV","MA_QH","CLN")</f>
        <v>0</v>
      </c>
      <c r="L53" s="35">
        <f>+GETPIVOTDATA("XDB4",'dabac (2016)'!$A$3,"MA_HT","DKV","MA_QH","RSX")</f>
        <v>0</v>
      </c>
      <c r="M53" s="35">
        <f>+GETPIVOTDATA("XDB4",'dabac (2016)'!$A$3,"MA_HT","DKV","MA_QH","RPH")</f>
        <v>0</v>
      </c>
      <c r="N53" s="35">
        <f>+GETPIVOTDATA("XDB4",'dabac (2016)'!$A$3,"MA_HT","DKV","MA_QH","RDD")</f>
        <v>0</v>
      </c>
      <c r="O53" s="35">
        <f>+GETPIVOTDATA("XDB4",'dabac (2016)'!$A$3,"MA_HT","DKV","MA_QH","NTS")</f>
        <v>0</v>
      </c>
      <c r="P53" s="35">
        <f>+GETPIVOTDATA("XDB4",'dabac (2016)'!$A$3,"MA_HT","DKV","MA_QH","LMU")</f>
        <v>0</v>
      </c>
      <c r="Q53" s="35">
        <f>+GETPIVOTDATA("XDB4",'dabac (2016)'!$A$3,"MA_HT","DKV","MA_QH","NKH")</f>
        <v>0</v>
      </c>
      <c r="R53" s="106">
        <f>SUM(S53:AA53,AN53:AY53,BB53:BD53)</f>
        <v>0</v>
      </c>
      <c r="S53" s="35">
        <f>+GETPIVOTDATA("XDB4",'dabac (2016)'!$A$3,"MA_HT","DKV","MA_QH","CQP")</f>
        <v>0</v>
      </c>
      <c r="T53" s="35">
        <f>+GETPIVOTDATA("XDB4",'dabac (2016)'!$A$3,"MA_HT","DKV","MA_QH","CAN")</f>
        <v>0</v>
      </c>
      <c r="U53" s="35">
        <f>+GETPIVOTDATA("XDB4",'dabac (2016)'!$A$3,"MA_HT","DKV","MA_QH","SKK")</f>
        <v>0</v>
      </c>
      <c r="V53" s="35">
        <f>+GETPIVOTDATA("XDB4",'dabac (2016)'!$A$3,"MA_HT","DKV","MA_QH","SKT")</f>
        <v>0</v>
      </c>
      <c r="W53" s="35">
        <f>+GETPIVOTDATA("XDB4",'dabac (2016)'!$A$3,"MA_HT","DKV","MA_QH","SKN")</f>
        <v>0</v>
      </c>
      <c r="X53" s="35">
        <f>+GETPIVOTDATA("XDB4",'dabac (2016)'!$A$3,"MA_HT","DKV","MA_QH","TMD")</f>
        <v>0</v>
      </c>
      <c r="Y53" s="35">
        <f>+GETPIVOTDATA("XDB4",'dabac (2016)'!$A$3,"MA_HT","DKV","MA_QH","SKC")</f>
        <v>0</v>
      </c>
      <c r="Z53" s="35">
        <f>+GETPIVOTDATA("XDB4",'dabac (2016)'!$A$3,"MA_HT","DKV","MA_QH","SKS")</f>
        <v>0</v>
      </c>
      <c r="AA53" s="64">
        <f t="shared" si="21"/>
        <v>0</v>
      </c>
      <c r="AB53" s="35">
        <f>+GETPIVOTDATA("XDB4",'dabac (2016)'!$A$3,"MA_HT","DKV","MA_QH","DGT")</f>
        <v>0</v>
      </c>
      <c r="AC53" s="35">
        <f>+GETPIVOTDATA("XDB4",'dabac (2016)'!$A$3,"MA_HT","DKV","MA_QH","DTL")</f>
        <v>0</v>
      </c>
      <c r="AD53" s="35">
        <f>+GETPIVOTDATA("XDB4",'dabac (2016)'!$A$3,"MA_HT","DKV","MA_QH","DNL")</f>
        <v>0</v>
      </c>
      <c r="AE53" s="35">
        <f>+GETPIVOTDATA("XDB4",'dabac (2016)'!$A$3,"MA_HT","DKV","MA_QH","DBV")</f>
        <v>0</v>
      </c>
      <c r="AF53" s="35">
        <f>+GETPIVOTDATA("XDB4",'dabac (2016)'!$A$3,"MA_HT","DKV","MA_QH","DVH")</f>
        <v>0</v>
      </c>
      <c r="AG53" s="35">
        <f>+GETPIVOTDATA("XDB4",'dabac (2016)'!$A$3,"MA_HT","DKV","MA_QH","DYT")</f>
        <v>0</v>
      </c>
      <c r="AH53" s="35">
        <f>+GETPIVOTDATA("XDB4",'dabac (2016)'!$A$3,"MA_HT","DKV","MA_QH","DGD")</f>
        <v>0</v>
      </c>
      <c r="AI53" s="35">
        <f>+GETPIVOTDATA("XDB4",'dabac (2016)'!$A$3,"MA_HT","DKV","MA_QH","DTT")</f>
        <v>0</v>
      </c>
      <c r="AJ53" s="35">
        <f>+GETPIVOTDATA("XDB4",'dabac (2016)'!$A$3,"MA_HT","DKV","MA_QH","NCK")</f>
        <v>0</v>
      </c>
      <c r="AK53" s="35">
        <f>+GETPIVOTDATA("XDB4",'dabac (2016)'!$A$3,"MA_HT","DKV","MA_QH","DXH")</f>
        <v>0</v>
      </c>
      <c r="AL53" s="35">
        <f>+GETPIVOTDATA("XDB4",'dabac (2016)'!$A$3,"MA_HT","DKV","MA_QH","DCH")</f>
        <v>0</v>
      </c>
      <c r="AM53" s="35">
        <f>+GETPIVOTDATA("XDB4",'dabac (2016)'!$A$3,"MA_HT","DKV","MA_QH","DKG")</f>
        <v>0</v>
      </c>
      <c r="AN53" s="35">
        <f>+GETPIVOTDATA("XDB4",'dabac (2016)'!$A$3,"MA_HT","DKV","MA_QH","DDT")</f>
        <v>0</v>
      </c>
      <c r="AO53" s="35">
        <f>+GETPIVOTDATA("XDB4",'dabac (2016)'!$A$3,"MA_HT","DKV","MA_QH","DDL")</f>
        <v>0</v>
      </c>
      <c r="AP53" s="35">
        <f>+GETPIVOTDATA("XDB4",'dabac (2016)'!$A$3,"MA_HT","DKV","MA_QH","DRA")</f>
        <v>0</v>
      </c>
      <c r="AQ53" s="35">
        <f>+GETPIVOTDATA("XDB4",'dabac (2016)'!$A$3,"MA_HT","DKV","MA_QH","ONT")</f>
        <v>0</v>
      </c>
      <c r="AR53" s="35">
        <f>+GETPIVOTDATA("XDB4",'dabac (2016)'!$A$3,"MA_HT","DKV","MA_QH","ODT")</f>
        <v>0</v>
      </c>
      <c r="AS53" s="35">
        <f>+GETPIVOTDATA("XDB4",'dabac (2016)'!$A$3,"MA_HT","DKV","MA_QH","TSC")</f>
        <v>0</v>
      </c>
      <c r="AT53" s="35">
        <f>+GETPIVOTDATA("XDB4",'dabac (2016)'!$A$3,"MA_HT","DKV","MA_QH","DTS")</f>
        <v>0</v>
      </c>
      <c r="AU53" s="35">
        <f>+GETPIVOTDATA("XDB4",'dabac (2016)'!$A$3,"MA_HT","DKV","MA_QH","DNG")</f>
        <v>0</v>
      </c>
      <c r="AV53" s="35">
        <f>+GETPIVOTDATA("XDB4",'dabac (2016)'!$A$3,"MA_HT","DKV","MA_QH","TON")</f>
        <v>0</v>
      </c>
      <c r="AW53" s="35">
        <f>+GETPIVOTDATA("XDB4",'dabac (2016)'!$A$3,"MA_HT","DKV","MA_QH","NTD")</f>
        <v>0</v>
      </c>
      <c r="AX53" s="35">
        <f>+GETPIVOTDATA("XDB4",'dabac (2016)'!$A$3,"MA_HT","DKV","MA_QH","SKX")</f>
        <v>0</v>
      </c>
      <c r="AY53" s="35">
        <f>+GETPIVOTDATA("XDB4",'dabac (2016)'!$A$3,"MA_HT","DKV","MA_QH","DSH")</f>
        <v>0</v>
      </c>
      <c r="AZ53" s="99" t="e">
        <f>$D53-$BF53</f>
        <v>#REF!</v>
      </c>
      <c r="BA53" s="140">
        <f>+GETPIVOTDATA("XDB4",'dabac (2016)'!$A$3,"MA_HT","DKV","MA_QH","TIN")</f>
        <v>0</v>
      </c>
      <c r="BB53" s="74">
        <f>+GETPIVOTDATA("XDB4",'dabac (2016)'!$A$3,"MA_HT","DKV","MA_QH","SON")</f>
        <v>0</v>
      </c>
      <c r="BC53" s="74">
        <f>+GETPIVOTDATA("XDB4",'dabac (2016)'!$A$3,"MA_HT","DKV","MA_QH","MNC")</f>
        <v>0</v>
      </c>
      <c r="BD53" s="35">
        <f>+GETPIVOTDATA("XDB4",'dabac (2016)'!$A$3,"MA_HT","DKV","MA_QH","PNK")</f>
        <v>0</v>
      </c>
      <c r="BE53" s="58">
        <f>+GETPIVOTDATA("XDB4",'dabac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+GETPIVOTDATA("XDB4",'dabac (2016)'!$A$3,"MA_HT","TIN","MA_QH","LUC")</f>
        <v>0</v>
      </c>
      <c r="H54" s="35">
        <f>+GETPIVOTDATA("XDB4",'dabac (2016)'!$A$3,"MA_HT","TIN","MA_QH","LUK")</f>
        <v>0</v>
      </c>
      <c r="I54" s="35">
        <f>+GETPIVOTDATA("XDB4",'dabac (2016)'!$A$3,"MA_HT","TIN","MA_QH","LUN")</f>
        <v>0</v>
      </c>
      <c r="J54" s="35">
        <f>+GETPIVOTDATA("XDB4",'dabac (2016)'!$A$3,"MA_HT","TIN","MA_QH","HNK")</f>
        <v>0</v>
      </c>
      <c r="K54" s="35">
        <f>+GETPIVOTDATA("XDB4",'dabac (2016)'!$A$3,"MA_HT","TIN","MA_QH","CLN")</f>
        <v>0</v>
      </c>
      <c r="L54" s="35">
        <f>+GETPIVOTDATA("XDB4",'dabac (2016)'!$A$3,"MA_HT","TIN","MA_QH","RSX")</f>
        <v>0</v>
      </c>
      <c r="M54" s="35">
        <f>+GETPIVOTDATA("XDB4",'dabac (2016)'!$A$3,"MA_HT","TIN","MA_QH","RPH")</f>
        <v>0</v>
      </c>
      <c r="N54" s="35">
        <f>+GETPIVOTDATA("XDB4",'dabac (2016)'!$A$3,"MA_HT","TIN","MA_QH","RDD")</f>
        <v>0</v>
      </c>
      <c r="O54" s="35">
        <f>+GETPIVOTDATA("XDB4",'dabac (2016)'!$A$3,"MA_HT","TIN","MA_QH","NTS")</f>
        <v>0</v>
      </c>
      <c r="P54" s="35">
        <f>+GETPIVOTDATA("XDB4",'dabac (2016)'!$A$3,"MA_HT","TIN","MA_QH","LMU")</f>
        <v>0</v>
      </c>
      <c r="Q54" s="35">
        <f>+GETPIVOTDATA("XDB4",'dabac (2016)'!$A$3,"MA_HT","TIN","MA_QH","NKH")</f>
        <v>0</v>
      </c>
      <c r="R54" s="106">
        <f>SUM(S54:AA54,AN54:AZ54,BB54:BD54)</f>
        <v>0</v>
      </c>
      <c r="S54" s="35">
        <f>+GETPIVOTDATA("XDB4",'dabac (2016)'!$A$3,"MA_HT","TIN","MA_QH","CQP")</f>
        <v>0</v>
      </c>
      <c r="T54" s="35">
        <f>+GETPIVOTDATA("XDB4",'dabac (2016)'!$A$3,"MA_HT","TIN","MA_QH","CAN")</f>
        <v>0</v>
      </c>
      <c r="U54" s="35">
        <f>+GETPIVOTDATA("XDB4",'dabac (2016)'!$A$3,"MA_HT","TIN","MA_QH","SKK")</f>
        <v>0</v>
      </c>
      <c r="V54" s="35">
        <f>+GETPIVOTDATA("XDB4",'dabac (2016)'!$A$3,"MA_HT","TIN","MA_QH","SKT")</f>
        <v>0</v>
      </c>
      <c r="W54" s="35">
        <f>+GETPIVOTDATA("XDB4",'dabac (2016)'!$A$3,"MA_HT","TIN","MA_QH","SKN")</f>
        <v>0</v>
      </c>
      <c r="X54" s="35">
        <f>+GETPIVOTDATA("XDB4",'dabac (2016)'!$A$3,"MA_HT","TIN","MA_QH","TMD")</f>
        <v>0</v>
      </c>
      <c r="Y54" s="35">
        <f>+GETPIVOTDATA("XDB4",'dabac (2016)'!$A$3,"MA_HT","TIN","MA_QH","SKC")</f>
        <v>0</v>
      </c>
      <c r="Z54" s="35">
        <f>+GETPIVOTDATA("XDB4",'dabac (2016)'!$A$3,"MA_HT","TIN","MA_QH","SKS")</f>
        <v>0</v>
      </c>
      <c r="AA54" s="64">
        <f t="shared" si="21"/>
        <v>0</v>
      </c>
      <c r="AB54" s="35">
        <f>+GETPIVOTDATA("XDB4",'dabac (2016)'!$A$3,"MA_HT","TIN","MA_QH","DGT")</f>
        <v>0</v>
      </c>
      <c r="AC54" s="35">
        <f>+GETPIVOTDATA("XDB4",'dabac (2016)'!$A$3,"MA_HT","TIN","MA_QH","DTL")</f>
        <v>0</v>
      </c>
      <c r="AD54" s="35">
        <f>+GETPIVOTDATA("XDB4",'dabac (2016)'!$A$3,"MA_HT","TIN","MA_QH","DNL")</f>
        <v>0</v>
      </c>
      <c r="AE54" s="35">
        <f>+GETPIVOTDATA("XDB4",'dabac (2016)'!$A$3,"MA_HT","TIN","MA_QH","DBV")</f>
        <v>0</v>
      </c>
      <c r="AF54" s="35">
        <f>+GETPIVOTDATA("XDB4",'dabac (2016)'!$A$3,"MA_HT","TIN","MA_QH","DVH")</f>
        <v>0</v>
      </c>
      <c r="AG54" s="35">
        <f>+GETPIVOTDATA("XDB4",'dabac (2016)'!$A$3,"MA_HT","TIN","MA_QH","DYT")</f>
        <v>0</v>
      </c>
      <c r="AH54" s="35">
        <f>+GETPIVOTDATA("XDB4",'dabac (2016)'!$A$3,"MA_HT","TIN","MA_QH","DGD")</f>
        <v>0</v>
      </c>
      <c r="AI54" s="35">
        <f>+GETPIVOTDATA("XDB4",'dabac (2016)'!$A$3,"MA_HT","TIN","MA_QH","DTT")</f>
        <v>0</v>
      </c>
      <c r="AJ54" s="35">
        <f>+GETPIVOTDATA("XDB4",'dabac (2016)'!$A$3,"MA_HT","TIN","MA_QH","NCK")</f>
        <v>0</v>
      </c>
      <c r="AK54" s="35">
        <f>+GETPIVOTDATA("XDB4",'dabac (2016)'!$A$3,"MA_HT","TIN","MA_QH","DXH")</f>
        <v>0</v>
      </c>
      <c r="AL54" s="35">
        <f>+GETPIVOTDATA("XDB4",'dabac (2016)'!$A$3,"MA_HT","TIN","MA_QH","DCH")</f>
        <v>0</v>
      </c>
      <c r="AM54" s="35">
        <f>+GETPIVOTDATA("XDB4",'dabac (2016)'!$A$3,"MA_HT","TIN","MA_QH","DKG")</f>
        <v>0</v>
      </c>
      <c r="AN54" s="35">
        <f>+GETPIVOTDATA("XDB4",'dabac (2016)'!$A$3,"MA_HT","TIN","MA_QH","DDT")</f>
        <v>0</v>
      </c>
      <c r="AO54" s="35">
        <f>+GETPIVOTDATA("XDB4",'dabac (2016)'!$A$3,"MA_HT","TIN","MA_QH","DDL")</f>
        <v>0</v>
      </c>
      <c r="AP54" s="35">
        <f>+GETPIVOTDATA("XDB4",'dabac (2016)'!$A$3,"MA_HT","TIN","MA_QH","DRA")</f>
        <v>0</v>
      </c>
      <c r="AQ54" s="35">
        <f>+GETPIVOTDATA("XDB4",'dabac (2016)'!$A$3,"MA_HT","TIN","MA_QH","ONT")</f>
        <v>0</v>
      </c>
      <c r="AR54" s="35">
        <f>+GETPIVOTDATA("XDB4",'dabac (2016)'!$A$3,"MA_HT","TIN","MA_QH","ODT")</f>
        <v>0</v>
      </c>
      <c r="AS54" s="35">
        <f>+GETPIVOTDATA("XDB4",'dabac (2016)'!$A$3,"MA_HT","TIN","MA_QH","TSC")</f>
        <v>0</v>
      </c>
      <c r="AT54" s="35">
        <f>+GETPIVOTDATA("XDB4",'dabac (2016)'!$A$3,"MA_HT","TIN","MA_QH","DTS")</f>
        <v>0</v>
      </c>
      <c r="AU54" s="35">
        <f>+GETPIVOTDATA("XDB4",'dabac (2016)'!$A$3,"MA_HT","TIN","MA_QH","DNG")</f>
        <v>0</v>
      </c>
      <c r="AV54" s="35">
        <f>+GETPIVOTDATA("XDB4",'dabac (2016)'!$A$3,"MA_HT","TIN","MA_QH","TON")</f>
        <v>0</v>
      </c>
      <c r="AW54" s="35">
        <f>+GETPIVOTDATA("XDB4",'dabac (2016)'!$A$3,"MA_HT","TIN","MA_QH","NTD")</f>
        <v>0</v>
      </c>
      <c r="AX54" s="35">
        <f>+GETPIVOTDATA("XDB4",'dabac (2016)'!$A$3,"MA_HT","TIN","MA_QH","SKX")</f>
        <v>0</v>
      </c>
      <c r="AY54" s="35">
        <f>+GETPIVOTDATA("XDB4",'dabac (2016)'!$A$3,"MA_HT","TIN","MA_QH","DSH")</f>
        <v>0</v>
      </c>
      <c r="AZ54" s="35">
        <f>+GETPIVOTDATA("XDB4",'dabac (2016)'!$A$3,"MA_HT","TIN","MA_QH","DKV")</f>
        <v>0</v>
      </c>
      <c r="BA54" s="99" t="e">
        <f>$D54-$BF54</f>
        <v>#REF!</v>
      </c>
      <c r="BB54" s="35">
        <f>+GETPIVOTDATA("XDB4",'dabac (2016)'!$A$3,"MA_HT","TIN","MA_QH","SON")</f>
        <v>0</v>
      </c>
      <c r="BC54" s="35">
        <f>+GETPIVOTDATA("XDB4",'dabac (2016)'!$A$3,"MA_HT","TIN","MA_QH","MNC")</f>
        <v>0</v>
      </c>
      <c r="BD54" s="35">
        <f>+GETPIVOTDATA("XDB4",'dabac (2016)'!$A$3,"MA_HT","TIN","MA_QH","PNK")</f>
        <v>0</v>
      </c>
      <c r="BE54" s="58">
        <f>+GETPIVOTDATA("XDB4",'dabac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+GETPIVOTDATA("XDB4",'dabac (2016)'!$A$3,"MA_HT","SON","MA_QH","LUC")</f>
        <v>0</v>
      </c>
      <c r="H55" s="35">
        <f>+GETPIVOTDATA("XDB4",'dabac (2016)'!$A$3,"MA_HT","SON","MA_QH","LUK")</f>
        <v>0</v>
      </c>
      <c r="I55" s="35">
        <f>+GETPIVOTDATA("XDB4",'dabac (2016)'!$A$3,"MA_HT","SON","MA_QH","LUN")</f>
        <v>0</v>
      </c>
      <c r="J55" s="35">
        <f>+GETPIVOTDATA("XDB4",'dabac (2016)'!$A$3,"MA_HT","SON","MA_QH","HNK")</f>
        <v>0</v>
      </c>
      <c r="K55" s="35">
        <f>+GETPIVOTDATA("XDB4",'dabac (2016)'!$A$3,"MA_HT","SON","MA_QH","CLN")</f>
        <v>0</v>
      </c>
      <c r="L55" s="35">
        <f>+GETPIVOTDATA("XDB4",'dabac (2016)'!$A$3,"MA_HT","SON","MA_QH","RSX")</f>
        <v>0</v>
      </c>
      <c r="M55" s="35">
        <f>+GETPIVOTDATA("XDB4",'dabac (2016)'!$A$3,"MA_HT","SON","MA_QH","RPH")</f>
        <v>0</v>
      </c>
      <c r="N55" s="35">
        <f>+GETPIVOTDATA("XDB4",'dabac (2016)'!$A$3,"MA_HT","SON","MA_QH","RDD")</f>
        <v>0</v>
      </c>
      <c r="O55" s="35">
        <f>+GETPIVOTDATA("XDB4",'dabac (2016)'!$A$3,"MA_HT","SON","MA_QH","NTS")</f>
        <v>0</v>
      </c>
      <c r="P55" s="35">
        <f>+GETPIVOTDATA("XDB4",'dabac (2016)'!$A$3,"MA_HT","SON","MA_QH","LMU")</f>
        <v>0</v>
      </c>
      <c r="Q55" s="35">
        <f>+GETPIVOTDATA("XDB4",'dabac (2016)'!$A$3,"MA_HT","SON","MA_QH","NKH")</f>
        <v>0</v>
      </c>
      <c r="R55" s="106">
        <f>SUM(S55:AA55,AN55:AZ55,BC55:BD55)</f>
        <v>0</v>
      </c>
      <c r="S55" s="35">
        <f>+GETPIVOTDATA("XDB4",'dabac (2016)'!$A$3,"MA_HT","SON","MA_QH","CQP")</f>
        <v>0</v>
      </c>
      <c r="T55" s="35">
        <f>+GETPIVOTDATA("XDB4",'dabac (2016)'!$A$3,"MA_HT","SON","MA_QH","CAN")</f>
        <v>0</v>
      </c>
      <c r="U55" s="35">
        <f>+GETPIVOTDATA("XDB4",'dabac (2016)'!$A$3,"MA_HT","SON","MA_QH","SKK")</f>
        <v>0</v>
      </c>
      <c r="V55" s="35">
        <f>+GETPIVOTDATA("XDB4",'dabac (2016)'!$A$3,"MA_HT","SON","MA_QH","SKT")</f>
        <v>0</v>
      </c>
      <c r="W55" s="35">
        <f>+GETPIVOTDATA("XDB4",'dabac (2016)'!$A$3,"MA_HT","SON","MA_QH","SKN")</f>
        <v>0</v>
      </c>
      <c r="X55" s="35">
        <f>+GETPIVOTDATA("XDB4",'dabac (2016)'!$A$3,"MA_HT","SON","MA_QH","TMD")</f>
        <v>0</v>
      </c>
      <c r="Y55" s="35">
        <f>+GETPIVOTDATA("XDB4",'dabac (2016)'!$A$3,"MA_HT","SON","MA_QH","SKC")</f>
        <v>0</v>
      </c>
      <c r="Z55" s="35">
        <f>+GETPIVOTDATA("XDB4",'dabac (2016)'!$A$3,"MA_HT","SON","MA_QH","SKS")</f>
        <v>0</v>
      </c>
      <c r="AA55" s="64">
        <f t="shared" si="21"/>
        <v>0</v>
      </c>
      <c r="AB55" s="35">
        <f>+GETPIVOTDATA("XDB4",'dabac (2016)'!$A$3,"MA_HT","SON","MA_QH","DGT")</f>
        <v>0</v>
      </c>
      <c r="AC55" s="35">
        <f>+GETPIVOTDATA("XDB4",'dabac (2016)'!$A$3,"MA_HT","SON","MA_QH","DTL")</f>
        <v>0</v>
      </c>
      <c r="AD55" s="35">
        <f>+GETPIVOTDATA("XDB4",'dabac (2016)'!$A$3,"MA_HT","SON","MA_QH","DNL")</f>
        <v>0</v>
      </c>
      <c r="AE55" s="35">
        <f>+GETPIVOTDATA("XDB4",'dabac (2016)'!$A$3,"MA_HT","SON","MA_QH","DBV")</f>
        <v>0</v>
      </c>
      <c r="AF55" s="35">
        <f>+GETPIVOTDATA("XDB4",'dabac (2016)'!$A$3,"MA_HT","SON","MA_QH","DVH")</f>
        <v>0</v>
      </c>
      <c r="AG55" s="35">
        <f>+GETPIVOTDATA("XDB4",'dabac (2016)'!$A$3,"MA_HT","SON","MA_QH","DYT")</f>
        <v>0</v>
      </c>
      <c r="AH55" s="35">
        <f>+GETPIVOTDATA("XDB4",'dabac (2016)'!$A$3,"MA_HT","SON","MA_QH","DGD")</f>
        <v>0</v>
      </c>
      <c r="AI55" s="35">
        <f>+GETPIVOTDATA("XDB4",'dabac (2016)'!$A$3,"MA_HT","SON","MA_QH","DTT")</f>
        <v>0</v>
      </c>
      <c r="AJ55" s="35">
        <f>+GETPIVOTDATA("XDB4",'dabac (2016)'!$A$3,"MA_HT","SON","MA_QH","NCK")</f>
        <v>0</v>
      </c>
      <c r="AK55" s="35">
        <f>+GETPIVOTDATA("XDB4",'dabac (2016)'!$A$3,"MA_HT","SON","MA_QH","DXH")</f>
        <v>0</v>
      </c>
      <c r="AL55" s="35">
        <f>+GETPIVOTDATA("XDB4",'dabac (2016)'!$A$3,"MA_HT","SON","MA_QH","DCH")</f>
        <v>0</v>
      </c>
      <c r="AM55" s="35">
        <f>+GETPIVOTDATA("XDB4",'dabac (2016)'!$A$3,"MA_HT","SON","MA_QH","DKG")</f>
        <v>0</v>
      </c>
      <c r="AN55" s="35">
        <f>+GETPIVOTDATA("XDB4",'dabac (2016)'!$A$3,"MA_HT","SON","MA_QH","DDT")</f>
        <v>0</v>
      </c>
      <c r="AO55" s="35">
        <f>+GETPIVOTDATA("XDB4",'dabac (2016)'!$A$3,"MA_HT","SON","MA_QH","DDL")</f>
        <v>0</v>
      </c>
      <c r="AP55" s="35">
        <f>+GETPIVOTDATA("XDB4",'dabac (2016)'!$A$3,"MA_HT","SON","MA_QH","DRA")</f>
        <v>0</v>
      </c>
      <c r="AQ55" s="35">
        <f>+GETPIVOTDATA("XDB4",'dabac (2016)'!$A$3,"MA_HT","SON","MA_QH","ONT")</f>
        <v>0</v>
      </c>
      <c r="AR55" s="35">
        <f>+GETPIVOTDATA("XDB4",'dabac (2016)'!$A$3,"MA_HT","SON","MA_QH","ODT")</f>
        <v>0</v>
      </c>
      <c r="AS55" s="35">
        <f>+GETPIVOTDATA("XDB4",'dabac (2016)'!$A$3,"MA_HT","SON","MA_QH","TSC")</f>
        <v>0</v>
      </c>
      <c r="AT55" s="35">
        <f>+GETPIVOTDATA("XDB4",'dabac (2016)'!$A$3,"MA_HT","SON","MA_QH","DTS")</f>
        <v>0</v>
      </c>
      <c r="AU55" s="35">
        <f>+GETPIVOTDATA("XDB4",'dabac (2016)'!$A$3,"MA_HT","SON","MA_QH","DNG")</f>
        <v>0</v>
      </c>
      <c r="AV55" s="35">
        <f>+GETPIVOTDATA("XDB4",'dabac (2016)'!$A$3,"MA_HT","SON","MA_QH","TON")</f>
        <v>0</v>
      </c>
      <c r="AW55" s="35">
        <f>+GETPIVOTDATA("XDB4",'dabac (2016)'!$A$3,"MA_HT","SON","MA_QH","NTD")</f>
        <v>0</v>
      </c>
      <c r="AX55" s="35">
        <f>+GETPIVOTDATA("XDB4",'dabac (2016)'!$A$3,"MA_HT","SON","MA_QH","SKX")</f>
        <v>0</v>
      </c>
      <c r="AY55" s="35">
        <f>+GETPIVOTDATA("XDB4",'dabac (2016)'!$A$3,"MA_HT","SON","MA_QH","DSH")</f>
        <v>0</v>
      </c>
      <c r="AZ55" s="35">
        <f>+GETPIVOTDATA("XDB4",'dabac (2016)'!$A$3,"MA_HT","SON","MA_QH","DKV")</f>
        <v>0</v>
      </c>
      <c r="BA55" s="140">
        <f>+GETPIVOTDATA("XDB4",'dabac (2016)'!$A$3,"MA_HT","SON","MA_QH","TIN")</f>
        <v>0</v>
      </c>
      <c r="BB55" s="99" t="e">
        <f>$D55-$BF55</f>
        <v>#REF!</v>
      </c>
      <c r="BC55" s="74">
        <f>+GETPIVOTDATA("XDB4",'dabac (2016)'!$A$3,"MA_HT","SON","MA_QH","MNC")</f>
        <v>0</v>
      </c>
      <c r="BD55" s="35">
        <f>+GETPIVOTDATA("XDB4",'dabac (2016)'!$A$3,"MA_HT","SON","MA_QH","PNK")</f>
        <v>0</v>
      </c>
      <c r="BE55" s="58">
        <f>+GETPIVOTDATA("XDB4",'dabac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+GETPIVOTDATA("XDB4",'dabac (2016)'!$A$3,"MA_HT","MNC","MA_QH","LUC")</f>
        <v>0</v>
      </c>
      <c r="H56" s="35">
        <f>+GETPIVOTDATA("XDB4",'dabac (2016)'!$A$3,"MA_HT","MNC","MA_QH","LUK")</f>
        <v>0</v>
      </c>
      <c r="I56" s="35">
        <f>+GETPIVOTDATA("XDB4",'dabac (2016)'!$A$3,"MA_HT","MNC","MA_QH","LUN")</f>
        <v>0</v>
      </c>
      <c r="J56" s="35">
        <f>+GETPIVOTDATA("XDB4",'dabac (2016)'!$A$3,"MA_HT","MNC","MA_QH","HNK")</f>
        <v>0</v>
      </c>
      <c r="K56" s="35">
        <f>+GETPIVOTDATA("XDB4",'dabac (2016)'!$A$3,"MA_HT","MNC","MA_QH","CLN")</f>
        <v>0</v>
      </c>
      <c r="L56" s="35">
        <f>+GETPIVOTDATA("XDB4",'dabac (2016)'!$A$3,"MA_HT","MNC","MA_QH","RSX")</f>
        <v>0</v>
      </c>
      <c r="M56" s="35">
        <f>+GETPIVOTDATA("XDB4",'dabac (2016)'!$A$3,"MA_HT","MNC","MA_QH","RPH")</f>
        <v>0</v>
      </c>
      <c r="N56" s="35">
        <f>+GETPIVOTDATA("XDB4",'dabac (2016)'!$A$3,"MA_HT","MNC","MA_QH","RDD")</f>
        <v>0</v>
      </c>
      <c r="O56" s="35">
        <f>+GETPIVOTDATA("XDB4",'dabac (2016)'!$A$3,"MA_HT","MNC","MA_QH","NTS")</f>
        <v>0</v>
      </c>
      <c r="P56" s="35">
        <f>+GETPIVOTDATA("XDB4",'dabac (2016)'!$A$3,"MA_HT","MNC","MA_QH","LMU")</f>
        <v>0</v>
      </c>
      <c r="Q56" s="35">
        <f>+GETPIVOTDATA("XDB4",'dabac (2016)'!$A$3,"MA_HT","MNC","MA_QH","NKH")</f>
        <v>0</v>
      </c>
      <c r="R56" s="106">
        <f>SUM(S56:AA56,AN56:BB56,BD56)</f>
        <v>0</v>
      </c>
      <c r="S56" s="35">
        <f>+GETPIVOTDATA("XDB4",'dabac (2016)'!$A$3,"MA_HT","MNC","MA_QH","CQP")</f>
        <v>0</v>
      </c>
      <c r="T56" s="35">
        <f>+GETPIVOTDATA("XDB4",'dabac (2016)'!$A$3,"MA_HT","MNC","MA_QH","CAN")</f>
        <v>0</v>
      </c>
      <c r="U56" s="35">
        <f>+GETPIVOTDATA("XDB4",'dabac (2016)'!$A$3,"MA_HT","MNC","MA_QH","SKK")</f>
        <v>0</v>
      </c>
      <c r="V56" s="35">
        <f>+GETPIVOTDATA("XDB4",'dabac (2016)'!$A$3,"MA_HT","MNC","MA_QH","SKT")</f>
        <v>0</v>
      </c>
      <c r="W56" s="35">
        <f>+GETPIVOTDATA("XDB4",'dabac (2016)'!$A$3,"MA_HT","MNC","MA_QH","SKN")</f>
        <v>0</v>
      </c>
      <c r="X56" s="35">
        <f>+GETPIVOTDATA("XDB4",'dabac (2016)'!$A$3,"MA_HT","MNC","MA_QH","TMD")</f>
        <v>0</v>
      </c>
      <c r="Y56" s="35">
        <f>+GETPIVOTDATA("XDB4",'dabac (2016)'!$A$3,"MA_HT","MNC","MA_QH","SKC")</f>
        <v>0</v>
      </c>
      <c r="Z56" s="35">
        <f>+GETPIVOTDATA("XDB4",'dabac (2016)'!$A$3,"MA_HT","MNC","MA_QH","SKS")</f>
        <v>0</v>
      </c>
      <c r="AA56" s="64">
        <f t="shared" si="21"/>
        <v>0</v>
      </c>
      <c r="AB56" s="35">
        <f>+GETPIVOTDATA("XDB4",'dabac (2016)'!$A$3,"MA_HT","MNC","MA_QH","DGT")</f>
        <v>0</v>
      </c>
      <c r="AC56" s="35">
        <f>+GETPIVOTDATA("XDB4",'dabac (2016)'!$A$3,"MA_HT","MNC","MA_QH","DTL")</f>
        <v>0</v>
      </c>
      <c r="AD56" s="35">
        <f>+GETPIVOTDATA("XDB4",'dabac (2016)'!$A$3,"MA_HT","MNC","MA_QH","DNL")</f>
        <v>0</v>
      </c>
      <c r="AE56" s="35">
        <f>+GETPIVOTDATA("XDB4",'dabac (2016)'!$A$3,"MA_HT","MNC","MA_QH","DBV")</f>
        <v>0</v>
      </c>
      <c r="AF56" s="35">
        <f>+GETPIVOTDATA("XDB4",'dabac (2016)'!$A$3,"MA_HT","MNC","MA_QH","DVH")</f>
        <v>0</v>
      </c>
      <c r="AG56" s="35">
        <f>+GETPIVOTDATA("XDB4",'dabac (2016)'!$A$3,"MA_HT","MNC","MA_QH","DYT")</f>
        <v>0</v>
      </c>
      <c r="AH56" s="35">
        <f>+GETPIVOTDATA("XDB4",'dabac (2016)'!$A$3,"MA_HT","MNC","MA_QH","DGD")</f>
        <v>0</v>
      </c>
      <c r="AI56" s="35">
        <f>+GETPIVOTDATA("XDB4",'dabac (2016)'!$A$3,"MA_HT","MNC","MA_QH","DTT")</f>
        <v>0</v>
      </c>
      <c r="AJ56" s="35">
        <f>+GETPIVOTDATA("XDB4",'dabac (2016)'!$A$3,"MA_HT","MNC","MA_QH","NCK")</f>
        <v>0</v>
      </c>
      <c r="AK56" s="35">
        <f>+GETPIVOTDATA("XDB4",'dabac (2016)'!$A$3,"MA_HT","MNC","MA_QH","DXH")</f>
        <v>0</v>
      </c>
      <c r="AL56" s="35">
        <f>+GETPIVOTDATA("XDB4",'dabac (2016)'!$A$3,"MA_HT","MNC","MA_QH","DCH")</f>
        <v>0</v>
      </c>
      <c r="AM56" s="35">
        <f>+GETPIVOTDATA("XDB4",'dabac (2016)'!$A$3,"MA_HT","MNC","MA_QH","DKG")</f>
        <v>0</v>
      </c>
      <c r="AN56" s="35">
        <f>+GETPIVOTDATA("XDB4",'dabac (2016)'!$A$3,"MA_HT","MNC","MA_QH","DDT")</f>
        <v>0</v>
      </c>
      <c r="AO56" s="35">
        <f>+GETPIVOTDATA("XDB4",'dabac (2016)'!$A$3,"MA_HT","MNC","MA_QH","DDL")</f>
        <v>0</v>
      </c>
      <c r="AP56" s="35">
        <f>+GETPIVOTDATA("XDB4",'dabac (2016)'!$A$3,"MA_HT","MNC","MA_QH","DRA")</f>
        <v>0</v>
      </c>
      <c r="AQ56" s="35">
        <f>+GETPIVOTDATA("XDB4",'dabac (2016)'!$A$3,"MA_HT","MNC","MA_QH","ONT")</f>
        <v>0</v>
      </c>
      <c r="AR56" s="35">
        <f>+GETPIVOTDATA("XDB4",'dabac (2016)'!$A$3,"MA_HT","MNC","MA_QH","ODT")</f>
        <v>0</v>
      </c>
      <c r="AS56" s="35">
        <f>+GETPIVOTDATA("XDB4",'dabac (2016)'!$A$3,"MA_HT","MNC","MA_QH","TSC")</f>
        <v>0</v>
      </c>
      <c r="AT56" s="35">
        <f>+GETPIVOTDATA("XDB4",'dabac (2016)'!$A$3,"MA_HT","MNC","MA_QH","DTS")</f>
        <v>0</v>
      </c>
      <c r="AU56" s="35">
        <f>+GETPIVOTDATA("XDB4",'dabac (2016)'!$A$3,"MA_HT","MNC","MA_QH","DNG")</f>
        <v>0</v>
      </c>
      <c r="AV56" s="35">
        <f>+GETPIVOTDATA("XDB4",'dabac (2016)'!$A$3,"MA_HT","MNC","MA_QH","TON")</f>
        <v>0</v>
      </c>
      <c r="AW56" s="35">
        <f>+GETPIVOTDATA("XDB4",'dabac (2016)'!$A$3,"MA_HT","MNC","MA_QH","NTD")</f>
        <v>0</v>
      </c>
      <c r="AX56" s="35">
        <f>+GETPIVOTDATA("XDB4",'dabac (2016)'!$A$3,"MA_HT","MNC","MA_QH","SKX")</f>
        <v>0</v>
      </c>
      <c r="AY56" s="35">
        <f>+GETPIVOTDATA("XDB4",'dabac (2016)'!$A$3,"MA_HT","MNC","MA_QH","DSH")</f>
        <v>0</v>
      </c>
      <c r="AZ56" s="35">
        <f>+GETPIVOTDATA("XDB4",'dabac (2016)'!$A$3,"MA_HT","MNC","MA_QH","DKV")</f>
        <v>0</v>
      </c>
      <c r="BA56" s="140">
        <f>+GETPIVOTDATA("XDB4",'dabac (2016)'!$A$3,"MA_HT","MNC","MA_QH","TIN")</f>
        <v>0</v>
      </c>
      <c r="BB56" s="74">
        <f>+GETPIVOTDATA("XDB4",'dabac (2016)'!$A$3,"MA_HT","MNC","MA_QH","SON")</f>
        <v>0</v>
      </c>
      <c r="BC56" s="99" t="e">
        <f>$D56-$BF56</f>
        <v>#REF!</v>
      </c>
      <c r="BD56" s="35">
        <f>+GETPIVOTDATA("XDB4",'dabac (2016)'!$A$3,"MA_HT","MNC","MA_QH","PNK")</f>
        <v>0</v>
      </c>
      <c r="BE56" s="58">
        <f>+GETPIVOTDATA("XDB4",'dabac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+GETPIVOTDATA("XDB4",'dabac (2016)'!$A$3,"MA_HT","PNK","MA_QH","LUC")</f>
        <v>0</v>
      </c>
      <c r="H57" s="35">
        <f>+GETPIVOTDATA("XDB4",'dabac (2016)'!$A$3,"MA_HT","PNK","MA_QH","LUK")</f>
        <v>0</v>
      </c>
      <c r="I57" s="35">
        <f>+GETPIVOTDATA("XDB4",'dabac (2016)'!$A$3,"MA_HT","PNK","MA_QH","LUN")</f>
        <v>0</v>
      </c>
      <c r="J57" s="35">
        <f>+GETPIVOTDATA("XDB4",'dabac (2016)'!$A$3,"MA_HT","PNK","MA_QH","HNK")</f>
        <v>0</v>
      </c>
      <c r="K57" s="35">
        <f>+GETPIVOTDATA("XDB4",'dabac (2016)'!$A$3,"MA_HT","PNK","MA_QH","CLN")</f>
        <v>0</v>
      </c>
      <c r="L57" s="35">
        <f>+GETPIVOTDATA("XDB4",'dabac (2016)'!$A$3,"MA_HT","PNK","MA_QH","RSX")</f>
        <v>0</v>
      </c>
      <c r="M57" s="35">
        <f>+GETPIVOTDATA("XDB4",'dabac (2016)'!$A$3,"MA_HT","PNK","MA_QH","RPH")</f>
        <v>0</v>
      </c>
      <c r="N57" s="35">
        <f>+GETPIVOTDATA("XDB4",'dabac (2016)'!$A$3,"MA_HT","PNK","MA_QH","RDD")</f>
        <v>0</v>
      </c>
      <c r="O57" s="35">
        <f>+GETPIVOTDATA("XDB4",'dabac (2016)'!$A$3,"MA_HT","PNK","MA_QH","NTS")</f>
        <v>0</v>
      </c>
      <c r="P57" s="35">
        <f>+GETPIVOTDATA("XDB4",'dabac (2016)'!$A$3,"MA_HT","PNK","MA_QH","LMU")</f>
        <v>0</v>
      </c>
      <c r="Q57" s="35">
        <f>+GETPIVOTDATA("XDB4",'dabac (2016)'!$A$3,"MA_HT","PNK","MA_QH","NKH")</f>
        <v>0</v>
      </c>
      <c r="R57" s="106">
        <f>SUM(S57:AA57,AN57:BC57)</f>
        <v>0</v>
      </c>
      <c r="S57" s="35">
        <f>+GETPIVOTDATA("XDB4",'dabac (2016)'!$A$3,"MA_HT","PNK","MA_QH","CQP")</f>
        <v>0</v>
      </c>
      <c r="T57" s="35">
        <f>+GETPIVOTDATA("XDB4",'dabac (2016)'!$A$3,"MA_HT","PNK","MA_QH","CAN")</f>
        <v>0</v>
      </c>
      <c r="U57" s="35">
        <f>+GETPIVOTDATA("XDB4",'dabac (2016)'!$A$3,"MA_HT","PNK","MA_QH","SKK")</f>
        <v>0</v>
      </c>
      <c r="V57" s="35">
        <f>+GETPIVOTDATA("XDB4",'dabac (2016)'!$A$3,"MA_HT","PNK","MA_QH","SKT")</f>
        <v>0</v>
      </c>
      <c r="W57" s="35">
        <f>+GETPIVOTDATA("XDB4",'dabac (2016)'!$A$3,"MA_HT","PNK","MA_QH","SKN")</f>
        <v>0</v>
      </c>
      <c r="X57" s="35">
        <f>+GETPIVOTDATA("XDB4",'dabac (2016)'!$A$3,"MA_HT","PNK","MA_QH","TMD")</f>
        <v>0</v>
      </c>
      <c r="Y57" s="35">
        <f>+GETPIVOTDATA("XDB4",'dabac (2016)'!$A$3,"MA_HT","PNK","MA_QH","SKC")</f>
        <v>0</v>
      </c>
      <c r="Z57" s="35">
        <f>+GETPIVOTDATA("XDB4",'dabac (2016)'!$A$3,"MA_HT","PNK","MA_QH","SKS")</f>
        <v>0</v>
      </c>
      <c r="AA57" s="64">
        <f t="shared" si="21"/>
        <v>0</v>
      </c>
      <c r="AB57" s="35">
        <f>+GETPIVOTDATA("XDB4",'dabac (2016)'!$A$3,"MA_HT","PNK","MA_QH","DGT")</f>
        <v>0</v>
      </c>
      <c r="AC57" s="35">
        <f>+GETPIVOTDATA("XDB4",'dabac (2016)'!$A$3,"MA_HT","PNK","MA_QH","DTL")</f>
        <v>0</v>
      </c>
      <c r="AD57" s="35">
        <f>+GETPIVOTDATA("XDB4",'dabac (2016)'!$A$3,"MA_HT","PNK","MA_QH","DNL")</f>
        <v>0</v>
      </c>
      <c r="AE57" s="35">
        <f>+GETPIVOTDATA("XDB4",'dabac (2016)'!$A$3,"MA_HT","PNK","MA_QH","DBV")</f>
        <v>0</v>
      </c>
      <c r="AF57" s="35">
        <f>+GETPIVOTDATA("XDB4",'dabac (2016)'!$A$3,"MA_HT","PNK","MA_QH","DVH")</f>
        <v>0</v>
      </c>
      <c r="AG57" s="35">
        <f>+GETPIVOTDATA("XDB4",'dabac (2016)'!$A$3,"MA_HT","PNK","MA_QH","DYT")</f>
        <v>0</v>
      </c>
      <c r="AH57" s="35">
        <f>+GETPIVOTDATA("XDB4",'dabac (2016)'!$A$3,"MA_HT","PNK","MA_QH","DGD")</f>
        <v>0</v>
      </c>
      <c r="AI57" s="35">
        <f>+GETPIVOTDATA("XDB4",'dabac (2016)'!$A$3,"MA_HT","PNK","MA_QH","DTT")</f>
        <v>0</v>
      </c>
      <c r="AJ57" s="35">
        <f>+GETPIVOTDATA("XDB4",'dabac (2016)'!$A$3,"MA_HT","PNK","MA_QH","NCK")</f>
        <v>0</v>
      </c>
      <c r="AK57" s="35">
        <f>+GETPIVOTDATA("XDB4",'dabac (2016)'!$A$3,"MA_HT","PNK","MA_QH","DXH")</f>
        <v>0</v>
      </c>
      <c r="AL57" s="35">
        <f>+GETPIVOTDATA("XDB4",'dabac (2016)'!$A$3,"MA_HT","PNK","MA_QH","DCH")</f>
        <v>0</v>
      </c>
      <c r="AM57" s="35">
        <f>+GETPIVOTDATA("XDB4",'dabac (2016)'!$A$3,"MA_HT","PNK","MA_QH","DKG")</f>
        <v>0</v>
      </c>
      <c r="AN57" s="35">
        <f>+GETPIVOTDATA("XDB4",'dabac (2016)'!$A$3,"MA_HT","PNK","MA_QH","DDT")</f>
        <v>0</v>
      </c>
      <c r="AO57" s="35">
        <f>+GETPIVOTDATA("XDB4",'dabac (2016)'!$A$3,"MA_HT","PNK","MA_QH","DDL")</f>
        <v>0</v>
      </c>
      <c r="AP57" s="35">
        <f>+GETPIVOTDATA("XDB4",'dabac (2016)'!$A$3,"MA_HT","PNK","MA_QH","DRA")</f>
        <v>0</v>
      </c>
      <c r="AQ57" s="35">
        <f>+GETPIVOTDATA("XDB4",'dabac (2016)'!$A$3,"MA_HT","PNK","MA_QH","ONT")</f>
        <v>0</v>
      </c>
      <c r="AR57" s="35">
        <f>+GETPIVOTDATA("XDB4",'dabac (2016)'!$A$3,"MA_HT","PNK","MA_QH","ODT")</f>
        <v>0</v>
      </c>
      <c r="AS57" s="35">
        <f>+GETPIVOTDATA("XDB4",'dabac (2016)'!$A$3,"MA_HT","PNK","MA_QH","TSC")</f>
        <v>0</v>
      </c>
      <c r="AT57" s="35">
        <f>+GETPIVOTDATA("XDB4",'dabac (2016)'!$A$3,"MA_HT","PNK","MA_QH","DTS")</f>
        <v>0</v>
      </c>
      <c r="AU57" s="35">
        <f>+GETPIVOTDATA("XDB4",'dabac (2016)'!$A$3,"MA_HT","PNK","MA_QH","DNG")</f>
        <v>0</v>
      </c>
      <c r="AV57" s="35">
        <f>+GETPIVOTDATA("XDB4",'dabac (2016)'!$A$3,"MA_HT","PNK","MA_QH","TON")</f>
        <v>0</v>
      </c>
      <c r="AW57" s="35">
        <f>+GETPIVOTDATA("XDB4",'dabac (2016)'!$A$3,"MA_HT","PNK","MA_QH","NTD")</f>
        <v>0</v>
      </c>
      <c r="AX57" s="35">
        <f>+GETPIVOTDATA("XDB4",'dabac (2016)'!$A$3,"MA_HT","PNK","MA_QH","SKX")</f>
        <v>0</v>
      </c>
      <c r="AY57" s="35">
        <f>+GETPIVOTDATA("XDB4",'dabac (2016)'!$A$3,"MA_HT","PNK","MA_QH","DSH")</f>
        <v>0</v>
      </c>
      <c r="AZ57" s="35">
        <f>+GETPIVOTDATA("XDB4",'dabac (2016)'!$A$3,"MA_HT","PNK","MA_QH","DKV")</f>
        <v>0</v>
      </c>
      <c r="BA57" s="140">
        <f>+GETPIVOTDATA("XDB4",'dabac (2016)'!$A$3,"MA_HT","PNK","MA_QH","TIN")</f>
        <v>0</v>
      </c>
      <c r="BB57" s="74">
        <f>+GETPIVOTDATA("XDB4",'dabac (2016)'!$A$3,"MA_HT","PNK","MA_QH","SON")</f>
        <v>0</v>
      </c>
      <c r="BC57" s="74">
        <f>+GETPIVOTDATA("XDB4",'dabac (2016)'!$A$3,"MA_HT","PNK","MA_QH","MNC")</f>
        <v>0</v>
      </c>
      <c r="BD57" s="99" t="e">
        <f>$D57-$BF57</f>
        <v>#REF!</v>
      </c>
      <c r="BE57" s="58">
        <f>+GETPIVOTDATA("XDB4",'dabac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+GETPIVOTDATA("XDB4",'dabac (2016)'!$A$3,"MA_HT","CSD","MA_QH","LUC")</f>
        <v>0</v>
      </c>
      <c r="H58" s="58">
        <f>+GETPIVOTDATA("XDB4",'dabac (2016)'!$A$3,"MA_HT","CSD","MA_QH","LUK")</f>
        <v>0</v>
      </c>
      <c r="I58" s="58">
        <f>+GETPIVOTDATA("XDB4",'dabac (2016)'!$A$3,"MA_HT","CSD","MA_QH","LUN")</f>
        <v>0</v>
      </c>
      <c r="J58" s="58">
        <f>+GETPIVOTDATA("XDB4",'dabac (2016)'!$A$3,"MA_HT","CSD","MA_QH","HNK")</f>
        <v>0</v>
      </c>
      <c r="K58" s="58">
        <f>+GETPIVOTDATA("XDB4",'dabac (2016)'!$A$3,"MA_HT","CSD","MA_QH","CLN")</f>
        <v>0</v>
      </c>
      <c r="L58" s="58">
        <f>+GETPIVOTDATA("XDB4",'dabac (2016)'!$A$3,"MA_HT","CSD","MA_QH","RSX")</f>
        <v>0</v>
      </c>
      <c r="M58" s="58">
        <f>+GETPIVOTDATA("XDB4",'dabac (2016)'!$A$3,"MA_HT","CSD","MA_QH","RPH")</f>
        <v>0</v>
      </c>
      <c r="N58" s="58">
        <f>+GETPIVOTDATA("XDB4",'dabac (2016)'!$A$3,"MA_HT","CSD","MA_QH","RDD")</f>
        <v>0</v>
      </c>
      <c r="O58" s="58">
        <f>+GETPIVOTDATA("XDB4",'dabac (2016)'!$A$3,"MA_HT","CSD","MA_QH","NTS")</f>
        <v>0</v>
      </c>
      <c r="P58" s="58">
        <f>+GETPIVOTDATA("XDB4",'dabac (2016)'!$A$3,"MA_HT","CSD","MA_QH","LMU")</f>
        <v>0</v>
      </c>
      <c r="Q58" s="58">
        <f>+GETPIVOTDATA("XDB4",'dabac (2016)'!$A$3,"MA_HT","CSD","MA_QH","NKH")</f>
        <v>0</v>
      </c>
      <c r="R58" s="106">
        <f>SUM(S58:AA58,AN58:BD58)</f>
        <v>0</v>
      </c>
      <c r="S58" s="102">
        <f>+GETPIVOTDATA("XDB4",'dabac (2016)'!$A$3,"MA_HT","CSD","MA_QH","CQP")</f>
        <v>0</v>
      </c>
      <c r="T58" s="102">
        <f>+GETPIVOTDATA("XDB4",'dabac (2016)'!$A$3,"MA_HT","CSD","MA_QH","CAN")</f>
        <v>0</v>
      </c>
      <c r="U58" s="58">
        <f>+GETPIVOTDATA("XDB4",'dabac (2016)'!$A$3,"MA_HT","CSD","MA_QH","SKK")</f>
        <v>0</v>
      </c>
      <c r="V58" s="58">
        <f>+GETPIVOTDATA("XDB4",'dabac (2016)'!$A$3,"MA_HT","CSD","MA_QH","SKT")</f>
        <v>0</v>
      </c>
      <c r="W58" s="58">
        <f>+GETPIVOTDATA("XDB4",'dabac (2016)'!$A$3,"MA_HT","CSD","MA_QH","SKN")</f>
        <v>0</v>
      </c>
      <c r="X58" s="58">
        <f>+GETPIVOTDATA("XDB4",'dabac (2016)'!$A$3,"MA_HT","CSD","MA_QH","TMD")</f>
        <v>0</v>
      </c>
      <c r="Y58" s="58">
        <f>+GETPIVOTDATA("XDB4",'dabac (2016)'!$A$3,"MA_HT","CSD","MA_QH","SKC")</f>
        <v>0</v>
      </c>
      <c r="Z58" s="58">
        <f>+GETPIVOTDATA("XDB4",'dabac (2016)'!$A$3,"MA_HT","CSD","MA_QH","SKS")</f>
        <v>0</v>
      </c>
      <c r="AA58" s="64">
        <f t="shared" si="21"/>
        <v>0</v>
      </c>
      <c r="AB58" s="102">
        <f>+GETPIVOTDATA("XDB4",'dabac (2016)'!$A$3,"MA_HT","CSD","MA_QH","DGT")</f>
        <v>0</v>
      </c>
      <c r="AC58" s="102">
        <f>+GETPIVOTDATA("XDB4",'dabac (2016)'!$A$3,"MA_HT","CSD","MA_QH","DTL")</f>
        <v>0</v>
      </c>
      <c r="AD58" s="102">
        <f>+GETPIVOTDATA("XDB4",'dabac (2016)'!$A$3,"MA_HT","CSD","MA_QH","DNL")</f>
        <v>0</v>
      </c>
      <c r="AE58" s="102">
        <f>+GETPIVOTDATA("XDB4",'dabac (2016)'!$A$3,"MA_HT","CSD","MA_QH","DBV")</f>
        <v>0</v>
      </c>
      <c r="AF58" s="102">
        <f>+GETPIVOTDATA("XDB4",'dabac (2016)'!$A$3,"MA_HT","CSD","MA_QH","DVH")</f>
        <v>0</v>
      </c>
      <c r="AG58" s="102">
        <f>+GETPIVOTDATA("XDB4",'dabac (2016)'!$A$3,"MA_HT","CSD","MA_QH","DYT")</f>
        <v>0</v>
      </c>
      <c r="AH58" s="102">
        <f>+GETPIVOTDATA("XDB4",'dabac (2016)'!$A$3,"MA_HT","CSD","MA_QH","DGD")</f>
        <v>0</v>
      </c>
      <c r="AI58" s="102">
        <f>+GETPIVOTDATA("XDB4",'dabac (2016)'!$A$3,"MA_HT","CSD","MA_QH","DTT")</f>
        <v>0</v>
      </c>
      <c r="AJ58" s="102">
        <f>+GETPIVOTDATA("XDB4",'dabac (2016)'!$A$3,"MA_HT","CSD","MA_QH","NCK")</f>
        <v>0</v>
      </c>
      <c r="AK58" s="102">
        <f>+GETPIVOTDATA("XDB4",'dabac (2016)'!$A$3,"MA_HT","CSD","MA_QH","DXH")</f>
        <v>0</v>
      </c>
      <c r="AL58" s="102">
        <f>+GETPIVOTDATA("XDB4",'dabac (2016)'!$A$3,"MA_HT","CSD","MA_QH","DCH")</f>
        <v>0</v>
      </c>
      <c r="AM58" s="102">
        <f>+GETPIVOTDATA("XDB4",'dabac (2016)'!$A$3,"MA_HT","CSD","MA_QH","DKG")</f>
        <v>0</v>
      </c>
      <c r="AN58" s="58">
        <f>+GETPIVOTDATA("XDB4",'dabac (2016)'!$A$3,"MA_HT","CSD","MA_QH","DDT")</f>
        <v>0</v>
      </c>
      <c r="AO58" s="58">
        <f>+GETPIVOTDATA("XDB4",'dabac (2016)'!$A$3,"MA_HT","CSD","MA_QH","DDL")</f>
        <v>0</v>
      </c>
      <c r="AP58" s="58">
        <f>+GETPIVOTDATA("XDB4",'dabac (2016)'!$A$3,"MA_HT","CSD","MA_QH","DRA")</f>
        <v>0</v>
      </c>
      <c r="AQ58" s="58">
        <f>+GETPIVOTDATA("XDB4",'dabac (2016)'!$A$3,"MA_HT","CSD","MA_QH","ONT")</f>
        <v>0</v>
      </c>
      <c r="AR58" s="58">
        <f>+GETPIVOTDATA("XDB4",'dabac (2016)'!$A$3,"MA_HT","CSD","MA_QH","ODT")</f>
        <v>0</v>
      </c>
      <c r="AS58" s="58">
        <f>+GETPIVOTDATA("XDB4",'dabac (2016)'!$A$3,"MA_HT","CSD","MA_QH","TSC")</f>
        <v>0</v>
      </c>
      <c r="AT58" s="58">
        <f>+GETPIVOTDATA("XDB4",'dabac (2016)'!$A$3,"MA_HT","CSD","MA_QH","DTS")</f>
        <v>0</v>
      </c>
      <c r="AU58" s="58">
        <f>+GETPIVOTDATA("XDB4",'dabac (2016)'!$A$3,"MA_HT","CSD","MA_QH","DNG")</f>
        <v>0</v>
      </c>
      <c r="AV58" s="58">
        <f>+GETPIVOTDATA("XDB4",'dabac (2016)'!$A$3,"MA_HT","CSD","MA_QH","TON")</f>
        <v>0</v>
      </c>
      <c r="AW58" s="58">
        <f>+GETPIVOTDATA("XDB4",'dabac (2016)'!$A$3,"MA_HT","CSD","MA_QH","NTD")</f>
        <v>0</v>
      </c>
      <c r="AX58" s="58">
        <f>+GETPIVOTDATA("XDB4",'dabac (2016)'!$A$3,"MA_HT","CSD","MA_QH","SKX")</f>
        <v>0</v>
      </c>
      <c r="AY58" s="58">
        <f>+GETPIVOTDATA("XDB4",'dabac (2016)'!$A$3,"MA_HT","CSD","MA_QH","DSH")</f>
        <v>0</v>
      </c>
      <c r="AZ58" s="58">
        <f>+GETPIVOTDATA("XDB4",'dabac (2016)'!$A$3,"MA_HT","CSD","MA_QH","DKV")</f>
        <v>0</v>
      </c>
      <c r="BA58" s="140">
        <f>+GETPIVOTDATA("XDB4",'dabac (2016)'!$A$3,"MA_HT","CSD","MA_QH","TIN")</f>
        <v>0</v>
      </c>
      <c r="BB58" s="102">
        <f>+GETPIVOTDATA("XDB4",'dabac (2016)'!$A$3,"MA_HT","CSD","MA_QH","SON")</f>
        <v>0</v>
      </c>
      <c r="BC58" s="102">
        <f>+GETPIVOTDATA("XDB4",'dabac (2016)'!$A$3,"MA_HT","CSD","MA_QH","MNC")</f>
        <v>0</v>
      </c>
      <c r="BD58" s="58">
        <f>+GETPIVOTDATA("XDB4",'dabac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 t="s">
        <v>290</v>
      </c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6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+GETPIVOTDATA("XKL4",'kimlong (2016)'!$A$3,"MA_HT","LUC","MA_QH","LUK")</f>
        <v>0</v>
      </c>
      <c r="I8" s="74">
        <f>+GETPIVOTDATA("XKL4",'kimlong (2016)'!$A$3,"MA_HT","LUC","MA_QH","LUN")</f>
        <v>0</v>
      </c>
      <c r="J8" s="74">
        <f>+GETPIVOTDATA("XKL4",'kimlong (2016)'!$A$3,"MA_HT","LUC","MA_QH","HNK")</f>
        <v>0</v>
      </c>
      <c r="K8" s="74">
        <f>+GETPIVOTDATA("XKL4",'kimlong (2016)'!$A$3,"MA_HT","LUC","MA_QH","CLN")</f>
        <v>0</v>
      </c>
      <c r="L8" s="74">
        <f>+GETPIVOTDATA("XKL4",'kimlong (2016)'!$A$3,"MA_HT","LUC","MA_QH","RSX")</f>
        <v>0</v>
      </c>
      <c r="M8" s="74">
        <f>+GETPIVOTDATA("XKL4",'kimlong (2016)'!$A$3,"MA_HT","LUC","MA_QH","RPH")</f>
        <v>0</v>
      </c>
      <c r="N8" s="74">
        <f>+GETPIVOTDATA("XKL4",'kimlong (2016)'!$A$3,"MA_HT","LUC","MA_QH","RDD")</f>
        <v>0</v>
      </c>
      <c r="O8" s="74">
        <f>+GETPIVOTDATA("XKL4",'kimlong (2016)'!$A$3,"MA_HT","LUC","MA_QH","NTS")</f>
        <v>0</v>
      </c>
      <c r="P8" s="74">
        <f>+GETPIVOTDATA("XKL4",'kimlong (2016)'!$A$3,"MA_HT","LUC","MA_QH","LMU")</f>
        <v>0</v>
      </c>
      <c r="Q8" s="74">
        <f>+GETPIVOTDATA("XKL4",'kimlong (2016)'!$A$3,"MA_HT","LUC","MA_QH","NKH")</f>
        <v>0</v>
      </c>
      <c r="R8" s="72">
        <f>SUM(S8:AA8,AN8:BD8)</f>
        <v>0</v>
      </c>
      <c r="S8" s="74">
        <f>+GETPIVOTDATA("XKL4",'kimlong (2016)'!$A$3,"MA_HT","LUC","MA_QH","CQP")</f>
        <v>0</v>
      </c>
      <c r="T8" s="74">
        <f>+GETPIVOTDATA("XKL4",'kimlong (2016)'!$A$3,"MA_HT","LUC","MA_QH","CAN")</f>
        <v>0</v>
      </c>
      <c r="U8" s="74">
        <f>+GETPIVOTDATA("XKL4",'kimlong (2016)'!$A$3,"MA_HT","LUC","MA_QH","SKK")</f>
        <v>0</v>
      </c>
      <c r="V8" s="74">
        <f>+GETPIVOTDATA("XKL4",'kimlong (2016)'!$A$3,"MA_HT","LUC","MA_QH","SKT")</f>
        <v>0</v>
      </c>
      <c r="W8" s="74">
        <f>+GETPIVOTDATA("XKL4",'kimlong (2016)'!$A$3,"MA_HT","LUC","MA_QH","SKN")</f>
        <v>0</v>
      </c>
      <c r="X8" s="74">
        <f>+GETPIVOTDATA("XKL4",'kimlong (2016)'!$A$3,"MA_HT","LUC","MA_QH","TMD")</f>
        <v>0</v>
      </c>
      <c r="Y8" s="74">
        <f>+GETPIVOTDATA("XKL4",'kimlong (2016)'!$A$3,"MA_HT","LUC","MA_QH","SKC")</f>
        <v>0</v>
      </c>
      <c r="Z8" s="74">
        <f>+GETPIVOTDATA("XKL4",'kimlong (2016)'!$A$3,"MA_HT","LUC","MA_QH","SKS")</f>
        <v>0</v>
      </c>
      <c r="AA8" s="64">
        <f t="shared" si="4"/>
        <v>0</v>
      </c>
      <c r="AB8" s="74">
        <f>+GETPIVOTDATA("XKL4",'kimlong (2016)'!$A$3,"MA_HT","LUC","MA_QH","DGT")</f>
        <v>0</v>
      </c>
      <c r="AC8" s="74">
        <f>+GETPIVOTDATA("XKL4",'kimlong (2016)'!$A$3,"MA_HT","LUC","MA_QH","DTL")</f>
        <v>0</v>
      </c>
      <c r="AD8" s="74">
        <f>+GETPIVOTDATA("XKL4",'kimlong (2016)'!$A$3,"MA_HT","LUC","MA_QH","DNL")</f>
        <v>0</v>
      </c>
      <c r="AE8" s="74">
        <f>+GETPIVOTDATA("XKL4",'kimlong (2016)'!$A$3,"MA_HT","LUC","MA_QH","DBV")</f>
        <v>0</v>
      </c>
      <c r="AF8" s="74">
        <f>+GETPIVOTDATA("XKL4",'kimlong (2016)'!$A$3,"MA_HT","LUC","MA_QH","DVH")</f>
        <v>0</v>
      </c>
      <c r="AG8" s="74">
        <f>+GETPIVOTDATA("XKL4",'kimlong (2016)'!$A$3,"MA_HT","LUC","MA_QH","DYT")</f>
        <v>0</v>
      </c>
      <c r="AH8" s="74">
        <f>+GETPIVOTDATA("XKL4",'kimlong (2016)'!$A$3,"MA_HT","LUC","MA_QH","DGD")</f>
        <v>0</v>
      </c>
      <c r="AI8" s="74">
        <f>+GETPIVOTDATA("XKL4",'kimlong (2016)'!$A$3,"MA_HT","LUC","MA_QH","DTT")</f>
        <v>0</v>
      </c>
      <c r="AJ8" s="74">
        <f>+GETPIVOTDATA("XKL4",'kimlong (2016)'!$A$3,"MA_HT","LUC","MA_QH","NCK")</f>
        <v>0</v>
      </c>
      <c r="AK8" s="74">
        <f>+GETPIVOTDATA("XKL4",'kimlong (2016)'!$A$3,"MA_HT","LUC","MA_QH","DXH")</f>
        <v>0</v>
      </c>
      <c r="AL8" s="74">
        <f>+GETPIVOTDATA("XKL4",'kimlong (2016)'!$A$3,"MA_HT","LUC","MA_QH","DCH")</f>
        <v>0</v>
      </c>
      <c r="AM8" s="74">
        <f>+GETPIVOTDATA("XKL4",'kimlong (2016)'!$A$3,"MA_HT","LUC","MA_QH","DKG")</f>
        <v>0</v>
      </c>
      <c r="AN8" s="74">
        <f>+GETPIVOTDATA("XKL4",'kimlong (2016)'!$A$3,"MA_HT","LUC","MA_QH","DDT")</f>
        <v>0</v>
      </c>
      <c r="AO8" s="74">
        <f>+GETPIVOTDATA("XKL4",'kimlong (2016)'!$A$3,"MA_HT","LUC","MA_QH","DDL")</f>
        <v>0</v>
      </c>
      <c r="AP8" s="74">
        <f>+GETPIVOTDATA("XKL4",'kimlong (2016)'!$A$3,"MA_HT","LUC","MA_QH","DRA")</f>
        <v>0</v>
      </c>
      <c r="AQ8" s="74">
        <f>+GETPIVOTDATA("XKL4",'kimlong (2016)'!$A$3,"MA_HT","LUC","MA_QH","ONT")</f>
        <v>0</v>
      </c>
      <c r="AR8" s="74">
        <f>+GETPIVOTDATA("XKL4",'kimlong (2016)'!$A$3,"MA_HT","LUC","MA_QH","ODT")</f>
        <v>0</v>
      </c>
      <c r="AS8" s="74">
        <f>+GETPIVOTDATA("XKL4",'kimlong (2016)'!$A$3,"MA_HT","LUC","MA_QH","TSC")</f>
        <v>0</v>
      </c>
      <c r="AT8" s="74">
        <f>+GETPIVOTDATA("XKL4",'kimlong (2016)'!$A$3,"MA_HT","LUC","MA_QH","DTS")</f>
        <v>0</v>
      </c>
      <c r="AU8" s="74">
        <f>+GETPIVOTDATA("XKL4",'kimlong (2016)'!$A$3,"MA_HT","LUC","MA_QH","DNG")</f>
        <v>0</v>
      </c>
      <c r="AV8" s="74">
        <f>+GETPIVOTDATA("XKL4",'kimlong (2016)'!$A$3,"MA_HT","LUC","MA_QH","TON")</f>
        <v>0</v>
      </c>
      <c r="AW8" s="74">
        <f>+GETPIVOTDATA("XKL4",'kimlong (2016)'!$A$3,"MA_HT","LUC","MA_QH","NTD")</f>
        <v>0</v>
      </c>
      <c r="AX8" s="74">
        <f>+GETPIVOTDATA("XKL4",'kimlong (2016)'!$A$3,"MA_HT","LUC","MA_QH","SKX")</f>
        <v>0</v>
      </c>
      <c r="AY8" s="74">
        <f>+GETPIVOTDATA("XKL4",'kimlong (2016)'!$A$3,"MA_HT","LUC","MA_QH","DSH")</f>
        <v>0</v>
      </c>
      <c r="AZ8" s="74">
        <f>+GETPIVOTDATA("XKL4",'kimlong (2016)'!$A$3,"MA_HT","LUC","MA_QH","DKV")</f>
        <v>0</v>
      </c>
      <c r="BA8" s="139">
        <f>+GETPIVOTDATA("XKL4",'kimlong (2016)'!$A$3,"MA_HT","LUC","MA_QH","TIN")</f>
        <v>0</v>
      </c>
      <c r="BB8" s="74">
        <f>+GETPIVOTDATA("XKL4",'kimlong (2016)'!$A$3,"MA_HT","LUC","MA_QH","SON")</f>
        <v>0</v>
      </c>
      <c r="BC8" s="74">
        <f>+GETPIVOTDATA("XKL4",'kimlong (2016)'!$A$3,"MA_HT","LUC","MA_QH","MNC")</f>
        <v>0</v>
      </c>
      <c r="BD8" s="74">
        <f>+GETPIVOTDATA("XKL4",'kimlong (2016)'!$A$3,"MA_HT","LUC","MA_QH","PNK")</f>
        <v>0</v>
      </c>
      <c r="BE8" s="102">
        <f>+GETPIVOTDATA("XKL4",'kimlong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+GETPIVOTDATA("XKL4",'kimlong (2016)'!$A$3,"MA_HT","LUK","MA_QH","LUC")</f>
        <v>0</v>
      </c>
      <c r="H9" s="100" t="e">
        <f>$D9-$BF9</f>
        <v>#REF!</v>
      </c>
      <c r="I9" s="74">
        <f>+GETPIVOTDATA("XKL4",'kimlong (2016)'!$A$3,"MA_HT","LUK","MA_QH","LUN")</f>
        <v>0</v>
      </c>
      <c r="J9" s="74">
        <f>+GETPIVOTDATA("XKL4",'kimlong (2016)'!$A$3,"MA_HT","LUK","MA_QH","HNK")</f>
        <v>0</v>
      </c>
      <c r="K9" s="74">
        <f>+GETPIVOTDATA("XKL4",'kimlong (2016)'!$A$3,"MA_HT","LUK","MA_QH","CLN")</f>
        <v>0</v>
      </c>
      <c r="L9" s="74">
        <f>+GETPIVOTDATA("XKL4",'kimlong (2016)'!$A$3,"MA_HT","LUK","MA_QH","RSX")</f>
        <v>0</v>
      </c>
      <c r="M9" s="74">
        <f>+GETPIVOTDATA("XKL4",'kimlong (2016)'!$A$3,"MA_HT","LUK","MA_QH","RPH")</f>
        <v>0</v>
      </c>
      <c r="N9" s="74">
        <f>+GETPIVOTDATA("XKL4",'kimlong (2016)'!$A$3,"MA_HT","LUK","MA_QH","RDD")</f>
        <v>0</v>
      </c>
      <c r="O9" s="74">
        <f>+GETPIVOTDATA("XKL4",'kimlong (2016)'!$A$3,"MA_HT","LUK","MA_QH","NTS")</f>
        <v>0</v>
      </c>
      <c r="P9" s="74">
        <f>+GETPIVOTDATA("XKL4",'kimlong (2016)'!$A$3,"MA_HT","LUK","MA_QH","LMU")</f>
        <v>0</v>
      </c>
      <c r="Q9" s="74">
        <f>+GETPIVOTDATA("XKL4",'kimlong (2016)'!$A$3,"MA_HT","LUK","MA_QH","NKH")</f>
        <v>0</v>
      </c>
      <c r="R9" s="72">
        <f t="shared" si="2"/>
        <v>0</v>
      </c>
      <c r="S9" s="74">
        <f>+GETPIVOTDATA("XKL4",'kimlong (2016)'!$A$3,"MA_HT","LUK","MA_QH","CQP")</f>
        <v>0</v>
      </c>
      <c r="T9" s="74">
        <f>+GETPIVOTDATA("XKL4",'kimlong (2016)'!$A$3,"MA_HT","LUK","MA_QH","CAN")</f>
        <v>0</v>
      </c>
      <c r="U9" s="74">
        <f>+GETPIVOTDATA("XKL4",'kimlong (2016)'!$A$3,"MA_HT","LUK","MA_QH","SKK")</f>
        <v>0</v>
      </c>
      <c r="V9" s="74">
        <f>+GETPIVOTDATA("XKL4",'kimlong (2016)'!$A$3,"MA_HT","LUK","MA_QH","SKT")</f>
        <v>0</v>
      </c>
      <c r="W9" s="74">
        <f>+GETPIVOTDATA("XKL4",'kimlong (2016)'!$A$3,"MA_HT","LUK","MA_QH","SKN")</f>
        <v>0</v>
      </c>
      <c r="X9" s="74">
        <f>+GETPIVOTDATA("XKL4",'kimlong (2016)'!$A$3,"MA_HT","LUK","MA_QH","TMD")</f>
        <v>0</v>
      </c>
      <c r="Y9" s="74">
        <f>+GETPIVOTDATA("XKL4",'kimlong (2016)'!$A$3,"MA_HT","LUK","MA_QH","SKC")</f>
        <v>0</v>
      </c>
      <c r="Z9" s="74">
        <f>+GETPIVOTDATA("XKL4",'kimlong (2016)'!$A$3,"MA_HT","LUK","MA_QH","SKS")</f>
        <v>0</v>
      </c>
      <c r="AA9" s="64">
        <f t="shared" si="4"/>
        <v>0</v>
      </c>
      <c r="AB9" s="74">
        <f>+GETPIVOTDATA("XKL4",'kimlong (2016)'!$A$3,"MA_HT","LUK","MA_QH","DGT")</f>
        <v>0</v>
      </c>
      <c r="AC9" s="74">
        <f>+GETPIVOTDATA("XKL4",'kimlong (2016)'!$A$3,"MA_HT","LUK","MA_QH","DTL")</f>
        <v>0</v>
      </c>
      <c r="AD9" s="74">
        <f>+GETPIVOTDATA("XKL4",'kimlong (2016)'!$A$3,"MA_HT","LUK","MA_QH","DNL")</f>
        <v>0</v>
      </c>
      <c r="AE9" s="74">
        <f>+GETPIVOTDATA("XKL4",'kimlong (2016)'!$A$3,"MA_HT","LUK","MA_QH","DBV")</f>
        <v>0</v>
      </c>
      <c r="AF9" s="74">
        <f>+GETPIVOTDATA("XKL4",'kimlong (2016)'!$A$3,"MA_HT","LUK","MA_QH","DVH")</f>
        <v>0</v>
      </c>
      <c r="AG9" s="74">
        <f>+GETPIVOTDATA("XKL4",'kimlong (2016)'!$A$3,"MA_HT","LUK","MA_QH","DYT")</f>
        <v>0</v>
      </c>
      <c r="AH9" s="74">
        <f>+GETPIVOTDATA("XKL4",'kimlong (2016)'!$A$3,"MA_HT","LUK","MA_QH","DGD")</f>
        <v>0</v>
      </c>
      <c r="AI9" s="74">
        <f>+GETPIVOTDATA("XKL4",'kimlong (2016)'!$A$3,"MA_HT","LUK","MA_QH","DTT")</f>
        <v>0</v>
      </c>
      <c r="AJ9" s="74">
        <f>+GETPIVOTDATA("XKL4",'kimlong (2016)'!$A$3,"MA_HT","LUK","MA_QH","NCK")</f>
        <v>0</v>
      </c>
      <c r="AK9" s="74">
        <f>+GETPIVOTDATA("XKL4",'kimlong (2016)'!$A$3,"MA_HT","LUK","MA_QH","DXH")</f>
        <v>0</v>
      </c>
      <c r="AL9" s="74">
        <f>+GETPIVOTDATA("XKL4",'kimlong (2016)'!$A$3,"MA_HT","LUK","MA_QH","DCH")</f>
        <v>0</v>
      </c>
      <c r="AM9" s="74">
        <f>+GETPIVOTDATA("XKL4",'kimlong (2016)'!$A$3,"MA_HT","LUK","MA_QH","DKG")</f>
        <v>0</v>
      </c>
      <c r="AN9" s="74">
        <f>+GETPIVOTDATA("XKL4",'kimlong (2016)'!$A$3,"MA_HT","LUK","MA_QH","DDT")</f>
        <v>0</v>
      </c>
      <c r="AO9" s="74">
        <f>+GETPIVOTDATA("XKL4",'kimlong (2016)'!$A$3,"MA_HT","LUK","MA_QH","DDL")</f>
        <v>0</v>
      </c>
      <c r="AP9" s="74">
        <f>+GETPIVOTDATA("XKL4",'kimlong (2016)'!$A$3,"MA_HT","LUK","MA_QH","DRA")</f>
        <v>0</v>
      </c>
      <c r="AQ9" s="74">
        <f>+GETPIVOTDATA("XKL4",'kimlong (2016)'!$A$3,"MA_HT","LUK","MA_QH","ONT")</f>
        <v>0</v>
      </c>
      <c r="AR9" s="74">
        <f>+GETPIVOTDATA("XKL4",'kimlong (2016)'!$A$3,"MA_HT","LUK","MA_QH","ODT")</f>
        <v>0</v>
      </c>
      <c r="AS9" s="74">
        <f>+GETPIVOTDATA("XKL4",'kimlong (2016)'!$A$3,"MA_HT","LUK","MA_QH","TSC")</f>
        <v>0</v>
      </c>
      <c r="AT9" s="74">
        <f>+GETPIVOTDATA("XKL4",'kimlong (2016)'!$A$3,"MA_HT","LUK","MA_QH","DTS")</f>
        <v>0</v>
      </c>
      <c r="AU9" s="74">
        <f>+GETPIVOTDATA("XKL4",'kimlong (2016)'!$A$3,"MA_HT","LUK","MA_QH","DNG")</f>
        <v>0</v>
      </c>
      <c r="AV9" s="74">
        <f>+GETPIVOTDATA("XKL4",'kimlong (2016)'!$A$3,"MA_HT","LUK","MA_QH","TON")</f>
        <v>0</v>
      </c>
      <c r="AW9" s="74">
        <f>+GETPIVOTDATA("XKL4",'kimlong (2016)'!$A$3,"MA_HT","LUK","MA_QH","NTD")</f>
        <v>0</v>
      </c>
      <c r="AX9" s="74">
        <f>+GETPIVOTDATA("XKL4",'kimlong (2016)'!$A$3,"MA_HT","LUK","MA_QH","SKX")</f>
        <v>0</v>
      </c>
      <c r="AY9" s="74">
        <f>+GETPIVOTDATA("XKL4",'kimlong (2016)'!$A$3,"MA_HT","LUK","MA_QH","DSH")</f>
        <v>0</v>
      </c>
      <c r="AZ9" s="74">
        <f>+GETPIVOTDATA("XKL4",'kimlong (2016)'!$A$3,"MA_HT","LUK","MA_QH","DKV")</f>
        <v>0</v>
      </c>
      <c r="BA9" s="139">
        <f>+GETPIVOTDATA("XKL4",'kimlong (2016)'!$A$3,"MA_HT","LUK","MA_QH","TIN")</f>
        <v>0</v>
      </c>
      <c r="BB9" s="74">
        <f>+GETPIVOTDATA("XKL4",'kimlong (2016)'!$A$3,"MA_HT","LUK","MA_QH","SON")</f>
        <v>0</v>
      </c>
      <c r="BC9" s="74">
        <f>+GETPIVOTDATA("XKL4",'kimlong (2016)'!$A$3,"MA_HT","LUK","MA_QH","MNC")</f>
        <v>0</v>
      </c>
      <c r="BD9" s="74">
        <f>+GETPIVOTDATA("XKL4",'kimlong (2016)'!$A$3,"MA_HT","LUK","MA_QH","PNK")</f>
        <v>0</v>
      </c>
      <c r="BE9" s="102">
        <f>+GETPIVOTDATA("XKL4",'kimlong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+GETPIVOTDATA("XKL4",'kimlong (2016)'!$A$3,"MA_HT","LUN","MA_QH","LUC")</f>
        <v>0</v>
      </c>
      <c r="H10" s="74">
        <f>+GETPIVOTDATA("XKL4",'kimlong (2016)'!$A$3,"MA_HT","LUN","MA_QH","LUK")</f>
        <v>0</v>
      </c>
      <c r="I10" s="100" t="e">
        <f>$D10-$BF10</f>
        <v>#REF!</v>
      </c>
      <c r="J10" s="74">
        <f>+GETPIVOTDATA("XKL4",'kimlong (2016)'!$A$3,"MA_HT","LUN","MA_QH","HNK")</f>
        <v>0</v>
      </c>
      <c r="K10" s="74">
        <f>+GETPIVOTDATA("XKL4",'kimlong (2016)'!$A$3,"MA_HT","LUN","MA_QH","CLN")</f>
        <v>0</v>
      </c>
      <c r="L10" s="74">
        <f>+GETPIVOTDATA("XKL4",'kimlong (2016)'!$A$3,"MA_HT","LUN","MA_QH","RSX")</f>
        <v>0</v>
      </c>
      <c r="M10" s="74">
        <f>+GETPIVOTDATA("XKL4",'kimlong (2016)'!$A$3,"MA_HT","LUN","MA_QH","RPH")</f>
        <v>0</v>
      </c>
      <c r="N10" s="74">
        <f>+GETPIVOTDATA("XKL4",'kimlong (2016)'!$A$3,"MA_HT","LUN","MA_QH","RDD")</f>
        <v>0</v>
      </c>
      <c r="O10" s="74">
        <f>+GETPIVOTDATA("XKL4",'kimlong (2016)'!$A$3,"MA_HT","LUN","MA_QH","NTS")</f>
        <v>0</v>
      </c>
      <c r="P10" s="74">
        <f>+GETPIVOTDATA("XKL4",'kimlong (2016)'!$A$3,"MA_HT","LUN","MA_QH","LMU")</f>
        <v>0</v>
      </c>
      <c r="Q10" s="74">
        <f>+GETPIVOTDATA("XKL4",'kimlong (2016)'!$A$3,"MA_HT","LUN","MA_QH","NKH")</f>
        <v>0</v>
      </c>
      <c r="R10" s="72">
        <f t="shared" si="2"/>
        <v>0</v>
      </c>
      <c r="S10" s="74">
        <f>+GETPIVOTDATA("XKL4",'kimlong (2016)'!$A$3,"MA_HT","LUN","MA_QH","CQP")</f>
        <v>0</v>
      </c>
      <c r="T10" s="74">
        <f>+GETPIVOTDATA("XKL4",'kimlong (2016)'!$A$3,"MA_HT","LUN","MA_QH","CAN")</f>
        <v>0</v>
      </c>
      <c r="U10" s="74">
        <f>+GETPIVOTDATA("XKL4",'kimlong (2016)'!$A$3,"MA_HT","LUN","MA_QH","SKK")</f>
        <v>0</v>
      </c>
      <c r="V10" s="74">
        <f>+GETPIVOTDATA("XKL4",'kimlong (2016)'!$A$3,"MA_HT","LUN","MA_QH","SKT")</f>
        <v>0</v>
      </c>
      <c r="W10" s="74">
        <f>+GETPIVOTDATA("XKL4",'kimlong (2016)'!$A$3,"MA_HT","LUN","MA_QH","SKN")</f>
        <v>0</v>
      </c>
      <c r="X10" s="74">
        <f>+GETPIVOTDATA("XKL4",'kimlong (2016)'!$A$3,"MA_HT","LUN","MA_QH","TMD")</f>
        <v>0</v>
      </c>
      <c r="Y10" s="74">
        <f>+GETPIVOTDATA("XKL4",'kimlong (2016)'!$A$3,"MA_HT","LUN","MA_QH","SKC")</f>
        <v>0</v>
      </c>
      <c r="Z10" s="74">
        <f>+GETPIVOTDATA("XKL4",'kimlong (2016)'!$A$3,"MA_HT","LUN","MA_QH","SKS")</f>
        <v>0</v>
      </c>
      <c r="AA10" s="64">
        <f t="shared" si="4"/>
        <v>0</v>
      </c>
      <c r="AB10" s="74">
        <f>+GETPIVOTDATA("XKL4",'kimlong (2016)'!$A$3,"MA_HT","LUN","MA_QH","DGT")</f>
        <v>0</v>
      </c>
      <c r="AC10" s="74">
        <f>+GETPIVOTDATA("XKL4",'kimlong (2016)'!$A$3,"MA_HT","LUN","MA_QH","DTL")</f>
        <v>0</v>
      </c>
      <c r="AD10" s="74">
        <f>+GETPIVOTDATA("XKL4",'kimlong (2016)'!$A$3,"MA_HT","LUN","MA_QH","DNL")</f>
        <v>0</v>
      </c>
      <c r="AE10" s="74">
        <f>+GETPIVOTDATA("XKL4",'kimlong (2016)'!$A$3,"MA_HT","LUN","MA_QH","DBV")</f>
        <v>0</v>
      </c>
      <c r="AF10" s="74">
        <f>+GETPIVOTDATA("XKL4",'kimlong (2016)'!$A$3,"MA_HT","LUN","MA_QH","DVH")</f>
        <v>0</v>
      </c>
      <c r="AG10" s="74">
        <f>+GETPIVOTDATA("XKL4",'kimlong (2016)'!$A$3,"MA_HT","LUN","MA_QH","DYT")</f>
        <v>0</v>
      </c>
      <c r="AH10" s="74">
        <f>+GETPIVOTDATA("XKL4",'kimlong (2016)'!$A$3,"MA_HT","LUN","MA_QH","DGD")</f>
        <v>0</v>
      </c>
      <c r="AI10" s="74">
        <f>+GETPIVOTDATA("XKL4",'kimlong (2016)'!$A$3,"MA_HT","LUN","MA_QH","DTT")</f>
        <v>0</v>
      </c>
      <c r="AJ10" s="74">
        <f>+GETPIVOTDATA("XKL4",'kimlong (2016)'!$A$3,"MA_HT","LUN","MA_QH","NCK")</f>
        <v>0</v>
      </c>
      <c r="AK10" s="74">
        <f>+GETPIVOTDATA("XKL4",'kimlong (2016)'!$A$3,"MA_HT","LUN","MA_QH","DXH")</f>
        <v>0</v>
      </c>
      <c r="AL10" s="74">
        <f>+GETPIVOTDATA("XKL4",'kimlong (2016)'!$A$3,"MA_HT","LUN","MA_QH","DCH")</f>
        <v>0</v>
      </c>
      <c r="AM10" s="74">
        <f>+GETPIVOTDATA("XKL4",'kimlong (2016)'!$A$3,"MA_HT","LUN","MA_QH","DKG")</f>
        <v>0</v>
      </c>
      <c r="AN10" s="74">
        <f>+GETPIVOTDATA("XKL4",'kimlong (2016)'!$A$3,"MA_HT","LUN","MA_QH","DDT")</f>
        <v>0</v>
      </c>
      <c r="AO10" s="74">
        <f>+GETPIVOTDATA("XKL4",'kimlong (2016)'!$A$3,"MA_HT","LUN","MA_QH","DDL")</f>
        <v>0</v>
      </c>
      <c r="AP10" s="74">
        <f>+GETPIVOTDATA("XKL4",'kimlong (2016)'!$A$3,"MA_HT","LUN","MA_QH","DRA")</f>
        <v>0</v>
      </c>
      <c r="AQ10" s="74">
        <f>+GETPIVOTDATA("XKL4",'kimlong (2016)'!$A$3,"MA_HT","LUN","MA_QH","ONT")</f>
        <v>0</v>
      </c>
      <c r="AR10" s="74">
        <f>+GETPIVOTDATA("XKL4",'kimlong (2016)'!$A$3,"MA_HT","LUN","MA_QH","ODT")</f>
        <v>0</v>
      </c>
      <c r="AS10" s="74">
        <f>+GETPIVOTDATA("XKL4",'kimlong (2016)'!$A$3,"MA_HT","LUN","MA_QH","TSC")</f>
        <v>0</v>
      </c>
      <c r="AT10" s="74">
        <f>+GETPIVOTDATA("XKL4",'kimlong (2016)'!$A$3,"MA_HT","LUN","MA_QH","DTS")</f>
        <v>0</v>
      </c>
      <c r="AU10" s="74">
        <f>+GETPIVOTDATA("XKL4",'kimlong (2016)'!$A$3,"MA_HT","LUN","MA_QH","DNG")</f>
        <v>0</v>
      </c>
      <c r="AV10" s="74">
        <f>+GETPIVOTDATA("XKL4",'kimlong (2016)'!$A$3,"MA_HT","LUN","MA_QH","TON")</f>
        <v>0</v>
      </c>
      <c r="AW10" s="74">
        <f>+GETPIVOTDATA("XKL4",'kimlong (2016)'!$A$3,"MA_HT","LUN","MA_QH","NTD")</f>
        <v>0</v>
      </c>
      <c r="AX10" s="74">
        <f>+GETPIVOTDATA("XKL4",'kimlong (2016)'!$A$3,"MA_HT","LUN","MA_QH","SKX")</f>
        <v>0</v>
      </c>
      <c r="AY10" s="74">
        <f>+GETPIVOTDATA("XKL4",'kimlong (2016)'!$A$3,"MA_HT","LUN","MA_QH","DSH")</f>
        <v>0</v>
      </c>
      <c r="AZ10" s="74">
        <f>+GETPIVOTDATA("XKL4",'kimlong (2016)'!$A$3,"MA_HT","LUN","MA_QH","DKV")</f>
        <v>0</v>
      </c>
      <c r="BA10" s="139">
        <f>+GETPIVOTDATA("XKL4",'kimlong (2016)'!$A$3,"MA_HT","LUN","MA_QH","TIN")</f>
        <v>0</v>
      </c>
      <c r="BB10" s="74">
        <f>+GETPIVOTDATA("XKL4",'kimlong (2016)'!$A$3,"MA_HT","LUN","MA_QH","SON")</f>
        <v>0</v>
      </c>
      <c r="BC10" s="74">
        <f>+GETPIVOTDATA("XKL4",'kimlong (2016)'!$A$3,"MA_HT","LUN","MA_QH","MNC")</f>
        <v>0</v>
      </c>
      <c r="BD10" s="74">
        <f>+GETPIVOTDATA("XKL4",'kimlong (2016)'!$A$3,"MA_HT","LUN","MA_QH","PNK")</f>
        <v>0</v>
      </c>
      <c r="BE10" s="102">
        <f>+GETPIVOTDATA("XKL4",'kimlong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+GETPIVOTDATA("XKL4",'kimlong (2016)'!$A$3,"MA_HT","HNK","MA_QH","LUC")</f>
        <v>0</v>
      </c>
      <c r="H11" s="35">
        <f>+GETPIVOTDATA("XKL4",'kimlong (2016)'!$A$3,"MA_HT","HNK","MA_QH","LUK")</f>
        <v>0</v>
      </c>
      <c r="I11" s="35">
        <f>+GETPIVOTDATA("XKL4",'kimlong (2016)'!$A$3,"MA_HT","HNK","MA_QH","LUN")</f>
        <v>0</v>
      </c>
      <c r="J11" s="99" t="e">
        <f>$D11-$BF11</f>
        <v>#REF!</v>
      </c>
      <c r="K11" s="35">
        <f>+GETPIVOTDATA("XKL4",'kimlong (2016)'!$A$3,"MA_HT","HNK","MA_QH","CLN")</f>
        <v>0</v>
      </c>
      <c r="L11" s="35">
        <f>+GETPIVOTDATA("XKL4",'kimlong (2016)'!$A$3,"MA_HT","HNK","MA_QH","RSX")</f>
        <v>0</v>
      </c>
      <c r="M11" s="35">
        <f>+GETPIVOTDATA("XKL4",'kimlong (2016)'!$A$3,"MA_HT","HNK","MA_QH","RPH")</f>
        <v>0</v>
      </c>
      <c r="N11" s="35">
        <f>+GETPIVOTDATA("XKL4",'kimlong (2016)'!$A$3,"MA_HT","HNK","MA_QH","RDD")</f>
        <v>0</v>
      </c>
      <c r="O11" s="35">
        <f>+GETPIVOTDATA("XKL4",'kimlong (2016)'!$A$3,"MA_HT","HNK","MA_QH","NTS")</f>
        <v>0</v>
      </c>
      <c r="P11" s="35">
        <f>+GETPIVOTDATA("XKL4",'kimlong (2016)'!$A$3,"MA_HT","HNK","MA_QH","LMU")</f>
        <v>0</v>
      </c>
      <c r="Q11" s="35">
        <f>+GETPIVOTDATA("XKL4",'kimlong (2016)'!$A$3,"MA_HT","HNK","MA_QH","NKH")</f>
        <v>0</v>
      </c>
      <c r="R11" s="63">
        <f t="shared" si="2"/>
        <v>0</v>
      </c>
      <c r="S11" s="35">
        <f>+GETPIVOTDATA("XKL4",'kimlong (2016)'!$A$3,"MA_HT","HNK","MA_QH","CQP")</f>
        <v>0</v>
      </c>
      <c r="T11" s="35">
        <f>+GETPIVOTDATA("XKL4",'kimlong (2016)'!$A$3,"MA_HT","HNK","MA_QH","CAN")</f>
        <v>0</v>
      </c>
      <c r="U11" s="35">
        <f>+GETPIVOTDATA("XKL4",'kimlong (2016)'!$A$3,"MA_HT","HNK","MA_QH","SKK")</f>
        <v>0</v>
      </c>
      <c r="V11" s="35">
        <f>+GETPIVOTDATA("XKL4",'kimlong (2016)'!$A$3,"MA_HT","HNK","MA_QH","SKT")</f>
        <v>0</v>
      </c>
      <c r="W11" s="35">
        <f>+GETPIVOTDATA("XKL4",'kimlong (2016)'!$A$3,"MA_HT","HNK","MA_QH","SKN")</f>
        <v>0</v>
      </c>
      <c r="X11" s="35">
        <f>+GETPIVOTDATA("XKL4",'kimlong (2016)'!$A$3,"MA_HT","HNK","MA_QH","TMD")</f>
        <v>0</v>
      </c>
      <c r="Y11" s="35">
        <f>+GETPIVOTDATA("XKL4",'kimlong (2016)'!$A$3,"MA_HT","HNK","MA_QH","SKC")</f>
        <v>0</v>
      </c>
      <c r="Z11" s="35">
        <f>+GETPIVOTDATA("XKL4",'kimlong (2016)'!$A$3,"MA_HT","HNK","MA_QH","SKS")</f>
        <v>0</v>
      </c>
      <c r="AA11" s="64">
        <f t="shared" si="4"/>
        <v>0</v>
      </c>
      <c r="AB11" s="35">
        <f>+GETPIVOTDATA("XKL4",'kimlong (2016)'!$A$3,"MA_HT","HNK","MA_QH","DGT")</f>
        <v>0</v>
      </c>
      <c r="AC11" s="35">
        <f>+GETPIVOTDATA("XKL4",'kimlong (2016)'!$A$3,"MA_HT","HNK","MA_QH","DTL")</f>
        <v>0</v>
      </c>
      <c r="AD11" s="35">
        <f>+GETPIVOTDATA("XKL4",'kimlong (2016)'!$A$3,"MA_HT","HNK","MA_QH","DNL")</f>
        <v>0</v>
      </c>
      <c r="AE11" s="35">
        <f>+GETPIVOTDATA("XKL4",'kimlong (2016)'!$A$3,"MA_HT","HNK","MA_QH","DBV")</f>
        <v>0</v>
      </c>
      <c r="AF11" s="35">
        <f>+GETPIVOTDATA("XKL4",'kimlong (2016)'!$A$3,"MA_HT","HNK","MA_QH","DVH")</f>
        <v>0</v>
      </c>
      <c r="AG11" s="35">
        <f>+GETPIVOTDATA("XKL4",'kimlong (2016)'!$A$3,"MA_HT","HNK","MA_QH","DYT")</f>
        <v>0</v>
      </c>
      <c r="AH11" s="35">
        <f>+GETPIVOTDATA("XKL4",'kimlong (2016)'!$A$3,"MA_HT","HNK","MA_QH","DGD")</f>
        <v>0</v>
      </c>
      <c r="AI11" s="35">
        <f>+GETPIVOTDATA("XKL4",'kimlong (2016)'!$A$3,"MA_HT","HNK","MA_QH","DTT")</f>
        <v>0</v>
      </c>
      <c r="AJ11" s="35">
        <f>+GETPIVOTDATA("XKL4",'kimlong (2016)'!$A$3,"MA_HT","HNK","MA_QH","NCK")</f>
        <v>0</v>
      </c>
      <c r="AK11" s="35">
        <f>+GETPIVOTDATA("XKL4",'kimlong (2016)'!$A$3,"MA_HT","HNK","MA_QH","DXH")</f>
        <v>0</v>
      </c>
      <c r="AL11" s="35">
        <f>+GETPIVOTDATA("XKL4",'kimlong (2016)'!$A$3,"MA_HT","HNK","MA_QH","DCH")</f>
        <v>0</v>
      </c>
      <c r="AM11" s="35">
        <f>+GETPIVOTDATA("XKL4",'kimlong (2016)'!$A$3,"MA_HT","HNK","MA_QH","DKG")</f>
        <v>0</v>
      </c>
      <c r="AN11" s="35">
        <f>+GETPIVOTDATA("XKL4",'kimlong (2016)'!$A$3,"MA_HT","HNK","MA_QH","DDT")</f>
        <v>0</v>
      </c>
      <c r="AO11" s="35">
        <f>+GETPIVOTDATA("XKL4",'kimlong (2016)'!$A$3,"MA_HT","HNK","MA_QH","DDL")</f>
        <v>0</v>
      </c>
      <c r="AP11" s="35">
        <f>+GETPIVOTDATA("XKL4",'kimlong (2016)'!$A$3,"MA_HT","HNK","MA_QH","DRA")</f>
        <v>0</v>
      </c>
      <c r="AQ11" s="35">
        <f>+GETPIVOTDATA("XKL4",'kimlong (2016)'!$A$3,"MA_HT","HNK","MA_QH","ONT")</f>
        <v>0</v>
      </c>
      <c r="AR11" s="35">
        <f>+GETPIVOTDATA("XKL4",'kimlong (2016)'!$A$3,"MA_HT","HNK","MA_QH","ODT")</f>
        <v>0</v>
      </c>
      <c r="AS11" s="35">
        <f>+GETPIVOTDATA("XKL4",'kimlong (2016)'!$A$3,"MA_HT","HNK","MA_QH","TSC")</f>
        <v>0</v>
      </c>
      <c r="AT11" s="35">
        <f>+GETPIVOTDATA("XKL4",'kimlong (2016)'!$A$3,"MA_HT","HNK","MA_QH","DTS")</f>
        <v>0</v>
      </c>
      <c r="AU11" s="35">
        <f>+GETPIVOTDATA("XKL4",'kimlong (2016)'!$A$3,"MA_HT","HNK","MA_QH","DNG")</f>
        <v>0</v>
      </c>
      <c r="AV11" s="35">
        <f>+GETPIVOTDATA("XKL4",'kimlong (2016)'!$A$3,"MA_HT","HNK","MA_QH","TON")</f>
        <v>0</v>
      </c>
      <c r="AW11" s="35">
        <f>+GETPIVOTDATA("XKL4",'kimlong (2016)'!$A$3,"MA_HT","HNK","MA_QH","NTD")</f>
        <v>0</v>
      </c>
      <c r="AX11" s="35">
        <f>+GETPIVOTDATA("XKL4",'kimlong (2016)'!$A$3,"MA_HT","HNK","MA_QH","SKX")</f>
        <v>0</v>
      </c>
      <c r="AY11" s="35">
        <f>+GETPIVOTDATA("XKL4",'kimlong (2016)'!$A$3,"MA_HT","HNK","MA_QH","DSH")</f>
        <v>0</v>
      </c>
      <c r="AZ11" s="35">
        <f>+GETPIVOTDATA("XKL4",'kimlong (2016)'!$A$3,"MA_HT","HNK","MA_QH","DKV")</f>
        <v>0</v>
      </c>
      <c r="BA11" s="140">
        <f>+GETPIVOTDATA("XKL4",'kimlong (2016)'!$A$3,"MA_HT","HNK","MA_QH","TIN")</f>
        <v>0</v>
      </c>
      <c r="BB11" s="74">
        <f>+GETPIVOTDATA("XKL4",'kimlong (2016)'!$A$3,"MA_HT","HNK","MA_QH","SON")</f>
        <v>0</v>
      </c>
      <c r="BC11" s="74">
        <f>+GETPIVOTDATA("XKL4",'kimlong (2016)'!$A$3,"MA_HT","HNK","MA_QH","MNC")</f>
        <v>0</v>
      </c>
      <c r="BD11" s="35">
        <f>+GETPIVOTDATA("XKL4",'kimlong (2016)'!$A$3,"MA_HT","HNK","MA_QH","PNK")</f>
        <v>0</v>
      </c>
      <c r="BE11" s="58">
        <f>+GETPIVOTDATA("XKL4",'kimlong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+GETPIVOTDATA("XKL4",'kimlong (2016)'!$A$3,"MA_HT","CLN","MA_QH","LUC")</f>
        <v>0</v>
      </c>
      <c r="H12" s="35">
        <f>+GETPIVOTDATA("XKL4",'kimlong (2016)'!$A$3,"MA_HT","CLN","MA_QH","LUK")</f>
        <v>0</v>
      </c>
      <c r="I12" s="35">
        <f>+GETPIVOTDATA("XKL4",'kimlong (2016)'!$A$3,"MA_HT","CLN","MA_QH","LUN")</f>
        <v>0</v>
      </c>
      <c r="J12" s="35">
        <f>+GETPIVOTDATA("XKL4",'kimlong (2016)'!$A$3,"MA_HT","CLN","MA_QH","HNK")</f>
        <v>0</v>
      </c>
      <c r="K12" s="99" t="e">
        <f>$D12-$BF12</f>
        <v>#REF!</v>
      </c>
      <c r="L12" s="35">
        <f>+GETPIVOTDATA("XKL4",'kimlong (2016)'!$A$3,"MA_HT","CLN","MA_QH","RSX")</f>
        <v>0</v>
      </c>
      <c r="M12" s="35">
        <f>+GETPIVOTDATA("XKL4",'kimlong (2016)'!$A$3,"MA_HT","CLN","MA_QH","RPH")</f>
        <v>0</v>
      </c>
      <c r="N12" s="35">
        <f>+GETPIVOTDATA("XKL4",'kimlong (2016)'!$A$3,"MA_HT","CLN","MA_QH","RDD")</f>
        <v>0</v>
      </c>
      <c r="O12" s="35">
        <f>+GETPIVOTDATA("XKL4",'kimlong (2016)'!$A$3,"MA_HT","CLN","MA_QH","NTS")</f>
        <v>0</v>
      </c>
      <c r="P12" s="35">
        <f>+GETPIVOTDATA("XKL4",'kimlong (2016)'!$A$3,"MA_HT","CLN","MA_QH","LMU")</f>
        <v>0</v>
      </c>
      <c r="Q12" s="35">
        <f>+GETPIVOTDATA("XKL4",'kimlong (2016)'!$A$3,"MA_HT","CLN","MA_QH","NKH")</f>
        <v>0</v>
      </c>
      <c r="R12" s="63">
        <f t="shared" si="2"/>
        <v>0</v>
      </c>
      <c r="S12" s="35">
        <f>+GETPIVOTDATA("XKL4",'kimlong (2016)'!$A$3,"MA_HT","CLN","MA_QH","CQP")</f>
        <v>0</v>
      </c>
      <c r="T12" s="35">
        <f>+GETPIVOTDATA("XKL4",'kimlong (2016)'!$A$3,"MA_HT","CLN","MA_QH","CAN")</f>
        <v>0</v>
      </c>
      <c r="U12" s="35">
        <f>+GETPIVOTDATA("XKL4",'kimlong (2016)'!$A$3,"MA_HT","CLN","MA_QH","SKK")</f>
        <v>0</v>
      </c>
      <c r="V12" s="35">
        <f>+GETPIVOTDATA("XKL4",'kimlong (2016)'!$A$3,"MA_HT","CLN","MA_QH","SKT")</f>
        <v>0</v>
      </c>
      <c r="W12" s="35">
        <f>+GETPIVOTDATA("XKL4",'kimlong (2016)'!$A$3,"MA_HT","CLN","MA_QH","SKN")</f>
        <v>0</v>
      </c>
      <c r="X12" s="35">
        <f>+GETPIVOTDATA("XKL4",'kimlong (2016)'!$A$3,"MA_HT","CLN","MA_QH","TMD")</f>
        <v>0</v>
      </c>
      <c r="Y12" s="35">
        <f>+GETPIVOTDATA("XKL4",'kimlong (2016)'!$A$3,"MA_HT","CLN","MA_QH","SKC")</f>
        <v>0</v>
      </c>
      <c r="Z12" s="35">
        <f>+GETPIVOTDATA("XKL4",'kimlong (2016)'!$A$3,"MA_HT","CLN","MA_QH","SKS")</f>
        <v>0</v>
      </c>
      <c r="AA12" s="64">
        <f t="shared" si="4"/>
        <v>0</v>
      </c>
      <c r="AB12" s="35">
        <f>+GETPIVOTDATA("XKL4",'kimlong (2016)'!$A$3,"MA_HT","CLN","MA_QH","DGT")</f>
        <v>0</v>
      </c>
      <c r="AC12" s="35">
        <f>+GETPIVOTDATA("XKL4",'kimlong (2016)'!$A$3,"MA_HT","CLN","MA_QH","DTL")</f>
        <v>0</v>
      </c>
      <c r="AD12" s="35">
        <f>+GETPIVOTDATA("XKL4",'kimlong (2016)'!$A$3,"MA_HT","CLN","MA_QH","DNL")</f>
        <v>0</v>
      </c>
      <c r="AE12" s="35">
        <f>+GETPIVOTDATA("XKL4",'kimlong (2016)'!$A$3,"MA_HT","CLN","MA_QH","DBV")</f>
        <v>0</v>
      </c>
      <c r="AF12" s="35">
        <f>+GETPIVOTDATA("XKL4",'kimlong (2016)'!$A$3,"MA_HT","CLN","MA_QH","DVH")</f>
        <v>0</v>
      </c>
      <c r="AG12" s="35">
        <f>+GETPIVOTDATA("XKL4",'kimlong (2016)'!$A$3,"MA_HT","CLN","MA_QH","DYT")</f>
        <v>0</v>
      </c>
      <c r="AH12" s="35">
        <f>+GETPIVOTDATA("XKL4",'kimlong (2016)'!$A$3,"MA_HT","CLN","MA_QH","DGD")</f>
        <v>0</v>
      </c>
      <c r="AI12" s="35">
        <f>+GETPIVOTDATA("XKL4",'kimlong (2016)'!$A$3,"MA_HT","CLN","MA_QH","DTT")</f>
        <v>0</v>
      </c>
      <c r="AJ12" s="35">
        <f>+GETPIVOTDATA("XKL4",'kimlong (2016)'!$A$3,"MA_HT","CLN","MA_QH","NCK")</f>
        <v>0</v>
      </c>
      <c r="AK12" s="35">
        <f>+GETPIVOTDATA("XKL4",'kimlong (2016)'!$A$3,"MA_HT","CLN","MA_QH","DXH")</f>
        <v>0</v>
      </c>
      <c r="AL12" s="35">
        <f>+GETPIVOTDATA("XKL4",'kimlong (2016)'!$A$3,"MA_HT","CLN","MA_QH","DCH")</f>
        <v>0</v>
      </c>
      <c r="AM12" s="35">
        <f>+GETPIVOTDATA("XKL4",'kimlong (2016)'!$A$3,"MA_HT","CLN","MA_QH","DKG")</f>
        <v>0</v>
      </c>
      <c r="AN12" s="35">
        <f>+GETPIVOTDATA("XKL4",'kimlong (2016)'!$A$3,"MA_HT","CLN","MA_QH","DDT")</f>
        <v>0</v>
      </c>
      <c r="AO12" s="35">
        <f>+GETPIVOTDATA("XKL4",'kimlong (2016)'!$A$3,"MA_HT","CLN","MA_QH","DDL")</f>
        <v>0</v>
      </c>
      <c r="AP12" s="35">
        <f>+GETPIVOTDATA("XKL4",'kimlong (2016)'!$A$3,"MA_HT","CLN","MA_QH","DRA")</f>
        <v>0</v>
      </c>
      <c r="AQ12" s="35">
        <f>+GETPIVOTDATA("XKL4",'kimlong (2016)'!$A$3,"MA_HT","CLN","MA_QH","ONT")</f>
        <v>0</v>
      </c>
      <c r="AR12" s="35">
        <f>+GETPIVOTDATA("XKL4",'kimlong (2016)'!$A$3,"MA_HT","CLN","MA_QH","ODT")</f>
        <v>0</v>
      </c>
      <c r="AS12" s="35">
        <f>+GETPIVOTDATA("XKL4",'kimlong (2016)'!$A$3,"MA_HT","CLN","MA_QH","TSC")</f>
        <v>0</v>
      </c>
      <c r="AT12" s="35">
        <f>+GETPIVOTDATA("XKL4",'kimlong (2016)'!$A$3,"MA_HT","CLN","MA_QH","DTS")</f>
        <v>0</v>
      </c>
      <c r="AU12" s="35">
        <f>+GETPIVOTDATA("XKL4",'kimlong (2016)'!$A$3,"MA_HT","CLN","MA_QH","DNG")</f>
        <v>0</v>
      </c>
      <c r="AV12" s="35">
        <f>+GETPIVOTDATA("XKL4",'kimlong (2016)'!$A$3,"MA_HT","CLN","MA_QH","TON")</f>
        <v>0</v>
      </c>
      <c r="AW12" s="35">
        <f>+GETPIVOTDATA("XKL4",'kimlong (2016)'!$A$3,"MA_HT","CLN","MA_QH","NTD")</f>
        <v>0</v>
      </c>
      <c r="AX12" s="35">
        <f>+GETPIVOTDATA("XKL4",'kimlong (2016)'!$A$3,"MA_HT","CLN","MA_QH","SKX")</f>
        <v>0</v>
      </c>
      <c r="AY12" s="35">
        <f>+GETPIVOTDATA("XKL4",'kimlong (2016)'!$A$3,"MA_HT","CLN","MA_QH","DSH")</f>
        <v>0</v>
      </c>
      <c r="AZ12" s="35">
        <f>+GETPIVOTDATA("XKL4",'kimlong (2016)'!$A$3,"MA_HT","CLN","MA_QH","DKV")</f>
        <v>0</v>
      </c>
      <c r="BA12" s="140">
        <f>+GETPIVOTDATA("XKL4",'kimlong (2016)'!$A$3,"MA_HT","CLN","MA_QH","TIN")</f>
        <v>0</v>
      </c>
      <c r="BB12" s="74">
        <f>+GETPIVOTDATA("XKL4",'kimlong (2016)'!$A$3,"MA_HT","CLN","MA_QH","SON")</f>
        <v>0</v>
      </c>
      <c r="BC12" s="74">
        <f>+GETPIVOTDATA("XKL4",'kimlong (2016)'!$A$3,"MA_HT","CLN","MA_QH","MNC")</f>
        <v>0</v>
      </c>
      <c r="BD12" s="35">
        <f>+GETPIVOTDATA("XKL4",'kimlong (2016)'!$A$3,"MA_HT","CLN","MA_QH","PNK")</f>
        <v>0</v>
      </c>
      <c r="BE12" s="58">
        <f>+GETPIVOTDATA("XKL4",'kimlong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+GETPIVOTDATA("XKL4",'kimlong (2016)'!$A$3,"MA_HT","RSX","MA_QH","LUC")</f>
        <v>0</v>
      </c>
      <c r="H13" s="35">
        <f>+GETPIVOTDATA("XKL4",'kimlong (2016)'!$A$3,"MA_HT","RSX","MA_QH","LUK")</f>
        <v>0</v>
      </c>
      <c r="I13" s="35">
        <f>+GETPIVOTDATA("XKL4",'kimlong (2016)'!$A$3,"MA_HT","RSX","MA_QH","LUN")</f>
        <v>0</v>
      </c>
      <c r="J13" s="35">
        <f>+GETPIVOTDATA("XKL4",'kimlong (2016)'!$A$3,"MA_HT","RSX","MA_QH","HNK")</f>
        <v>0</v>
      </c>
      <c r="K13" s="35">
        <f>+GETPIVOTDATA("XKL4",'kimlong (2016)'!$A$3,"MA_HT","RSX","MA_QH","CLN")</f>
        <v>0</v>
      </c>
      <c r="L13" s="99" t="e">
        <f>$D13-$BF13</f>
        <v>#REF!</v>
      </c>
      <c r="M13" s="35">
        <f>+GETPIVOTDATA("XKL4",'kimlong (2016)'!$A$3,"MA_HT","RSX","MA_QH","RPH")</f>
        <v>0</v>
      </c>
      <c r="N13" s="35">
        <f>+GETPIVOTDATA("XKL4",'kimlong (2016)'!$A$3,"MA_HT","RSX","MA_QH","RDD")</f>
        <v>0</v>
      </c>
      <c r="O13" s="35">
        <f>+GETPIVOTDATA("XKL4",'kimlong (2016)'!$A$3,"MA_HT","RSX","MA_QH","NTS")</f>
        <v>0</v>
      </c>
      <c r="P13" s="35">
        <f>+GETPIVOTDATA("XKL4",'kimlong (2016)'!$A$3,"MA_HT","RSX","MA_QH","LMU")</f>
        <v>0</v>
      </c>
      <c r="Q13" s="35">
        <f>+GETPIVOTDATA("XKL4",'kimlong (2016)'!$A$3,"MA_HT","RSX","MA_QH","NKH")</f>
        <v>0</v>
      </c>
      <c r="R13" s="63">
        <f t="shared" si="2"/>
        <v>0</v>
      </c>
      <c r="S13" s="35">
        <f>+GETPIVOTDATA("XKL4",'kimlong (2016)'!$A$3,"MA_HT","RSX","MA_QH","CQP")</f>
        <v>0</v>
      </c>
      <c r="T13" s="35">
        <f>+GETPIVOTDATA("XKL4",'kimlong (2016)'!$A$3,"MA_HT","RSX","MA_QH","CAN")</f>
        <v>0</v>
      </c>
      <c r="U13" s="35">
        <f>+GETPIVOTDATA("XKL4",'kimlong (2016)'!$A$3,"MA_HT","RSX","MA_QH","SKK")</f>
        <v>0</v>
      </c>
      <c r="V13" s="35">
        <f>+GETPIVOTDATA("XKL4",'kimlong (2016)'!$A$3,"MA_HT","RSX","MA_QH","SKT")</f>
        <v>0</v>
      </c>
      <c r="W13" s="35">
        <f>+GETPIVOTDATA("XKL4",'kimlong (2016)'!$A$3,"MA_HT","RSX","MA_QH","SKN")</f>
        <v>0</v>
      </c>
      <c r="X13" s="35">
        <f>+GETPIVOTDATA("XKL4",'kimlong (2016)'!$A$3,"MA_HT","RSX","MA_QH","TMD")</f>
        <v>0</v>
      </c>
      <c r="Y13" s="35">
        <f>+GETPIVOTDATA("XKL4",'kimlong (2016)'!$A$3,"MA_HT","RSX","MA_QH","SKC")</f>
        <v>0</v>
      </c>
      <c r="Z13" s="35">
        <f>+GETPIVOTDATA("XKL4",'kimlong (2016)'!$A$3,"MA_HT","RSX","MA_QH","SKS")</f>
        <v>0</v>
      </c>
      <c r="AA13" s="64">
        <f t="shared" si="4"/>
        <v>0</v>
      </c>
      <c r="AB13" s="35">
        <f>+GETPIVOTDATA("XKL4",'kimlong (2016)'!$A$3,"MA_HT","RSX","MA_QH","DGT")</f>
        <v>0</v>
      </c>
      <c r="AC13" s="35">
        <f>+GETPIVOTDATA("XKL4",'kimlong (2016)'!$A$3,"MA_HT","RSX","MA_QH","DTL")</f>
        <v>0</v>
      </c>
      <c r="AD13" s="35">
        <f>+GETPIVOTDATA("XKL4",'kimlong (2016)'!$A$3,"MA_HT","RSX","MA_QH","DNL")</f>
        <v>0</v>
      </c>
      <c r="AE13" s="35">
        <f>+GETPIVOTDATA("XKL4",'kimlong (2016)'!$A$3,"MA_HT","RSX","MA_QH","DBV")</f>
        <v>0</v>
      </c>
      <c r="AF13" s="35">
        <f>+GETPIVOTDATA("XKL4",'kimlong (2016)'!$A$3,"MA_HT","RSX","MA_QH","DVH")</f>
        <v>0</v>
      </c>
      <c r="AG13" s="35">
        <f>+GETPIVOTDATA("XKL4",'kimlong (2016)'!$A$3,"MA_HT","RSX","MA_QH","DYT")</f>
        <v>0</v>
      </c>
      <c r="AH13" s="35">
        <f>+GETPIVOTDATA("XKL4",'kimlong (2016)'!$A$3,"MA_HT","RSX","MA_QH","DGD")</f>
        <v>0</v>
      </c>
      <c r="AI13" s="35">
        <f>+GETPIVOTDATA("XKL4",'kimlong (2016)'!$A$3,"MA_HT","RSX","MA_QH","DTT")</f>
        <v>0</v>
      </c>
      <c r="AJ13" s="35">
        <f>+GETPIVOTDATA("XKL4",'kimlong (2016)'!$A$3,"MA_HT","RSX","MA_QH","NCK")</f>
        <v>0</v>
      </c>
      <c r="AK13" s="35">
        <f>+GETPIVOTDATA("XKL4",'kimlong (2016)'!$A$3,"MA_HT","RSX","MA_QH","DXH")</f>
        <v>0</v>
      </c>
      <c r="AL13" s="35">
        <f>+GETPIVOTDATA("XKL4",'kimlong (2016)'!$A$3,"MA_HT","RSX","MA_QH","DCH")</f>
        <v>0</v>
      </c>
      <c r="AM13" s="35">
        <f>+GETPIVOTDATA("XKL4",'kimlong (2016)'!$A$3,"MA_HT","RSX","MA_QH","DKG")</f>
        <v>0</v>
      </c>
      <c r="AN13" s="35">
        <f>+GETPIVOTDATA("XKL4",'kimlong (2016)'!$A$3,"MA_HT","RSX","MA_QH","DDT")</f>
        <v>0</v>
      </c>
      <c r="AO13" s="35">
        <f>+GETPIVOTDATA("XKL4",'kimlong (2016)'!$A$3,"MA_HT","RSX","MA_QH","DDL")</f>
        <v>0</v>
      </c>
      <c r="AP13" s="35">
        <f>+GETPIVOTDATA("XKL4",'kimlong (2016)'!$A$3,"MA_HT","RSX","MA_QH","DRA")</f>
        <v>0</v>
      </c>
      <c r="AQ13" s="35">
        <f>+GETPIVOTDATA("XKL4",'kimlong (2016)'!$A$3,"MA_HT","RSX","MA_QH","ONT")</f>
        <v>0</v>
      </c>
      <c r="AR13" s="35">
        <f>+GETPIVOTDATA("XKL4",'kimlong (2016)'!$A$3,"MA_HT","RSX","MA_QH","ODT")</f>
        <v>0</v>
      </c>
      <c r="AS13" s="35">
        <f>+GETPIVOTDATA("XKL4",'kimlong (2016)'!$A$3,"MA_HT","RSX","MA_QH","TSC")</f>
        <v>0</v>
      </c>
      <c r="AT13" s="35">
        <f>+GETPIVOTDATA("XKL4",'kimlong (2016)'!$A$3,"MA_HT","RSX","MA_QH","DTS")</f>
        <v>0</v>
      </c>
      <c r="AU13" s="35">
        <f>+GETPIVOTDATA("XKL4",'kimlong (2016)'!$A$3,"MA_HT","RSX","MA_QH","DNG")</f>
        <v>0</v>
      </c>
      <c r="AV13" s="35">
        <f>+GETPIVOTDATA("XKL4",'kimlong (2016)'!$A$3,"MA_HT","RSX","MA_QH","TON")</f>
        <v>0</v>
      </c>
      <c r="AW13" s="35">
        <f>+GETPIVOTDATA("XKL4",'kimlong (2016)'!$A$3,"MA_HT","RSX","MA_QH","NTD")</f>
        <v>0</v>
      </c>
      <c r="AX13" s="35">
        <f>+GETPIVOTDATA("XKL4",'kimlong (2016)'!$A$3,"MA_HT","RSX","MA_QH","SKX")</f>
        <v>0</v>
      </c>
      <c r="AY13" s="35">
        <f>+GETPIVOTDATA("XKL4",'kimlong (2016)'!$A$3,"MA_HT","RSX","MA_QH","DSH")</f>
        <v>0</v>
      </c>
      <c r="AZ13" s="35">
        <f>+GETPIVOTDATA("XKL4",'kimlong (2016)'!$A$3,"MA_HT","RSX","MA_QH","DKV")</f>
        <v>0</v>
      </c>
      <c r="BA13" s="140">
        <f>+GETPIVOTDATA("XKL4",'kimlong (2016)'!$A$3,"MA_HT","RSX","MA_QH","TIN")</f>
        <v>0</v>
      </c>
      <c r="BB13" s="74">
        <f>+GETPIVOTDATA("XKL4",'kimlong (2016)'!$A$3,"MA_HT","RSX","MA_QH","SON")</f>
        <v>0</v>
      </c>
      <c r="BC13" s="74">
        <f>+GETPIVOTDATA("XKL4",'kimlong (2016)'!$A$3,"MA_HT","RSX","MA_QH","MNC")</f>
        <v>0</v>
      </c>
      <c r="BD13" s="35">
        <f>+GETPIVOTDATA("XKL4",'kimlong (2016)'!$A$3,"MA_HT","RSX","MA_QH","PNK")</f>
        <v>0</v>
      </c>
      <c r="BE13" s="58">
        <f>+GETPIVOTDATA("XKL4",'kimlong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+GETPIVOTDATA("XKL4",'kimlong (2016)'!$A$3,"MA_HT","RPH","MA_QH","LUC")</f>
        <v>0</v>
      </c>
      <c r="H14" s="35">
        <f>+GETPIVOTDATA("XKL4",'kimlong (2016)'!$A$3,"MA_HT","RPH","MA_QH","LUK")</f>
        <v>0</v>
      </c>
      <c r="I14" s="35">
        <f>+GETPIVOTDATA("XKL4",'kimlong (2016)'!$A$3,"MA_HT","RPH","MA_QH","LUN")</f>
        <v>0</v>
      </c>
      <c r="J14" s="35">
        <f>+GETPIVOTDATA("XKL4",'kimlong (2016)'!$A$3,"MA_HT","RPH","MA_QH","HNK")</f>
        <v>0</v>
      </c>
      <c r="K14" s="35">
        <f>+GETPIVOTDATA("XKL4",'kimlong (2016)'!$A$3,"MA_HT","RPH","MA_QH","CLN")</f>
        <v>0</v>
      </c>
      <c r="L14" s="35">
        <f>+GETPIVOTDATA("XKL4",'kimlong (2016)'!$A$3,"MA_HT","RPH","MA_QH","RSX")</f>
        <v>0</v>
      </c>
      <c r="M14" s="99" t="e">
        <f>$D14-$BF14</f>
        <v>#REF!</v>
      </c>
      <c r="N14" s="35">
        <f>+GETPIVOTDATA("XKL4",'kimlong (2016)'!$A$3,"MA_HT","RPH","MA_QH","RDD")</f>
        <v>0</v>
      </c>
      <c r="O14" s="35">
        <f>+GETPIVOTDATA("XKL4",'kimlong (2016)'!$A$3,"MA_HT","RPH","MA_QH","NTS")</f>
        <v>0</v>
      </c>
      <c r="P14" s="35">
        <f>+GETPIVOTDATA("XKL4",'kimlong (2016)'!$A$3,"MA_HT","RPH","MA_QH","LMU")</f>
        <v>0</v>
      </c>
      <c r="Q14" s="35">
        <f>+GETPIVOTDATA("XKL4",'kimlong (2016)'!$A$3,"MA_HT","RPH","MA_QH","NKH")</f>
        <v>0</v>
      </c>
      <c r="R14" s="63">
        <f t="shared" si="2"/>
        <v>0</v>
      </c>
      <c r="S14" s="35">
        <f>+GETPIVOTDATA("XKL4",'kimlong (2016)'!$A$3,"MA_HT","RPH","MA_QH","CQP")</f>
        <v>0</v>
      </c>
      <c r="T14" s="35">
        <f>+GETPIVOTDATA("XKL4",'kimlong (2016)'!$A$3,"MA_HT","RPH","MA_QH","CAN")</f>
        <v>0</v>
      </c>
      <c r="U14" s="35">
        <f>+GETPIVOTDATA("XKL4",'kimlong (2016)'!$A$3,"MA_HT","RPH","MA_QH","SKK")</f>
        <v>0</v>
      </c>
      <c r="V14" s="35">
        <f>+GETPIVOTDATA("XKL4",'kimlong (2016)'!$A$3,"MA_HT","RPH","MA_QH","SKT")</f>
        <v>0</v>
      </c>
      <c r="W14" s="35">
        <f>+GETPIVOTDATA("XKL4",'kimlong (2016)'!$A$3,"MA_HT","RPH","MA_QH","SKN")</f>
        <v>0</v>
      </c>
      <c r="X14" s="35">
        <f>+GETPIVOTDATA("XKL4",'kimlong (2016)'!$A$3,"MA_HT","RPH","MA_QH","TMD")</f>
        <v>0</v>
      </c>
      <c r="Y14" s="35">
        <f>+GETPIVOTDATA("XKL4",'kimlong (2016)'!$A$3,"MA_HT","RPH","MA_QH","SKC")</f>
        <v>0</v>
      </c>
      <c r="Z14" s="35">
        <f>+GETPIVOTDATA("XKL4",'kimlong (2016)'!$A$3,"MA_HT","RPH","MA_QH","SKS")</f>
        <v>0</v>
      </c>
      <c r="AA14" s="64">
        <f t="shared" si="4"/>
        <v>0</v>
      </c>
      <c r="AB14" s="35">
        <f>+GETPIVOTDATA("XKL4",'kimlong (2016)'!$A$3,"MA_HT","RPH","MA_QH","DGT")</f>
        <v>0</v>
      </c>
      <c r="AC14" s="35">
        <f>+GETPIVOTDATA("XKL4",'kimlong (2016)'!$A$3,"MA_HT","RPH","MA_QH","DTL")</f>
        <v>0</v>
      </c>
      <c r="AD14" s="35">
        <f>+GETPIVOTDATA("XKL4",'kimlong (2016)'!$A$3,"MA_HT","RPH","MA_QH","DNL")</f>
        <v>0</v>
      </c>
      <c r="AE14" s="35">
        <f>+GETPIVOTDATA("XKL4",'kimlong (2016)'!$A$3,"MA_HT","RPH","MA_QH","DBV")</f>
        <v>0</v>
      </c>
      <c r="AF14" s="35">
        <f>+GETPIVOTDATA("XKL4",'kimlong (2016)'!$A$3,"MA_HT","RPH","MA_QH","DVH")</f>
        <v>0</v>
      </c>
      <c r="AG14" s="35">
        <f>+GETPIVOTDATA("XKL4",'kimlong (2016)'!$A$3,"MA_HT","RPH","MA_QH","DYT")</f>
        <v>0</v>
      </c>
      <c r="AH14" s="35">
        <f>+GETPIVOTDATA("XKL4",'kimlong (2016)'!$A$3,"MA_HT","RPH","MA_QH","DGD")</f>
        <v>0</v>
      </c>
      <c r="AI14" s="35">
        <f>+GETPIVOTDATA("XKL4",'kimlong (2016)'!$A$3,"MA_HT","RPH","MA_QH","DTT")</f>
        <v>0</v>
      </c>
      <c r="AJ14" s="35">
        <f>+GETPIVOTDATA("XKL4",'kimlong (2016)'!$A$3,"MA_HT","RPH","MA_QH","NCK")</f>
        <v>0</v>
      </c>
      <c r="AK14" s="35">
        <f>+GETPIVOTDATA("XKL4",'kimlong (2016)'!$A$3,"MA_HT","RPH","MA_QH","DXH")</f>
        <v>0</v>
      </c>
      <c r="AL14" s="35">
        <f>+GETPIVOTDATA("XKL4",'kimlong (2016)'!$A$3,"MA_HT","RPH","MA_QH","DCH")</f>
        <v>0</v>
      </c>
      <c r="AM14" s="35">
        <f>+GETPIVOTDATA("XKL4",'kimlong (2016)'!$A$3,"MA_HT","RPH","MA_QH","DKG")</f>
        <v>0</v>
      </c>
      <c r="AN14" s="35">
        <f>+GETPIVOTDATA("XKL4",'kimlong (2016)'!$A$3,"MA_HT","RPH","MA_QH","DDT")</f>
        <v>0</v>
      </c>
      <c r="AO14" s="35">
        <f>+GETPIVOTDATA("XKL4",'kimlong (2016)'!$A$3,"MA_HT","RPH","MA_QH","DDL")</f>
        <v>0</v>
      </c>
      <c r="AP14" s="35">
        <f>+GETPIVOTDATA("XKL4",'kimlong (2016)'!$A$3,"MA_HT","RPH","MA_QH","DRA")</f>
        <v>0</v>
      </c>
      <c r="AQ14" s="35">
        <f>+GETPIVOTDATA("XKL4",'kimlong (2016)'!$A$3,"MA_HT","RPH","MA_QH","ONT")</f>
        <v>0</v>
      </c>
      <c r="AR14" s="35">
        <f>+GETPIVOTDATA("XKL4",'kimlong (2016)'!$A$3,"MA_HT","RPH","MA_QH","ODT")</f>
        <v>0</v>
      </c>
      <c r="AS14" s="35">
        <f>+GETPIVOTDATA("XKL4",'kimlong (2016)'!$A$3,"MA_HT","RPH","MA_QH","TSC")</f>
        <v>0</v>
      </c>
      <c r="AT14" s="35">
        <f>+GETPIVOTDATA("XKL4",'kimlong (2016)'!$A$3,"MA_HT","RPH","MA_QH","DTS")</f>
        <v>0</v>
      </c>
      <c r="AU14" s="35">
        <f>+GETPIVOTDATA("XKL4",'kimlong (2016)'!$A$3,"MA_HT","RPH","MA_QH","DNG")</f>
        <v>0</v>
      </c>
      <c r="AV14" s="35">
        <f>+GETPIVOTDATA("XKL4",'kimlong (2016)'!$A$3,"MA_HT","RPH","MA_QH","TON")</f>
        <v>0</v>
      </c>
      <c r="AW14" s="35">
        <f>+GETPIVOTDATA("XKL4",'kimlong (2016)'!$A$3,"MA_HT","RPH","MA_QH","NTD")</f>
        <v>0</v>
      </c>
      <c r="AX14" s="35">
        <f>+GETPIVOTDATA("XKL4",'kimlong (2016)'!$A$3,"MA_HT","RPH","MA_QH","SKX")</f>
        <v>0</v>
      </c>
      <c r="AY14" s="35">
        <f>+GETPIVOTDATA("XKL4",'kimlong (2016)'!$A$3,"MA_HT","RPH","MA_QH","DSH")</f>
        <v>0</v>
      </c>
      <c r="AZ14" s="35">
        <f>+GETPIVOTDATA("XKL4",'kimlong (2016)'!$A$3,"MA_HT","RPH","MA_QH","DKV")</f>
        <v>0</v>
      </c>
      <c r="BA14" s="140">
        <f>+GETPIVOTDATA("XKL4",'kimlong (2016)'!$A$3,"MA_HT","RPH","MA_QH","TIN")</f>
        <v>0</v>
      </c>
      <c r="BB14" s="74">
        <f>+GETPIVOTDATA("XKL4",'kimlong (2016)'!$A$3,"MA_HT","RPH","MA_QH","SON")</f>
        <v>0</v>
      </c>
      <c r="BC14" s="74">
        <f>+GETPIVOTDATA("XKL4",'kimlong (2016)'!$A$3,"MA_HT","RPH","MA_QH","MNC")</f>
        <v>0</v>
      </c>
      <c r="BD14" s="35">
        <f>+GETPIVOTDATA("XKL4",'kimlong (2016)'!$A$3,"MA_HT","RPH","MA_QH","PNK")</f>
        <v>0</v>
      </c>
      <c r="BE14" s="58">
        <f>+GETPIVOTDATA("XKL4",'kimlong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+GETPIVOTDATA("XKL4",'kimlong (2016)'!$A$3,"MA_HT","RDD","MA_QH","LUC")</f>
        <v>0</v>
      </c>
      <c r="H15" s="35">
        <f>+GETPIVOTDATA("XKL4",'kimlong (2016)'!$A$3,"MA_HT","RDD","MA_QH","LUK")</f>
        <v>0</v>
      </c>
      <c r="I15" s="35">
        <f>+GETPIVOTDATA("XKL4",'kimlong (2016)'!$A$3,"MA_HT","RDD","MA_QH","LUN")</f>
        <v>0</v>
      </c>
      <c r="J15" s="35">
        <f>+GETPIVOTDATA("XKL4",'kimlong (2016)'!$A$3,"MA_HT","RDD","MA_QH","HNK")</f>
        <v>0</v>
      </c>
      <c r="K15" s="35">
        <f>+GETPIVOTDATA("XKL4",'kimlong (2016)'!$A$3,"MA_HT","RDD","MA_QH","CLN")</f>
        <v>0</v>
      </c>
      <c r="L15" s="35">
        <f>+GETPIVOTDATA("XKL4",'kimlong (2016)'!$A$3,"MA_HT","RDD","MA_QH","RSX")</f>
        <v>0</v>
      </c>
      <c r="M15" s="35">
        <f>+GETPIVOTDATA("XKL4",'kimlong (2016)'!$A$3,"MA_HT","RDD","MA_QH","RPH")</f>
        <v>0</v>
      </c>
      <c r="N15" s="99" t="e">
        <f>$D15-$BF15</f>
        <v>#REF!</v>
      </c>
      <c r="O15" s="35">
        <f>+GETPIVOTDATA("XKL4",'kimlong (2016)'!$A$3,"MA_HT","RDD","MA_QH","NTS")</f>
        <v>0</v>
      </c>
      <c r="P15" s="35">
        <f>+GETPIVOTDATA("XKL4",'kimlong (2016)'!$A$3,"MA_HT","RDD","MA_QH","LMU")</f>
        <v>0</v>
      </c>
      <c r="Q15" s="35">
        <f>+GETPIVOTDATA("XKL4",'kimlong (2016)'!$A$3,"MA_HT","RDD","MA_QH","NKH")</f>
        <v>0</v>
      </c>
      <c r="R15" s="63">
        <f t="shared" si="2"/>
        <v>0</v>
      </c>
      <c r="S15" s="35">
        <f>+GETPIVOTDATA("XKL4",'kimlong (2016)'!$A$3,"MA_HT","RDD","MA_QH","CQP")</f>
        <v>0</v>
      </c>
      <c r="T15" s="35">
        <f>+GETPIVOTDATA("XKL4",'kimlong (2016)'!$A$3,"MA_HT","RDD","MA_QH","CAN")</f>
        <v>0</v>
      </c>
      <c r="U15" s="35">
        <f>+GETPIVOTDATA("XKL4",'kimlong (2016)'!$A$3,"MA_HT","RDD","MA_QH","SKK")</f>
        <v>0</v>
      </c>
      <c r="V15" s="35">
        <f>+GETPIVOTDATA("XKL4",'kimlong (2016)'!$A$3,"MA_HT","RDD","MA_QH","SKT")</f>
        <v>0</v>
      </c>
      <c r="W15" s="35">
        <f>+GETPIVOTDATA("XKL4",'kimlong (2016)'!$A$3,"MA_HT","RDD","MA_QH","SKN")</f>
        <v>0</v>
      </c>
      <c r="X15" s="35">
        <f>+GETPIVOTDATA("XKL4",'kimlong (2016)'!$A$3,"MA_HT","RDD","MA_QH","TMD")</f>
        <v>0</v>
      </c>
      <c r="Y15" s="35">
        <f>+GETPIVOTDATA("XKL4",'kimlong (2016)'!$A$3,"MA_HT","RDD","MA_QH","SKC")</f>
        <v>0</v>
      </c>
      <c r="Z15" s="35">
        <f>+GETPIVOTDATA("XKL4",'kimlong (2016)'!$A$3,"MA_HT","RDD","MA_QH","SKS")</f>
        <v>0</v>
      </c>
      <c r="AA15" s="64">
        <f t="shared" si="4"/>
        <v>0</v>
      </c>
      <c r="AB15" s="35">
        <f>+GETPIVOTDATA("XKL4",'kimlong (2016)'!$A$3,"MA_HT","RDD","MA_QH","DGT")</f>
        <v>0</v>
      </c>
      <c r="AC15" s="35">
        <f>+GETPIVOTDATA("XKL4",'kimlong (2016)'!$A$3,"MA_HT","RDD","MA_QH","DTL")</f>
        <v>0</v>
      </c>
      <c r="AD15" s="35">
        <f>+GETPIVOTDATA("XKL4",'kimlong (2016)'!$A$3,"MA_HT","RDD","MA_QH","DNL")</f>
        <v>0</v>
      </c>
      <c r="AE15" s="35">
        <f>+GETPIVOTDATA("XKL4",'kimlong (2016)'!$A$3,"MA_HT","RDD","MA_QH","DBV")</f>
        <v>0</v>
      </c>
      <c r="AF15" s="35">
        <f>+GETPIVOTDATA("XKL4",'kimlong (2016)'!$A$3,"MA_HT","RDD","MA_QH","DVH")</f>
        <v>0</v>
      </c>
      <c r="AG15" s="35">
        <f>+GETPIVOTDATA("XKL4",'kimlong (2016)'!$A$3,"MA_HT","RDD","MA_QH","DYT")</f>
        <v>0</v>
      </c>
      <c r="AH15" s="35">
        <f>+GETPIVOTDATA("XKL4",'kimlong (2016)'!$A$3,"MA_HT","RDD","MA_QH","DGD")</f>
        <v>0</v>
      </c>
      <c r="AI15" s="35">
        <f>+GETPIVOTDATA("XKL4",'kimlong (2016)'!$A$3,"MA_HT","RDD","MA_QH","DTT")</f>
        <v>0</v>
      </c>
      <c r="AJ15" s="35">
        <f>+GETPIVOTDATA("XKL4",'kimlong (2016)'!$A$3,"MA_HT","RDD","MA_QH","NCK")</f>
        <v>0</v>
      </c>
      <c r="AK15" s="35">
        <f>+GETPIVOTDATA("XKL4",'kimlong (2016)'!$A$3,"MA_HT","RDD","MA_QH","DXH")</f>
        <v>0</v>
      </c>
      <c r="AL15" s="35">
        <f>+GETPIVOTDATA("XKL4",'kimlong (2016)'!$A$3,"MA_HT","RDD","MA_QH","DCH")</f>
        <v>0</v>
      </c>
      <c r="AM15" s="35">
        <f>+GETPIVOTDATA("XKL4",'kimlong (2016)'!$A$3,"MA_HT","RDD","MA_QH","DKG")</f>
        <v>0</v>
      </c>
      <c r="AN15" s="35">
        <f>+GETPIVOTDATA("XKL4",'kimlong (2016)'!$A$3,"MA_HT","RDD","MA_QH","DDT")</f>
        <v>0</v>
      </c>
      <c r="AO15" s="35">
        <f>+GETPIVOTDATA("XKL4",'kimlong (2016)'!$A$3,"MA_HT","RDD","MA_QH","DDL")</f>
        <v>0</v>
      </c>
      <c r="AP15" s="35">
        <f>+GETPIVOTDATA("XKL4",'kimlong (2016)'!$A$3,"MA_HT","RDD","MA_QH","DRA")</f>
        <v>0</v>
      </c>
      <c r="AQ15" s="35">
        <f>+GETPIVOTDATA("XKL4",'kimlong (2016)'!$A$3,"MA_HT","RDD","MA_QH","ONT")</f>
        <v>0</v>
      </c>
      <c r="AR15" s="35">
        <f>+GETPIVOTDATA("XKL4",'kimlong (2016)'!$A$3,"MA_HT","RDD","MA_QH","ODT")</f>
        <v>0</v>
      </c>
      <c r="AS15" s="35">
        <f>+GETPIVOTDATA("XKL4",'kimlong (2016)'!$A$3,"MA_HT","RDD","MA_QH","TSC")</f>
        <v>0</v>
      </c>
      <c r="AT15" s="35">
        <f>+GETPIVOTDATA("XKL4",'kimlong (2016)'!$A$3,"MA_HT","RDD","MA_QH","DTS")</f>
        <v>0</v>
      </c>
      <c r="AU15" s="35">
        <f>+GETPIVOTDATA("XKL4",'kimlong (2016)'!$A$3,"MA_HT","RDD","MA_QH","DNG")</f>
        <v>0</v>
      </c>
      <c r="AV15" s="35">
        <f>+GETPIVOTDATA("XKL4",'kimlong (2016)'!$A$3,"MA_HT","RDD","MA_QH","TON")</f>
        <v>0</v>
      </c>
      <c r="AW15" s="35">
        <f>+GETPIVOTDATA("XKL4",'kimlong (2016)'!$A$3,"MA_HT","RDD","MA_QH","NTD")</f>
        <v>0</v>
      </c>
      <c r="AX15" s="35">
        <f>+GETPIVOTDATA("XKL4",'kimlong (2016)'!$A$3,"MA_HT","RDD","MA_QH","SKX")</f>
        <v>0</v>
      </c>
      <c r="AY15" s="35">
        <f>+GETPIVOTDATA("XKL4",'kimlong (2016)'!$A$3,"MA_HT","RDD","MA_QH","DSH")</f>
        <v>0</v>
      </c>
      <c r="AZ15" s="35">
        <f>+GETPIVOTDATA("XKL4",'kimlong (2016)'!$A$3,"MA_HT","RDD","MA_QH","DKV")</f>
        <v>0</v>
      </c>
      <c r="BA15" s="140">
        <f>+GETPIVOTDATA("XKL4",'kimlong (2016)'!$A$3,"MA_HT","RDD","MA_QH","TIN")</f>
        <v>0</v>
      </c>
      <c r="BB15" s="74">
        <f>+GETPIVOTDATA("XKL4",'kimlong (2016)'!$A$3,"MA_HT","RDD","MA_QH","SON")</f>
        <v>0</v>
      </c>
      <c r="BC15" s="74">
        <f>+GETPIVOTDATA("XKL4",'kimlong (2016)'!$A$3,"MA_HT","RDD","MA_QH","MNC")</f>
        <v>0</v>
      </c>
      <c r="BD15" s="35">
        <f>+GETPIVOTDATA("XKL4",'kimlong (2016)'!$A$3,"MA_HT","RDD","MA_QH","PNK")</f>
        <v>0</v>
      </c>
      <c r="BE15" s="58">
        <f>+GETPIVOTDATA("XKL4",'kimlong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+GETPIVOTDATA("XKL4",'kimlong (2016)'!$A$3,"MA_HT","NTS","MA_QH","LUC")</f>
        <v>0</v>
      </c>
      <c r="H16" s="35">
        <f>+GETPIVOTDATA("XKL4",'kimlong (2016)'!$A$3,"MA_HT","NTS","MA_QH","LUK")</f>
        <v>0</v>
      </c>
      <c r="I16" s="35">
        <f>+GETPIVOTDATA("XKL4",'kimlong (2016)'!$A$3,"MA_HT","NTS","MA_QH","LUN")</f>
        <v>0</v>
      </c>
      <c r="J16" s="35">
        <f>+GETPIVOTDATA("XKL4",'kimlong (2016)'!$A$3,"MA_HT","NTS","MA_QH","HNK")</f>
        <v>0</v>
      </c>
      <c r="K16" s="35">
        <f>+GETPIVOTDATA("XKL4",'kimlong (2016)'!$A$3,"MA_HT","NTS","MA_QH","CLN")</f>
        <v>0</v>
      </c>
      <c r="L16" s="35">
        <f>+GETPIVOTDATA("XKL4",'kimlong (2016)'!$A$3,"MA_HT","NTS","MA_QH","RSX")</f>
        <v>0</v>
      </c>
      <c r="M16" s="35">
        <f>+GETPIVOTDATA("XKL4",'kimlong (2016)'!$A$3,"MA_HT","NTS","MA_QH","RPH")</f>
        <v>0</v>
      </c>
      <c r="N16" s="35">
        <f>+GETPIVOTDATA("XKL4",'kimlong (2016)'!$A$3,"MA_HT","NTS","MA_QH","RDD")</f>
        <v>0</v>
      </c>
      <c r="O16" s="99" t="e">
        <f>$D16-$BF16</f>
        <v>#REF!</v>
      </c>
      <c r="P16" s="35">
        <f>+GETPIVOTDATA("XKL4",'kimlong (2016)'!$A$3,"MA_HT","NTS","MA_QH","LMU")</f>
        <v>0</v>
      </c>
      <c r="Q16" s="35">
        <f>+GETPIVOTDATA("XKL4",'kimlong (2016)'!$A$3,"MA_HT","NTS","MA_QH","NKH")</f>
        <v>0</v>
      </c>
      <c r="R16" s="63">
        <f t="shared" si="2"/>
        <v>0</v>
      </c>
      <c r="S16" s="35">
        <f>+GETPIVOTDATA("XKL4",'kimlong (2016)'!$A$3,"MA_HT","NTS","MA_QH","CQP")</f>
        <v>0</v>
      </c>
      <c r="T16" s="35">
        <f>+GETPIVOTDATA("XKL4",'kimlong (2016)'!$A$3,"MA_HT","NTS","MA_QH","CAN")</f>
        <v>0</v>
      </c>
      <c r="U16" s="35">
        <f>+GETPIVOTDATA("XKL4",'kimlong (2016)'!$A$3,"MA_HT","NTS","MA_QH","SKK")</f>
        <v>0</v>
      </c>
      <c r="V16" s="35">
        <f>+GETPIVOTDATA("XKL4",'kimlong (2016)'!$A$3,"MA_HT","NTS","MA_QH","SKT")</f>
        <v>0</v>
      </c>
      <c r="W16" s="35">
        <f>+GETPIVOTDATA("XKL4",'kimlong (2016)'!$A$3,"MA_HT","NTS","MA_QH","SKN")</f>
        <v>0</v>
      </c>
      <c r="X16" s="35">
        <f>+GETPIVOTDATA("XKL4",'kimlong (2016)'!$A$3,"MA_HT","NTS","MA_QH","TMD")</f>
        <v>0</v>
      </c>
      <c r="Y16" s="35">
        <f>+GETPIVOTDATA("XKL4",'kimlong (2016)'!$A$3,"MA_HT","NTS","MA_QH","SKC")</f>
        <v>0</v>
      </c>
      <c r="Z16" s="35">
        <f>+GETPIVOTDATA("XKL4",'kimlong (2016)'!$A$3,"MA_HT","NTS","MA_QH","SKS")</f>
        <v>0</v>
      </c>
      <c r="AA16" s="64">
        <f t="shared" si="4"/>
        <v>0</v>
      </c>
      <c r="AB16" s="35">
        <f>+GETPIVOTDATA("XKL4",'kimlong (2016)'!$A$3,"MA_HT","NTS","MA_QH","DGT")</f>
        <v>0</v>
      </c>
      <c r="AC16" s="35">
        <f>+GETPIVOTDATA("XKL4",'kimlong (2016)'!$A$3,"MA_HT","NTS","MA_QH","DTL")</f>
        <v>0</v>
      </c>
      <c r="AD16" s="35">
        <f>+GETPIVOTDATA("XKL4",'kimlong (2016)'!$A$3,"MA_HT","NTS","MA_QH","DNL")</f>
        <v>0</v>
      </c>
      <c r="AE16" s="35">
        <f>+GETPIVOTDATA("XKL4",'kimlong (2016)'!$A$3,"MA_HT","NTS","MA_QH","DBV")</f>
        <v>0</v>
      </c>
      <c r="AF16" s="35">
        <f>+GETPIVOTDATA("XKL4",'kimlong (2016)'!$A$3,"MA_HT","NTS","MA_QH","DVH")</f>
        <v>0</v>
      </c>
      <c r="AG16" s="35">
        <f>+GETPIVOTDATA("XKL4",'kimlong (2016)'!$A$3,"MA_HT","NTS","MA_QH","DYT")</f>
        <v>0</v>
      </c>
      <c r="AH16" s="35">
        <f>+GETPIVOTDATA("XKL4",'kimlong (2016)'!$A$3,"MA_HT","NTS","MA_QH","DGD")</f>
        <v>0</v>
      </c>
      <c r="AI16" s="35">
        <f>+GETPIVOTDATA("XKL4",'kimlong (2016)'!$A$3,"MA_HT","NTS","MA_QH","DTT")</f>
        <v>0</v>
      </c>
      <c r="AJ16" s="35">
        <f>+GETPIVOTDATA("XKL4",'kimlong (2016)'!$A$3,"MA_HT","NTS","MA_QH","NCK")</f>
        <v>0</v>
      </c>
      <c r="AK16" s="35">
        <f>+GETPIVOTDATA("XKL4",'kimlong (2016)'!$A$3,"MA_HT","NTS","MA_QH","DXH")</f>
        <v>0</v>
      </c>
      <c r="AL16" s="35">
        <f>+GETPIVOTDATA("XKL4",'kimlong (2016)'!$A$3,"MA_HT","NTS","MA_QH","DCH")</f>
        <v>0</v>
      </c>
      <c r="AM16" s="35">
        <f>+GETPIVOTDATA("XKL4",'kimlong (2016)'!$A$3,"MA_HT","NTS","MA_QH","DKG")</f>
        <v>0</v>
      </c>
      <c r="AN16" s="35">
        <f>+GETPIVOTDATA("XKL4",'kimlong (2016)'!$A$3,"MA_HT","NTS","MA_QH","DDT")</f>
        <v>0</v>
      </c>
      <c r="AO16" s="35">
        <f>+GETPIVOTDATA("XKL4",'kimlong (2016)'!$A$3,"MA_HT","NTS","MA_QH","DDL")</f>
        <v>0</v>
      </c>
      <c r="AP16" s="35">
        <f>+GETPIVOTDATA("XKL4",'kimlong (2016)'!$A$3,"MA_HT","NTS","MA_QH","DRA")</f>
        <v>0</v>
      </c>
      <c r="AQ16" s="35">
        <f>+GETPIVOTDATA("XKL4",'kimlong (2016)'!$A$3,"MA_HT","NTS","MA_QH","ONT")</f>
        <v>0</v>
      </c>
      <c r="AR16" s="35">
        <f>+GETPIVOTDATA("XKL4",'kimlong (2016)'!$A$3,"MA_HT","NTS","MA_QH","ODT")</f>
        <v>0</v>
      </c>
      <c r="AS16" s="35">
        <f>+GETPIVOTDATA("XKL4",'kimlong (2016)'!$A$3,"MA_HT","NTS","MA_QH","TSC")</f>
        <v>0</v>
      </c>
      <c r="AT16" s="35">
        <f>+GETPIVOTDATA("XKL4",'kimlong (2016)'!$A$3,"MA_HT","NTS","MA_QH","DTS")</f>
        <v>0</v>
      </c>
      <c r="AU16" s="35">
        <f>+GETPIVOTDATA("XKL4",'kimlong (2016)'!$A$3,"MA_HT","NTS","MA_QH","DNG")</f>
        <v>0</v>
      </c>
      <c r="AV16" s="35">
        <f>+GETPIVOTDATA("XKL4",'kimlong (2016)'!$A$3,"MA_HT","NTS","MA_QH","TON")</f>
        <v>0</v>
      </c>
      <c r="AW16" s="35">
        <f>+GETPIVOTDATA("XKL4",'kimlong (2016)'!$A$3,"MA_HT","NTS","MA_QH","NTD")</f>
        <v>0</v>
      </c>
      <c r="AX16" s="35">
        <f>+GETPIVOTDATA("XKL4",'kimlong (2016)'!$A$3,"MA_HT","NTS","MA_QH","SKX")</f>
        <v>0</v>
      </c>
      <c r="AY16" s="35">
        <f>+GETPIVOTDATA("XKL4",'kimlong (2016)'!$A$3,"MA_HT","NTS","MA_QH","DSH")</f>
        <v>0</v>
      </c>
      <c r="AZ16" s="35">
        <f>+GETPIVOTDATA("XKL4",'kimlong (2016)'!$A$3,"MA_HT","NTS","MA_QH","DKV")</f>
        <v>0</v>
      </c>
      <c r="BA16" s="140">
        <f>+GETPIVOTDATA("XKL4",'kimlong (2016)'!$A$3,"MA_HT","NTS","MA_QH","TIN")</f>
        <v>0</v>
      </c>
      <c r="BB16" s="74">
        <f>+GETPIVOTDATA("XKL4",'kimlong (2016)'!$A$3,"MA_HT","NTS","MA_QH","SON")</f>
        <v>0</v>
      </c>
      <c r="BC16" s="74">
        <f>+GETPIVOTDATA("XKL4",'kimlong (2016)'!$A$3,"MA_HT","NTS","MA_QH","MNC")</f>
        <v>0</v>
      </c>
      <c r="BD16" s="35">
        <f>+GETPIVOTDATA("XKL4",'kimlong (2016)'!$A$3,"MA_HT","NTS","MA_QH","PNK")</f>
        <v>0</v>
      </c>
      <c r="BE16" s="58">
        <f>+GETPIVOTDATA("XKL4",'kimlong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+GETPIVOTDATA("XKL4",'kimlong (2016)'!$A$3,"MA_HT","LMU","MA_QH","LUC")</f>
        <v>0</v>
      </c>
      <c r="H17" s="35">
        <f>+GETPIVOTDATA("XKL4",'kimlong (2016)'!$A$3,"MA_HT","LMU","MA_QH","LUK")</f>
        <v>0</v>
      </c>
      <c r="I17" s="35">
        <f>+GETPIVOTDATA("XKL4",'kimlong (2016)'!$A$3,"MA_HT","LMU","MA_QH","LUN")</f>
        <v>0</v>
      </c>
      <c r="J17" s="35">
        <f>+GETPIVOTDATA("XKL4",'kimlong (2016)'!$A$3,"MA_HT","LMU","MA_QH","HNK")</f>
        <v>0</v>
      </c>
      <c r="K17" s="35">
        <f>+GETPIVOTDATA("XKL4",'kimlong (2016)'!$A$3,"MA_HT","LMU","MA_QH","CLN")</f>
        <v>0</v>
      </c>
      <c r="L17" s="35">
        <f>+GETPIVOTDATA("XKL4",'kimlong (2016)'!$A$3,"MA_HT","LMU","MA_QH","RSX")</f>
        <v>0</v>
      </c>
      <c r="M17" s="35">
        <f>+GETPIVOTDATA("XKL4",'kimlong (2016)'!$A$3,"MA_HT","LMU","MA_QH","RPH")</f>
        <v>0</v>
      </c>
      <c r="N17" s="35">
        <f>+GETPIVOTDATA("XKL4",'kimlong (2016)'!$A$3,"MA_HT","LMU","MA_QH","RDD")</f>
        <v>0</v>
      </c>
      <c r="O17" s="35">
        <f>+GETPIVOTDATA("XKL4",'kimlong (2016)'!$A$3,"MA_HT","LMU","MA_QH","NTS")</f>
        <v>0</v>
      </c>
      <c r="P17" s="99" t="e">
        <f>$D17-$BF17</f>
        <v>#REF!</v>
      </c>
      <c r="Q17" s="35">
        <f>+GETPIVOTDATA("XKL4",'kimlong (2016)'!$A$3,"MA_HT","LMU","MA_QH","NKH")</f>
        <v>0</v>
      </c>
      <c r="R17" s="63">
        <f t="shared" si="2"/>
        <v>0</v>
      </c>
      <c r="S17" s="35">
        <f>+GETPIVOTDATA("XKL4",'kimlong (2016)'!$A$3,"MA_HT","LMU","MA_QH","CQP")</f>
        <v>0</v>
      </c>
      <c r="T17" s="35">
        <f>+GETPIVOTDATA("XKL4",'kimlong (2016)'!$A$3,"MA_HT","LMU","MA_QH","CAN")</f>
        <v>0</v>
      </c>
      <c r="U17" s="35">
        <f>+GETPIVOTDATA("XKL4",'kimlong (2016)'!$A$3,"MA_HT","LMU","MA_QH","SKK")</f>
        <v>0</v>
      </c>
      <c r="V17" s="35">
        <f>+GETPIVOTDATA("XKL4",'kimlong (2016)'!$A$3,"MA_HT","LMU","MA_QH","SKT")</f>
        <v>0</v>
      </c>
      <c r="W17" s="35">
        <f>+GETPIVOTDATA("XKL4",'kimlong (2016)'!$A$3,"MA_HT","LMU","MA_QH","SKN")</f>
        <v>0</v>
      </c>
      <c r="X17" s="35">
        <f>+GETPIVOTDATA("XKL4",'kimlong (2016)'!$A$3,"MA_HT","LMU","MA_QH","TMD")</f>
        <v>0</v>
      </c>
      <c r="Y17" s="35">
        <f>+GETPIVOTDATA("XKL4",'kimlong (2016)'!$A$3,"MA_HT","LMU","MA_QH","SKC")</f>
        <v>0</v>
      </c>
      <c r="Z17" s="35">
        <f>+GETPIVOTDATA("XKL4",'kimlong (2016)'!$A$3,"MA_HT","LMU","MA_QH","SKS")</f>
        <v>0</v>
      </c>
      <c r="AA17" s="64">
        <f t="shared" si="4"/>
        <v>0</v>
      </c>
      <c r="AB17" s="35">
        <f>+GETPIVOTDATA("XKL4",'kimlong (2016)'!$A$3,"MA_HT","LMU","MA_QH","DGT")</f>
        <v>0</v>
      </c>
      <c r="AC17" s="35">
        <f>+GETPIVOTDATA("XKL4",'kimlong (2016)'!$A$3,"MA_HT","LMU","MA_QH","DTL")</f>
        <v>0</v>
      </c>
      <c r="AD17" s="35">
        <f>+GETPIVOTDATA("XKL4",'kimlong (2016)'!$A$3,"MA_HT","LMU","MA_QH","DNL")</f>
        <v>0</v>
      </c>
      <c r="AE17" s="35">
        <f>+GETPIVOTDATA("XKL4",'kimlong (2016)'!$A$3,"MA_HT","LMU","MA_QH","DBV")</f>
        <v>0</v>
      </c>
      <c r="AF17" s="35">
        <f>+GETPIVOTDATA("XKL4",'kimlong (2016)'!$A$3,"MA_HT","LMU","MA_QH","DVH")</f>
        <v>0</v>
      </c>
      <c r="AG17" s="35">
        <f>+GETPIVOTDATA("XKL4",'kimlong (2016)'!$A$3,"MA_HT","LMU","MA_QH","DYT")</f>
        <v>0</v>
      </c>
      <c r="AH17" s="35">
        <f>+GETPIVOTDATA("XKL4",'kimlong (2016)'!$A$3,"MA_HT","LMU","MA_QH","DGD")</f>
        <v>0</v>
      </c>
      <c r="AI17" s="35">
        <f>+GETPIVOTDATA("XKL4",'kimlong (2016)'!$A$3,"MA_HT","LMU","MA_QH","DTT")</f>
        <v>0</v>
      </c>
      <c r="AJ17" s="35">
        <f>+GETPIVOTDATA("XKL4",'kimlong (2016)'!$A$3,"MA_HT","LMU","MA_QH","NCK")</f>
        <v>0</v>
      </c>
      <c r="AK17" s="35">
        <f>+GETPIVOTDATA("XKL4",'kimlong (2016)'!$A$3,"MA_HT","LMU","MA_QH","DXH")</f>
        <v>0</v>
      </c>
      <c r="AL17" s="35">
        <f>+GETPIVOTDATA("XKL4",'kimlong (2016)'!$A$3,"MA_HT","LMU","MA_QH","DCH")</f>
        <v>0</v>
      </c>
      <c r="AM17" s="35">
        <f>+GETPIVOTDATA("XKL4",'kimlong (2016)'!$A$3,"MA_HT","LMU","MA_QH","DKG")</f>
        <v>0</v>
      </c>
      <c r="AN17" s="35">
        <f>+GETPIVOTDATA("XKL4",'kimlong (2016)'!$A$3,"MA_HT","LMU","MA_QH","DDT")</f>
        <v>0</v>
      </c>
      <c r="AO17" s="35">
        <f>+GETPIVOTDATA("XKL4",'kimlong (2016)'!$A$3,"MA_HT","LMU","MA_QH","DDL")</f>
        <v>0</v>
      </c>
      <c r="AP17" s="35">
        <f>+GETPIVOTDATA("XKL4",'kimlong (2016)'!$A$3,"MA_HT","LMU","MA_QH","DRA")</f>
        <v>0</v>
      </c>
      <c r="AQ17" s="35">
        <f>+GETPIVOTDATA("XKL4",'kimlong (2016)'!$A$3,"MA_HT","LMU","MA_QH","ONT")</f>
        <v>0</v>
      </c>
      <c r="AR17" s="35">
        <f>+GETPIVOTDATA("XKL4",'kimlong (2016)'!$A$3,"MA_HT","LMU","MA_QH","ODT")</f>
        <v>0</v>
      </c>
      <c r="AS17" s="35">
        <f>+GETPIVOTDATA("XKL4",'kimlong (2016)'!$A$3,"MA_HT","LMU","MA_QH","TSC")</f>
        <v>0</v>
      </c>
      <c r="AT17" s="35">
        <f>+GETPIVOTDATA("XKL4",'kimlong (2016)'!$A$3,"MA_HT","LMU","MA_QH","DTS")</f>
        <v>0</v>
      </c>
      <c r="AU17" s="35">
        <f>+GETPIVOTDATA("XKL4",'kimlong (2016)'!$A$3,"MA_HT","LMU","MA_QH","DNG")</f>
        <v>0</v>
      </c>
      <c r="AV17" s="35">
        <f>+GETPIVOTDATA("XKL4",'kimlong (2016)'!$A$3,"MA_HT","LMU","MA_QH","TON")</f>
        <v>0</v>
      </c>
      <c r="AW17" s="35">
        <f>+GETPIVOTDATA("XKL4",'kimlong (2016)'!$A$3,"MA_HT","LMU","MA_QH","NTD")</f>
        <v>0</v>
      </c>
      <c r="AX17" s="35">
        <f>+GETPIVOTDATA("XKL4",'kimlong (2016)'!$A$3,"MA_HT","LMU","MA_QH","SKX")</f>
        <v>0</v>
      </c>
      <c r="AY17" s="35">
        <f>+GETPIVOTDATA("XKL4",'kimlong (2016)'!$A$3,"MA_HT","LMU","MA_QH","DSH")</f>
        <v>0</v>
      </c>
      <c r="AZ17" s="35">
        <f>+GETPIVOTDATA("XKL4",'kimlong (2016)'!$A$3,"MA_HT","LMU","MA_QH","DKV")</f>
        <v>0</v>
      </c>
      <c r="BA17" s="140">
        <f>+GETPIVOTDATA("XKL4",'kimlong (2016)'!$A$3,"MA_HT","LMU","MA_QH","TIN")</f>
        <v>0</v>
      </c>
      <c r="BB17" s="74">
        <f>+GETPIVOTDATA("XKL4",'kimlong (2016)'!$A$3,"MA_HT","LMU","MA_QH","SON")</f>
        <v>0</v>
      </c>
      <c r="BC17" s="74">
        <f>+GETPIVOTDATA("XKL4",'kimlong (2016)'!$A$3,"MA_HT","LMU","MA_QH","MNC")</f>
        <v>0</v>
      </c>
      <c r="BD17" s="35">
        <f>+GETPIVOTDATA("XKL4",'kimlong (2016)'!$A$3,"MA_HT","LMU","MA_QH","PNK")</f>
        <v>0</v>
      </c>
      <c r="BE17" s="58">
        <f>+GETPIVOTDATA("XKL4",'kimlong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+GETPIVOTDATA("XKL4",'kimlong (2016)'!$A$3,"MA_HT","NKH","MA_QH","LUC")</f>
        <v>0</v>
      </c>
      <c r="H18" s="35">
        <f>+GETPIVOTDATA("XKL4",'kimlong (2016)'!$A$3,"MA_HT","NKH","MA_QH","LUK")</f>
        <v>0</v>
      </c>
      <c r="I18" s="35">
        <f>+GETPIVOTDATA("XKL4",'kimlong (2016)'!$A$3,"MA_HT","NKH","MA_QH","LUN")</f>
        <v>0</v>
      </c>
      <c r="J18" s="35">
        <f>+GETPIVOTDATA("XKL4",'kimlong (2016)'!$A$3,"MA_HT","NKH","MA_QH","HNK")</f>
        <v>0</v>
      </c>
      <c r="K18" s="35">
        <f>+GETPIVOTDATA("XKL4",'kimlong (2016)'!$A$3,"MA_HT","NKH","MA_QH","CLN")</f>
        <v>0</v>
      </c>
      <c r="L18" s="35">
        <f>+GETPIVOTDATA("XKL4",'kimlong (2016)'!$A$3,"MA_HT","NKH","MA_QH","RSX")</f>
        <v>0</v>
      </c>
      <c r="M18" s="35">
        <f>+GETPIVOTDATA("XKL4",'kimlong (2016)'!$A$3,"MA_HT","NKH","MA_QH","RPH")</f>
        <v>0</v>
      </c>
      <c r="N18" s="35">
        <f>+GETPIVOTDATA("XKL4",'kimlong (2016)'!$A$3,"MA_HT","NKH","MA_QH","RDD")</f>
        <v>0</v>
      </c>
      <c r="O18" s="35">
        <f>+GETPIVOTDATA("XKL4",'kimlong (2016)'!$A$3,"MA_HT","NKH","MA_QH","NTS")</f>
        <v>0</v>
      </c>
      <c r="P18" s="35">
        <f>+GETPIVOTDATA("XKL4",'kimlong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+GETPIVOTDATA("XKL4",'kimlong (2016)'!$A$3,"MA_HT","NKH","MA_QH","CQP")</f>
        <v>0</v>
      </c>
      <c r="T18" s="35">
        <f>+GETPIVOTDATA("XKL4",'kimlong (2016)'!$A$3,"MA_HT","NKH","MA_QH","CAN")</f>
        <v>0</v>
      </c>
      <c r="U18" s="35">
        <f>+GETPIVOTDATA("XKL4",'kimlong (2016)'!$A$3,"MA_HT","NKH","MA_QH","SKK")</f>
        <v>0</v>
      </c>
      <c r="V18" s="35">
        <f>+GETPIVOTDATA("XKL4",'kimlong (2016)'!$A$3,"MA_HT","NKH","MA_QH","SKT")</f>
        <v>0</v>
      </c>
      <c r="W18" s="35">
        <f>+GETPIVOTDATA("XKL4",'kimlong (2016)'!$A$3,"MA_HT","NKH","MA_QH","SKN")</f>
        <v>0</v>
      </c>
      <c r="X18" s="35">
        <f>+GETPIVOTDATA("XKL4",'kimlong (2016)'!$A$3,"MA_HT","NKH","MA_QH","TMD")</f>
        <v>0</v>
      </c>
      <c r="Y18" s="35">
        <f>+GETPIVOTDATA("XKL4",'kimlong (2016)'!$A$3,"MA_HT","NKH","MA_QH","SKC")</f>
        <v>0</v>
      </c>
      <c r="Z18" s="35">
        <f>+GETPIVOTDATA("XKL4",'kimlong (2016)'!$A$3,"MA_HT","NKH","MA_QH","SKS")</f>
        <v>0</v>
      </c>
      <c r="AA18" s="64">
        <f t="shared" si="4"/>
        <v>0</v>
      </c>
      <c r="AB18" s="35">
        <f>+GETPIVOTDATA("XKL4",'kimlong (2016)'!$A$3,"MA_HT","NKH","MA_QH","DGT")</f>
        <v>0</v>
      </c>
      <c r="AC18" s="35">
        <f>+GETPIVOTDATA("XKL4",'kimlong (2016)'!$A$3,"MA_HT","NKH","MA_QH","DTL")</f>
        <v>0</v>
      </c>
      <c r="AD18" s="35">
        <f>+GETPIVOTDATA("XKL4",'kimlong (2016)'!$A$3,"MA_HT","NKH","MA_QH","DNL")</f>
        <v>0</v>
      </c>
      <c r="AE18" s="35">
        <f>+GETPIVOTDATA("XKL4",'kimlong (2016)'!$A$3,"MA_HT","NKH","MA_QH","DBV")</f>
        <v>0</v>
      </c>
      <c r="AF18" s="35">
        <f>+GETPIVOTDATA("XKL4",'kimlong (2016)'!$A$3,"MA_HT","NKH","MA_QH","DVH")</f>
        <v>0</v>
      </c>
      <c r="AG18" s="35">
        <f>+GETPIVOTDATA("XKL4",'kimlong (2016)'!$A$3,"MA_HT","NKH","MA_QH","DYT")</f>
        <v>0</v>
      </c>
      <c r="AH18" s="35">
        <f>+GETPIVOTDATA("XKL4",'kimlong (2016)'!$A$3,"MA_HT","NKH","MA_QH","DGD")</f>
        <v>0</v>
      </c>
      <c r="AI18" s="35">
        <f>+GETPIVOTDATA("XKL4",'kimlong (2016)'!$A$3,"MA_HT","NKH","MA_QH","DTT")</f>
        <v>0</v>
      </c>
      <c r="AJ18" s="35">
        <f>+GETPIVOTDATA("XKL4",'kimlong (2016)'!$A$3,"MA_HT","NKH","MA_QH","NCK")</f>
        <v>0</v>
      </c>
      <c r="AK18" s="35">
        <f>+GETPIVOTDATA("XKL4",'kimlong (2016)'!$A$3,"MA_HT","NKH","MA_QH","DXH")</f>
        <v>0</v>
      </c>
      <c r="AL18" s="35">
        <f>+GETPIVOTDATA("XKL4",'kimlong (2016)'!$A$3,"MA_HT","NKH","MA_QH","DCH")</f>
        <v>0</v>
      </c>
      <c r="AM18" s="35">
        <f>+GETPIVOTDATA("XKL4",'kimlong (2016)'!$A$3,"MA_HT","NKH","MA_QH","DKG")</f>
        <v>0</v>
      </c>
      <c r="AN18" s="35">
        <f>+GETPIVOTDATA("XKL4",'kimlong (2016)'!$A$3,"MA_HT","NKH","MA_QH","DDT")</f>
        <v>0</v>
      </c>
      <c r="AO18" s="35">
        <f>+GETPIVOTDATA("XKL4",'kimlong (2016)'!$A$3,"MA_HT","NKH","MA_QH","DDL")</f>
        <v>0</v>
      </c>
      <c r="AP18" s="35">
        <f>+GETPIVOTDATA("XKL4",'kimlong (2016)'!$A$3,"MA_HT","NKH","MA_QH","DRA")</f>
        <v>0</v>
      </c>
      <c r="AQ18" s="35">
        <f>+GETPIVOTDATA("XKL4",'kimlong (2016)'!$A$3,"MA_HT","NKH","MA_QH","ONT")</f>
        <v>0</v>
      </c>
      <c r="AR18" s="35">
        <f>+GETPIVOTDATA("XKL4",'kimlong (2016)'!$A$3,"MA_HT","NKH","MA_QH","ODT")</f>
        <v>0</v>
      </c>
      <c r="AS18" s="35">
        <f>+GETPIVOTDATA("XKL4",'kimlong (2016)'!$A$3,"MA_HT","NKH","MA_QH","TSC")</f>
        <v>0</v>
      </c>
      <c r="AT18" s="35">
        <f>+GETPIVOTDATA("XKL4",'kimlong (2016)'!$A$3,"MA_HT","NKH","MA_QH","DTS")</f>
        <v>0</v>
      </c>
      <c r="AU18" s="35">
        <f>+GETPIVOTDATA("XKL4",'kimlong (2016)'!$A$3,"MA_HT","NKH","MA_QH","DNG")</f>
        <v>0</v>
      </c>
      <c r="AV18" s="35">
        <f>+GETPIVOTDATA("XKL4",'kimlong (2016)'!$A$3,"MA_HT","NKH","MA_QH","TON")</f>
        <v>0</v>
      </c>
      <c r="AW18" s="35">
        <f>+GETPIVOTDATA("XKL4",'kimlong (2016)'!$A$3,"MA_HT","NKH","MA_QH","NTD")</f>
        <v>0</v>
      </c>
      <c r="AX18" s="35">
        <f>+GETPIVOTDATA("XKL4",'kimlong (2016)'!$A$3,"MA_HT","NKH","MA_QH","SKX")</f>
        <v>0</v>
      </c>
      <c r="AY18" s="35">
        <f>+GETPIVOTDATA("XKL4",'kimlong (2016)'!$A$3,"MA_HT","NKH","MA_QH","DSH")</f>
        <v>0</v>
      </c>
      <c r="AZ18" s="35">
        <f>+GETPIVOTDATA("XKL4",'kimlong (2016)'!$A$3,"MA_HT","NKH","MA_QH","DKV")</f>
        <v>0</v>
      </c>
      <c r="BA18" s="140">
        <f>+GETPIVOTDATA("XKL4",'kimlong (2016)'!$A$3,"MA_HT","NKH","MA_QH","TIN")</f>
        <v>0</v>
      </c>
      <c r="BB18" s="74">
        <f>+GETPIVOTDATA("XKL4",'kimlong (2016)'!$A$3,"MA_HT","NKH","MA_QH","SON")</f>
        <v>0</v>
      </c>
      <c r="BC18" s="74">
        <f>+GETPIVOTDATA("XKL4",'kimlong (2016)'!$A$3,"MA_HT","NKH","MA_QH","MNC")</f>
        <v>0</v>
      </c>
      <c r="BD18" s="35">
        <f>+GETPIVOTDATA("XKL4",'kimlong (2016)'!$A$3,"MA_HT","NKH","MA_QH","PNK")</f>
        <v>0</v>
      </c>
      <c r="BE18" s="58">
        <f>+GETPIVOTDATA("XKL4",'kimlong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+GETPIVOTDATA("XKL4",'kimlong (2016)'!$A$3,"MA_HT","CQP","MA_QH","LUC")</f>
        <v>0</v>
      </c>
      <c r="H20" s="35">
        <f>+GETPIVOTDATA("XKL4",'kimlong (2016)'!$A$3,"MA_HT","CQP","MA_QH","LUK")</f>
        <v>0</v>
      </c>
      <c r="I20" s="35">
        <f>+GETPIVOTDATA("XKL4",'kimlong (2016)'!$A$3,"MA_HT","CQP","MA_QH","LUN")</f>
        <v>0</v>
      </c>
      <c r="J20" s="35">
        <f>+GETPIVOTDATA("XKL4",'kimlong (2016)'!$A$3,"MA_HT","CQP","MA_QH","HNK")</f>
        <v>0</v>
      </c>
      <c r="K20" s="35">
        <f>+GETPIVOTDATA("XKL4",'kimlong (2016)'!$A$3,"MA_HT","CQP","MA_QH","CLN")</f>
        <v>0</v>
      </c>
      <c r="L20" s="35">
        <f>+GETPIVOTDATA("XKL4",'kimlong (2016)'!$A$3,"MA_HT","CQP","MA_QH","RSX")</f>
        <v>0</v>
      </c>
      <c r="M20" s="35">
        <f>+GETPIVOTDATA("XKL4",'kimlong (2016)'!$A$3,"MA_HT","CQP","MA_QH","RPH")</f>
        <v>0</v>
      </c>
      <c r="N20" s="35">
        <f>+GETPIVOTDATA("XKL4",'kimlong (2016)'!$A$3,"MA_HT","CQP","MA_QH","RDD")</f>
        <v>0</v>
      </c>
      <c r="O20" s="35">
        <f>+GETPIVOTDATA("XKL4",'kimlong (2016)'!$A$3,"MA_HT","CQP","MA_QH","NTS")</f>
        <v>0</v>
      </c>
      <c r="P20" s="35">
        <f>+GETPIVOTDATA("XKL4",'kimlong (2016)'!$A$3,"MA_HT","CQP","MA_QH","LMU")</f>
        <v>0</v>
      </c>
      <c r="Q20" s="35">
        <f>+GETPIVOTDATA("XKL4",'kimlong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+GETPIVOTDATA("XKL4",'kimlong (2016)'!$A$3,"MA_HT","CQP","MA_QH","CAN")</f>
        <v>0</v>
      </c>
      <c r="U20" s="35">
        <f>+GETPIVOTDATA("XKL4",'kimlong (2016)'!$A$3,"MA_HT","CQP","MA_QH","SKK")</f>
        <v>0</v>
      </c>
      <c r="V20" s="35">
        <f>+GETPIVOTDATA("XKL4",'kimlong (2016)'!$A$3,"MA_HT","CQP","MA_QH","SKT")</f>
        <v>0</v>
      </c>
      <c r="W20" s="35">
        <f>+GETPIVOTDATA("XKL4",'kimlong (2016)'!$A$3,"MA_HT","CQP","MA_QH","SKN")</f>
        <v>0</v>
      </c>
      <c r="X20" s="35">
        <f>+GETPIVOTDATA("XKL4",'kimlong (2016)'!$A$3,"MA_HT","CQP","MA_QH","TMD")</f>
        <v>0</v>
      </c>
      <c r="Y20" s="35">
        <f>+GETPIVOTDATA("XKL4",'kimlong (2016)'!$A$3,"MA_HT","CQP","MA_QH","SKC")</f>
        <v>0</v>
      </c>
      <c r="Z20" s="35">
        <f>+GETPIVOTDATA("XKL4",'kimlong (2016)'!$A$3,"MA_HT","CQP","MA_QH","SKS")</f>
        <v>0</v>
      </c>
      <c r="AA20" s="64">
        <f t="shared" ref="AA20:AA27" si="12">+SUM(AB20:AM20)</f>
        <v>0</v>
      </c>
      <c r="AB20" s="35">
        <f>+GETPIVOTDATA("XKL4",'kimlong (2016)'!$A$3,"MA_HT","CQP","MA_QH","DGT")</f>
        <v>0</v>
      </c>
      <c r="AC20" s="35">
        <f>+GETPIVOTDATA("XKL4",'kimlong (2016)'!$A$3,"MA_HT","CQP","MA_QH","DTL")</f>
        <v>0</v>
      </c>
      <c r="AD20" s="35">
        <f>+GETPIVOTDATA("XKL4",'kimlong (2016)'!$A$3,"MA_HT","CQP","MA_QH","DNL")</f>
        <v>0</v>
      </c>
      <c r="AE20" s="35">
        <f>+GETPIVOTDATA("XKL4",'kimlong (2016)'!$A$3,"MA_HT","CQP","MA_QH","DBV")</f>
        <v>0</v>
      </c>
      <c r="AF20" s="35">
        <f>+GETPIVOTDATA("XKL4",'kimlong (2016)'!$A$3,"MA_HT","CQP","MA_QH","DVH")</f>
        <v>0</v>
      </c>
      <c r="AG20" s="35">
        <f>+GETPIVOTDATA("XKL4",'kimlong (2016)'!$A$3,"MA_HT","CQP","MA_QH","DYT")</f>
        <v>0</v>
      </c>
      <c r="AH20" s="35">
        <f>+GETPIVOTDATA("XKL4",'kimlong (2016)'!$A$3,"MA_HT","CQP","MA_QH","DGD")</f>
        <v>0</v>
      </c>
      <c r="AI20" s="35">
        <f>+GETPIVOTDATA("XKL4",'kimlong (2016)'!$A$3,"MA_HT","CQP","MA_QH","DTT")</f>
        <v>0</v>
      </c>
      <c r="AJ20" s="35">
        <f>+GETPIVOTDATA("XKL4",'kimlong (2016)'!$A$3,"MA_HT","CQP","MA_QH","NCK")</f>
        <v>0</v>
      </c>
      <c r="AK20" s="35">
        <f>+GETPIVOTDATA("XKL4",'kimlong (2016)'!$A$3,"MA_HT","CQP","MA_QH","DXH")</f>
        <v>0</v>
      </c>
      <c r="AL20" s="35">
        <f>+GETPIVOTDATA("XKL4",'kimlong (2016)'!$A$3,"MA_HT","CQP","MA_QH","DCH")</f>
        <v>0</v>
      </c>
      <c r="AM20" s="35">
        <f>+GETPIVOTDATA("XKL4",'kimlong (2016)'!$A$3,"MA_HT","CQP","MA_QH","DKG")</f>
        <v>0</v>
      </c>
      <c r="AN20" s="35">
        <f>+GETPIVOTDATA("XKL4",'kimlong (2016)'!$A$3,"MA_HT","CQP","MA_QH","DDT")</f>
        <v>0</v>
      </c>
      <c r="AO20" s="35">
        <f>+GETPIVOTDATA("XKL4",'kimlong (2016)'!$A$3,"MA_HT","CQP","MA_QH","DDL")</f>
        <v>0</v>
      </c>
      <c r="AP20" s="35">
        <f>+GETPIVOTDATA("XKL4",'kimlong (2016)'!$A$3,"MA_HT","CQP","MA_QH","DRA")</f>
        <v>0</v>
      </c>
      <c r="AQ20" s="35">
        <f>+GETPIVOTDATA("XKL4",'kimlong (2016)'!$A$3,"MA_HT","CQP","MA_QH","ONT")</f>
        <v>0</v>
      </c>
      <c r="AR20" s="35">
        <f>+GETPIVOTDATA("XKL4",'kimlong (2016)'!$A$3,"MA_HT","CQP","MA_QH","ODT")</f>
        <v>0</v>
      </c>
      <c r="AS20" s="35">
        <f>+GETPIVOTDATA("XKL4",'kimlong (2016)'!$A$3,"MA_HT","CQP","MA_QH","TSC")</f>
        <v>0</v>
      </c>
      <c r="AT20" s="35">
        <f>+GETPIVOTDATA("XKL4",'kimlong (2016)'!$A$3,"MA_HT","CQP","MA_QH","DTS")</f>
        <v>0</v>
      </c>
      <c r="AU20" s="35">
        <f>+GETPIVOTDATA("XKL4",'kimlong (2016)'!$A$3,"MA_HT","CQP","MA_QH","DNG")</f>
        <v>0</v>
      </c>
      <c r="AV20" s="35">
        <f>+GETPIVOTDATA("XKL4",'kimlong (2016)'!$A$3,"MA_HT","CQP","MA_QH","TON")</f>
        <v>0</v>
      </c>
      <c r="AW20" s="35">
        <f>+GETPIVOTDATA("XKL4",'kimlong (2016)'!$A$3,"MA_HT","CQP","MA_QH","NTD")</f>
        <v>0</v>
      </c>
      <c r="AX20" s="35">
        <f>+GETPIVOTDATA("XKL4",'kimlong (2016)'!$A$3,"MA_HT","CQP","MA_QH","SKX")</f>
        <v>0</v>
      </c>
      <c r="AY20" s="35">
        <f>+GETPIVOTDATA("XKL4",'kimlong (2016)'!$A$3,"MA_HT","CQP","MA_QH","DSH")</f>
        <v>0</v>
      </c>
      <c r="AZ20" s="35">
        <f>+GETPIVOTDATA("XKL4",'kimlong (2016)'!$A$3,"MA_HT","CQP","MA_QH","DKV")</f>
        <v>0</v>
      </c>
      <c r="BA20" s="140">
        <f>+GETPIVOTDATA("XKL4",'kimlong (2016)'!$A$3,"MA_HT","CQP","MA_QH","TIN")</f>
        <v>0</v>
      </c>
      <c r="BB20" s="74">
        <f>+GETPIVOTDATA("XKL4",'kimlong (2016)'!$A$3,"MA_HT","CQP","MA_QH","SON")</f>
        <v>0</v>
      </c>
      <c r="BC20" s="74">
        <f>+GETPIVOTDATA("XKL4",'kimlong (2016)'!$A$3,"MA_HT","CQP","MA_QH","MNC")</f>
        <v>0</v>
      </c>
      <c r="BD20" s="35">
        <f>+GETPIVOTDATA("XKL4",'kimlong (2016)'!$A$3,"MA_HT","CQP","MA_QH","PNK")</f>
        <v>0</v>
      </c>
      <c r="BE20" s="58">
        <f>+GETPIVOTDATA("XKL4",'kimlong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+GETPIVOTDATA("XKL4",'kimlong (2016)'!$A$3,"MA_HT","CAN","MA_QH","LUC")</f>
        <v>0</v>
      </c>
      <c r="H21" s="35">
        <f>+GETPIVOTDATA("XKL4",'kimlong (2016)'!$A$3,"MA_HT","CAN","MA_QH","LUK")</f>
        <v>0</v>
      </c>
      <c r="I21" s="35">
        <f>+GETPIVOTDATA("XKL4",'kimlong (2016)'!$A$3,"MA_HT","CAN","MA_QH","LUN")</f>
        <v>0</v>
      </c>
      <c r="J21" s="35">
        <f>+GETPIVOTDATA("XKL4",'kimlong (2016)'!$A$3,"MA_HT","CAN","MA_QH","HNK")</f>
        <v>0</v>
      </c>
      <c r="K21" s="35">
        <f>+GETPIVOTDATA("XKL4",'kimlong (2016)'!$A$3,"MA_HT","CAN","MA_QH","CLN")</f>
        <v>0</v>
      </c>
      <c r="L21" s="35">
        <f>+GETPIVOTDATA("XKL4",'kimlong (2016)'!$A$3,"MA_HT","CAN","MA_QH","RSX")</f>
        <v>0</v>
      </c>
      <c r="M21" s="35">
        <f>+GETPIVOTDATA("XKL4",'kimlong (2016)'!$A$3,"MA_HT","CAN","MA_QH","RPH")</f>
        <v>0</v>
      </c>
      <c r="N21" s="35">
        <f>+GETPIVOTDATA("XKL4",'kimlong (2016)'!$A$3,"MA_HT","CAN","MA_QH","RDD")</f>
        <v>0</v>
      </c>
      <c r="O21" s="35">
        <f>+GETPIVOTDATA("XKL4",'kimlong (2016)'!$A$3,"MA_HT","CAN","MA_QH","NTS")</f>
        <v>0</v>
      </c>
      <c r="P21" s="35">
        <f>+GETPIVOTDATA("XKL4",'kimlong (2016)'!$A$3,"MA_HT","CAN","MA_QH","LMU")</f>
        <v>0</v>
      </c>
      <c r="Q21" s="35">
        <f>+GETPIVOTDATA("XKL4",'kimlong (2016)'!$A$3,"MA_HT","CAN","MA_QH","NKH")</f>
        <v>0</v>
      </c>
      <c r="R21" s="63">
        <f>SUM(S21,U21:AA21,AN21:BD21)</f>
        <v>0</v>
      </c>
      <c r="S21" s="35">
        <f>+GETPIVOTDATA("XKL4",'kimlong (2016)'!$A$3,"MA_HT","CAN","MA_QH","CQP")</f>
        <v>0</v>
      </c>
      <c r="T21" s="99" t="e">
        <f>$D21-$BF21</f>
        <v>#REF!</v>
      </c>
      <c r="U21" s="35">
        <f>+GETPIVOTDATA("XKL4",'kimlong (2016)'!$A$3,"MA_HT","CAN","MA_QH","SKK")</f>
        <v>0</v>
      </c>
      <c r="V21" s="35">
        <f>+GETPIVOTDATA("XKL4",'kimlong (2016)'!$A$3,"MA_HT","CAN","MA_QH","SKT")</f>
        <v>0</v>
      </c>
      <c r="W21" s="35">
        <f>+GETPIVOTDATA("XKL4",'kimlong (2016)'!$A$3,"MA_HT","CAN","MA_QH","SKN")</f>
        <v>0</v>
      </c>
      <c r="X21" s="35">
        <f>+GETPIVOTDATA("XKL4",'kimlong (2016)'!$A$3,"MA_HT","CAN","MA_QH","TMD")</f>
        <v>0</v>
      </c>
      <c r="Y21" s="35">
        <f>+GETPIVOTDATA("XKL4",'kimlong (2016)'!$A$3,"MA_HT","CAN","MA_QH","SKC")</f>
        <v>0</v>
      </c>
      <c r="Z21" s="35">
        <f>+GETPIVOTDATA("XKL4",'kimlong (2016)'!$A$3,"MA_HT","CAN","MA_QH","SKS")</f>
        <v>0</v>
      </c>
      <c r="AA21" s="64">
        <f t="shared" si="12"/>
        <v>0</v>
      </c>
      <c r="AB21" s="35">
        <f>+GETPIVOTDATA("XKL4",'kimlong (2016)'!$A$3,"MA_HT","CAN","MA_QH","DGT")</f>
        <v>0</v>
      </c>
      <c r="AC21" s="35">
        <f>+GETPIVOTDATA("XKL4",'kimlong (2016)'!$A$3,"MA_HT","CAN","MA_QH","DTL")</f>
        <v>0</v>
      </c>
      <c r="AD21" s="35">
        <f>+GETPIVOTDATA("XKL4",'kimlong (2016)'!$A$3,"MA_HT","CAN","MA_QH","DNL")</f>
        <v>0</v>
      </c>
      <c r="AE21" s="35">
        <f>+GETPIVOTDATA("XKL4",'kimlong (2016)'!$A$3,"MA_HT","CAN","MA_QH","DBV")</f>
        <v>0</v>
      </c>
      <c r="AF21" s="35">
        <f>+GETPIVOTDATA("XKL4",'kimlong (2016)'!$A$3,"MA_HT","CAN","MA_QH","DVH")</f>
        <v>0</v>
      </c>
      <c r="AG21" s="35">
        <f>+GETPIVOTDATA("XKL4",'kimlong (2016)'!$A$3,"MA_HT","CAN","MA_QH","DYT")</f>
        <v>0</v>
      </c>
      <c r="AH21" s="35">
        <f>+GETPIVOTDATA("XKL4",'kimlong (2016)'!$A$3,"MA_HT","CAN","MA_QH","DGD")</f>
        <v>0</v>
      </c>
      <c r="AI21" s="35">
        <f>+GETPIVOTDATA("XKL4",'kimlong (2016)'!$A$3,"MA_HT","CAN","MA_QH","DTT")</f>
        <v>0</v>
      </c>
      <c r="AJ21" s="35">
        <f>+GETPIVOTDATA("XKL4",'kimlong (2016)'!$A$3,"MA_HT","CAN","MA_QH","NCK")</f>
        <v>0</v>
      </c>
      <c r="AK21" s="35">
        <f>+GETPIVOTDATA("XKL4",'kimlong (2016)'!$A$3,"MA_HT","CAN","MA_QH","DXH")</f>
        <v>0</v>
      </c>
      <c r="AL21" s="35">
        <f>+GETPIVOTDATA("XKL4",'kimlong (2016)'!$A$3,"MA_HT","CAN","MA_QH","DCH")</f>
        <v>0</v>
      </c>
      <c r="AM21" s="35">
        <f>+GETPIVOTDATA("XKL4",'kimlong (2016)'!$A$3,"MA_HT","CAN","MA_QH","DKG")</f>
        <v>0</v>
      </c>
      <c r="AN21" s="35">
        <f>+GETPIVOTDATA("XKL4",'kimlong (2016)'!$A$3,"MA_HT","CAN","MA_QH","DDT")</f>
        <v>0</v>
      </c>
      <c r="AO21" s="35">
        <f>+GETPIVOTDATA("XKL4",'kimlong (2016)'!$A$3,"MA_HT","CAN","MA_QH","DDL")</f>
        <v>0</v>
      </c>
      <c r="AP21" s="35">
        <f>+GETPIVOTDATA("XKL4",'kimlong (2016)'!$A$3,"MA_HT","CAN","MA_QH","DRA")</f>
        <v>0</v>
      </c>
      <c r="AQ21" s="35">
        <f>+GETPIVOTDATA("XKL4",'kimlong (2016)'!$A$3,"MA_HT","CAN","MA_QH","ONT")</f>
        <v>0</v>
      </c>
      <c r="AR21" s="35">
        <f>+GETPIVOTDATA("XKL4",'kimlong (2016)'!$A$3,"MA_HT","CAN","MA_QH","ODT")</f>
        <v>0</v>
      </c>
      <c r="AS21" s="35">
        <f>+GETPIVOTDATA("XKL4",'kimlong (2016)'!$A$3,"MA_HT","CAN","MA_QH","TSC")</f>
        <v>0</v>
      </c>
      <c r="AT21" s="35">
        <f>+GETPIVOTDATA("XKL4",'kimlong (2016)'!$A$3,"MA_HT","CAN","MA_QH","DTS")</f>
        <v>0</v>
      </c>
      <c r="AU21" s="35">
        <f>+GETPIVOTDATA("XKL4",'kimlong (2016)'!$A$3,"MA_HT","CAN","MA_QH","DNG")</f>
        <v>0</v>
      </c>
      <c r="AV21" s="35">
        <f>+GETPIVOTDATA("XKL4",'kimlong (2016)'!$A$3,"MA_HT","CAN","MA_QH","TON")</f>
        <v>0</v>
      </c>
      <c r="AW21" s="35">
        <f>+GETPIVOTDATA("XKL4",'kimlong (2016)'!$A$3,"MA_HT","CAN","MA_QH","NTD")</f>
        <v>0</v>
      </c>
      <c r="AX21" s="35">
        <f>+GETPIVOTDATA("XKL4",'kimlong (2016)'!$A$3,"MA_HT","CAN","MA_QH","SKX")</f>
        <v>0</v>
      </c>
      <c r="AY21" s="35">
        <f>+GETPIVOTDATA("XKL4",'kimlong (2016)'!$A$3,"MA_HT","CAN","MA_QH","DSH")</f>
        <v>0</v>
      </c>
      <c r="AZ21" s="35">
        <f>+GETPIVOTDATA("XKL4",'kimlong (2016)'!$A$3,"MA_HT","CAN","MA_QH","DKV")</f>
        <v>0</v>
      </c>
      <c r="BA21" s="140">
        <f>+GETPIVOTDATA("XKL4",'kimlong (2016)'!$A$3,"MA_HT","CAN","MA_QH","TIN")</f>
        <v>0</v>
      </c>
      <c r="BB21" s="74">
        <f>+GETPIVOTDATA("XKL4",'kimlong (2016)'!$A$3,"MA_HT","CAN","MA_QH","SON")</f>
        <v>0</v>
      </c>
      <c r="BC21" s="74">
        <f>+GETPIVOTDATA("XKL4",'kimlong (2016)'!$A$3,"MA_HT","CAN","MA_QH","MNC")</f>
        <v>0</v>
      </c>
      <c r="BD21" s="35">
        <f>+GETPIVOTDATA("XKL4",'kimlong (2016)'!$A$3,"MA_HT","CAN","MA_QH","PNK")</f>
        <v>0</v>
      </c>
      <c r="BE21" s="58">
        <f>+GETPIVOTDATA("XKL4",'kimlong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+GETPIVOTDATA("XKL4",'kimlong (2016)'!$A$3,"MA_HT","SKK","MA_QH","LUC")</f>
        <v>0</v>
      </c>
      <c r="H22" s="35">
        <f>+GETPIVOTDATA("XKL4",'kimlong (2016)'!$A$3,"MA_HT","SKK","MA_QH","LUK")</f>
        <v>0</v>
      </c>
      <c r="I22" s="35">
        <f>+GETPIVOTDATA("XKL4",'kimlong (2016)'!$A$3,"MA_HT","SKK","MA_QH","LUN")</f>
        <v>0</v>
      </c>
      <c r="J22" s="35">
        <f>+GETPIVOTDATA("XKL4",'kimlong (2016)'!$A$3,"MA_HT","SKK","MA_QH","HNK")</f>
        <v>0</v>
      </c>
      <c r="K22" s="35">
        <f>+GETPIVOTDATA("XKL4",'kimlong (2016)'!$A$3,"MA_HT","SKK","MA_QH","CLN")</f>
        <v>0</v>
      </c>
      <c r="L22" s="35">
        <f>+GETPIVOTDATA("XKL4",'kimlong (2016)'!$A$3,"MA_HT","SKK","MA_QH","RSX")</f>
        <v>0</v>
      </c>
      <c r="M22" s="35">
        <f>+GETPIVOTDATA("XKL4",'kimlong (2016)'!$A$3,"MA_HT","SKK","MA_QH","RPH")</f>
        <v>0</v>
      </c>
      <c r="N22" s="35">
        <f>+GETPIVOTDATA("XKL4",'kimlong (2016)'!$A$3,"MA_HT","SKK","MA_QH","RDD")</f>
        <v>0</v>
      </c>
      <c r="O22" s="35">
        <f>+GETPIVOTDATA("XKL4",'kimlong (2016)'!$A$3,"MA_HT","SKK","MA_QH","NTS")</f>
        <v>0</v>
      </c>
      <c r="P22" s="35">
        <f>+GETPIVOTDATA("XKL4",'kimlong (2016)'!$A$3,"MA_HT","SKK","MA_QH","LMU")</f>
        <v>0</v>
      </c>
      <c r="Q22" s="35">
        <f>+GETPIVOTDATA("XKL4",'kimlong (2016)'!$A$3,"MA_HT","SKK","MA_QH","NKH")</f>
        <v>0</v>
      </c>
      <c r="R22" s="63">
        <f>SUM(S22:T22,V22:AA22,AN22:BD22)</f>
        <v>0</v>
      </c>
      <c r="S22" s="35">
        <f>+GETPIVOTDATA("XKL4",'kimlong (2016)'!$A$3,"MA_HT","SKK","MA_QH","CQP")</f>
        <v>0</v>
      </c>
      <c r="T22" s="35">
        <f>+GETPIVOTDATA("XKL4",'kimlong (2016)'!$A$3,"MA_HT","SKK","MA_QH","CAN")</f>
        <v>0</v>
      </c>
      <c r="U22" s="99" t="e">
        <f>$D22-$BF22</f>
        <v>#REF!</v>
      </c>
      <c r="V22" s="35">
        <f>+GETPIVOTDATA("XKL4",'kimlong (2016)'!$A$3,"MA_HT","SKK","MA_QH","SKT")</f>
        <v>0</v>
      </c>
      <c r="W22" s="35">
        <f>+GETPIVOTDATA("XKL4",'kimlong (2016)'!$A$3,"MA_HT","SKK","MA_QH","SKN")</f>
        <v>0</v>
      </c>
      <c r="X22" s="35">
        <f>+GETPIVOTDATA("XKL4",'kimlong (2016)'!$A$3,"MA_HT","SKK","MA_QH","TMD")</f>
        <v>0</v>
      </c>
      <c r="Y22" s="35">
        <f>+GETPIVOTDATA("XKL4",'kimlong (2016)'!$A$3,"MA_HT","SKK","MA_QH","SKC")</f>
        <v>0</v>
      </c>
      <c r="Z22" s="35">
        <f>+GETPIVOTDATA("XKL4",'kimlong (2016)'!$A$3,"MA_HT","SKK","MA_QH","SKS")</f>
        <v>0</v>
      </c>
      <c r="AA22" s="64">
        <f t="shared" si="12"/>
        <v>0</v>
      </c>
      <c r="AB22" s="35">
        <f>+GETPIVOTDATA("XKL4",'kimlong (2016)'!$A$3,"MA_HT","SKK","MA_QH","DGT")</f>
        <v>0</v>
      </c>
      <c r="AC22" s="35">
        <f>+GETPIVOTDATA("XKL4",'kimlong (2016)'!$A$3,"MA_HT","SKK","MA_QH","DTL")</f>
        <v>0</v>
      </c>
      <c r="AD22" s="35">
        <f>+GETPIVOTDATA("XKL4",'kimlong (2016)'!$A$3,"MA_HT","SKK","MA_QH","DNL")</f>
        <v>0</v>
      </c>
      <c r="AE22" s="35">
        <f>+GETPIVOTDATA("XKL4",'kimlong (2016)'!$A$3,"MA_HT","SKK","MA_QH","DBV")</f>
        <v>0</v>
      </c>
      <c r="AF22" s="35">
        <f>+GETPIVOTDATA("XKL4",'kimlong (2016)'!$A$3,"MA_HT","SKK","MA_QH","DVH")</f>
        <v>0</v>
      </c>
      <c r="AG22" s="35">
        <f>+GETPIVOTDATA("XKL4",'kimlong (2016)'!$A$3,"MA_HT","SKK","MA_QH","DYT")</f>
        <v>0</v>
      </c>
      <c r="AH22" s="35">
        <f>+GETPIVOTDATA("XKL4",'kimlong (2016)'!$A$3,"MA_HT","SKK","MA_QH","DGD")</f>
        <v>0</v>
      </c>
      <c r="AI22" s="35">
        <f>+GETPIVOTDATA("XKL4",'kimlong (2016)'!$A$3,"MA_HT","SKK","MA_QH","DTT")</f>
        <v>0</v>
      </c>
      <c r="AJ22" s="35">
        <f>+GETPIVOTDATA("XKL4",'kimlong (2016)'!$A$3,"MA_HT","SKK","MA_QH","NCK")</f>
        <v>0</v>
      </c>
      <c r="AK22" s="35">
        <f>+GETPIVOTDATA("XKL4",'kimlong (2016)'!$A$3,"MA_HT","SKK","MA_QH","DXH")</f>
        <v>0</v>
      </c>
      <c r="AL22" s="35">
        <f>+GETPIVOTDATA("XKL4",'kimlong (2016)'!$A$3,"MA_HT","SKK","MA_QH","DCH")</f>
        <v>0</v>
      </c>
      <c r="AM22" s="35">
        <f>+GETPIVOTDATA("XKL4",'kimlong (2016)'!$A$3,"MA_HT","SKK","MA_QH","DKG")</f>
        <v>0</v>
      </c>
      <c r="AN22" s="35">
        <f>+GETPIVOTDATA("XKL4",'kimlong (2016)'!$A$3,"MA_HT","SKK","MA_QH","DDT")</f>
        <v>0</v>
      </c>
      <c r="AO22" s="35">
        <f>+GETPIVOTDATA("XKL4",'kimlong (2016)'!$A$3,"MA_HT","SKK","MA_QH","DDL")</f>
        <v>0</v>
      </c>
      <c r="AP22" s="35">
        <f>+GETPIVOTDATA("XKL4",'kimlong (2016)'!$A$3,"MA_HT","SKK","MA_QH","DRA")</f>
        <v>0</v>
      </c>
      <c r="AQ22" s="35">
        <f>+GETPIVOTDATA("XKL4",'kimlong (2016)'!$A$3,"MA_HT","SKK","MA_QH","ONT")</f>
        <v>0</v>
      </c>
      <c r="AR22" s="35">
        <f>+GETPIVOTDATA("XKL4",'kimlong (2016)'!$A$3,"MA_HT","SKK","MA_QH","ODT")</f>
        <v>0</v>
      </c>
      <c r="AS22" s="35">
        <f>+GETPIVOTDATA("XKL4",'kimlong (2016)'!$A$3,"MA_HT","SKK","MA_QH","TSC")</f>
        <v>0</v>
      </c>
      <c r="AT22" s="35">
        <f>+GETPIVOTDATA("XKL4",'kimlong (2016)'!$A$3,"MA_HT","SKK","MA_QH","DTS")</f>
        <v>0</v>
      </c>
      <c r="AU22" s="35">
        <f>+GETPIVOTDATA("XKL4",'kimlong (2016)'!$A$3,"MA_HT","SKK","MA_QH","DNG")</f>
        <v>0</v>
      </c>
      <c r="AV22" s="35">
        <f>+GETPIVOTDATA("XKL4",'kimlong (2016)'!$A$3,"MA_HT","SKK","MA_QH","TON")</f>
        <v>0</v>
      </c>
      <c r="AW22" s="35">
        <f>+GETPIVOTDATA("XKL4",'kimlong (2016)'!$A$3,"MA_HT","SKK","MA_QH","NTD")</f>
        <v>0</v>
      </c>
      <c r="AX22" s="35">
        <f>+GETPIVOTDATA("XKL4",'kimlong (2016)'!$A$3,"MA_HT","SKK","MA_QH","SKX")</f>
        <v>0</v>
      </c>
      <c r="AY22" s="35">
        <f>+GETPIVOTDATA("XKL4",'kimlong (2016)'!$A$3,"MA_HT","SKK","MA_QH","DSH")</f>
        <v>0</v>
      </c>
      <c r="AZ22" s="35">
        <f>+GETPIVOTDATA("XKL4",'kimlong (2016)'!$A$3,"MA_HT","SKK","MA_QH","DKV")</f>
        <v>0</v>
      </c>
      <c r="BA22" s="140">
        <f>+GETPIVOTDATA("XKL4",'kimlong (2016)'!$A$3,"MA_HT","SKK","MA_QH","TIN")</f>
        <v>0</v>
      </c>
      <c r="BB22" s="74">
        <f>+GETPIVOTDATA("XKL4",'kimlong (2016)'!$A$3,"MA_HT","SKK","MA_QH","SON")</f>
        <v>0</v>
      </c>
      <c r="BC22" s="74">
        <f>+GETPIVOTDATA("XKL4",'kimlong (2016)'!$A$3,"MA_HT","SKK","MA_QH","MNC")</f>
        <v>0</v>
      </c>
      <c r="BD22" s="35">
        <f>+GETPIVOTDATA("XKL4",'kimlong (2016)'!$A$3,"MA_HT","SKK","MA_QH","PNK")</f>
        <v>0</v>
      </c>
      <c r="BE22" s="58">
        <f>+GETPIVOTDATA("XKL4",'kimlong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+GETPIVOTDATA("XKL4",'kimlong (2016)'!$A$3,"MA_HT","SKT","MA_QH","LUC")</f>
        <v>0</v>
      </c>
      <c r="H23" s="35">
        <f>+GETPIVOTDATA("XKL4",'kimlong (2016)'!$A$3,"MA_HT","SKT","MA_QH","LUK")</f>
        <v>0</v>
      </c>
      <c r="I23" s="35">
        <f>+GETPIVOTDATA("XKL4",'kimlong (2016)'!$A$3,"MA_HT","SKT","MA_QH","LUN")</f>
        <v>0</v>
      </c>
      <c r="J23" s="35">
        <f>+GETPIVOTDATA("XKL4",'kimlong (2016)'!$A$3,"MA_HT","SKT","MA_QH","HNK")</f>
        <v>0</v>
      </c>
      <c r="K23" s="35">
        <f>+GETPIVOTDATA("XKL4",'kimlong (2016)'!$A$3,"MA_HT","SKT","MA_QH","CLN")</f>
        <v>0</v>
      </c>
      <c r="L23" s="35">
        <f>+GETPIVOTDATA("XKL4",'kimlong (2016)'!$A$3,"MA_HT","SKT","MA_QH","RSX")</f>
        <v>0</v>
      </c>
      <c r="M23" s="35">
        <f>+GETPIVOTDATA("XKL4",'kimlong (2016)'!$A$3,"MA_HT","SKT","MA_QH","RPH")</f>
        <v>0</v>
      </c>
      <c r="N23" s="35">
        <f>+GETPIVOTDATA("XKL4",'kimlong (2016)'!$A$3,"MA_HT","SKT","MA_QH","RDD")</f>
        <v>0</v>
      </c>
      <c r="O23" s="35">
        <f>+GETPIVOTDATA("XKL4",'kimlong (2016)'!$A$3,"MA_HT","SKT","MA_QH","NTS")</f>
        <v>0</v>
      </c>
      <c r="P23" s="35">
        <f>+GETPIVOTDATA("XKL4",'kimlong (2016)'!$A$3,"MA_HT","SKT","MA_QH","LMU")</f>
        <v>0</v>
      </c>
      <c r="Q23" s="35">
        <f>+GETPIVOTDATA("XKL4",'kimlong (2016)'!$A$3,"MA_HT","SKT","MA_QH","NKH")</f>
        <v>0</v>
      </c>
      <c r="R23" s="63">
        <f>SUM(S23:U23,W23:AA23,AN23:BD23)</f>
        <v>0</v>
      </c>
      <c r="S23" s="35">
        <f>+GETPIVOTDATA("XKL4",'kimlong (2016)'!$A$3,"MA_HT","SKT","MA_QH","CQP")</f>
        <v>0</v>
      </c>
      <c r="T23" s="35">
        <f>+GETPIVOTDATA("XKL4",'kimlong (2016)'!$A$3,"MA_HT","SKT","MA_QH","CAN")</f>
        <v>0</v>
      </c>
      <c r="U23" s="35">
        <f>+GETPIVOTDATA("XKL4",'kimlong (2016)'!$A$3,"MA_HT","SKT","MA_QH","SKK")</f>
        <v>0</v>
      </c>
      <c r="V23" s="99" t="e">
        <f>$D23-$BF23</f>
        <v>#REF!</v>
      </c>
      <c r="W23" s="35">
        <f>+GETPIVOTDATA("XKL4",'kimlong (2016)'!$A$3,"MA_HT","SKT","MA_QH","SKN")</f>
        <v>0</v>
      </c>
      <c r="X23" s="35">
        <f>+GETPIVOTDATA("XKL4",'kimlong (2016)'!$A$3,"MA_HT","SKT","MA_QH","TMD")</f>
        <v>0</v>
      </c>
      <c r="Y23" s="35">
        <f>+GETPIVOTDATA("XKL4",'kimlong (2016)'!$A$3,"MA_HT","SKT","MA_QH","SKC")</f>
        <v>0</v>
      </c>
      <c r="Z23" s="35">
        <f>+GETPIVOTDATA("XKL4",'kimlong (2016)'!$A$3,"MA_HT","SKT","MA_QH","SKS")</f>
        <v>0</v>
      </c>
      <c r="AA23" s="64">
        <f t="shared" si="12"/>
        <v>0</v>
      </c>
      <c r="AB23" s="35">
        <f>+GETPIVOTDATA("XKL4",'kimlong (2016)'!$A$3,"MA_HT","SKT","MA_QH","DGT")</f>
        <v>0</v>
      </c>
      <c r="AC23" s="35">
        <f>+GETPIVOTDATA("XKL4",'kimlong (2016)'!$A$3,"MA_HT","SKT","MA_QH","DTL")</f>
        <v>0</v>
      </c>
      <c r="AD23" s="35">
        <f>+GETPIVOTDATA("XKL4",'kimlong (2016)'!$A$3,"MA_HT","SKT","MA_QH","DNL")</f>
        <v>0</v>
      </c>
      <c r="AE23" s="35">
        <f>+GETPIVOTDATA("XKL4",'kimlong (2016)'!$A$3,"MA_HT","SKT","MA_QH","DBV")</f>
        <v>0</v>
      </c>
      <c r="AF23" s="35">
        <f>+GETPIVOTDATA("XKL4",'kimlong (2016)'!$A$3,"MA_HT","SKT","MA_QH","DVH")</f>
        <v>0</v>
      </c>
      <c r="AG23" s="35">
        <f>+GETPIVOTDATA("XKL4",'kimlong (2016)'!$A$3,"MA_HT","SKT","MA_QH","DYT")</f>
        <v>0</v>
      </c>
      <c r="AH23" s="35">
        <f>+GETPIVOTDATA("XKL4",'kimlong (2016)'!$A$3,"MA_HT","SKT","MA_QH","DGD")</f>
        <v>0</v>
      </c>
      <c r="AI23" s="35">
        <f>+GETPIVOTDATA("XKL4",'kimlong (2016)'!$A$3,"MA_HT","SKT","MA_QH","DTT")</f>
        <v>0</v>
      </c>
      <c r="AJ23" s="35">
        <f>+GETPIVOTDATA("XKL4",'kimlong (2016)'!$A$3,"MA_HT","SKT","MA_QH","NCK")</f>
        <v>0</v>
      </c>
      <c r="AK23" s="35">
        <f>+GETPIVOTDATA("XKL4",'kimlong (2016)'!$A$3,"MA_HT","SKT","MA_QH","DXH")</f>
        <v>0</v>
      </c>
      <c r="AL23" s="35">
        <f>+GETPIVOTDATA("XKL4",'kimlong (2016)'!$A$3,"MA_HT","SKT","MA_QH","DCH")</f>
        <v>0</v>
      </c>
      <c r="AM23" s="35">
        <f>+GETPIVOTDATA("XKL4",'kimlong (2016)'!$A$3,"MA_HT","SKT","MA_QH","DKG")</f>
        <v>0</v>
      </c>
      <c r="AN23" s="35">
        <f>+GETPIVOTDATA("XKL4",'kimlong (2016)'!$A$3,"MA_HT","SKT","MA_QH","DDT")</f>
        <v>0</v>
      </c>
      <c r="AO23" s="35">
        <f>+GETPIVOTDATA("XKL4",'kimlong (2016)'!$A$3,"MA_HT","SKT","MA_QH","DDL")</f>
        <v>0</v>
      </c>
      <c r="AP23" s="35">
        <f>+GETPIVOTDATA("XKL4",'kimlong (2016)'!$A$3,"MA_HT","SKT","MA_QH","DRA")</f>
        <v>0</v>
      </c>
      <c r="AQ23" s="35">
        <f>+GETPIVOTDATA("XKL4",'kimlong (2016)'!$A$3,"MA_HT","SKT","MA_QH","ONT")</f>
        <v>0</v>
      </c>
      <c r="AR23" s="35">
        <f>+GETPIVOTDATA("XKL4",'kimlong (2016)'!$A$3,"MA_HT","SKT","MA_QH","ODT")</f>
        <v>0</v>
      </c>
      <c r="AS23" s="35">
        <f>+GETPIVOTDATA("XKL4",'kimlong (2016)'!$A$3,"MA_HT","SKT","MA_QH","TSC")</f>
        <v>0</v>
      </c>
      <c r="AT23" s="35">
        <f>+GETPIVOTDATA("XKL4",'kimlong (2016)'!$A$3,"MA_HT","SKT","MA_QH","DTS")</f>
        <v>0</v>
      </c>
      <c r="AU23" s="35">
        <f>+GETPIVOTDATA("XKL4",'kimlong (2016)'!$A$3,"MA_HT","SKT","MA_QH","DNG")</f>
        <v>0</v>
      </c>
      <c r="AV23" s="35">
        <f>+GETPIVOTDATA("XKL4",'kimlong (2016)'!$A$3,"MA_HT","SKT","MA_QH","TON")</f>
        <v>0</v>
      </c>
      <c r="AW23" s="35">
        <f>+GETPIVOTDATA("XKL4",'kimlong (2016)'!$A$3,"MA_HT","SKT","MA_QH","NTD")</f>
        <v>0</v>
      </c>
      <c r="AX23" s="35">
        <f>+GETPIVOTDATA("XKL4",'kimlong (2016)'!$A$3,"MA_HT","SKT","MA_QH","SKX")</f>
        <v>0</v>
      </c>
      <c r="AY23" s="35">
        <f>+GETPIVOTDATA("XKL4",'kimlong (2016)'!$A$3,"MA_HT","SKT","MA_QH","DSH")</f>
        <v>0</v>
      </c>
      <c r="AZ23" s="35">
        <f>+GETPIVOTDATA("XKL4",'kimlong (2016)'!$A$3,"MA_HT","SKT","MA_QH","DKV")</f>
        <v>0</v>
      </c>
      <c r="BA23" s="140">
        <f>+GETPIVOTDATA("XKL4",'kimlong (2016)'!$A$3,"MA_HT","SKT","MA_QH","TIN")</f>
        <v>0</v>
      </c>
      <c r="BB23" s="74">
        <f>+GETPIVOTDATA("XKL4",'kimlong (2016)'!$A$3,"MA_HT","SKT","MA_QH","SON")</f>
        <v>0</v>
      </c>
      <c r="BC23" s="74">
        <f>+GETPIVOTDATA("XKL4",'kimlong (2016)'!$A$3,"MA_HT","SKT","MA_QH","MNC")</f>
        <v>0</v>
      </c>
      <c r="BD23" s="35">
        <f>+GETPIVOTDATA("XKL4",'kimlong (2016)'!$A$3,"MA_HT","SKT","MA_QH","PNK")</f>
        <v>0</v>
      </c>
      <c r="BE23" s="58">
        <f>+GETPIVOTDATA("XKL4",'kimlong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+GETPIVOTDATA("XKL4",'kimlong (2016)'!$A$3,"MA_HT","SKN","MA_QH","LUC")</f>
        <v>0</v>
      </c>
      <c r="H24" s="35">
        <f>+GETPIVOTDATA("XKL4",'kimlong (2016)'!$A$3,"MA_HT","SKN","MA_QH","LUK")</f>
        <v>0</v>
      </c>
      <c r="I24" s="35">
        <f>+GETPIVOTDATA("XKL4",'kimlong (2016)'!$A$3,"MA_HT","SKN","MA_QH","LUN")</f>
        <v>0</v>
      </c>
      <c r="J24" s="35">
        <f>+GETPIVOTDATA("XKL4",'kimlong (2016)'!$A$3,"MA_HT","SKN","MA_QH","HNK")</f>
        <v>0</v>
      </c>
      <c r="K24" s="35">
        <f>+GETPIVOTDATA("XKL4",'kimlong (2016)'!$A$3,"MA_HT","SKN","MA_QH","CLN")</f>
        <v>0</v>
      </c>
      <c r="L24" s="35">
        <f>+GETPIVOTDATA("XKL4",'kimlong (2016)'!$A$3,"MA_HT","SKN","MA_QH","RSX")</f>
        <v>0</v>
      </c>
      <c r="M24" s="35">
        <f>+GETPIVOTDATA("XKL4",'kimlong (2016)'!$A$3,"MA_HT","SKN","MA_QH","RPH")</f>
        <v>0</v>
      </c>
      <c r="N24" s="35">
        <f>+GETPIVOTDATA("XKL4",'kimlong (2016)'!$A$3,"MA_HT","SKN","MA_QH","RDD")</f>
        <v>0</v>
      </c>
      <c r="O24" s="35">
        <f>+GETPIVOTDATA("XKL4",'kimlong (2016)'!$A$3,"MA_HT","SKN","MA_QH","NTS")</f>
        <v>0</v>
      </c>
      <c r="P24" s="35">
        <f>+GETPIVOTDATA("XKL4",'kimlong (2016)'!$A$3,"MA_HT","SKN","MA_QH","LMU")</f>
        <v>0</v>
      </c>
      <c r="Q24" s="35">
        <f>+GETPIVOTDATA("XKL4",'kimlong (2016)'!$A$3,"MA_HT","SKN","MA_QH","NKH")</f>
        <v>0</v>
      </c>
      <c r="R24" s="63">
        <f>SUM(S24:V24,X24:AA24,AN24:BD24)</f>
        <v>0</v>
      </c>
      <c r="S24" s="35">
        <f>+GETPIVOTDATA("XKL4",'kimlong (2016)'!$A$3,"MA_HT","SKN","MA_QH","CQP")</f>
        <v>0</v>
      </c>
      <c r="T24" s="35">
        <f>+GETPIVOTDATA("XKL4",'kimlong (2016)'!$A$3,"MA_HT","SKN","MA_QH","CAN")</f>
        <v>0</v>
      </c>
      <c r="U24" s="35">
        <f>+GETPIVOTDATA("XKL4",'kimlong (2016)'!$A$3,"MA_HT","SKN","MA_QH","SKK")</f>
        <v>0</v>
      </c>
      <c r="V24" s="35">
        <f>+GETPIVOTDATA("XKL4",'kimlong (2016)'!$A$3,"MA_HT","SKN","MA_QH","SKT")</f>
        <v>0</v>
      </c>
      <c r="W24" s="99" t="e">
        <f>$D24-$BF24</f>
        <v>#REF!</v>
      </c>
      <c r="X24" s="35">
        <f>+GETPIVOTDATA("XKL4",'kimlong (2016)'!$A$3,"MA_HT","SKN","MA_QH","TMD")</f>
        <v>0</v>
      </c>
      <c r="Y24" s="35">
        <f>+GETPIVOTDATA("XKL4",'kimlong (2016)'!$A$3,"MA_HT","SKN","MA_QH","SKC")</f>
        <v>0</v>
      </c>
      <c r="Z24" s="35">
        <f>+GETPIVOTDATA("XKL4",'kimlong (2016)'!$A$3,"MA_HT","SKN","MA_QH","SKS")</f>
        <v>0</v>
      </c>
      <c r="AA24" s="64">
        <f t="shared" si="12"/>
        <v>0</v>
      </c>
      <c r="AB24" s="35">
        <f>+GETPIVOTDATA("XKL4",'kimlong (2016)'!$A$3,"MA_HT","SKN","MA_QH","DGT")</f>
        <v>0</v>
      </c>
      <c r="AC24" s="35">
        <f>+GETPIVOTDATA("XKL4",'kimlong (2016)'!$A$3,"MA_HT","SKN","MA_QH","DTL")</f>
        <v>0</v>
      </c>
      <c r="AD24" s="35">
        <f>+GETPIVOTDATA("XKL4",'kimlong (2016)'!$A$3,"MA_HT","SKN","MA_QH","DNL")</f>
        <v>0</v>
      </c>
      <c r="AE24" s="35">
        <f>+GETPIVOTDATA("XKL4",'kimlong (2016)'!$A$3,"MA_HT","SKN","MA_QH","DBV")</f>
        <v>0</v>
      </c>
      <c r="AF24" s="35">
        <f>+GETPIVOTDATA("XKL4",'kimlong (2016)'!$A$3,"MA_HT","SKN","MA_QH","DVH")</f>
        <v>0</v>
      </c>
      <c r="AG24" s="35">
        <f>+GETPIVOTDATA("XKL4",'kimlong (2016)'!$A$3,"MA_HT","SKN","MA_QH","DYT")</f>
        <v>0</v>
      </c>
      <c r="AH24" s="35">
        <f>+GETPIVOTDATA("XKL4",'kimlong (2016)'!$A$3,"MA_HT","SKN","MA_QH","DGD")</f>
        <v>0</v>
      </c>
      <c r="AI24" s="35">
        <f>+GETPIVOTDATA("XKL4",'kimlong (2016)'!$A$3,"MA_HT","SKN","MA_QH","DTT")</f>
        <v>0</v>
      </c>
      <c r="AJ24" s="35">
        <f>+GETPIVOTDATA("XKL4",'kimlong (2016)'!$A$3,"MA_HT","SKN","MA_QH","NCK")</f>
        <v>0</v>
      </c>
      <c r="AK24" s="35">
        <f>+GETPIVOTDATA("XKL4",'kimlong (2016)'!$A$3,"MA_HT","SKN","MA_QH","DXH")</f>
        <v>0</v>
      </c>
      <c r="AL24" s="35">
        <f>+GETPIVOTDATA("XKL4",'kimlong (2016)'!$A$3,"MA_HT","SKN","MA_QH","DCH")</f>
        <v>0</v>
      </c>
      <c r="AM24" s="35">
        <f>+GETPIVOTDATA("XKL4",'kimlong (2016)'!$A$3,"MA_HT","SKN","MA_QH","DKG")</f>
        <v>0</v>
      </c>
      <c r="AN24" s="35">
        <f>+GETPIVOTDATA("XKL4",'kimlong (2016)'!$A$3,"MA_HT","SKN","MA_QH","DDT")</f>
        <v>0</v>
      </c>
      <c r="AO24" s="35">
        <f>+GETPIVOTDATA("XKL4",'kimlong (2016)'!$A$3,"MA_HT","SKN","MA_QH","DDL")</f>
        <v>0</v>
      </c>
      <c r="AP24" s="35">
        <f>+GETPIVOTDATA("XKL4",'kimlong (2016)'!$A$3,"MA_HT","SKN","MA_QH","DRA")</f>
        <v>0</v>
      </c>
      <c r="AQ24" s="35">
        <f>+GETPIVOTDATA("XKL4",'kimlong (2016)'!$A$3,"MA_HT","SKN","MA_QH","ONT")</f>
        <v>0</v>
      </c>
      <c r="AR24" s="35">
        <f>+GETPIVOTDATA("XKL4",'kimlong (2016)'!$A$3,"MA_HT","SKN","MA_QH","ODT")</f>
        <v>0</v>
      </c>
      <c r="AS24" s="35">
        <f>+GETPIVOTDATA("XKL4",'kimlong (2016)'!$A$3,"MA_HT","SKN","MA_QH","TSC")</f>
        <v>0</v>
      </c>
      <c r="AT24" s="35">
        <f>+GETPIVOTDATA("XKL4",'kimlong (2016)'!$A$3,"MA_HT","SKN","MA_QH","DTS")</f>
        <v>0</v>
      </c>
      <c r="AU24" s="35">
        <f>+GETPIVOTDATA("XKL4",'kimlong (2016)'!$A$3,"MA_HT","SKN","MA_QH","DNG")</f>
        <v>0</v>
      </c>
      <c r="AV24" s="35">
        <f>+GETPIVOTDATA("XKL4",'kimlong (2016)'!$A$3,"MA_HT","SKN","MA_QH","TON")</f>
        <v>0</v>
      </c>
      <c r="AW24" s="35">
        <f>+GETPIVOTDATA("XKL4",'kimlong (2016)'!$A$3,"MA_HT","SKN","MA_QH","NTD")</f>
        <v>0</v>
      </c>
      <c r="AX24" s="35">
        <f>+GETPIVOTDATA("XKL4",'kimlong (2016)'!$A$3,"MA_HT","SKN","MA_QH","SKX")</f>
        <v>0</v>
      </c>
      <c r="AY24" s="35">
        <f>+GETPIVOTDATA("XKL4",'kimlong (2016)'!$A$3,"MA_HT","SKN","MA_QH","DSH")</f>
        <v>0</v>
      </c>
      <c r="AZ24" s="35">
        <f>+GETPIVOTDATA("XKL4",'kimlong (2016)'!$A$3,"MA_HT","SKN","MA_QH","DKV")</f>
        <v>0</v>
      </c>
      <c r="BA24" s="140">
        <f>+GETPIVOTDATA("XKL4",'kimlong (2016)'!$A$3,"MA_HT","SKN","MA_QH","TIN")</f>
        <v>0</v>
      </c>
      <c r="BB24" s="74">
        <f>+GETPIVOTDATA("XKL4",'kimlong (2016)'!$A$3,"MA_HT","SKN","MA_QH","SON")</f>
        <v>0</v>
      </c>
      <c r="BC24" s="74">
        <f>+GETPIVOTDATA("XKL4",'kimlong (2016)'!$A$3,"MA_HT","SKN","MA_QH","MNC")</f>
        <v>0</v>
      </c>
      <c r="BD24" s="35">
        <f>+GETPIVOTDATA("XKL4",'kimlong (2016)'!$A$3,"MA_HT","SKN","MA_QH","PNK")</f>
        <v>0</v>
      </c>
      <c r="BE24" s="58">
        <f>+GETPIVOTDATA("XKL4",'kimlong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+GETPIVOTDATA("XKL4",'kimlong (2016)'!$A$3,"MA_HT","TMD","MA_QH","LUC")</f>
        <v>0</v>
      </c>
      <c r="H25" s="35">
        <f>+GETPIVOTDATA("XKL4",'kimlong (2016)'!$A$3,"MA_HT","TMD","MA_QH","LUK")</f>
        <v>0</v>
      </c>
      <c r="I25" s="35">
        <f>+GETPIVOTDATA("XKL4",'kimlong (2016)'!$A$3,"MA_HT","TMD","MA_QH","LUN")</f>
        <v>0</v>
      </c>
      <c r="J25" s="35">
        <f>+GETPIVOTDATA("XKL4",'kimlong (2016)'!$A$3,"MA_HT","TMD","MA_QH","HNK")</f>
        <v>0</v>
      </c>
      <c r="K25" s="35">
        <f>+GETPIVOTDATA("XKL4",'kimlong (2016)'!$A$3,"MA_HT","TMD","MA_QH","CLN")</f>
        <v>0</v>
      </c>
      <c r="L25" s="35">
        <f>+GETPIVOTDATA("XKL4",'kimlong (2016)'!$A$3,"MA_HT","TMD","MA_QH","RSX")</f>
        <v>0</v>
      </c>
      <c r="M25" s="35">
        <f>+GETPIVOTDATA("XKL4",'kimlong (2016)'!$A$3,"MA_HT","TMD","MA_QH","RPH")</f>
        <v>0</v>
      </c>
      <c r="N25" s="35">
        <f>+GETPIVOTDATA("XKL4",'kimlong (2016)'!$A$3,"MA_HT","TMD","MA_QH","RDD")</f>
        <v>0</v>
      </c>
      <c r="O25" s="35">
        <f>+GETPIVOTDATA("XKL4",'kimlong (2016)'!$A$3,"MA_HT","TMD","MA_QH","NTS")</f>
        <v>0</v>
      </c>
      <c r="P25" s="35">
        <f>+GETPIVOTDATA("XKL4",'kimlong (2016)'!$A$3,"MA_HT","TMD","MA_QH","LMU")</f>
        <v>0</v>
      </c>
      <c r="Q25" s="35">
        <f>+GETPIVOTDATA("XKL4",'kimlong (2016)'!$A$3,"MA_HT","TMD","MA_QH","NKH")</f>
        <v>0</v>
      </c>
      <c r="R25" s="63">
        <f>SUM(S25:W25,Y25:AA25,AN25:BD25)</f>
        <v>0</v>
      </c>
      <c r="S25" s="35">
        <f>+GETPIVOTDATA("XKL4",'kimlong (2016)'!$A$3,"MA_HT","TMD","MA_QH","CQP")</f>
        <v>0</v>
      </c>
      <c r="T25" s="35">
        <f>+GETPIVOTDATA("XKL4",'kimlong (2016)'!$A$3,"MA_HT","TMD","MA_QH","CAN")</f>
        <v>0</v>
      </c>
      <c r="U25" s="35">
        <f>+GETPIVOTDATA("XKL4",'kimlong (2016)'!$A$3,"MA_HT","TMD","MA_QH","SKK")</f>
        <v>0</v>
      </c>
      <c r="V25" s="35">
        <f>+GETPIVOTDATA("XKL4",'kimlong (2016)'!$A$3,"MA_HT","TMD","MA_QH","SKT")</f>
        <v>0</v>
      </c>
      <c r="W25" s="35">
        <f>+GETPIVOTDATA("XKL4",'kimlong (2016)'!$A$3,"MA_HT","TMD","MA_QH","SKN")</f>
        <v>0</v>
      </c>
      <c r="X25" s="99" t="e">
        <f>$D25-$BF25</f>
        <v>#REF!</v>
      </c>
      <c r="Y25" s="35">
        <f>+GETPIVOTDATA("XKL4",'kimlong (2016)'!$A$3,"MA_HT","TMD","MA_QH","SKC")</f>
        <v>0</v>
      </c>
      <c r="Z25" s="35">
        <f>+GETPIVOTDATA("XKL4",'kimlong (2016)'!$A$3,"MA_HT","TMD","MA_QH","SKS")</f>
        <v>0</v>
      </c>
      <c r="AA25" s="64">
        <f t="shared" si="12"/>
        <v>0</v>
      </c>
      <c r="AB25" s="35">
        <f>+GETPIVOTDATA("XKL4",'kimlong (2016)'!$A$3,"MA_HT","TMD","MA_QH","DGT")</f>
        <v>0</v>
      </c>
      <c r="AC25" s="35">
        <f>+GETPIVOTDATA("XKL4",'kimlong (2016)'!$A$3,"MA_HT","TMD","MA_QH","DTL")</f>
        <v>0</v>
      </c>
      <c r="AD25" s="35">
        <f>+GETPIVOTDATA("XKL4",'kimlong (2016)'!$A$3,"MA_HT","TMD","MA_QH","DNL")</f>
        <v>0</v>
      </c>
      <c r="AE25" s="35">
        <f>+GETPIVOTDATA("XKL4",'kimlong (2016)'!$A$3,"MA_HT","TMD","MA_QH","DBV")</f>
        <v>0</v>
      </c>
      <c r="AF25" s="35">
        <f>+GETPIVOTDATA("XKL4",'kimlong (2016)'!$A$3,"MA_HT","TMD","MA_QH","DVH")</f>
        <v>0</v>
      </c>
      <c r="AG25" s="35">
        <f>+GETPIVOTDATA("XKL4",'kimlong (2016)'!$A$3,"MA_HT","TMD","MA_QH","DYT")</f>
        <v>0</v>
      </c>
      <c r="AH25" s="35">
        <f>+GETPIVOTDATA("XKL4",'kimlong (2016)'!$A$3,"MA_HT","TMD","MA_QH","DGD")</f>
        <v>0</v>
      </c>
      <c r="AI25" s="35">
        <f>+GETPIVOTDATA("XKL4",'kimlong (2016)'!$A$3,"MA_HT","TMD","MA_QH","DTT")</f>
        <v>0</v>
      </c>
      <c r="AJ25" s="35">
        <f>+GETPIVOTDATA("XKL4",'kimlong (2016)'!$A$3,"MA_HT","TMD","MA_QH","NCK")</f>
        <v>0</v>
      </c>
      <c r="AK25" s="35">
        <f>+GETPIVOTDATA("XKL4",'kimlong (2016)'!$A$3,"MA_HT","TMD","MA_QH","DXH")</f>
        <v>0</v>
      </c>
      <c r="AL25" s="35">
        <f>+GETPIVOTDATA("XKL4",'kimlong (2016)'!$A$3,"MA_HT","TMD","MA_QH","DCH")</f>
        <v>0</v>
      </c>
      <c r="AM25" s="35">
        <f>+GETPIVOTDATA("XKL4",'kimlong (2016)'!$A$3,"MA_HT","TMD","MA_QH","DKG")</f>
        <v>0</v>
      </c>
      <c r="AN25" s="35">
        <f>+GETPIVOTDATA("XKL4",'kimlong (2016)'!$A$3,"MA_HT","TMD","MA_QH","DDT")</f>
        <v>0</v>
      </c>
      <c r="AO25" s="35">
        <f>+GETPIVOTDATA("XKL4",'kimlong (2016)'!$A$3,"MA_HT","TMD","MA_QH","DDL")</f>
        <v>0</v>
      </c>
      <c r="AP25" s="35">
        <f>+GETPIVOTDATA("XKL4",'kimlong (2016)'!$A$3,"MA_HT","TMD","MA_QH","DRA")</f>
        <v>0</v>
      </c>
      <c r="AQ25" s="35">
        <f>+GETPIVOTDATA("XKL4",'kimlong (2016)'!$A$3,"MA_HT","TMD","MA_QH","ONT")</f>
        <v>0</v>
      </c>
      <c r="AR25" s="35">
        <f>+GETPIVOTDATA("XKL4",'kimlong (2016)'!$A$3,"MA_HT","TMD","MA_QH","ODT")</f>
        <v>0</v>
      </c>
      <c r="AS25" s="35">
        <f>+GETPIVOTDATA("XKL4",'kimlong (2016)'!$A$3,"MA_HT","TMD","MA_QH","TSC")</f>
        <v>0</v>
      </c>
      <c r="AT25" s="35">
        <f>+GETPIVOTDATA("XKL4",'kimlong (2016)'!$A$3,"MA_HT","TMD","MA_QH","DTS")</f>
        <v>0</v>
      </c>
      <c r="AU25" s="35">
        <f>+GETPIVOTDATA("XKL4",'kimlong (2016)'!$A$3,"MA_HT","TMD","MA_QH","DNG")</f>
        <v>0</v>
      </c>
      <c r="AV25" s="35">
        <f>+GETPIVOTDATA("XKL4",'kimlong (2016)'!$A$3,"MA_HT","TMD","MA_QH","TON")</f>
        <v>0</v>
      </c>
      <c r="AW25" s="35">
        <f>+GETPIVOTDATA("XKL4",'kimlong (2016)'!$A$3,"MA_HT","TMD","MA_QH","NTD")</f>
        <v>0</v>
      </c>
      <c r="AX25" s="35">
        <f>+GETPIVOTDATA("XKL4",'kimlong (2016)'!$A$3,"MA_HT","TMD","MA_QH","SKX")</f>
        <v>0</v>
      </c>
      <c r="AY25" s="35">
        <f>+GETPIVOTDATA("XKL4",'kimlong (2016)'!$A$3,"MA_HT","TMD","MA_QH","DSH")</f>
        <v>0</v>
      </c>
      <c r="AZ25" s="35">
        <f>+GETPIVOTDATA("XKL4",'kimlong (2016)'!$A$3,"MA_HT","TMD","MA_QH","DKV")</f>
        <v>0</v>
      </c>
      <c r="BA25" s="140">
        <f>+GETPIVOTDATA("XKL4",'kimlong (2016)'!$A$3,"MA_HT","TMD","MA_QH","TIN")</f>
        <v>0</v>
      </c>
      <c r="BB25" s="74">
        <f>+GETPIVOTDATA("XKL4",'kimlong (2016)'!$A$3,"MA_HT","TMD","MA_QH","SON")</f>
        <v>0</v>
      </c>
      <c r="BC25" s="74">
        <f>+GETPIVOTDATA("XKL4",'kimlong (2016)'!$A$3,"MA_HT","TMD","MA_QH","MNC")</f>
        <v>0</v>
      </c>
      <c r="BD25" s="35">
        <f>+GETPIVOTDATA("XKL4",'kimlong (2016)'!$A$3,"MA_HT","TMD","MA_QH","PNK")</f>
        <v>0</v>
      </c>
      <c r="BE25" s="58">
        <f>+GETPIVOTDATA("XKL4",'kimlong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+GETPIVOTDATA("XKL4",'kimlong (2016)'!$A$3,"MA_HT","SKC","MA_QH","LUC")</f>
        <v>0</v>
      </c>
      <c r="H26" s="35">
        <f>+GETPIVOTDATA("XKL4",'kimlong (2016)'!$A$3,"MA_HT","SKC","MA_QH","LUK")</f>
        <v>0</v>
      </c>
      <c r="I26" s="35">
        <f>+GETPIVOTDATA("XKL4",'kimlong (2016)'!$A$3,"MA_HT","SKC","MA_QH","LUN")</f>
        <v>0</v>
      </c>
      <c r="J26" s="35">
        <f>+GETPIVOTDATA("XKL4",'kimlong (2016)'!$A$3,"MA_HT","SKC","MA_QH","HNK")</f>
        <v>0</v>
      </c>
      <c r="K26" s="35">
        <f>+GETPIVOTDATA("XKL4",'kimlong (2016)'!$A$3,"MA_HT","SKC","MA_QH","CLN")</f>
        <v>0</v>
      </c>
      <c r="L26" s="35">
        <f>+GETPIVOTDATA("XKL4",'kimlong (2016)'!$A$3,"MA_HT","SKC","MA_QH","RSX")</f>
        <v>0</v>
      </c>
      <c r="M26" s="35">
        <f>+GETPIVOTDATA("XKL4",'kimlong (2016)'!$A$3,"MA_HT","SKC","MA_QH","RPH")</f>
        <v>0</v>
      </c>
      <c r="N26" s="35">
        <f>+GETPIVOTDATA("XKL4",'kimlong (2016)'!$A$3,"MA_HT","SKC","MA_QH","RDD")</f>
        <v>0</v>
      </c>
      <c r="O26" s="35">
        <f>+GETPIVOTDATA("XKL4",'kimlong (2016)'!$A$3,"MA_HT","SKC","MA_QH","NTS")</f>
        <v>0</v>
      </c>
      <c r="P26" s="35">
        <f>+GETPIVOTDATA("XKL4",'kimlong (2016)'!$A$3,"MA_HT","SKC","MA_QH","LMU")</f>
        <v>0</v>
      </c>
      <c r="Q26" s="35">
        <f>+GETPIVOTDATA("XKL4",'kimlong (2016)'!$A$3,"MA_HT","SKC","MA_QH","NKH")</f>
        <v>0</v>
      </c>
      <c r="R26" s="63">
        <f>SUM(S26:X26,Z26,AN26:BD26)</f>
        <v>0</v>
      </c>
      <c r="S26" s="35">
        <f>+GETPIVOTDATA("XKL4",'kimlong (2016)'!$A$3,"MA_HT","SKC","MA_QH","CQP")</f>
        <v>0</v>
      </c>
      <c r="T26" s="35">
        <f>+GETPIVOTDATA("XKL4",'kimlong (2016)'!$A$3,"MA_HT","SKC","MA_QH","CAN")</f>
        <v>0</v>
      </c>
      <c r="U26" s="35">
        <f>+GETPIVOTDATA("XKL4",'kimlong (2016)'!$A$3,"MA_HT","SKC","MA_QH","SKK")</f>
        <v>0</v>
      </c>
      <c r="V26" s="35">
        <f>+GETPIVOTDATA("XKL4",'kimlong (2016)'!$A$3,"MA_HT","SKC","MA_QH","SKT")</f>
        <v>0</v>
      </c>
      <c r="W26" s="35">
        <f>+GETPIVOTDATA("XKL4",'kimlong (2016)'!$A$3,"MA_HT","SKC","MA_QH","SKN")</f>
        <v>0</v>
      </c>
      <c r="X26" s="35">
        <f>+GETPIVOTDATA("XKL4",'kimlong (2016)'!$A$3,"MA_HT","SKC","MA_QH","TMD")</f>
        <v>0</v>
      </c>
      <c r="Y26" s="99" t="e">
        <f>$D26-$BF26</f>
        <v>#REF!</v>
      </c>
      <c r="Z26" s="35">
        <f>+GETPIVOTDATA("XKL4",'kimlong (2016)'!$A$3,"MA_HT","SKC","MA_QH","SKS")</f>
        <v>0</v>
      </c>
      <c r="AA26" s="64">
        <f t="shared" si="12"/>
        <v>0</v>
      </c>
      <c r="AB26" s="35">
        <f>+GETPIVOTDATA("XKL4",'kimlong (2016)'!$A$3,"MA_HT","SKC","MA_QH","DGT")</f>
        <v>0</v>
      </c>
      <c r="AC26" s="35">
        <f>+GETPIVOTDATA("XKL4",'kimlong (2016)'!$A$3,"MA_HT","SKC","MA_QH","DTL")</f>
        <v>0</v>
      </c>
      <c r="AD26" s="35">
        <f>+GETPIVOTDATA("XKL4",'kimlong (2016)'!$A$3,"MA_HT","SKC","MA_QH","DNL")</f>
        <v>0</v>
      </c>
      <c r="AE26" s="35">
        <f>+GETPIVOTDATA("XKL4",'kimlong (2016)'!$A$3,"MA_HT","SKC","MA_QH","DBV")</f>
        <v>0</v>
      </c>
      <c r="AF26" s="35">
        <f>+GETPIVOTDATA("XKL4",'kimlong (2016)'!$A$3,"MA_HT","SKC","MA_QH","DVH")</f>
        <v>0</v>
      </c>
      <c r="AG26" s="35">
        <f>+GETPIVOTDATA("XKL4",'kimlong (2016)'!$A$3,"MA_HT","SKC","MA_QH","DYT")</f>
        <v>0</v>
      </c>
      <c r="AH26" s="35">
        <f>+GETPIVOTDATA("XKL4",'kimlong (2016)'!$A$3,"MA_HT","SKC","MA_QH","DGD")</f>
        <v>0</v>
      </c>
      <c r="AI26" s="35">
        <f>+GETPIVOTDATA("XKL4",'kimlong (2016)'!$A$3,"MA_HT","SKC","MA_QH","DTT")</f>
        <v>0</v>
      </c>
      <c r="AJ26" s="35">
        <f>+GETPIVOTDATA("XKL4",'kimlong (2016)'!$A$3,"MA_HT","SKC","MA_QH","NCK")</f>
        <v>0</v>
      </c>
      <c r="AK26" s="35">
        <f>+GETPIVOTDATA("XKL4",'kimlong (2016)'!$A$3,"MA_HT","SKC","MA_QH","DXH")</f>
        <v>0</v>
      </c>
      <c r="AL26" s="35">
        <f>+GETPIVOTDATA("XKL4",'kimlong (2016)'!$A$3,"MA_HT","SKC","MA_QH","DCH")</f>
        <v>0</v>
      </c>
      <c r="AM26" s="35">
        <f>+GETPIVOTDATA("XKL4",'kimlong (2016)'!$A$3,"MA_HT","SKC","MA_QH","DKG")</f>
        <v>0</v>
      </c>
      <c r="AN26" s="35">
        <f>+GETPIVOTDATA("XKL4",'kimlong (2016)'!$A$3,"MA_HT","SKC","MA_QH","DDT")</f>
        <v>0</v>
      </c>
      <c r="AO26" s="35">
        <f>+GETPIVOTDATA("XKL4",'kimlong (2016)'!$A$3,"MA_HT","SKC","MA_QH","DDL")</f>
        <v>0</v>
      </c>
      <c r="AP26" s="35">
        <f>+GETPIVOTDATA("XKL4",'kimlong (2016)'!$A$3,"MA_HT","SKC","MA_QH","DRA")</f>
        <v>0</v>
      </c>
      <c r="AQ26" s="35">
        <f>+GETPIVOTDATA("XKL4",'kimlong (2016)'!$A$3,"MA_HT","SKC","MA_QH","ONT")</f>
        <v>0</v>
      </c>
      <c r="AR26" s="35">
        <f>+GETPIVOTDATA("XKL4",'kimlong (2016)'!$A$3,"MA_HT","SKC","MA_QH","ODT")</f>
        <v>0</v>
      </c>
      <c r="AS26" s="35">
        <f>+GETPIVOTDATA("XKL4",'kimlong (2016)'!$A$3,"MA_HT","SKC","MA_QH","TSC")</f>
        <v>0</v>
      </c>
      <c r="AT26" s="35">
        <f>+GETPIVOTDATA("XKL4",'kimlong (2016)'!$A$3,"MA_HT","SKC","MA_QH","DTS")</f>
        <v>0</v>
      </c>
      <c r="AU26" s="35">
        <f>+GETPIVOTDATA("XKL4",'kimlong (2016)'!$A$3,"MA_HT","SKC","MA_QH","DNG")</f>
        <v>0</v>
      </c>
      <c r="AV26" s="35">
        <f>+GETPIVOTDATA("XKL4",'kimlong (2016)'!$A$3,"MA_HT","SKC","MA_QH","TON")</f>
        <v>0</v>
      </c>
      <c r="AW26" s="35">
        <f>+GETPIVOTDATA("XKL4",'kimlong (2016)'!$A$3,"MA_HT","SKC","MA_QH","NTD")</f>
        <v>0</v>
      </c>
      <c r="AX26" s="35">
        <f>+GETPIVOTDATA("XKL4",'kimlong (2016)'!$A$3,"MA_HT","SKC","MA_QH","SKX")</f>
        <v>0</v>
      </c>
      <c r="AY26" s="35">
        <f>+GETPIVOTDATA("XKL4",'kimlong (2016)'!$A$3,"MA_HT","SKC","MA_QH","DSH")</f>
        <v>0</v>
      </c>
      <c r="AZ26" s="35">
        <f>+GETPIVOTDATA("XKL4",'kimlong (2016)'!$A$3,"MA_HT","SKC","MA_QH","DKV")</f>
        <v>0</v>
      </c>
      <c r="BA26" s="140">
        <f>+GETPIVOTDATA("XKL4",'kimlong (2016)'!$A$3,"MA_HT","SKC","MA_QH","TIN")</f>
        <v>0</v>
      </c>
      <c r="BB26" s="74">
        <f>+GETPIVOTDATA("XKL4",'kimlong (2016)'!$A$3,"MA_HT","SKC","MA_QH","SON")</f>
        <v>0</v>
      </c>
      <c r="BC26" s="74">
        <f>+GETPIVOTDATA("XKL4",'kimlong (2016)'!$A$3,"MA_HT","SKC","MA_QH","MNC")</f>
        <v>0</v>
      </c>
      <c r="BD26" s="35">
        <f>+GETPIVOTDATA("XKL4",'kimlong (2016)'!$A$3,"MA_HT","SKC","MA_QH","PNK")</f>
        <v>0</v>
      </c>
      <c r="BE26" s="58">
        <f>+GETPIVOTDATA("XKL4",'kimlong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+GETPIVOTDATA("XKL4",'kimlong (2016)'!$A$3,"MA_HT","SKS","MA_QH","LUC")</f>
        <v>0</v>
      </c>
      <c r="H27" s="35">
        <f>+GETPIVOTDATA("XKL4",'kimlong (2016)'!$A$3,"MA_HT","SKS","MA_QH","LUK")</f>
        <v>0</v>
      </c>
      <c r="I27" s="35">
        <f>+GETPIVOTDATA("XKL4",'kimlong (2016)'!$A$3,"MA_HT","SKS","MA_QH","LUN")</f>
        <v>0</v>
      </c>
      <c r="J27" s="35">
        <f>+GETPIVOTDATA("XKL4",'kimlong (2016)'!$A$3,"MA_HT","SKS","MA_QH","HNK")</f>
        <v>0</v>
      </c>
      <c r="K27" s="35">
        <f>+GETPIVOTDATA("XKL4",'kimlong (2016)'!$A$3,"MA_HT","SKS","MA_QH","CLN")</f>
        <v>0</v>
      </c>
      <c r="L27" s="35">
        <f>+GETPIVOTDATA("XKL4",'kimlong (2016)'!$A$3,"MA_HT","SKS","MA_QH","RSX")</f>
        <v>0</v>
      </c>
      <c r="M27" s="35">
        <f>+GETPIVOTDATA("XKL4",'kimlong (2016)'!$A$3,"MA_HT","SKS","MA_QH","RPH")</f>
        <v>0</v>
      </c>
      <c r="N27" s="35">
        <f>+GETPIVOTDATA("XKL4",'kimlong (2016)'!$A$3,"MA_HT","SKS","MA_QH","RDD")</f>
        <v>0</v>
      </c>
      <c r="O27" s="35">
        <f>+GETPIVOTDATA("XKL4",'kimlong (2016)'!$A$3,"MA_HT","SKS","MA_QH","NTS")</f>
        <v>0</v>
      </c>
      <c r="P27" s="35">
        <f>+GETPIVOTDATA("XKL4",'kimlong (2016)'!$A$3,"MA_HT","SKS","MA_QH","LMU")</f>
        <v>0</v>
      </c>
      <c r="Q27" s="35">
        <f>+GETPIVOTDATA("XKL4",'kimlong (2016)'!$A$3,"MA_HT","SKS","MA_QH","NKH")</f>
        <v>0</v>
      </c>
      <c r="R27" s="63">
        <f>SUM(S27:Y27,AA27,AN27:BD27)</f>
        <v>0</v>
      </c>
      <c r="S27" s="35">
        <f>+GETPIVOTDATA("XKL4",'kimlong (2016)'!$A$3,"MA_HT","SKS","MA_QH","CQP")</f>
        <v>0</v>
      </c>
      <c r="T27" s="35">
        <f>+GETPIVOTDATA("XKL4",'kimlong (2016)'!$A$3,"MA_HT","SKS","MA_QH","CAN")</f>
        <v>0</v>
      </c>
      <c r="U27" s="35">
        <f>+GETPIVOTDATA("XKL4",'kimlong (2016)'!$A$3,"MA_HT","SKS","MA_QH","SKK")</f>
        <v>0</v>
      </c>
      <c r="V27" s="35">
        <f>+GETPIVOTDATA("XKL4",'kimlong (2016)'!$A$3,"MA_HT","SKS","MA_QH","SKT")</f>
        <v>0</v>
      </c>
      <c r="W27" s="35">
        <f>+GETPIVOTDATA("XKL4",'kimlong (2016)'!$A$3,"MA_HT","SKS","MA_QH","SKN")</f>
        <v>0</v>
      </c>
      <c r="X27" s="35">
        <f>+GETPIVOTDATA("XKL4",'kimlong (2016)'!$A$3,"MA_HT","SKS","MA_QH","TMD")</f>
        <v>0</v>
      </c>
      <c r="Y27" s="35">
        <f>+GETPIVOTDATA("XKL4",'kimlong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+GETPIVOTDATA("XKL4",'kimlong (2016)'!$A$3,"MA_HT","SKS","MA_QH","DGT")</f>
        <v>0</v>
      </c>
      <c r="AC27" s="35">
        <f>+GETPIVOTDATA("XKL4",'kimlong (2016)'!$A$3,"MA_HT","SKS","MA_QH","DTL")</f>
        <v>0</v>
      </c>
      <c r="AD27" s="35">
        <f>+GETPIVOTDATA("XKL4",'kimlong (2016)'!$A$3,"MA_HT","SKS","MA_QH","DNL")</f>
        <v>0</v>
      </c>
      <c r="AE27" s="35">
        <f>+GETPIVOTDATA("XKL4",'kimlong (2016)'!$A$3,"MA_HT","SKS","MA_QH","DBV")</f>
        <v>0</v>
      </c>
      <c r="AF27" s="35">
        <f>+GETPIVOTDATA("XKL4",'kimlong (2016)'!$A$3,"MA_HT","SKS","MA_QH","DVH")</f>
        <v>0</v>
      </c>
      <c r="AG27" s="35">
        <f>+GETPIVOTDATA("XKL4",'kimlong (2016)'!$A$3,"MA_HT","SKS","MA_QH","DYT")</f>
        <v>0</v>
      </c>
      <c r="AH27" s="35">
        <f>+GETPIVOTDATA("XKL4",'kimlong (2016)'!$A$3,"MA_HT","SKS","MA_QH","DGD")</f>
        <v>0</v>
      </c>
      <c r="AI27" s="35">
        <f>+GETPIVOTDATA("XKL4",'kimlong (2016)'!$A$3,"MA_HT","SKS","MA_QH","DTT")</f>
        <v>0</v>
      </c>
      <c r="AJ27" s="35">
        <f>+GETPIVOTDATA("XKL4",'kimlong (2016)'!$A$3,"MA_HT","SKS","MA_QH","NCK")</f>
        <v>0</v>
      </c>
      <c r="AK27" s="35">
        <f>+GETPIVOTDATA("XKL4",'kimlong (2016)'!$A$3,"MA_HT","SKS","MA_QH","DXH")</f>
        <v>0</v>
      </c>
      <c r="AL27" s="35">
        <f>+GETPIVOTDATA("XKL4",'kimlong (2016)'!$A$3,"MA_HT","SKS","MA_QH","DCH")</f>
        <v>0</v>
      </c>
      <c r="AM27" s="35">
        <f>+GETPIVOTDATA("XKL4",'kimlong (2016)'!$A$3,"MA_HT","SKS","MA_QH","DKG")</f>
        <v>0</v>
      </c>
      <c r="AN27" s="35">
        <f>+GETPIVOTDATA("XKL4",'kimlong (2016)'!$A$3,"MA_HT","SKS","MA_QH","DDT")</f>
        <v>0</v>
      </c>
      <c r="AO27" s="35">
        <f>+GETPIVOTDATA("XKL4",'kimlong (2016)'!$A$3,"MA_HT","SKS","MA_QH","DDL")</f>
        <v>0</v>
      </c>
      <c r="AP27" s="35">
        <f>+GETPIVOTDATA("XKL4",'kimlong (2016)'!$A$3,"MA_HT","SKS","MA_QH","DRA")</f>
        <v>0</v>
      </c>
      <c r="AQ27" s="35">
        <f>+GETPIVOTDATA("XKL4",'kimlong (2016)'!$A$3,"MA_HT","SKS","MA_QH","ONT")</f>
        <v>0</v>
      </c>
      <c r="AR27" s="35">
        <f>+GETPIVOTDATA("XKL4",'kimlong (2016)'!$A$3,"MA_HT","SKS","MA_QH","ODT")</f>
        <v>0</v>
      </c>
      <c r="AS27" s="35">
        <f>+GETPIVOTDATA("XKL4",'kimlong (2016)'!$A$3,"MA_HT","SKS","MA_QH","TSC")</f>
        <v>0</v>
      </c>
      <c r="AT27" s="35">
        <f>+GETPIVOTDATA("XKL4",'kimlong (2016)'!$A$3,"MA_HT","SKS","MA_QH","DTS")</f>
        <v>0</v>
      </c>
      <c r="AU27" s="35">
        <f>+GETPIVOTDATA("XKL4",'kimlong (2016)'!$A$3,"MA_HT","SKS","MA_QH","DNG")</f>
        <v>0</v>
      </c>
      <c r="AV27" s="35">
        <f>+GETPIVOTDATA("XKL4",'kimlong (2016)'!$A$3,"MA_HT","SKS","MA_QH","TON")</f>
        <v>0</v>
      </c>
      <c r="AW27" s="35">
        <f>+GETPIVOTDATA("XKL4",'kimlong (2016)'!$A$3,"MA_HT","SKS","MA_QH","NTD")</f>
        <v>0</v>
      </c>
      <c r="AX27" s="35">
        <f>+GETPIVOTDATA("XKL4",'kimlong (2016)'!$A$3,"MA_HT","SKS","MA_QH","SKX")</f>
        <v>0</v>
      </c>
      <c r="AY27" s="35">
        <f>+GETPIVOTDATA("XKL4",'kimlong (2016)'!$A$3,"MA_HT","SKS","MA_QH","DSH")</f>
        <v>0</v>
      </c>
      <c r="AZ27" s="35">
        <f>+GETPIVOTDATA("XKL4",'kimlong (2016)'!$A$3,"MA_HT","SKS","MA_QH","DKV")</f>
        <v>0</v>
      </c>
      <c r="BA27" s="140">
        <f>+GETPIVOTDATA("XKL4",'kimlong (2016)'!$A$3,"MA_HT","SKS","MA_QH","TIN")</f>
        <v>0</v>
      </c>
      <c r="BB27" s="74">
        <f>+GETPIVOTDATA("XKL4",'kimlong (2016)'!$A$3,"MA_HT","SKS","MA_QH","SON")</f>
        <v>0</v>
      </c>
      <c r="BC27" s="74">
        <f>+GETPIVOTDATA("XKL4",'kimlong (2016)'!$A$3,"MA_HT","SKS","MA_QH","MNC")</f>
        <v>0</v>
      </c>
      <c r="BD27" s="35">
        <f>+GETPIVOTDATA("XKL4",'kimlong (2016)'!$A$3,"MA_HT","SKS","MA_QH","PNK")</f>
        <v>0</v>
      </c>
      <c r="BE27" s="58">
        <f>+GETPIVOTDATA("XKL4",'kimlong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+GETPIVOTDATA("XKL4",'kimlong (2016)'!$A$3,"MA_HT","DGT","MA_QH","LUC")</f>
        <v>0</v>
      </c>
      <c r="H29" s="74">
        <f>+GETPIVOTDATA("XKL4",'kimlong (2016)'!$A$3,"MA_HT","DGT","MA_QH","LUK")</f>
        <v>0</v>
      </c>
      <c r="I29" s="74">
        <f>+GETPIVOTDATA("XKL4",'kimlong (2016)'!$A$3,"MA_HT","DGT","MA_QH","LUN")</f>
        <v>0</v>
      </c>
      <c r="J29" s="74">
        <f>+GETPIVOTDATA("XKL4",'kimlong (2016)'!$A$3,"MA_HT","DGT","MA_QH","HNK")</f>
        <v>0</v>
      </c>
      <c r="K29" s="74">
        <f>+GETPIVOTDATA("XKL4",'kimlong (2016)'!$A$3,"MA_HT","DGT","MA_QH","CLN")</f>
        <v>0</v>
      </c>
      <c r="L29" s="74">
        <f>+GETPIVOTDATA("XKL4",'kimlong (2016)'!$A$3,"MA_HT","DGT","MA_QH","RSX")</f>
        <v>0</v>
      </c>
      <c r="M29" s="74">
        <f>+GETPIVOTDATA("XKL4",'kimlong (2016)'!$A$3,"MA_HT","DGT","MA_QH","RPH")</f>
        <v>0</v>
      </c>
      <c r="N29" s="74">
        <f>+GETPIVOTDATA("XKL4",'kimlong (2016)'!$A$3,"MA_HT","DGT","MA_QH","RDD")</f>
        <v>0</v>
      </c>
      <c r="O29" s="74">
        <f>+GETPIVOTDATA("XKL4",'kimlong (2016)'!$A$3,"MA_HT","DGT","MA_QH","NTS")</f>
        <v>0</v>
      </c>
      <c r="P29" s="74">
        <f>+GETPIVOTDATA("XKL4",'kimlong (2016)'!$A$3,"MA_HT","DGT","MA_QH","LMU")</f>
        <v>0</v>
      </c>
      <c r="Q29" s="74">
        <f>+GETPIVOTDATA("XKL4",'kimlong (2016)'!$A$3,"MA_HT","DGT","MA_QH","NKH")</f>
        <v>0</v>
      </c>
      <c r="R29" s="72">
        <f>SUM(S29:AA29,AN29:BD29)</f>
        <v>0</v>
      </c>
      <c r="S29" s="74">
        <f>+GETPIVOTDATA("XKL4",'kimlong (2016)'!$A$3,"MA_HT","DGT","MA_QH","CQP")</f>
        <v>0</v>
      </c>
      <c r="T29" s="74">
        <f>+GETPIVOTDATA("XKL4",'kimlong (2016)'!$A$3,"MA_HT","DGT","MA_QH","CAN")</f>
        <v>0</v>
      </c>
      <c r="U29" s="74">
        <f>+GETPIVOTDATA("XKL4",'kimlong (2016)'!$A$3,"MA_HT","DGT","MA_QH","SKK")</f>
        <v>0</v>
      </c>
      <c r="V29" s="74">
        <f>+GETPIVOTDATA("XKL4",'kimlong (2016)'!$A$3,"MA_HT","DGT","MA_QH","SKT")</f>
        <v>0</v>
      </c>
      <c r="W29" s="74">
        <f>+GETPIVOTDATA("XKL4",'kimlong (2016)'!$A$3,"MA_HT","DGT","MA_QH","SKN")</f>
        <v>0</v>
      </c>
      <c r="X29" s="74">
        <f>+GETPIVOTDATA("XKL4",'kimlong (2016)'!$A$3,"MA_HT","DGT","MA_QH","TMD")</f>
        <v>0</v>
      </c>
      <c r="Y29" s="74">
        <f>+GETPIVOTDATA("XKL4",'kimlong (2016)'!$A$3,"MA_HT","DGT","MA_QH","SKC")</f>
        <v>0</v>
      </c>
      <c r="Z29" s="74">
        <f>+GETPIVOTDATA("XKL4",'kimlong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+GETPIVOTDATA("XKL4",'kimlong (2016)'!$A$3,"MA_HT","DGT","MA_QH","DTL")</f>
        <v>0</v>
      </c>
      <c r="AD29" s="74">
        <f>+GETPIVOTDATA("XKL4",'kimlong (2016)'!$A$3,"MA_HT","DGT","MA_QH","DNL")</f>
        <v>0</v>
      </c>
      <c r="AE29" s="74">
        <f>+GETPIVOTDATA("XKL4",'kimlong (2016)'!$A$3,"MA_HT","DGT","MA_QH","DBV")</f>
        <v>0</v>
      </c>
      <c r="AF29" s="74">
        <f>+GETPIVOTDATA("XKL4",'kimlong (2016)'!$A$3,"MA_HT","DGT","MA_QH","DVH")</f>
        <v>0</v>
      </c>
      <c r="AG29" s="74">
        <f>+GETPIVOTDATA("XKL4",'kimlong (2016)'!$A$3,"MA_HT","DGT","MA_QH","DYT")</f>
        <v>0</v>
      </c>
      <c r="AH29" s="74">
        <f>+GETPIVOTDATA("XKL4",'kimlong (2016)'!$A$3,"MA_HT","DGT","MA_QH","DGD")</f>
        <v>0</v>
      </c>
      <c r="AI29" s="74">
        <f>+GETPIVOTDATA("XKL4",'kimlong (2016)'!$A$3,"MA_HT","DGT","MA_QH","DTT")</f>
        <v>0</v>
      </c>
      <c r="AJ29" s="74">
        <f>+GETPIVOTDATA("XKL4",'kimlong (2016)'!$A$3,"MA_HT","DGT","MA_QH","NCK")</f>
        <v>0</v>
      </c>
      <c r="AK29" s="74">
        <f>+GETPIVOTDATA("XKL4",'kimlong (2016)'!$A$3,"MA_HT","DGT","MA_QH","DXH")</f>
        <v>0</v>
      </c>
      <c r="AL29" s="74">
        <f>+GETPIVOTDATA("XKL4",'kimlong (2016)'!$A$3,"MA_HT","DGT","MA_QH","DCH")</f>
        <v>0</v>
      </c>
      <c r="AM29" s="74">
        <f>+GETPIVOTDATA("XKL4",'kimlong (2016)'!$A$3,"MA_HT","DGT","MA_QH","DKG")</f>
        <v>0</v>
      </c>
      <c r="AN29" s="74">
        <f>+GETPIVOTDATA("XKL4",'kimlong (2016)'!$A$3,"MA_HT","DGT","MA_QH","DDT")</f>
        <v>0</v>
      </c>
      <c r="AO29" s="74">
        <f>+GETPIVOTDATA("XKL4",'kimlong (2016)'!$A$3,"MA_HT","DGT","MA_QH","DDL")</f>
        <v>0</v>
      </c>
      <c r="AP29" s="74">
        <f>+GETPIVOTDATA("XKL4",'kimlong (2016)'!$A$3,"MA_HT","DGT","MA_QH","DRA")</f>
        <v>0</v>
      </c>
      <c r="AQ29" s="74">
        <f>+GETPIVOTDATA("XKL4",'kimlong (2016)'!$A$3,"MA_HT","DGT","MA_QH","ONT")</f>
        <v>0</v>
      </c>
      <c r="AR29" s="74">
        <f>+GETPIVOTDATA("XKL4",'kimlong (2016)'!$A$3,"MA_HT","DGT","MA_QH","ODT")</f>
        <v>0</v>
      </c>
      <c r="AS29" s="74">
        <f>+GETPIVOTDATA("XKL4",'kimlong (2016)'!$A$3,"MA_HT","DGT","MA_QH","TSC")</f>
        <v>0</v>
      </c>
      <c r="AT29" s="74">
        <f>+GETPIVOTDATA("XKL4",'kimlong (2016)'!$A$3,"MA_HT","DGT","MA_QH","DTS")</f>
        <v>0</v>
      </c>
      <c r="AU29" s="74">
        <f>+GETPIVOTDATA("XKL4",'kimlong (2016)'!$A$3,"MA_HT","DGT","MA_QH","DNG")</f>
        <v>0</v>
      </c>
      <c r="AV29" s="74">
        <f>+GETPIVOTDATA("XKL4",'kimlong (2016)'!$A$3,"MA_HT","DGT","MA_QH","TON")</f>
        <v>0</v>
      </c>
      <c r="AW29" s="74">
        <f>+GETPIVOTDATA("XKL4",'kimlong (2016)'!$A$3,"MA_HT","DGT","MA_QH","NTD")</f>
        <v>0</v>
      </c>
      <c r="AX29" s="74">
        <f>+GETPIVOTDATA("XKL4",'kimlong (2016)'!$A$3,"MA_HT","DGT","MA_QH","SKX")</f>
        <v>0</v>
      </c>
      <c r="AY29" s="74">
        <f>+GETPIVOTDATA("XKL4",'kimlong (2016)'!$A$3,"MA_HT","DGT","MA_QH","DSH")</f>
        <v>0</v>
      </c>
      <c r="AZ29" s="74">
        <f>+GETPIVOTDATA("XKL4",'kimlong (2016)'!$A$3,"MA_HT","DGT","MA_QH","DKV")</f>
        <v>0</v>
      </c>
      <c r="BA29" s="139">
        <f>+GETPIVOTDATA("XKL4",'kimlong (2016)'!$A$3,"MA_HT","DGT","MA_QH","TIN")</f>
        <v>0</v>
      </c>
      <c r="BB29" s="74">
        <f>+GETPIVOTDATA("XKL4",'kimlong (2016)'!$A$3,"MA_HT","DGT","MA_QH","SON")</f>
        <v>0</v>
      </c>
      <c r="BC29" s="74">
        <f>+GETPIVOTDATA("XKL4",'kimlong (2016)'!$A$3,"MA_HT","DGT","MA_QH","MNC")</f>
        <v>0</v>
      </c>
      <c r="BD29" s="74">
        <f>+GETPIVOTDATA("XKL4",'kimlong (2016)'!$A$3,"MA_HT","DGT","MA_QH","PNK")</f>
        <v>0</v>
      </c>
      <c r="BE29" s="102">
        <f>+GETPIVOTDATA("XKL4",'kimlong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+GETPIVOTDATA("XKL4",'kimlong (2016)'!$A$3,"MA_HT","DTL","MA_QH","LUC")</f>
        <v>0</v>
      </c>
      <c r="H30" s="74">
        <f>+GETPIVOTDATA("XKL4",'kimlong (2016)'!$A$3,"MA_HT","DTL","MA_QH","LUK")</f>
        <v>0</v>
      </c>
      <c r="I30" s="74">
        <f>+GETPIVOTDATA("XKL4",'kimlong (2016)'!$A$3,"MA_HT","DTL","MA_QH","LUN")</f>
        <v>0</v>
      </c>
      <c r="J30" s="74">
        <f>+GETPIVOTDATA("XKL4",'kimlong (2016)'!$A$3,"MA_HT","DTL","MA_QH","HNK")</f>
        <v>0</v>
      </c>
      <c r="K30" s="74">
        <f>+GETPIVOTDATA("XKL4",'kimlong (2016)'!$A$3,"MA_HT","DTL","MA_QH","CLN")</f>
        <v>0</v>
      </c>
      <c r="L30" s="74">
        <f>+GETPIVOTDATA("XKL4",'kimlong (2016)'!$A$3,"MA_HT","DTL","MA_QH","RSX")</f>
        <v>0</v>
      </c>
      <c r="M30" s="74">
        <f>+GETPIVOTDATA("XKL4",'kimlong (2016)'!$A$3,"MA_HT","DTL","MA_QH","RPH")</f>
        <v>0</v>
      </c>
      <c r="N30" s="74">
        <f>+GETPIVOTDATA("XKL4",'kimlong (2016)'!$A$3,"MA_HT","DTL","MA_QH","RDD")</f>
        <v>0</v>
      </c>
      <c r="O30" s="74">
        <f>+GETPIVOTDATA("XKL4",'kimlong (2016)'!$A$3,"MA_HT","DTL","MA_QH","NTS")</f>
        <v>0</v>
      </c>
      <c r="P30" s="74">
        <f>+GETPIVOTDATA("XKL4",'kimlong (2016)'!$A$3,"MA_HT","DTL","MA_QH","LMU")</f>
        <v>0</v>
      </c>
      <c r="Q30" s="74">
        <f>+GETPIVOTDATA("XKL4",'kimlong (2016)'!$A$3,"MA_HT","DTL","MA_QH","NKH")</f>
        <v>0</v>
      </c>
      <c r="R30" s="72">
        <f t="shared" ref="R30:R39" si="20">SUM(S30:AA30,AN30:BD30)</f>
        <v>0</v>
      </c>
      <c r="S30" s="74">
        <f>+GETPIVOTDATA("XKL4",'kimlong (2016)'!$A$3,"MA_HT","DTL","MA_QH","CQP")</f>
        <v>0</v>
      </c>
      <c r="T30" s="74">
        <f>+GETPIVOTDATA("XKL4",'kimlong (2016)'!$A$3,"MA_HT","DTL","MA_QH","CAN")</f>
        <v>0</v>
      </c>
      <c r="U30" s="74">
        <f>+GETPIVOTDATA("XKL4",'kimlong (2016)'!$A$3,"MA_HT","DTL","MA_QH","SKK")</f>
        <v>0</v>
      </c>
      <c r="V30" s="74">
        <f>+GETPIVOTDATA("XKL4",'kimlong (2016)'!$A$3,"MA_HT","DTL","MA_QH","SKT")</f>
        <v>0</v>
      </c>
      <c r="W30" s="74">
        <f>+GETPIVOTDATA("XKL4",'kimlong (2016)'!$A$3,"MA_HT","DTL","MA_QH","SKN")</f>
        <v>0</v>
      </c>
      <c r="X30" s="74">
        <f>+GETPIVOTDATA("XKL4",'kimlong (2016)'!$A$3,"MA_HT","DTL","MA_QH","TMD")</f>
        <v>0</v>
      </c>
      <c r="Y30" s="74">
        <f>+GETPIVOTDATA("XKL4",'kimlong (2016)'!$A$3,"MA_HT","DTL","MA_QH","SKC")</f>
        <v>0</v>
      </c>
      <c r="Z30" s="74">
        <f>+GETPIVOTDATA("XKL4",'kimlong (2016)'!$A$3,"MA_HT","DTL","MA_QH","SKS")</f>
        <v>0</v>
      </c>
      <c r="AA30" s="64">
        <f>+SUM(AB30,AD30:AM30)</f>
        <v>0</v>
      </c>
      <c r="AB30" s="74">
        <f>+GETPIVOTDATA("XKL4",'kimlong (2016)'!$A$3,"MA_HT","DTL","MA_QH","DGT")</f>
        <v>0</v>
      </c>
      <c r="AC30" s="100" t="e">
        <f>$D30-$BF30</f>
        <v>#REF!</v>
      </c>
      <c r="AD30" s="74">
        <f>+GETPIVOTDATA("XKL4",'kimlong (2016)'!$A$3,"MA_HT","DTL","MA_QH","DNL")</f>
        <v>0</v>
      </c>
      <c r="AE30" s="74">
        <f>+GETPIVOTDATA("XKL4",'kimlong (2016)'!$A$3,"MA_HT","DTL","MA_QH","DBV")</f>
        <v>0</v>
      </c>
      <c r="AF30" s="74">
        <f>+GETPIVOTDATA("XKL4",'kimlong (2016)'!$A$3,"MA_HT","DTL","MA_QH","DVH")</f>
        <v>0</v>
      </c>
      <c r="AG30" s="74">
        <f>+GETPIVOTDATA("XKL4",'kimlong (2016)'!$A$3,"MA_HT","DTL","MA_QH","DYT")</f>
        <v>0</v>
      </c>
      <c r="AH30" s="74">
        <f>+GETPIVOTDATA("XKL4",'kimlong (2016)'!$A$3,"MA_HT","DTL","MA_QH","DGD")</f>
        <v>0</v>
      </c>
      <c r="AI30" s="74">
        <f>+GETPIVOTDATA("XKL4",'kimlong (2016)'!$A$3,"MA_HT","DTL","MA_QH","DTT")</f>
        <v>0</v>
      </c>
      <c r="AJ30" s="74">
        <f>+GETPIVOTDATA("XKL4",'kimlong (2016)'!$A$3,"MA_HT","DTL","MA_QH","NCK")</f>
        <v>0</v>
      </c>
      <c r="AK30" s="74">
        <f>+GETPIVOTDATA("XKL4",'kimlong (2016)'!$A$3,"MA_HT","DTL","MA_QH","DXH")</f>
        <v>0</v>
      </c>
      <c r="AL30" s="74">
        <f>+GETPIVOTDATA("XKL4",'kimlong (2016)'!$A$3,"MA_HT","DTL","MA_QH","DCH")</f>
        <v>0</v>
      </c>
      <c r="AM30" s="74">
        <f>+GETPIVOTDATA("XKL4",'kimlong (2016)'!$A$3,"MA_HT","DTL","MA_QH","DKG")</f>
        <v>0</v>
      </c>
      <c r="AN30" s="74">
        <f>+GETPIVOTDATA("XKL4",'kimlong (2016)'!$A$3,"MA_HT","DTL","MA_QH","DDT")</f>
        <v>0</v>
      </c>
      <c r="AO30" s="74">
        <f>+GETPIVOTDATA("XKL4",'kimlong (2016)'!$A$3,"MA_HT","DTL","MA_QH","DDL")</f>
        <v>0</v>
      </c>
      <c r="AP30" s="74">
        <f>+GETPIVOTDATA("XKL4",'kimlong (2016)'!$A$3,"MA_HT","DTL","MA_QH","DRA")</f>
        <v>0</v>
      </c>
      <c r="AQ30" s="74">
        <f>+GETPIVOTDATA("XKL4",'kimlong (2016)'!$A$3,"MA_HT","DTL","MA_QH","ONT")</f>
        <v>0</v>
      </c>
      <c r="AR30" s="74">
        <f>+GETPIVOTDATA("XKL4",'kimlong (2016)'!$A$3,"MA_HT","DTL","MA_QH","ODT")</f>
        <v>0</v>
      </c>
      <c r="AS30" s="74">
        <f>+GETPIVOTDATA("XKL4",'kimlong (2016)'!$A$3,"MA_HT","DTL","MA_QH","TSC")</f>
        <v>0</v>
      </c>
      <c r="AT30" s="74">
        <f>+GETPIVOTDATA("XKL4",'kimlong (2016)'!$A$3,"MA_HT","DTL","MA_QH","DTS")</f>
        <v>0</v>
      </c>
      <c r="AU30" s="74">
        <f>+GETPIVOTDATA("XKL4",'kimlong (2016)'!$A$3,"MA_HT","DTL","MA_QH","DNG")</f>
        <v>0</v>
      </c>
      <c r="AV30" s="74">
        <f>+GETPIVOTDATA("XKL4",'kimlong (2016)'!$A$3,"MA_HT","DTL","MA_QH","TON")</f>
        <v>0</v>
      </c>
      <c r="AW30" s="74">
        <f>+GETPIVOTDATA("XKL4",'kimlong (2016)'!$A$3,"MA_HT","DTL","MA_QH","NTD")</f>
        <v>0</v>
      </c>
      <c r="AX30" s="74">
        <f>+GETPIVOTDATA("XKL4",'kimlong (2016)'!$A$3,"MA_HT","DTL","MA_QH","SKX")</f>
        <v>0</v>
      </c>
      <c r="AY30" s="74">
        <f>+GETPIVOTDATA("XKL4",'kimlong (2016)'!$A$3,"MA_HT","DTL","MA_QH","DSH")</f>
        <v>0</v>
      </c>
      <c r="AZ30" s="74">
        <f>+GETPIVOTDATA("XKL4",'kimlong (2016)'!$A$3,"MA_HT","DTL","MA_QH","DKV")</f>
        <v>0</v>
      </c>
      <c r="BA30" s="139">
        <f>+GETPIVOTDATA("XKL4",'kimlong (2016)'!$A$3,"MA_HT","DTL","MA_QH","TIN")</f>
        <v>0</v>
      </c>
      <c r="BB30" s="74">
        <f>+GETPIVOTDATA("XKL4",'kimlong (2016)'!$A$3,"MA_HT","DTL","MA_QH","SON")</f>
        <v>0</v>
      </c>
      <c r="BC30" s="74">
        <f>+GETPIVOTDATA("XKL4",'kimlong (2016)'!$A$3,"MA_HT","DTL","MA_QH","MNC")</f>
        <v>0</v>
      </c>
      <c r="BD30" s="74">
        <f>+GETPIVOTDATA("XKL4",'kimlong (2016)'!$A$3,"MA_HT","DTL","MA_QH","PNK")</f>
        <v>0</v>
      </c>
      <c r="BE30" s="102">
        <f>+GETPIVOTDATA("XKL4",'kimlong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+GETPIVOTDATA("XKL4",'kimlong (2016)'!$A$3,"MA_HT","DNL","MA_QH","LUC")</f>
        <v>0</v>
      </c>
      <c r="H31" s="74">
        <f>+GETPIVOTDATA("XKL4",'kimlong (2016)'!$A$3,"MA_HT","DNL","MA_QH","LUK")</f>
        <v>0</v>
      </c>
      <c r="I31" s="74">
        <f>+GETPIVOTDATA("XKL4",'kimlong (2016)'!$A$3,"MA_HT","DNL","MA_QH","LUN")</f>
        <v>0</v>
      </c>
      <c r="J31" s="74">
        <f>+GETPIVOTDATA("XKL4",'kimlong (2016)'!$A$3,"MA_HT","DNL","MA_QH","HNK")</f>
        <v>0</v>
      </c>
      <c r="K31" s="74">
        <f>+GETPIVOTDATA("XKL4",'kimlong (2016)'!$A$3,"MA_HT","DNL","MA_QH","CLN")</f>
        <v>0</v>
      </c>
      <c r="L31" s="74">
        <f>+GETPIVOTDATA("XKL4",'kimlong (2016)'!$A$3,"MA_HT","DNL","MA_QH","RSX")</f>
        <v>0</v>
      </c>
      <c r="M31" s="74">
        <f>+GETPIVOTDATA("XKL4",'kimlong (2016)'!$A$3,"MA_HT","DNL","MA_QH","RPH")</f>
        <v>0</v>
      </c>
      <c r="N31" s="74">
        <f>+GETPIVOTDATA("XKL4",'kimlong (2016)'!$A$3,"MA_HT","DNL","MA_QH","RDD")</f>
        <v>0</v>
      </c>
      <c r="O31" s="74">
        <f>+GETPIVOTDATA("XKL4",'kimlong (2016)'!$A$3,"MA_HT","DNL","MA_QH","NTS")</f>
        <v>0</v>
      </c>
      <c r="P31" s="74">
        <f>+GETPIVOTDATA("XKL4",'kimlong (2016)'!$A$3,"MA_HT","DNL","MA_QH","LMU")</f>
        <v>0</v>
      </c>
      <c r="Q31" s="74">
        <f>+GETPIVOTDATA("XKL4",'kimlong (2016)'!$A$3,"MA_HT","DNL","MA_QH","NKH")</f>
        <v>0</v>
      </c>
      <c r="R31" s="72">
        <f t="shared" si="20"/>
        <v>0</v>
      </c>
      <c r="S31" s="74">
        <f>+GETPIVOTDATA("XKL4",'kimlong (2016)'!$A$3,"MA_HT","DNL","MA_QH","CQP")</f>
        <v>0</v>
      </c>
      <c r="T31" s="74">
        <f>+GETPIVOTDATA("XKL4",'kimlong (2016)'!$A$3,"MA_HT","DNL","MA_QH","CAN")</f>
        <v>0</v>
      </c>
      <c r="U31" s="74">
        <f>+GETPIVOTDATA("XKL4",'kimlong (2016)'!$A$3,"MA_HT","DNL","MA_QH","SKK")</f>
        <v>0</v>
      </c>
      <c r="V31" s="74">
        <f>+GETPIVOTDATA("XKL4",'kimlong (2016)'!$A$3,"MA_HT","DNL","MA_QH","SKT")</f>
        <v>0</v>
      </c>
      <c r="W31" s="74">
        <f>+GETPIVOTDATA("XKL4",'kimlong (2016)'!$A$3,"MA_HT","DNL","MA_QH","SKN")</f>
        <v>0</v>
      </c>
      <c r="X31" s="74">
        <f>+GETPIVOTDATA("XKL4",'kimlong (2016)'!$A$3,"MA_HT","DNL","MA_QH","TMD")</f>
        <v>0</v>
      </c>
      <c r="Y31" s="74">
        <f>+GETPIVOTDATA("XKL4",'kimlong (2016)'!$A$3,"MA_HT","DNL","MA_QH","SKC")</f>
        <v>0</v>
      </c>
      <c r="Z31" s="74">
        <f>+GETPIVOTDATA("XKL4",'kimlong (2016)'!$A$3,"MA_HT","DNL","MA_QH","SKS")</f>
        <v>0</v>
      </c>
      <c r="AA31" s="64">
        <f>+SUM(AB31:AC31,AE31:AM31)</f>
        <v>0</v>
      </c>
      <c r="AB31" s="74">
        <f>+GETPIVOTDATA("XKL4",'kimlong (2016)'!$A$3,"MA_HT","DNL","MA_QH","DGT")</f>
        <v>0</v>
      </c>
      <c r="AC31" s="74">
        <f>+GETPIVOTDATA("XKL4",'kimlong (2016)'!$A$3,"MA_HT","DNL","MA_QH","DTL")</f>
        <v>0</v>
      </c>
      <c r="AD31" s="100" t="e">
        <f>$D31-$BF31</f>
        <v>#REF!</v>
      </c>
      <c r="AE31" s="74">
        <f>+GETPIVOTDATA("XKL4",'kimlong (2016)'!$A$3,"MA_HT","DNL","MA_QH","DBV")</f>
        <v>0</v>
      </c>
      <c r="AF31" s="74">
        <f>+GETPIVOTDATA("XKL4",'kimlong (2016)'!$A$3,"MA_HT","DNL","MA_QH","DVH")</f>
        <v>0</v>
      </c>
      <c r="AG31" s="74">
        <f>+GETPIVOTDATA("XKL4",'kimlong (2016)'!$A$3,"MA_HT","DNL","MA_QH","DYT")</f>
        <v>0</v>
      </c>
      <c r="AH31" s="74">
        <f>+GETPIVOTDATA("XKL4",'kimlong (2016)'!$A$3,"MA_HT","DNL","MA_QH","DGD")</f>
        <v>0</v>
      </c>
      <c r="AI31" s="74">
        <f>+GETPIVOTDATA("XKL4",'kimlong (2016)'!$A$3,"MA_HT","DNL","MA_QH","DTT")</f>
        <v>0</v>
      </c>
      <c r="AJ31" s="74">
        <f>+GETPIVOTDATA("XKL4",'kimlong (2016)'!$A$3,"MA_HT","DNL","MA_QH","NCK")</f>
        <v>0</v>
      </c>
      <c r="AK31" s="74">
        <f>+GETPIVOTDATA("XKL4",'kimlong (2016)'!$A$3,"MA_HT","DNL","MA_QH","DXH")</f>
        <v>0</v>
      </c>
      <c r="AL31" s="74">
        <f>+GETPIVOTDATA("XKL4",'kimlong (2016)'!$A$3,"MA_HT","DNL","MA_QH","DCH")</f>
        <v>0</v>
      </c>
      <c r="AM31" s="74">
        <f>+GETPIVOTDATA("XKL4",'kimlong (2016)'!$A$3,"MA_HT","DNL","MA_QH","DKG")</f>
        <v>0</v>
      </c>
      <c r="AN31" s="74">
        <f>+GETPIVOTDATA("XKL4",'kimlong (2016)'!$A$3,"MA_HT","DNL","MA_QH","DDT")</f>
        <v>0</v>
      </c>
      <c r="AO31" s="74">
        <f>+GETPIVOTDATA("XKL4",'kimlong (2016)'!$A$3,"MA_HT","DNL","MA_QH","DDL")</f>
        <v>0</v>
      </c>
      <c r="AP31" s="74">
        <f>+GETPIVOTDATA("XKL4",'kimlong (2016)'!$A$3,"MA_HT","DNL","MA_QH","DRA")</f>
        <v>0</v>
      </c>
      <c r="AQ31" s="74">
        <f>+GETPIVOTDATA("XKL4",'kimlong (2016)'!$A$3,"MA_HT","DNL","MA_QH","ONT")</f>
        <v>0</v>
      </c>
      <c r="AR31" s="74">
        <f>+GETPIVOTDATA("XKL4",'kimlong (2016)'!$A$3,"MA_HT","DNL","MA_QH","ODT")</f>
        <v>0</v>
      </c>
      <c r="AS31" s="74">
        <f>+GETPIVOTDATA("XKL4",'kimlong (2016)'!$A$3,"MA_HT","DNL","MA_QH","TSC")</f>
        <v>0</v>
      </c>
      <c r="AT31" s="74">
        <f>+GETPIVOTDATA("XKL4",'kimlong (2016)'!$A$3,"MA_HT","DNL","MA_QH","DTS")</f>
        <v>0</v>
      </c>
      <c r="AU31" s="74">
        <f>+GETPIVOTDATA("XKL4",'kimlong (2016)'!$A$3,"MA_HT","DNL","MA_QH","DNG")</f>
        <v>0</v>
      </c>
      <c r="AV31" s="74">
        <f>+GETPIVOTDATA("XKL4",'kimlong (2016)'!$A$3,"MA_HT","DNL","MA_QH","TON")</f>
        <v>0</v>
      </c>
      <c r="AW31" s="74">
        <f>+GETPIVOTDATA("XKL4",'kimlong (2016)'!$A$3,"MA_HT","DNL","MA_QH","NTD")</f>
        <v>0</v>
      </c>
      <c r="AX31" s="74">
        <f>+GETPIVOTDATA("XKL4",'kimlong (2016)'!$A$3,"MA_HT","DNL","MA_QH","SKX")</f>
        <v>0</v>
      </c>
      <c r="AY31" s="74">
        <f>+GETPIVOTDATA("XKL4",'kimlong (2016)'!$A$3,"MA_HT","DNL","MA_QH","DSH")</f>
        <v>0</v>
      </c>
      <c r="AZ31" s="74">
        <f>+GETPIVOTDATA("XKL4",'kimlong (2016)'!$A$3,"MA_HT","DNL","MA_QH","DKV")</f>
        <v>0</v>
      </c>
      <c r="BA31" s="139">
        <f>+GETPIVOTDATA("XKL4",'kimlong (2016)'!$A$3,"MA_HT","DNL","MA_QH","TIN")</f>
        <v>0</v>
      </c>
      <c r="BB31" s="74">
        <f>+GETPIVOTDATA("XKL4",'kimlong (2016)'!$A$3,"MA_HT","DNL","MA_QH","SON")</f>
        <v>0</v>
      </c>
      <c r="BC31" s="74">
        <f>+GETPIVOTDATA("XKL4",'kimlong (2016)'!$A$3,"MA_HT","DNL","MA_QH","MNC")</f>
        <v>0</v>
      </c>
      <c r="BD31" s="74">
        <f>+GETPIVOTDATA("XKL4",'kimlong (2016)'!$A$3,"MA_HT","DNL","MA_QH","PNK")</f>
        <v>0</v>
      </c>
      <c r="BE31" s="102">
        <f>+GETPIVOTDATA("XKL4",'kimlong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+GETPIVOTDATA("XKL4",'kimlong (2016)'!$A$3,"MA_HT","DBV","MA_QH","LUC")</f>
        <v>0</v>
      </c>
      <c r="H32" s="74">
        <f>+GETPIVOTDATA("XKL4",'kimlong (2016)'!$A$3,"MA_HT","DBV","MA_QH","LUK")</f>
        <v>0</v>
      </c>
      <c r="I32" s="74">
        <f>+GETPIVOTDATA("XKL4",'kimlong (2016)'!$A$3,"MA_HT","DBV","MA_QH","LUN")</f>
        <v>0</v>
      </c>
      <c r="J32" s="74">
        <f>+GETPIVOTDATA("XKL4",'kimlong (2016)'!$A$3,"MA_HT","DBV","MA_QH","HNK")</f>
        <v>0</v>
      </c>
      <c r="K32" s="74">
        <f>+GETPIVOTDATA("XKL4",'kimlong (2016)'!$A$3,"MA_HT","DBV","MA_QH","CLN")</f>
        <v>0</v>
      </c>
      <c r="L32" s="74">
        <f>+GETPIVOTDATA("XKL4",'kimlong (2016)'!$A$3,"MA_HT","DBV","MA_QH","RSX")</f>
        <v>0</v>
      </c>
      <c r="M32" s="74">
        <f>+GETPIVOTDATA("XKL4",'kimlong (2016)'!$A$3,"MA_HT","DBV","MA_QH","RPH")</f>
        <v>0</v>
      </c>
      <c r="N32" s="74">
        <f>+GETPIVOTDATA("XKL4",'kimlong (2016)'!$A$3,"MA_HT","DBV","MA_QH","RDD")</f>
        <v>0</v>
      </c>
      <c r="O32" s="74">
        <f>+GETPIVOTDATA("XKL4",'kimlong (2016)'!$A$3,"MA_HT","DBV","MA_QH","NTS")</f>
        <v>0</v>
      </c>
      <c r="P32" s="74">
        <f>+GETPIVOTDATA("XKL4",'kimlong (2016)'!$A$3,"MA_HT","DBV","MA_QH","LMU")</f>
        <v>0</v>
      </c>
      <c r="Q32" s="74">
        <f>+GETPIVOTDATA("XKL4",'kimlong (2016)'!$A$3,"MA_HT","DBV","MA_QH","NKH")</f>
        <v>0</v>
      </c>
      <c r="R32" s="72">
        <f t="shared" si="20"/>
        <v>0</v>
      </c>
      <c r="S32" s="74">
        <f>+GETPIVOTDATA("XKL4",'kimlong (2016)'!$A$3,"MA_HT","DBV","MA_QH","CQP")</f>
        <v>0</v>
      </c>
      <c r="T32" s="74">
        <f>+GETPIVOTDATA("XKL4",'kimlong (2016)'!$A$3,"MA_HT","DBV","MA_QH","CAN")</f>
        <v>0</v>
      </c>
      <c r="U32" s="74">
        <f>+GETPIVOTDATA("XKL4",'kimlong (2016)'!$A$3,"MA_HT","DBV","MA_QH","SKK")</f>
        <v>0</v>
      </c>
      <c r="V32" s="74">
        <f>+GETPIVOTDATA("XKL4",'kimlong (2016)'!$A$3,"MA_HT","DBV","MA_QH","SKT")</f>
        <v>0</v>
      </c>
      <c r="W32" s="74">
        <f>+GETPIVOTDATA("XKL4",'kimlong (2016)'!$A$3,"MA_HT","DBV","MA_QH","SKN")</f>
        <v>0</v>
      </c>
      <c r="X32" s="74">
        <f>+GETPIVOTDATA("XKL4",'kimlong (2016)'!$A$3,"MA_HT","DBV","MA_QH","TMD")</f>
        <v>0</v>
      </c>
      <c r="Y32" s="74">
        <f>+GETPIVOTDATA("XKL4",'kimlong (2016)'!$A$3,"MA_HT","DBV","MA_QH","SKC")</f>
        <v>0</v>
      </c>
      <c r="Z32" s="74">
        <f>+GETPIVOTDATA("XKL4",'kimlong (2016)'!$A$3,"MA_HT","DBV","MA_QH","SKS")</f>
        <v>0</v>
      </c>
      <c r="AA32" s="64">
        <f>+SUM(AB32:AD32,AF32:AM32)</f>
        <v>0</v>
      </c>
      <c r="AB32" s="74">
        <f>+GETPIVOTDATA("XKL4",'kimlong (2016)'!$A$3,"MA_HT","DBV","MA_QH","DGT")</f>
        <v>0</v>
      </c>
      <c r="AC32" s="74">
        <f>+GETPIVOTDATA("XKL4",'kimlong (2016)'!$A$3,"MA_HT","DBV","MA_QH","DTL")</f>
        <v>0</v>
      </c>
      <c r="AD32" s="74">
        <f>+GETPIVOTDATA("XKL4",'kimlong (2016)'!$A$3,"MA_HT","DBV","MA_QH","DNL")</f>
        <v>0</v>
      </c>
      <c r="AE32" s="100" t="e">
        <f>$D32-$BF32</f>
        <v>#REF!</v>
      </c>
      <c r="AF32" s="74">
        <f>+GETPIVOTDATA("XKL4",'kimlong (2016)'!$A$3,"MA_HT","DBV","MA_QH","DVH")</f>
        <v>0</v>
      </c>
      <c r="AG32" s="74">
        <f>+GETPIVOTDATA("XKL4",'kimlong (2016)'!$A$3,"MA_HT","DBV","MA_QH","DYT")</f>
        <v>0</v>
      </c>
      <c r="AH32" s="74">
        <f>+GETPIVOTDATA("XKL4",'kimlong (2016)'!$A$3,"MA_HT","DBV","MA_QH","DGD")</f>
        <v>0</v>
      </c>
      <c r="AI32" s="74">
        <f>+GETPIVOTDATA("XKL4",'kimlong (2016)'!$A$3,"MA_HT","DBV","MA_QH","DTT")</f>
        <v>0</v>
      </c>
      <c r="AJ32" s="74">
        <f>+GETPIVOTDATA("XKL4",'kimlong (2016)'!$A$3,"MA_HT","DBV","MA_QH","NCK")</f>
        <v>0</v>
      </c>
      <c r="AK32" s="74">
        <f>+GETPIVOTDATA("XKL4",'kimlong (2016)'!$A$3,"MA_HT","DBV","MA_QH","DXH")</f>
        <v>0</v>
      </c>
      <c r="AL32" s="74">
        <f>+GETPIVOTDATA("XKL4",'kimlong (2016)'!$A$3,"MA_HT","DBV","MA_QH","DCH")</f>
        <v>0</v>
      </c>
      <c r="AM32" s="74">
        <f>+GETPIVOTDATA("XKL4",'kimlong (2016)'!$A$3,"MA_HT","DBV","MA_QH","DKG")</f>
        <v>0</v>
      </c>
      <c r="AN32" s="74">
        <f>+GETPIVOTDATA("XKL4",'kimlong (2016)'!$A$3,"MA_HT","DBV","MA_QH","DDT")</f>
        <v>0</v>
      </c>
      <c r="AO32" s="74">
        <f>+GETPIVOTDATA("XKL4",'kimlong (2016)'!$A$3,"MA_HT","DBV","MA_QH","DDL")</f>
        <v>0</v>
      </c>
      <c r="AP32" s="74">
        <f>+GETPIVOTDATA("XKL4",'kimlong (2016)'!$A$3,"MA_HT","DBV","MA_QH","DRA")</f>
        <v>0</v>
      </c>
      <c r="AQ32" s="74">
        <f>+GETPIVOTDATA("XKL4",'kimlong (2016)'!$A$3,"MA_HT","DBV","MA_QH","ONT")</f>
        <v>0</v>
      </c>
      <c r="AR32" s="74">
        <f>+GETPIVOTDATA("XKL4",'kimlong (2016)'!$A$3,"MA_HT","DBV","MA_QH","ODT")</f>
        <v>0</v>
      </c>
      <c r="AS32" s="74">
        <f>+GETPIVOTDATA("XKL4",'kimlong (2016)'!$A$3,"MA_HT","DBV","MA_QH","TSC")</f>
        <v>0</v>
      </c>
      <c r="AT32" s="74">
        <f>+GETPIVOTDATA("XKL4",'kimlong (2016)'!$A$3,"MA_HT","DBV","MA_QH","DTS")</f>
        <v>0</v>
      </c>
      <c r="AU32" s="74">
        <f>+GETPIVOTDATA("XKL4",'kimlong (2016)'!$A$3,"MA_HT","DBV","MA_QH","DNG")</f>
        <v>0</v>
      </c>
      <c r="AV32" s="74">
        <f>+GETPIVOTDATA("XKL4",'kimlong (2016)'!$A$3,"MA_HT","DBV","MA_QH","TON")</f>
        <v>0</v>
      </c>
      <c r="AW32" s="74">
        <f>+GETPIVOTDATA("XKL4",'kimlong (2016)'!$A$3,"MA_HT","DBV","MA_QH","NTD")</f>
        <v>0</v>
      </c>
      <c r="AX32" s="74">
        <f>+GETPIVOTDATA("XKL4",'kimlong (2016)'!$A$3,"MA_HT","DBV","MA_QH","SKX")</f>
        <v>0</v>
      </c>
      <c r="AY32" s="74">
        <f>+GETPIVOTDATA("XKL4",'kimlong (2016)'!$A$3,"MA_HT","DBV","MA_QH","DSH")</f>
        <v>0</v>
      </c>
      <c r="AZ32" s="74">
        <f>+GETPIVOTDATA("XKL4",'kimlong (2016)'!$A$3,"MA_HT","DBV","MA_QH","DKV")</f>
        <v>0</v>
      </c>
      <c r="BA32" s="139">
        <f>+GETPIVOTDATA("XKL4",'kimlong (2016)'!$A$3,"MA_HT","DBV","MA_QH","TIN")</f>
        <v>0</v>
      </c>
      <c r="BB32" s="74">
        <f>+GETPIVOTDATA("XKL4",'kimlong (2016)'!$A$3,"MA_HT","DBV","MA_QH","SON")</f>
        <v>0</v>
      </c>
      <c r="BC32" s="74">
        <f>+GETPIVOTDATA("XKL4",'kimlong (2016)'!$A$3,"MA_HT","DBV","MA_QH","MNC")</f>
        <v>0</v>
      </c>
      <c r="BD32" s="74">
        <f>+GETPIVOTDATA("XKL4",'kimlong (2016)'!$A$3,"MA_HT","DBV","MA_QH","PNK")</f>
        <v>0</v>
      </c>
      <c r="BE32" s="102">
        <f>+GETPIVOTDATA("XKL4",'kimlong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+GETPIVOTDATA("XKL4",'kimlong (2016)'!$A$3,"MA_HT","DVH","MA_QH","LUC")</f>
        <v>0</v>
      </c>
      <c r="H33" s="74">
        <f>+GETPIVOTDATA("XKL4",'kimlong (2016)'!$A$3,"MA_HT","DVH","MA_QH","LUK")</f>
        <v>0</v>
      </c>
      <c r="I33" s="74">
        <f>+GETPIVOTDATA("XKL4",'kimlong (2016)'!$A$3,"MA_HT","DVH","MA_QH","LUN")</f>
        <v>0</v>
      </c>
      <c r="J33" s="74">
        <f>+GETPIVOTDATA("XKL4",'kimlong (2016)'!$A$3,"MA_HT","DVH","MA_QH","HNK")</f>
        <v>0</v>
      </c>
      <c r="K33" s="74">
        <f>+GETPIVOTDATA("XKL4",'kimlong (2016)'!$A$3,"MA_HT","DVH","MA_QH","CLN")</f>
        <v>0</v>
      </c>
      <c r="L33" s="74">
        <f>+GETPIVOTDATA("XKL4",'kimlong (2016)'!$A$3,"MA_HT","DVH","MA_QH","RSX")</f>
        <v>0</v>
      </c>
      <c r="M33" s="74">
        <f>+GETPIVOTDATA("XKL4",'kimlong (2016)'!$A$3,"MA_HT","DVH","MA_QH","RPH")</f>
        <v>0</v>
      </c>
      <c r="N33" s="74">
        <f>+GETPIVOTDATA("XKL4",'kimlong (2016)'!$A$3,"MA_HT","DVH","MA_QH","RDD")</f>
        <v>0</v>
      </c>
      <c r="O33" s="74">
        <f>+GETPIVOTDATA("XKL4",'kimlong (2016)'!$A$3,"MA_HT","DVH","MA_QH","NTS")</f>
        <v>0</v>
      </c>
      <c r="P33" s="74">
        <f>+GETPIVOTDATA("XKL4",'kimlong (2016)'!$A$3,"MA_HT","DVH","MA_QH","LMU")</f>
        <v>0</v>
      </c>
      <c r="Q33" s="74">
        <f>+GETPIVOTDATA("XKL4",'kimlong (2016)'!$A$3,"MA_HT","DVH","MA_QH","NKH")</f>
        <v>0</v>
      </c>
      <c r="R33" s="72">
        <f t="shared" si="20"/>
        <v>0</v>
      </c>
      <c r="S33" s="74">
        <f>+GETPIVOTDATA("XKL4",'kimlong (2016)'!$A$3,"MA_HT","DVH","MA_QH","CQP")</f>
        <v>0</v>
      </c>
      <c r="T33" s="74">
        <f>+GETPIVOTDATA("XKL4",'kimlong (2016)'!$A$3,"MA_HT","DVH","MA_QH","CAN")</f>
        <v>0</v>
      </c>
      <c r="U33" s="74">
        <f>+GETPIVOTDATA("XKL4",'kimlong (2016)'!$A$3,"MA_HT","DVH","MA_QH","SKK")</f>
        <v>0</v>
      </c>
      <c r="V33" s="74">
        <f>+GETPIVOTDATA("XKL4",'kimlong (2016)'!$A$3,"MA_HT","DVH","MA_QH","SKT")</f>
        <v>0</v>
      </c>
      <c r="W33" s="74">
        <f>+GETPIVOTDATA("XKL4",'kimlong (2016)'!$A$3,"MA_HT","DVH","MA_QH","SKN")</f>
        <v>0</v>
      </c>
      <c r="X33" s="74">
        <f>+GETPIVOTDATA("XKL4",'kimlong (2016)'!$A$3,"MA_HT","DVH","MA_QH","TMD")</f>
        <v>0</v>
      </c>
      <c r="Y33" s="74">
        <f>+GETPIVOTDATA("XKL4",'kimlong (2016)'!$A$3,"MA_HT","DVH","MA_QH","SKC")</f>
        <v>0</v>
      </c>
      <c r="Z33" s="74">
        <f>+GETPIVOTDATA("XKL4",'kimlong (2016)'!$A$3,"MA_HT","DVH","MA_QH","SKS")</f>
        <v>0</v>
      </c>
      <c r="AA33" s="64">
        <f>+SUM(AB33:AE33,AG33:AM33)</f>
        <v>0</v>
      </c>
      <c r="AB33" s="74">
        <f>+GETPIVOTDATA("XKL4",'kimlong (2016)'!$A$3,"MA_HT","DVH","MA_QH","DGT")</f>
        <v>0</v>
      </c>
      <c r="AC33" s="74">
        <f>+GETPIVOTDATA("XKL4",'kimlong (2016)'!$A$3,"MA_HT","DVH","MA_QH","DTL")</f>
        <v>0</v>
      </c>
      <c r="AD33" s="74">
        <f>+GETPIVOTDATA("XKL4",'kimlong (2016)'!$A$3,"MA_HT","DVH","MA_QH","DNL")</f>
        <v>0</v>
      </c>
      <c r="AE33" s="74">
        <f>+GETPIVOTDATA("XKL4",'kimlong (2016)'!$A$3,"MA_HT","DVH","MA_QH","DBV")</f>
        <v>0</v>
      </c>
      <c r="AF33" s="100" t="e">
        <f>$D33-$BF33</f>
        <v>#REF!</v>
      </c>
      <c r="AG33" s="74">
        <f>+GETPIVOTDATA("XKL4",'kimlong (2016)'!$A$3,"MA_HT","DVH","MA_QH","DYT")</f>
        <v>0</v>
      </c>
      <c r="AH33" s="74">
        <f>+GETPIVOTDATA("XKL4",'kimlong (2016)'!$A$3,"MA_HT","DVH","MA_QH","DGD")</f>
        <v>0</v>
      </c>
      <c r="AI33" s="74">
        <f>+GETPIVOTDATA("XKL4",'kimlong (2016)'!$A$3,"MA_HT","DVH","MA_QH","DTT")</f>
        <v>0</v>
      </c>
      <c r="AJ33" s="74">
        <f>+GETPIVOTDATA("XKL4",'kimlong (2016)'!$A$3,"MA_HT","DVH","MA_QH","NCK")</f>
        <v>0</v>
      </c>
      <c r="AK33" s="74">
        <f>+GETPIVOTDATA("XKL4",'kimlong (2016)'!$A$3,"MA_HT","DVH","MA_QH","DXH")</f>
        <v>0</v>
      </c>
      <c r="AL33" s="74">
        <f>+GETPIVOTDATA("XKL4",'kimlong (2016)'!$A$3,"MA_HT","DVH","MA_QH","DCH")</f>
        <v>0</v>
      </c>
      <c r="AM33" s="74">
        <f>+GETPIVOTDATA("XKL4",'kimlong (2016)'!$A$3,"MA_HT","DVH","MA_QH","DKG")</f>
        <v>0</v>
      </c>
      <c r="AN33" s="74">
        <f>+GETPIVOTDATA("XKL4",'kimlong (2016)'!$A$3,"MA_HT","DVH","MA_QH","DDT")</f>
        <v>0</v>
      </c>
      <c r="AO33" s="74">
        <f>+GETPIVOTDATA("XKL4",'kimlong (2016)'!$A$3,"MA_HT","DVH","MA_QH","DDL")</f>
        <v>0</v>
      </c>
      <c r="AP33" s="74">
        <f>+GETPIVOTDATA("XKL4",'kimlong (2016)'!$A$3,"MA_HT","DVH","MA_QH","DRA")</f>
        <v>0</v>
      </c>
      <c r="AQ33" s="74">
        <f>+GETPIVOTDATA("XKL4",'kimlong (2016)'!$A$3,"MA_HT","DVH","MA_QH","ONT")</f>
        <v>0</v>
      </c>
      <c r="AR33" s="74">
        <f>+GETPIVOTDATA("XKL4",'kimlong (2016)'!$A$3,"MA_HT","DVH","MA_QH","ODT")</f>
        <v>0</v>
      </c>
      <c r="AS33" s="74">
        <f>+GETPIVOTDATA("XKL4",'kimlong (2016)'!$A$3,"MA_HT","DVH","MA_QH","TSC")</f>
        <v>0</v>
      </c>
      <c r="AT33" s="74">
        <f>+GETPIVOTDATA("XKL4",'kimlong (2016)'!$A$3,"MA_HT","DVH","MA_QH","DTS")</f>
        <v>0</v>
      </c>
      <c r="AU33" s="74">
        <f>+GETPIVOTDATA("XKL4",'kimlong (2016)'!$A$3,"MA_HT","DVH","MA_QH","DNG")</f>
        <v>0</v>
      </c>
      <c r="AV33" s="74">
        <f>+GETPIVOTDATA("XKL4",'kimlong (2016)'!$A$3,"MA_HT","DVH","MA_QH","TON")</f>
        <v>0</v>
      </c>
      <c r="AW33" s="74">
        <f>+GETPIVOTDATA("XKL4",'kimlong (2016)'!$A$3,"MA_HT","DVH","MA_QH","NTD")</f>
        <v>0</v>
      </c>
      <c r="AX33" s="74">
        <f>+GETPIVOTDATA("XKL4",'kimlong (2016)'!$A$3,"MA_HT","DVH","MA_QH","SKX")</f>
        <v>0</v>
      </c>
      <c r="AY33" s="74">
        <f>+GETPIVOTDATA("XKL4",'kimlong (2016)'!$A$3,"MA_HT","DVH","MA_QH","DSH")</f>
        <v>0</v>
      </c>
      <c r="AZ33" s="74">
        <f>+GETPIVOTDATA("XKL4",'kimlong (2016)'!$A$3,"MA_HT","DVH","MA_QH","DKV")</f>
        <v>0</v>
      </c>
      <c r="BA33" s="139">
        <f>+GETPIVOTDATA("XKL4",'kimlong (2016)'!$A$3,"MA_HT","DVH","MA_QH","TIN")</f>
        <v>0</v>
      </c>
      <c r="BB33" s="74">
        <f>+GETPIVOTDATA("XKL4",'kimlong (2016)'!$A$3,"MA_HT","DVH","MA_QH","SON")</f>
        <v>0</v>
      </c>
      <c r="BC33" s="74">
        <f>+GETPIVOTDATA("XKL4",'kimlong (2016)'!$A$3,"MA_HT","DVH","MA_QH","MNC")</f>
        <v>0</v>
      </c>
      <c r="BD33" s="74">
        <f>+GETPIVOTDATA("XKL4",'kimlong (2016)'!$A$3,"MA_HT","DVH","MA_QH","PNK")</f>
        <v>0</v>
      </c>
      <c r="BE33" s="102">
        <f>+GETPIVOTDATA("XKL4",'kimlong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+GETPIVOTDATA("XKL4",'kimlong (2016)'!$A$3,"MA_HT","DYT","MA_QH","LUC")</f>
        <v>0</v>
      </c>
      <c r="H34" s="74">
        <f>+GETPIVOTDATA("XKL4",'kimlong (2016)'!$A$3,"MA_HT","DYT","MA_QH","LUK")</f>
        <v>0</v>
      </c>
      <c r="I34" s="74">
        <f>+GETPIVOTDATA("XKL4",'kimlong (2016)'!$A$3,"MA_HT","DYT","MA_QH","LUN")</f>
        <v>0</v>
      </c>
      <c r="J34" s="74">
        <f>+GETPIVOTDATA("XKL4",'kimlong (2016)'!$A$3,"MA_HT","DYT","MA_QH","HNK")</f>
        <v>0</v>
      </c>
      <c r="K34" s="74">
        <f>+GETPIVOTDATA("XKL4",'kimlong (2016)'!$A$3,"MA_HT","DYT","MA_QH","CLN")</f>
        <v>0</v>
      </c>
      <c r="L34" s="74">
        <f>+GETPIVOTDATA("XKL4",'kimlong (2016)'!$A$3,"MA_HT","DYT","MA_QH","RSX")</f>
        <v>0</v>
      </c>
      <c r="M34" s="74">
        <f>+GETPIVOTDATA("XKL4",'kimlong (2016)'!$A$3,"MA_HT","DYT","MA_QH","RPH")</f>
        <v>0</v>
      </c>
      <c r="N34" s="74">
        <f>+GETPIVOTDATA("XKL4",'kimlong (2016)'!$A$3,"MA_HT","DYT","MA_QH","RDD")</f>
        <v>0</v>
      </c>
      <c r="O34" s="74">
        <f>+GETPIVOTDATA("XKL4",'kimlong (2016)'!$A$3,"MA_HT","DYT","MA_QH","NTS")</f>
        <v>0</v>
      </c>
      <c r="P34" s="74">
        <f>+GETPIVOTDATA("XKL4",'kimlong (2016)'!$A$3,"MA_HT","DYT","MA_QH","LMU")</f>
        <v>0</v>
      </c>
      <c r="Q34" s="74">
        <f>+GETPIVOTDATA("XKL4",'kimlong (2016)'!$A$3,"MA_HT","DYT","MA_QH","NKH")</f>
        <v>0</v>
      </c>
      <c r="R34" s="72">
        <f t="shared" si="20"/>
        <v>0</v>
      </c>
      <c r="S34" s="74">
        <f>+GETPIVOTDATA("XKL4",'kimlong (2016)'!$A$3,"MA_HT","DYT","MA_QH","CQP")</f>
        <v>0</v>
      </c>
      <c r="T34" s="74">
        <f>+GETPIVOTDATA("XKL4",'kimlong (2016)'!$A$3,"MA_HT","DYT","MA_QH","CAN")</f>
        <v>0</v>
      </c>
      <c r="U34" s="74">
        <f>+GETPIVOTDATA("XKL4",'kimlong (2016)'!$A$3,"MA_HT","DYT","MA_QH","SKK")</f>
        <v>0</v>
      </c>
      <c r="V34" s="74">
        <f>+GETPIVOTDATA("XKL4",'kimlong (2016)'!$A$3,"MA_HT","DYT","MA_QH","SKT")</f>
        <v>0</v>
      </c>
      <c r="W34" s="74">
        <f>+GETPIVOTDATA("XKL4",'kimlong (2016)'!$A$3,"MA_HT","DYT","MA_QH","SKN")</f>
        <v>0</v>
      </c>
      <c r="X34" s="74">
        <f>+GETPIVOTDATA("XKL4",'kimlong (2016)'!$A$3,"MA_HT","DYT","MA_QH","TMD")</f>
        <v>0</v>
      </c>
      <c r="Y34" s="74">
        <f>+GETPIVOTDATA("XKL4",'kimlong (2016)'!$A$3,"MA_HT","DYT","MA_QH","SKC")</f>
        <v>0</v>
      </c>
      <c r="Z34" s="74">
        <f>+GETPIVOTDATA("XKL4",'kimlong (2016)'!$A$3,"MA_HT","DYT","MA_QH","SKS")</f>
        <v>0</v>
      </c>
      <c r="AA34" s="64">
        <f>+SUM(AB34:AF34,AH34:AM34)</f>
        <v>0</v>
      </c>
      <c r="AB34" s="74">
        <f>+GETPIVOTDATA("XKL4",'kimlong (2016)'!$A$3,"MA_HT","DYT","MA_QH","DGT")</f>
        <v>0</v>
      </c>
      <c r="AC34" s="74">
        <f>+GETPIVOTDATA("XKL4",'kimlong (2016)'!$A$3,"MA_HT","DYT","MA_QH","DTL")</f>
        <v>0</v>
      </c>
      <c r="AD34" s="74">
        <f>+GETPIVOTDATA("XKL4",'kimlong (2016)'!$A$3,"MA_HT","DYT","MA_QH","DNL")</f>
        <v>0</v>
      </c>
      <c r="AE34" s="74">
        <f>+GETPIVOTDATA("XKL4",'kimlong (2016)'!$A$3,"MA_HT","DYT","MA_QH","DBV")</f>
        <v>0</v>
      </c>
      <c r="AF34" s="74">
        <f>+GETPIVOTDATA("XKL4",'kimlong (2016)'!$A$3,"MA_HT","DYT","MA_QH","DVH")</f>
        <v>0</v>
      </c>
      <c r="AG34" s="100" t="e">
        <f>$D34-$BF34</f>
        <v>#REF!</v>
      </c>
      <c r="AH34" s="74">
        <f>+GETPIVOTDATA("XKL4",'kimlong (2016)'!$A$3,"MA_HT","DYT","MA_QH","DGD")</f>
        <v>0</v>
      </c>
      <c r="AI34" s="74">
        <f>+GETPIVOTDATA("XKL4",'kimlong (2016)'!$A$3,"MA_HT","DYT","MA_QH","DTT")</f>
        <v>0</v>
      </c>
      <c r="AJ34" s="74">
        <f>+GETPIVOTDATA("XKL4",'kimlong (2016)'!$A$3,"MA_HT","DYT","MA_QH","NCK")</f>
        <v>0</v>
      </c>
      <c r="AK34" s="74">
        <f>+GETPIVOTDATA("XKL4",'kimlong (2016)'!$A$3,"MA_HT","DYT","MA_QH","DXH")</f>
        <v>0</v>
      </c>
      <c r="AL34" s="74">
        <f>+GETPIVOTDATA("XKL4",'kimlong (2016)'!$A$3,"MA_HT","DYT","MA_QH","DCH")</f>
        <v>0</v>
      </c>
      <c r="AM34" s="74">
        <f>+GETPIVOTDATA("XKL4",'kimlong (2016)'!$A$3,"MA_HT","DYT","MA_QH","DKG")</f>
        <v>0</v>
      </c>
      <c r="AN34" s="74">
        <f>+GETPIVOTDATA("XKL4",'kimlong (2016)'!$A$3,"MA_HT","DYT","MA_QH","DDT")</f>
        <v>0</v>
      </c>
      <c r="AO34" s="74">
        <f>+GETPIVOTDATA("XKL4",'kimlong (2016)'!$A$3,"MA_HT","DYT","MA_QH","DDL")</f>
        <v>0</v>
      </c>
      <c r="AP34" s="74">
        <f>+GETPIVOTDATA("XKL4",'kimlong (2016)'!$A$3,"MA_HT","DYT","MA_QH","DRA")</f>
        <v>0</v>
      </c>
      <c r="AQ34" s="74">
        <f>+GETPIVOTDATA("XKL4",'kimlong (2016)'!$A$3,"MA_HT","DYT","MA_QH","ONT")</f>
        <v>0</v>
      </c>
      <c r="AR34" s="74">
        <f>+GETPIVOTDATA("XKL4",'kimlong (2016)'!$A$3,"MA_HT","DYT","MA_QH","ODT")</f>
        <v>0</v>
      </c>
      <c r="AS34" s="74">
        <f>+GETPIVOTDATA("XKL4",'kimlong (2016)'!$A$3,"MA_HT","DYT","MA_QH","TSC")</f>
        <v>0</v>
      </c>
      <c r="AT34" s="74">
        <f>+GETPIVOTDATA("XKL4",'kimlong (2016)'!$A$3,"MA_HT","DYT","MA_QH","DTS")</f>
        <v>0</v>
      </c>
      <c r="AU34" s="74">
        <f>+GETPIVOTDATA("XKL4",'kimlong (2016)'!$A$3,"MA_HT","DYT","MA_QH","DNG")</f>
        <v>0</v>
      </c>
      <c r="AV34" s="74">
        <f>+GETPIVOTDATA("XKL4",'kimlong (2016)'!$A$3,"MA_HT","DYT","MA_QH","TON")</f>
        <v>0</v>
      </c>
      <c r="AW34" s="74">
        <f>+GETPIVOTDATA("XKL4",'kimlong (2016)'!$A$3,"MA_HT","DYT","MA_QH","NTD")</f>
        <v>0</v>
      </c>
      <c r="AX34" s="74">
        <f>+GETPIVOTDATA("XKL4",'kimlong (2016)'!$A$3,"MA_HT","DYT","MA_QH","SKX")</f>
        <v>0</v>
      </c>
      <c r="AY34" s="74">
        <f>+GETPIVOTDATA("XKL4",'kimlong (2016)'!$A$3,"MA_HT","DYT","MA_QH","DSH")</f>
        <v>0</v>
      </c>
      <c r="AZ34" s="74">
        <f>+GETPIVOTDATA("XKL4",'kimlong (2016)'!$A$3,"MA_HT","DYT","MA_QH","DKV")</f>
        <v>0</v>
      </c>
      <c r="BA34" s="139">
        <f>+GETPIVOTDATA("XKL4",'kimlong (2016)'!$A$3,"MA_HT","DYT","MA_QH","TIN")</f>
        <v>0</v>
      </c>
      <c r="BB34" s="74">
        <f>+GETPIVOTDATA("XKL4",'kimlong (2016)'!$A$3,"MA_HT","DYT","MA_QH","SON")</f>
        <v>0</v>
      </c>
      <c r="BC34" s="74">
        <f>+GETPIVOTDATA("XKL4",'kimlong (2016)'!$A$3,"MA_HT","DYT","MA_QH","MNC")</f>
        <v>0</v>
      </c>
      <c r="BD34" s="74">
        <f>+GETPIVOTDATA("XKL4",'kimlong (2016)'!$A$3,"MA_HT","DYT","MA_QH","PNK")</f>
        <v>0</v>
      </c>
      <c r="BE34" s="102">
        <f>+GETPIVOTDATA("XKL4",'kimlong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+GETPIVOTDATA("XKL4",'kimlong (2016)'!$A$3,"MA_HT","DGD","MA_QH","LUC")</f>
        <v>0</v>
      </c>
      <c r="H35" s="74">
        <f>+GETPIVOTDATA("XKL4",'kimlong (2016)'!$A$3,"MA_HT","DGD","MA_QH","LUK")</f>
        <v>0</v>
      </c>
      <c r="I35" s="74">
        <f>+GETPIVOTDATA("XKL4",'kimlong (2016)'!$A$3,"MA_HT","DGD","MA_QH","LUN")</f>
        <v>0</v>
      </c>
      <c r="J35" s="74">
        <f>+GETPIVOTDATA("XKL4",'kimlong (2016)'!$A$3,"MA_HT","DGD","MA_QH","HNK")</f>
        <v>0</v>
      </c>
      <c r="K35" s="74">
        <f>+GETPIVOTDATA("XKL4",'kimlong (2016)'!$A$3,"MA_HT","DGD","MA_QH","CLN")</f>
        <v>0</v>
      </c>
      <c r="L35" s="74">
        <f>+GETPIVOTDATA("XKL4",'kimlong (2016)'!$A$3,"MA_HT","DGD","MA_QH","RSX")</f>
        <v>0</v>
      </c>
      <c r="M35" s="74">
        <f>+GETPIVOTDATA("XKL4",'kimlong (2016)'!$A$3,"MA_HT","DGD","MA_QH","RPH")</f>
        <v>0</v>
      </c>
      <c r="N35" s="74">
        <f>+GETPIVOTDATA("XKL4",'kimlong (2016)'!$A$3,"MA_HT","DGD","MA_QH","RDD")</f>
        <v>0</v>
      </c>
      <c r="O35" s="74">
        <f>+GETPIVOTDATA("XKL4",'kimlong (2016)'!$A$3,"MA_HT","DGD","MA_QH","NTS")</f>
        <v>0</v>
      </c>
      <c r="P35" s="74">
        <f>+GETPIVOTDATA("XKL4",'kimlong (2016)'!$A$3,"MA_HT","DGD","MA_QH","LMU")</f>
        <v>0</v>
      </c>
      <c r="Q35" s="74">
        <f>+GETPIVOTDATA("XKL4",'kimlong (2016)'!$A$3,"MA_HT","DGD","MA_QH","NKH")</f>
        <v>0</v>
      </c>
      <c r="R35" s="72">
        <f t="shared" si="20"/>
        <v>0</v>
      </c>
      <c r="S35" s="74">
        <f>+GETPIVOTDATA("XKL4",'kimlong (2016)'!$A$3,"MA_HT","DGD","MA_QH","CQP")</f>
        <v>0</v>
      </c>
      <c r="T35" s="74">
        <f>+GETPIVOTDATA("XKL4",'kimlong (2016)'!$A$3,"MA_HT","DGD","MA_QH","CAN")</f>
        <v>0</v>
      </c>
      <c r="U35" s="74">
        <f>+GETPIVOTDATA("XKL4",'kimlong (2016)'!$A$3,"MA_HT","DGD","MA_QH","SKK")</f>
        <v>0</v>
      </c>
      <c r="V35" s="74">
        <f>+GETPIVOTDATA("XKL4",'kimlong (2016)'!$A$3,"MA_HT","DGD","MA_QH","SKT")</f>
        <v>0</v>
      </c>
      <c r="W35" s="74">
        <f>+GETPIVOTDATA("XKL4",'kimlong (2016)'!$A$3,"MA_HT","DGD","MA_QH","SKN")</f>
        <v>0</v>
      </c>
      <c r="X35" s="74">
        <f>+GETPIVOTDATA("XKL4",'kimlong (2016)'!$A$3,"MA_HT","DGD","MA_QH","TMD")</f>
        <v>0</v>
      </c>
      <c r="Y35" s="74">
        <f>+GETPIVOTDATA("XKL4",'kimlong (2016)'!$A$3,"MA_HT","DGD","MA_QH","SKC")</f>
        <v>0</v>
      </c>
      <c r="Z35" s="74">
        <f>+GETPIVOTDATA("XKL4",'kimlong (2016)'!$A$3,"MA_HT","DGD","MA_QH","SKS")</f>
        <v>0</v>
      </c>
      <c r="AA35" s="64">
        <f>+SUM(AB35:AG35,AI35:AM35)</f>
        <v>0</v>
      </c>
      <c r="AB35" s="74">
        <f>+GETPIVOTDATA("XKL4",'kimlong (2016)'!$A$3,"MA_HT","DGD","MA_QH","DGT")</f>
        <v>0</v>
      </c>
      <c r="AC35" s="74">
        <f>+GETPIVOTDATA("XKL4",'kimlong (2016)'!$A$3,"MA_HT","DGD","MA_QH","DTL")</f>
        <v>0</v>
      </c>
      <c r="AD35" s="74">
        <f>+GETPIVOTDATA("XKL4",'kimlong (2016)'!$A$3,"MA_HT","DGD","MA_QH","DNL")</f>
        <v>0</v>
      </c>
      <c r="AE35" s="74">
        <f>+GETPIVOTDATA("XKL4",'kimlong (2016)'!$A$3,"MA_HT","DGD","MA_QH","DBV")</f>
        <v>0</v>
      </c>
      <c r="AF35" s="74">
        <f>+GETPIVOTDATA("XKL4",'kimlong (2016)'!$A$3,"MA_HT","DGD","MA_QH","DVH")</f>
        <v>0</v>
      </c>
      <c r="AG35" s="74">
        <f>+GETPIVOTDATA("XKL4",'kimlong (2016)'!$A$3,"MA_HT","DGD","MA_QH","DYT")</f>
        <v>0</v>
      </c>
      <c r="AH35" s="100" t="e">
        <f>$D35-$BF35</f>
        <v>#REF!</v>
      </c>
      <c r="AI35" s="74">
        <f>+GETPIVOTDATA("XKL4",'kimlong (2016)'!$A$3,"MA_HT","DGD","MA_QH","DTT")</f>
        <v>0</v>
      </c>
      <c r="AJ35" s="74">
        <f>+GETPIVOTDATA("XKL4",'kimlong (2016)'!$A$3,"MA_HT","DGD","MA_QH","NCK")</f>
        <v>0</v>
      </c>
      <c r="AK35" s="74">
        <f>+GETPIVOTDATA("XKL4",'kimlong (2016)'!$A$3,"MA_HT","DGD","MA_QH","DXH")</f>
        <v>0</v>
      </c>
      <c r="AL35" s="74">
        <f>+GETPIVOTDATA("XKL4",'kimlong (2016)'!$A$3,"MA_HT","DGD","MA_QH","DCH")</f>
        <v>0</v>
      </c>
      <c r="AM35" s="74">
        <f>+GETPIVOTDATA("XKL4",'kimlong (2016)'!$A$3,"MA_HT","DGD","MA_QH","DKG")</f>
        <v>0</v>
      </c>
      <c r="AN35" s="74">
        <f>+GETPIVOTDATA("XKL4",'kimlong (2016)'!$A$3,"MA_HT","DGD","MA_QH","DDT")</f>
        <v>0</v>
      </c>
      <c r="AO35" s="74">
        <f>+GETPIVOTDATA("XKL4",'kimlong (2016)'!$A$3,"MA_HT","DGD","MA_QH","DDL")</f>
        <v>0</v>
      </c>
      <c r="AP35" s="74">
        <f>+GETPIVOTDATA("XKL4",'kimlong (2016)'!$A$3,"MA_HT","DGD","MA_QH","DRA")</f>
        <v>0</v>
      </c>
      <c r="AQ35" s="74">
        <f>+GETPIVOTDATA("XKL4",'kimlong (2016)'!$A$3,"MA_HT","DGD","MA_QH","ONT")</f>
        <v>0</v>
      </c>
      <c r="AR35" s="74">
        <f>+GETPIVOTDATA("XKL4",'kimlong (2016)'!$A$3,"MA_HT","DGD","MA_QH","ODT")</f>
        <v>0</v>
      </c>
      <c r="AS35" s="74">
        <f>+GETPIVOTDATA("XKL4",'kimlong (2016)'!$A$3,"MA_HT","DGD","MA_QH","TSC")</f>
        <v>0</v>
      </c>
      <c r="AT35" s="74">
        <f>+GETPIVOTDATA("XKL4",'kimlong (2016)'!$A$3,"MA_HT","DGD","MA_QH","DTS")</f>
        <v>0</v>
      </c>
      <c r="AU35" s="74">
        <f>+GETPIVOTDATA("XKL4",'kimlong (2016)'!$A$3,"MA_HT","DGD","MA_QH","DNG")</f>
        <v>0</v>
      </c>
      <c r="AV35" s="74">
        <f>+GETPIVOTDATA("XKL4",'kimlong (2016)'!$A$3,"MA_HT","DGD","MA_QH","TON")</f>
        <v>0</v>
      </c>
      <c r="AW35" s="74">
        <f>+GETPIVOTDATA("XKL4",'kimlong (2016)'!$A$3,"MA_HT","DGD","MA_QH","NTD")</f>
        <v>0</v>
      </c>
      <c r="AX35" s="74">
        <f>+GETPIVOTDATA("XKL4",'kimlong (2016)'!$A$3,"MA_HT","DGD","MA_QH","SKX")</f>
        <v>0</v>
      </c>
      <c r="AY35" s="74">
        <f>+GETPIVOTDATA("XKL4",'kimlong (2016)'!$A$3,"MA_HT","DGD","MA_QH","DSH")</f>
        <v>0</v>
      </c>
      <c r="AZ35" s="74">
        <f>+GETPIVOTDATA("XKL4",'kimlong (2016)'!$A$3,"MA_HT","DGD","MA_QH","DKV")</f>
        <v>0</v>
      </c>
      <c r="BA35" s="139">
        <f>+GETPIVOTDATA("XKL4",'kimlong (2016)'!$A$3,"MA_HT","DGD","MA_QH","TIN")</f>
        <v>0</v>
      </c>
      <c r="BB35" s="74">
        <f>+GETPIVOTDATA("XKL4",'kimlong (2016)'!$A$3,"MA_HT","DGD","MA_QH","SON")</f>
        <v>0</v>
      </c>
      <c r="BC35" s="74">
        <f>+GETPIVOTDATA("XKL4",'kimlong (2016)'!$A$3,"MA_HT","DGD","MA_QH","MNC")</f>
        <v>0</v>
      </c>
      <c r="BD35" s="74">
        <f>+GETPIVOTDATA("XKL4",'kimlong (2016)'!$A$3,"MA_HT","DGD","MA_QH","PNK")</f>
        <v>0</v>
      </c>
      <c r="BE35" s="102">
        <f>+GETPIVOTDATA("XKL4",'kimlong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+GETPIVOTDATA("XKL4",'kimlong (2016)'!$A$3,"MA_HT","DTT","MA_QH","LUC")</f>
        <v>0</v>
      </c>
      <c r="H36" s="74">
        <f>+GETPIVOTDATA("XKL4",'kimlong (2016)'!$A$3,"MA_HT","DTT","MA_QH","LUK")</f>
        <v>0</v>
      </c>
      <c r="I36" s="74">
        <f>+GETPIVOTDATA("XKL4",'kimlong (2016)'!$A$3,"MA_HT","DTT","MA_QH","LUN")</f>
        <v>0</v>
      </c>
      <c r="J36" s="74">
        <f>+GETPIVOTDATA("XKL4",'kimlong (2016)'!$A$3,"MA_HT","DTT","MA_QH","HNK")</f>
        <v>0</v>
      </c>
      <c r="K36" s="74">
        <f>+GETPIVOTDATA("XKL4",'kimlong (2016)'!$A$3,"MA_HT","DTT","MA_QH","CLN")</f>
        <v>0</v>
      </c>
      <c r="L36" s="74">
        <f>+GETPIVOTDATA("XKL4",'kimlong (2016)'!$A$3,"MA_HT","DTT","MA_QH","RSX")</f>
        <v>0</v>
      </c>
      <c r="M36" s="74">
        <f>+GETPIVOTDATA("XKL4",'kimlong (2016)'!$A$3,"MA_HT","DTT","MA_QH","RPH")</f>
        <v>0</v>
      </c>
      <c r="N36" s="74">
        <f>+GETPIVOTDATA("XKL4",'kimlong (2016)'!$A$3,"MA_HT","DTT","MA_QH","RDD")</f>
        <v>0</v>
      </c>
      <c r="O36" s="74">
        <f>+GETPIVOTDATA("XKL4",'kimlong (2016)'!$A$3,"MA_HT","DTT","MA_QH","NTS")</f>
        <v>0</v>
      </c>
      <c r="P36" s="74">
        <f>+GETPIVOTDATA("XKL4",'kimlong (2016)'!$A$3,"MA_HT","DTT","MA_QH","LMU")</f>
        <v>0</v>
      </c>
      <c r="Q36" s="74">
        <f>+GETPIVOTDATA("XKL4",'kimlong (2016)'!$A$3,"MA_HT","DTT","MA_QH","NKH")</f>
        <v>0</v>
      </c>
      <c r="R36" s="72">
        <f>SUM(S36:AA36,AN36:BD36)</f>
        <v>0</v>
      </c>
      <c r="S36" s="74">
        <f>+GETPIVOTDATA("XKL4",'kimlong (2016)'!$A$3,"MA_HT","DTT","MA_QH","CQP")</f>
        <v>0</v>
      </c>
      <c r="T36" s="74">
        <f>+GETPIVOTDATA("XKL4",'kimlong (2016)'!$A$3,"MA_HT","DTT","MA_QH","CAN")</f>
        <v>0</v>
      </c>
      <c r="U36" s="74">
        <f>+GETPIVOTDATA("XKL4",'kimlong (2016)'!$A$3,"MA_HT","DTT","MA_QH","SKK")</f>
        <v>0</v>
      </c>
      <c r="V36" s="74">
        <f>+GETPIVOTDATA("XKL4",'kimlong (2016)'!$A$3,"MA_HT","DTT","MA_QH","SKT")</f>
        <v>0</v>
      </c>
      <c r="W36" s="74">
        <f>+GETPIVOTDATA("XKL4",'kimlong (2016)'!$A$3,"MA_HT","DTT","MA_QH","SKN")</f>
        <v>0</v>
      </c>
      <c r="X36" s="74">
        <f>+GETPIVOTDATA("XKL4",'kimlong (2016)'!$A$3,"MA_HT","DTT","MA_QH","TMD")</f>
        <v>0</v>
      </c>
      <c r="Y36" s="74">
        <f>+GETPIVOTDATA("XKL4",'kimlong (2016)'!$A$3,"MA_HT","DTT","MA_QH","SKC")</f>
        <v>0</v>
      </c>
      <c r="Z36" s="74">
        <f>+GETPIVOTDATA("XKL4",'kimlong (2016)'!$A$3,"MA_HT","DTT","MA_QH","SKS")</f>
        <v>0</v>
      </c>
      <c r="AA36" s="64">
        <f>+SUM(AB36:AH36,AJ36:AM36)</f>
        <v>0</v>
      </c>
      <c r="AB36" s="74">
        <f>+GETPIVOTDATA("XKL4",'kimlong (2016)'!$A$3,"MA_HT","DTT","MA_QH","DGT")</f>
        <v>0</v>
      </c>
      <c r="AC36" s="74">
        <f>+GETPIVOTDATA("XKL4",'kimlong (2016)'!$A$3,"MA_HT","DTT","MA_QH","DTL")</f>
        <v>0</v>
      </c>
      <c r="AD36" s="74">
        <f>+GETPIVOTDATA("XKL4",'kimlong (2016)'!$A$3,"MA_HT","DTT","MA_QH","DNL")</f>
        <v>0</v>
      </c>
      <c r="AE36" s="74">
        <f>+GETPIVOTDATA("XKL4",'kimlong (2016)'!$A$3,"MA_HT","DTT","MA_QH","DBV")</f>
        <v>0</v>
      </c>
      <c r="AF36" s="74">
        <f>+GETPIVOTDATA("XKL4",'kimlong (2016)'!$A$3,"MA_HT","DTT","MA_QH","DVH")</f>
        <v>0</v>
      </c>
      <c r="AG36" s="74">
        <f>+GETPIVOTDATA("XKL4",'kimlong (2016)'!$A$3,"MA_HT","DTT","MA_QH","DYT")</f>
        <v>0</v>
      </c>
      <c r="AH36" s="74">
        <f>+GETPIVOTDATA("XKL4",'kimlong (2016)'!$A$3,"MA_HT","DTT","MA_QH","DGD")</f>
        <v>0</v>
      </c>
      <c r="AI36" s="100" t="e">
        <f>$D36-$BF36</f>
        <v>#REF!</v>
      </c>
      <c r="AJ36" s="74">
        <f>+GETPIVOTDATA("XKL4",'kimlong (2016)'!$A$3,"MA_HT","DTT","MA_QH","NCK")</f>
        <v>0</v>
      </c>
      <c r="AK36" s="74">
        <f>+GETPIVOTDATA("XKL4",'kimlong (2016)'!$A$3,"MA_HT","DTT","MA_QH","DXH")</f>
        <v>0</v>
      </c>
      <c r="AL36" s="74">
        <f>+GETPIVOTDATA("XKL4",'kimlong (2016)'!$A$3,"MA_HT","DTT","MA_QH","DCH")</f>
        <v>0</v>
      </c>
      <c r="AM36" s="74">
        <f>+GETPIVOTDATA("XKL4",'kimlong (2016)'!$A$3,"MA_HT","DTT","MA_QH","DKG")</f>
        <v>0</v>
      </c>
      <c r="AN36" s="74">
        <f>+GETPIVOTDATA("XKL4",'kimlong (2016)'!$A$3,"MA_HT","DTT","MA_QH","DDT")</f>
        <v>0</v>
      </c>
      <c r="AO36" s="74">
        <f>+GETPIVOTDATA("XKL4",'kimlong (2016)'!$A$3,"MA_HT","DTT","MA_QH","DDL")</f>
        <v>0</v>
      </c>
      <c r="AP36" s="74">
        <f>+GETPIVOTDATA("XKL4",'kimlong (2016)'!$A$3,"MA_HT","DTT","MA_QH","DRA")</f>
        <v>0</v>
      </c>
      <c r="AQ36" s="74">
        <f>+GETPIVOTDATA("XKL4",'kimlong (2016)'!$A$3,"MA_HT","DTT","MA_QH","ONT")</f>
        <v>0</v>
      </c>
      <c r="AR36" s="74">
        <f>+GETPIVOTDATA("XKL4",'kimlong (2016)'!$A$3,"MA_HT","DTT","MA_QH","ODT")</f>
        <v>0</v>
      </c>
      <c r="AS36" s="74">
        <f>+GETPIVOTDATA("XKL4",'kimlong (2016)'!$A$3,"MA_HT","DTT","MA_QH","TSC")</f>
        <v>0</v>
      </c>
      <c r="AT36" s="74">
        <f>+GETPIVOTDATA("XKL4",'kimlong (2016)'!$A$3,"MA_HT","DTT","MA_QH","DTS")</f>
        <v>0</v>
      </c>
      <c r="AU36" s="74">
        <f>+GETPIVOTDATA("XKL4",'kimlong (2016)'!$A$3,"MA_HT","DTT","MA_QH","DNG")</f>
        <v>0</v>
      </c>
      <c r="AV36" s="74">
        <f>+GETPIVOTDATA("XKL4",'kimlong (2016)'!$A$3,"MA_HT","DTT","MA_QH","TON")</f>
        <v>0</v>
      </c>
      <c r="AW36" s="74">
        <f>+GETPIVOTDATA("XKL4",'kimlong (2016)'!$A$3,"MA_HT","DTT","MA_QH","NTD")</f>
        <v>0</v>
      </c>
      <c r="AX36" s="74">
        <f>+GETPIVOTDATA("XKL4",'kimlong (2016)'!$A$3,"MA_HT","DTT","MA_QH","SKX")</f>
        <v>0</v>
      </c>
      <c r="AY36" s="74">
        <f>+GETPIVOTDATA("XKL4",'kimlong (2016)'!$A$3,"MA_HT","DTT","MA_QH","DSH")</f>
        <v>0</v>
      </c>
      <c r="AZ36" s="74">
        <f>+GETPIVOTDATA("XKL4",'kimlong (2016)'!$A$3,"MA_HT","DTT","MA_QH","DKV")</f>
        <v>0</v>
      </c>
      <c r="BA36" s="139">
        <f>+GETPIVOTDATA("XKL4",'kimlong (2016)'!$A$3,"MA_HT","DTT","MA_QH","TIN")</f>
        <v>0</v>
      </c>
      <c r="BB36" s="74">
        <f>+GETPIVOTDATA("XKL4",'kimlong (2016)'!$A$3,"MA_HT","DTT","MA_QH","SON")</f>
        <v>0</v>
      </c>
      <c r="BC36" s="74">
        <f>+GETPIVOTDATA("XKL4",'kimlong (2016)'!$A$3,"MA_HT","DTT","MA_QH","MNC")</f>
        <v>0</v>
      </c>
      <c r="BD36" s="74">
        <f>+GETPIVOTDATA("XKL4",'kimlong (2016)'!$A$3,"MA_HT","DTT","MA_QH","PNK")</f>
        <v>0</v>
      </c>
      <c r="BE36" s="102">
        <f>+GETPIVOTDATA("XKL4",'kimlong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+GETPIVOTDATA("XKL4",'kimlong (2016)'!$A$3,"MA_HT","NCK","MA_QH","LUC")</f>
        <v>0</v>
      </c>
      <c r="H37" s="74">
        <f>+GETPIVOTDATA("XKL4",'kimlong (2016)'!$A$3,"MA_HT","NCK","MA_QH","LUK")</f>
        <v>0</v>
      </c>
      <c r="I37" s="74">
        <f>+GETPIVOTDATA("XKL4",'kimlong (2016)'!$A$3,"MA_HT","NCK","MA_QH","LUN")</f>
        <v>0</v>
      </c>
      <c r="J37" s="74">
        <f>+GETPIVOTDATA("XKL4",'kimlong (2016)'!$A$3,"MA_HT","NCK","MA_QH","HNK")</f>
        <v>0</v>
      </c>
      <c r="K37" s="74">
        <f>+GETPIVOTDATA("XKL4",'kimlong (2016)'!$A$3,"MA_HT","NCK","MA_QH","CLN")</f>
        <v>0</v>
      </c>
      <c r="L37" s="74">
        <f>+GETPIVOTDATA("XKL4",'kimlong (2016)'!$A$3,"MA_HT","NCK","MA_QH","RSX")</f>
        <v>0</v>
      </c>
      <c r="M37" s="74">
        <f>+GETPIVOTDATA("XKL4",'kimlong (2016)'!$A$3,"MA_HT","NCK","MA_QH","RPH")</f>
        <v>0</v>
      </c>
      <c r="N37" s="74">
        <f>+GETPIVOTDATA("XKL4",'kimlong (2016)'!$A$3,"MA_HT","NCK","MA_QH","RDD")</f>
        <v>0</v>
      </c>
      <c r="O37" s="74">
        <f>+GETPIVOTDATA("XKL4",'kimlong (2016)'!$A$3,"MA_HT","NCK","MA_QH","NTS")</f>
        <v>0</v>
      </c>
      <c r="P37" s="74">
        <f>+GETPIVOTDATA("XKL4",'kimlong (2016)'!$A$3,"MA_HT","NCK","MA_QH","LMU")</f>
        <v>0</v>
      </c>
      <c r="Q37" s="74">
        <f>+GETPIVOTDATA("XKL4",'kimlong (2016)'!$A$3,"MA_HT","NCK","MA_QH","NKH")</f>
        <v>0</v>
      </c>
      <c r="R37" s="72">
        <f t="shared" si="20"/>
        <v>0</v>
      </c>
      <c r="S37" s="74">
        <f>+GETPIVOTDATA("XKL4",'kimlong (2016)'!$A$3,"MA_HT","NCK","MA_QH","CQP")</f>
        <v>0</v>
      </c>
      <c r="T37" s="74">
        <f>+GETPIVOTDATA("XKL4",'kimlong (2016)'!$A$3,"MA_HT","NCK","MA_QH","CAN")</f>
        <v>0</v>
      </c>
      <c r="U37" s="74">
        <f>+GETPIVOTDATA("XKL4",'kimlong (2016)'!$A$3,"MA_HT","NCK","MA_QH","SKK")</f>
        <v>0</v>
      </c>
      <c r="V37" s="74">
        <f>+GETPIVOTDATA("XKL4",'kimlong (2016)'!$A$3,"MA_HT","NCK","MA_QH","SKT")</f>
        <v>0</v>
      </c>
      <c r="W37" s="74">
        <f>+GETPIVOTDATA("XKL4",'kimlong (2016)'!$A$3,"MA_HT","NCK","MA_QH","SKN")</f>
        <v>0</v>
      </c>
      <c r="X37" s="74">
        <f>+GETPIVOTDATA("XKL4",'kimlong (2016)'!$A$3,"MA_HT","NCK","MA_QH","TMD")</f>
        <v>0</v>
      </c>
      <c r="Y37" s="74">
        <f>+GETPIVOTDATA("XKL4",'kimlong (2016)'!$A$3,"MA_HT","NCK","MA_QH","SKC")</f>
        <v>0</v>
      </c>
      <c r="Z37" s="74">
        <f>+GETPIVOTDATA("XKL4",'kimlong (2016)'!$A$3,"MA_HT","NCK","MA_QH","SKS")</f>
        <v>0</v>
      </c>
      <c r="AA37" s="64">
        <f>+SUM(AB37:AI37,AK37:AM37)</f>
        <v>0</v>
      </c>
      <c r="AB37" s="74">
        <f>+GETPIVOTDATA("XKL4",'kimlong (2016)'!$A$3,"MA_HT","NCK","MA_QH","DGT")</f>
        <v>0</v>
      </c>
      <c r="AC37" s="74">
        <f>+GETPIVOTDATA("XKL4",'kimlong (2016)'!$A$3,"MA_HT","NCK","MA_QH","DTL")</f>
        <v>0</v>
      </c>
      <c r="AD37" s="74">
        <f>+GETPIVOTDATA("XKL4",'kimlong (2016)'!$A$3,"MA_HT","NCK","MA_QH","DNL")</f>
        <v>0</v>
      </c>
      <c r="AE37" s="74">
        <f>+GETPIVOTDATA("XKL4",'kimlong (2016)'!$A$3,"MA_HT","NCK","MA_QH","DBV")</f>
        <v>0</v>
      </c>
      <c r="AF37" s="74">
        <f>+GETPIVOTDATA("XKL4",'kimlong (2016)'!$A$3,"MA_HT","NCK","MA_QH","DVH")</f>
        <v>0</v>
      </c>
      <c r="AG37" s="74">
        <f>+GETPIVOTDATA("XKL4",'kimlong (2016)'!$A$3,"MA_HT","NCK","MA_QH","DYT")</f>
        <v>0</v>
      </c>
      <c r="AH37" s="74">
        <f>+GETPIVOTDATA("XKL4",'kimlong (2016)'!$A$3,"MA_HT","NCK","MA_QH","DGD")</f>
        <v>0</v>
      </c>
      <c r="AI37" s="74">
        <f>+GETPIVOTDATA("XKL4",'kimlong (2016)'!$A$3,"MA_HT","NCK","MA_QH","DTT")</f>
        <v>0</v>
      </c>
      <c r="AJ37" s="100" t="e">
        <f>$D37-$BF37</f>
        <v>#REF!</v>
      </c>
      <c r="AK37" s="74">
        <f>+GETPIVOTDATA("XKL4",'kimlong (2016)'!$A$3,"MA_HT","NCK","MA_QH","DXH")</f>
        <v>0</v>
      </c>
      <c r="AL37" s="74">
        <f>+GETPIVOTDATA("XKL4",'kimlong (2016)'!$A$3,"MA_HT","NCK","MA_QH","DCH")</f>
        <v>0</v>
      </c>
      <c r="AM37" s="74">
        <f>+GETPIVOTDATA("XKL4",'kimlong (2016)'!$A$3,"MA_HT","NCK","MA_QH","DKG")</f>
        <v>0</v>
      </c>
      <c r="AN37" s="74">
        <f>+GETPIVOTDATA("XKL4",'kimlong (2016)'!$A$3,"MA_HT","NCK","MA_QH","DDT")</f>
        <v>0</v>
      </c>
      <c r="AO37" s="74">
        <f>+GETPIVOTDATA("XKL4",'kimlong (2016)'!$A$3,"MA_HT","NCK","MA_QH","DDL")</f>
        <v>0</v>
      </c>
      <c r="AP37" s="74">
        <f>+GETPIVOTDATA("XKL4",'kimlong (2016)'!$A$3,"MA_HT","NCK","MA_QH","DRA")</f>
        <v>0</v>
      </c>
      <c r="AQ37" s="74">
        <f>+GETPIVOTDATA("XKL4",'kimlong (2016)'!$A$3,"MA_HT","NCK","MA_QH","ONT")</f>
        <v>0</v>
      </c>
      <c r="AR37" s="74">
        <f>+GETPIVOTDATA("XKL4",'kimlong (2016)'!$A$3,"MA_HT","NCK","MA_QH","ODT")</f>
        <v>0</v>
      </c>
      <c r="AS37" s="74">
        <f>+GETPIVOTDATA("XKL4",'kimlong (2016)'!$A$3,"MA_HT","NCK","MA_QH","TSC")</f>
        <v>0</v>
      </c>
      <c r="AT37" s="74">
        <f>+GETPIVOTDATA("XKL4",'kimlong (2016)'!$A$3,"MA_HT","NCK","MA_QH","DTS")</f>
        <v>0</v>
      </c>
      <c r="AU37" s="74">
        <f>+GETPIVOTDATA("XKL4",'kimlong (2016)'!$A$3,"MA_HT","NCK","MA_QH","DNG")</f>
        <v>0</v>
      </c>
      <c r="AV37" s="74">
        <f>+GETPIVOTDATA("XKL4",'kimlong (2016)'!$A$3,"MA_HT","NCK","MA_QH","TON")</f>
        <v>0</v>
      </c>
      <c r="AW37" s="74">
        <f>+GETPIVOTDATA("XKL4",'kimlong (2016)'!$A$3,"MA_HT","NCK","MA_QH","NTD")</f>
        <v>0</v>
      </c>
      <c r="AX37" s="74">
        <f>+GETPIVOTDATA("XKL4",'kimlong (2016)'!$A$3,"MA_HT","NCK","MA_QH","SKX")</f>
        <v>0</v>
      </c>
      <c r="AY37" s="74">
        <f>+GETPIVOTDATA("XKL4",'kimlong (2016)'!$A$3,"MA_HT","NCK","MA_QH","DSH")</f>
        <v>0</v>
      </c>
      <c r="AZ37" s="74">
        <f>+GETPIVOTDATA("XKL4",'kimlong (2016)'!$A$3,"MA_HT","NCK","MA_QH","DKV")</f>
        <v>0</v>
      </c>
      <c r="BA37" s="139">
        <f>+GETPIVOTDATA("XKL4",'kimlong (2016)'!$A$3,"MA_HT","NCK","MA_QH","TIN")</f>
        <v>0</v>
      </c>
      <c r="BB37" s="74">
        <f>+GETPIVOTDATA("XKL4",'kimlong (2016)'!$A$3,"MA_HT","NCK","MA_QH","SON")</f>
        <v>0</v>
      </c>
      <c r="BC37" s="74">
        <f>+GETPIVOTDATA("XKL4",'kimlong (2016)'!$A$3,"MA_HT","NCK","MA_QH","MNC")</f>
        <v>0</v>
      </c>
      <c r="BD37" s="74">
        <f>+GETPIVOTDATA("XKL4",'kimlong (2016)'!$A$3,"MA_HT","NCK","MA_QH","PNK")</f>
        <v>0</v>
      </c>
      <c r="BE37" s="102">
        <f>+GETPIVOTDATA("XKL4",'kimlong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+GETPIVOTDATA("XKL4",'kimlong (2016)'!$A$3,"MA_HT","DXH","MA_QH","LUC")</f>
        <v>0</v>
      </c>
      <c r="H38" s="74">
        <f>+GETPIVOTDATA("XKL4",'kimlong (2016)'!$A$3,"MA_HT","DXH","MA_QH","LUK")</f>
        <v>0</v>
      </c>
      <c r="I38" s="74">
        <f>+GETPIVOTDATA("XKL4",'kimlong (2016)'!$A$3,"MA_HT","DXH","MA_QH","LUN")</f>
        <v>0</v>
      </c>
      <c r="J38" s="74">
        <f>+GETPIVOTDATA("XKL4",'kimlong (2016)'!$A$3,"MA_HT","DXH","MA_QH","HNK")</f>
        <v>0</v>
      </c>
      <c r="K38" s="74">
        <f>+GETPIVOTDATA("XKL4",'kimlong (2016)'!$A$3,"MA_HT","DXH","MA_QH","CLN")</f>
        <v>0</v>
      </c>
      <c r="L38" s="74">
        <f>+GETPIVOTDATA("XKL4",'kimlong (2016)'!$A$3,"MA_HT","DXH","MA_QH","RSX")</f>
        <v>0</v>
      </c>
      <c r="M38" s="74">
        <f>+GETPIVOTDATA("XKL4",'kimlong (2016)'!$A$3,"MA_HT","DXH","MA_QH","RPH")</f>
        <v>0</v>
      </c>
      <c r="N38" s="74">
        <f>+GETPIVOTDATA("XKL4",'kimlong (2016)'!$A$3,"MA_HT","DXH","MA_QH","RDD")</f>
        <v>0</v>
      </c>
      <c r="O38" s="74">
        <f>+GETPIVOTDATA("XKL4",'kimlong (2016)'!$A$3,"MA_HT","DXH","MA_QH","NTS")</f>
        <v>0</v>
      </c>
      <c r="P38" s="74">
        <f>+GETPIVOTDATA("XKL4",'kimlong (2016)'!$A$3,"MA_HT","DXH","MA_QH","LMU")</f>
        <v>0</v>
      </c>
      <c r="Q38" s="74">
        <f>+GETPIVOTDATA("XKL4",'kimlong (2016)'!$A$3,"MA_HT","DXH","MA_QH","NKH")</f>
        <v>0</v>
      </c>
      <c r="R38" s="72">
        <f t="shared" si="20"/>
        <v>0</v>
      </c>
      <c r="S38" s="74">
        <f>+GETPIVOTDATA("XKL4",'kimlong (2016)'!$A$3,"MA_HT","DXH","MA_QH","CQP")</f>
        <v>0</v>
      </c>
      <c r="T38" s="74">
        <f>+GETPIVOTDATA("XKL4",'kimlong (2016)'!$A$3,"MA_HT","DXH","MA_QH","CAN")</f>
        <v>0</v>
      </c>
      <c r="U38" s="74">
        <f>+GETPIVOTDATA("XKL4",'kimlong (2016)'!$A$3,"MA_HT","DXH","MA_QH","SKK")</f>
        <v>0</v>
      </c>
      <c r="V38" s="74">
        <f>+GETPIVOTDATA("XKL4",'kimlong (2016)'!$A$3,"MA_HT","DXH","MA_QH","SKT")</f>
        <v>0</v>
      </c>
      <c r="W38" s="74">
        <f>+GETPIVOTDATA("XKL4",'kimlong (2016)'!$A$3,"MA_HT","DXH","MA_QH","SKN")</f>
        <v>0</v>
      </c>
      <c r="X38" s="74">
        <f>+GETPIVOTDATA("XKL4",'kimlong (2016)'!$A$3,"MA_HT","DXH","MA_QH","TMD")</f>
        <v>0</v>
      </c>
      <c r="Y38" s="74">
        <f>+GETPIVOTDATA("XKL4",'kimlong (2016)'!$A$3,"MA_HT","DXH","MA_QH","SKC")</f>
        <v>0</v>
      </c>
      <c r="Z38" s="74">
        <f>+GETPIVOTDATA("XKL4",'kimlong (2016)'!$A$3,"MA_HT","DXH","MA_QH","SKS")</f>
        <v>0</v>
      </c>
      <c r="AA38" s="64">
        <f>+SUM(AB38:AJ38,AL38:AM38)</f>
        <v>0</v>
      </c>
      <c r="AB38" s="74">
        <f>+GETPIVOTDATA("XKL4",'kimlong (2016)'!$A$3,"MA_HT","DXH","MA_QH","DGT")</f>
        <v>0</v>
      </c>
      <c r="AC38" s="74">
        <f>+GETPIVOTDATA("XKL4",'kimlong (2016)'!$A$3,"MA_HT","DXH","MA_QH","DTL")</f>
        <v>0</v>
      </c>
      <c r="AD38" s="74">
        <f>+GETPIVOTDATA("XKL4",'kimlong (2016)'!$A$3,"MA_HT","DXH","MA_QH","DNL")</f>
        <v>0</v>
      </c>
      <c r="AE38" s="74">
        <f>+GETPIVOTDATA("XKL4",'kimlong (2016)'!$A$3,"MA_HT","DXH","MA_QH","DBV")</f>
        <v>0</v>
      </c>
      <c r="AF38" s="74">
        <f>+GETPIVOTDATA("XKL4",'kimlong (2016)'!$A$3,"MA_HT","DXH","MA_QH","DVH")</f>
        <v>0</v>
      </c>
      <c r="AG38" s="74">
        <f>+GETPIVOTDATA("XKL4",'kimlong (2016)'!$A$3,"MA_HT","DXH","MA_QH","DYT")</f>
        <v>0</v>
      </c>
      <c r="AH38" s="74">
        <f>+GETPIVOTDATA("XKL4",'kimlong (2016)'!$A$3,"MA_HT","DXH","MA_QH","DGD")</f>
        <v>0</v>
      </c>
      <c r="AI38" s="74">
        <f>+GETPIVOTDATA("XKL4",'kimlong (2016)'!$A$3,"MA_HT","DXH","MA_QH","DTT")</f>
        <v>0</v>
      </c>
      <c r="AJ38" s="74">
        <f>+GETPIVOTDATA("XKL4",'kimlong (2016)'!$A$3,"MA_HT","DXH","MA_QH","NCK")</f>
        <v>0</v>
      </c>
      <c r="AK38" s="100" t="e">
        <f>$D38-$BF38</f>
        <v>#REF!</v>
      </c>
      <c r="AL38" s="74">
        <f>+GETPIVOTDATA("XKL4",'kimlong (2016)'!$A$3,"MA_HT","DXH","MA_QH","DCH")</f>
        <v>0</v>
      </c>
      <c r="AM38" s="74">
        <f>+GETPIVOTDATA("XKL4",'kimlong (2016)'!$A$3,"MA_HT","DXH","MA_QH","DKG")</f>
        <v>0</v>
      </c>
      <c r="AN38" s="74">
        <f>+GETPIVOTDATA("XKL4",'kimlong (2016)'!$A$3,"MA_HT","DXH","MA_QH","DDT")</f>
        <v>0</v>
      </c>
      <c r="AO38" s="74">
        <f>+GETPIVOTDATA("XKL4",'kimlong (2016)'!$A$3,"MA_HT","DXH","MA_QH","DDL")</f>
        <v>0</v>
      </c>
      <c r="AP38" s="74">
        <f>+GETPIVOTDATA("XKL4",'kimlong (2016)'!$A$3,"MA_HT","DXH","MA_QH","DRA")</f>
        <v>0</v>
      </c>
      <c r="AQ38" s="74">
        <f>+GETPIVOTDATA("XKL4",'kimlong (2016)'!$A$3,"MA_HT","DXH","MA_QH","ONT")</f>
        <v>0</v>
      </c>
      <c r="AR38" s="74">
        <f>+GETPIVOTDATA("XKL4",'kimlong (2016)'!$A$3,"MA_HT","DXH","MA_QH","ODT")</f>
        <v>0</v>
      </c>
      <c r="AS38" s="74">
        <f>+GETPIVOTDATA("XKL4",'kimlong (2016)'!$A$3,"MA_HT","DXH","MA_QH","TSC")</f>
        <v>0</v>
      </c>
      <c r="AT38" s="74">
        <f>+GETPIVOTDATA("XKL4",'kimlong (2016)'!$A$3,"MA_HT","DXH","MA_QH","DTS")</f>
        <v>0</v>
      </c>
      <c r="AU38" s="74">
        <f>+GETPIVOTDATA("XKL4",'kimlong (2016)'!$A$3,"MA_HT","DXH","MA_QH","DNG")</f>
        <v>0</v>
      </c>
      <c r="AV38" s="74">
        <f>+GETPIVOTDATA("XKL4",'kimlong (2016)'!$A$3,"MA_HT","DXH","MA_QH","TON")</f>
        <v>0</v>
      </c>
      <c r="AW38" s="74">
        <f>+GETPIVOTDATA("XKL4",'kimlong (2016)'!$A$3,"MA_HT","DXH","MA_QH","NTD")</f>
        <v>0</v>
      </c>
      <c r="AX38" s="74">
        <f>+GETPIVOTDATA("XKL4",'kimlong (2016)'!$A$3,"MA_HT","DXH","MA_QH","SKX")</f>
        <v>0</v>
      </c>
      <c r="AY38" s="74">
        <f>+GETPIVOTDATA("XKL4",'kimlong (2016)'!$A$3,"MA_HT","DXH","MA_QH","DSH")</f>
        <v>0</v>
      </c>
      <c r="AZ38" s="74">
        <f>+GETPIVOTDATA("XKL4",'kimlong (2016)'!$A$3,"MA_HT","DXH","MA_QH","DKV")</f>
        <v>0</v>
      </c>
      <c r="BA38" s="139">
        <f>+GETPIVOTDATA("XKL4",'kimlong (2016)'!$A$3,"MA_HT","DXH","MA_QH","TIN")</f>
        <v>0</v>
      </c>
      <c r="BB38" s="74">
        <f>+GETPIVOTDATA("XKL4",'kimlong (2016)'!$A$3,"MA_HT","DXH","MA_QH","SON")</f>
        <v>0</v>
      </c>
      <c r="BC38" s="74">
        <f>+GETPIVOTDATA("XKL4",'kimlong (2016)'!$A$3,"MA_HT","DXH","MA_QH","MNC")</f>
        <v>0</v>
      </c>
      <c r="BD38" s="74">
        <f>+GETPIVOTDATA("XKL4",'kimlong (2016)'!$A$3,"MA_HT","DXH","MA_QH","PNK")</f>
        <v>0</v>
      </c>
      <c r="BE38" s="102">
        <f>+GETPIVOTDATA("XKL4",'kimlong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+GETPIVOTDATA("XKL4",'kimlong (2016)'!$A$3,"MA_HT","DCH","MA_QH","LUC")</f>
        <v>0</v>
      </c>
      <c r="H39" s="74">
        <f>+GETPIVOTDATA("XKL4",'kimlong (2016)'!$A$3,"MA_HT","DCH","MA_QH","LUK")</f>
        <v>0</v>
      </c>
      <c r="I39" s="74">
        <f>+GETPIVOTDATA("XKL4",'kimlong (2016)'!$A$3,"MA_HT","DCH","MA_QH","LUN")</f>
        <v>0</v>
      </c>
      <c r="J39" s="74">
        <f>+GETPIVOTDATA("XKL4",'kimlong (2016)'!$A$3,"MA_HT","DCH","MA_QH","HNK")</f>
        <v>0</v>
      </c>
      <c r="K39" s="74">
        <f>+GETPIVOTDATA("XKL4",'kimlong (2016)'!$A$3,"MA_HT","DCH","MA_QH","CLN")</f>
        <v>0</v>
      </c>
      <c r="L39" s="74">
        <f>+GETPIVOTDATA("XKL4",'kimlong (2016)'!$A$3,"MA_HT","DCH","MA_QH","RSX")</f>
        <v>0</v>
      </c>
      <c r="M39" s="74">
        <f>+GETPIVOTDATA("XKL4",'kimlong (2016)'!$A$3,"MA_HT","DCH","MA_QH","RPH")</f>
        <v>0</v>
      </c>
      <c r="N39" s="74">
        <f>+GETPIVOTDATA("XKL4",'kimlong (2016)'!$A$3,"MA_HT","DCH","MA_QH","RDD")</f>
        <v>0</v>
      </c>
      <c r="O39" s="74">
        <f>+GETPIVOTDATA("XKL4",'kimlong (2016)'!$A$3,"MA_HT","DCH","MA_QH","NTS")</f>
        <v>0</v>
      </c>
      <c r="P39" s="74">
        <f>+GETPIVOTDATA("XKL4",'kimlong (2016)'!$A$3,"MA_HT","DCH","MA_QH","LMU")</f>
        <v>0</v>
      </c>
      <c r="Q39" s="74">
        <f>+GETPIVOTDATA("XKL4",'kimlong (2016)'!$A$3,"MA_HT","DCH","MA_QH","NKH")</f>
        <v>0</v>
      </c>
      <c r="R39" s="72">
        <f t="shared" si="20"/>
        <v>0</v>
      </c>
      <c r="S39" s="74">
        <f>+GETPIVOTDATA("XKL4",'kimlong (2016)'!$A$3,"MA_HT","DCH","MA_QH","CQP")</f>
        <v>0</v>
      </c>
      <c r="T39" s="74">
        <f>+GETPIVOTDATA("XKL4",'kimlong (2016)'!$A$3,"MA_HT","DCH","MA_QH","CAN")</f>
        <v>0</v>
      </c>
      <c r="U39" s="74">
        <f>+GETPIVOTDATA("XKL4",'kimlong (2016)'!$A$3,"MA_HT","DCH","MA_QH","SKK")</f>
        <v>0</v>
      </c>
      <c r="V39" s="74">
        <f>+GETPIVOTDATA("XKL4",'kimlong (2016)'!$A$3,"MA_HT","DCH","MA_QH","SKT")</f>
        <v>0</v>
      </c>
      <c r="W39" s="74">
        <f>+GETPIVOTDATA("XKL4",'kimlong (2016)'!$A$3,"MA_HT","DCH","MA_QH","SKN")</f>
        <v>0</v>
      </c>
      <c r="X39" s="74">
        <f>+GETPIVOTDATA("XKL4",'kimlong (2016)'!$A$3,"MA_HT","DCH","MA_QH","TMD")</f>
        <v>0</v>
      </c>
      <c r="Y39" s="74">
        <f>+GETPIVOTDATA("XKL4",'kimlong (2016)'!$A$3,"MA_HT","DCH","MA_QH","SKC")</f>
        <v>0</v>
      </c>
      <c r="Z39" s="74">
        <f>+GETPIVOTDATA("XKL4",'kimlong (2016)'!$A$3,"MA_HT","DCH","MA_QH","SKS")</f>
        <v>0</v>
      </c>
      <c r="AA39" s="64">
        <f>+SUM(AB39:AK39,AM39)</f>
        <v>0</v>
      </c>
      <c r="AB39" s="74">
        <f>+GETPIVOTDATA("XKL4",'kimlong (2016)'!$A$3,"MA_HT","DCH","MA_QH","DGT")</f>
        <v>0</v>
      </c>
      <c r="AC39" s="74">
        <f>+GETPIVOTDATA("XKL4",'kimlong (2016)'!$A$3,"MA_HT","DCH","MA_QH","DTL")</f>
        <v>0</v>
      </c>
      <c r="AD39" s="74">
        <f>+GETPIVOTDATA("XKL4",'kimlong (2016)'!$A$3,"MA_HT","DCH","MA_QH","DNL")</f>
        <v>0</v>
      </c>
      <c r="AE39" s="74">
        <f>+GETPIVOTDATA("XKL4",'kimlong (2016)'!$A$3,"MA_HT","DCH","MA_QH","DBV")</f>
        <v>0</v>
      </c>
      <c r="AF39" s="74">
        <f>+GETPIVOTDATA("XKL4",'kimlong (2016)'!$A$3,"MA_HT","DCH","MA_QH","DVH")</f>
        <v>0</v>
      </c>
      <c r="AG39" s="74">
        <f>+GETPIVOTDATA("XKL4",'kimlong (2016)'!$A$3,"MA_HT","DCH","MA_QH","DYT")</f>
        <v>0</v>
      </c>
      <c r="AH39" s="74">
        <f>+GETPIVOTDATA("XKL4",'kimlong (2016)'!$A$3,"MA_HT","DCH","MA_QH","DGD")</f>
        <v>0</v>
      </c>
      <c r="AI39" s="74">
        <f>+GETPIVOTDATA("XKL4",'kimlong (2016)'!$A$3,"MA_HT","DCH","MA_QH","DTT")</f>
        <v>0</v>
      </c>
      <c r="AJ39" s="74">
        <f>+GETPIVOTDATA("XKL4",'kimlong (2016)'!$A$3,"MA_HT","DCH","MA_QH","NCK")</f>
        <v>0</v>
      </c>
      <c r="AK39" s="74">
        <f>+GETPIVOTDATA("XKL4",'kimlong (2016)'!$A$3,"MA_HT","DCH","MA_QH","DXH")</f>
        <v>0</v>
      </c>
      <c r="AL39" s="100" t="e">
        <f>$D39-$BF39</f>
        <v>#REF!</v>
      </c>
      <c r="AM39" s="74">
        <f>+GETPIVOTDATA("XKL4",'kimlong (2016)'!$A$3,"MA_HT","DXH","MA_QH","DKG")</f>
        <v>0</v>
      </c>
      <c r="AN39" s="74">
        <f>+GETPIVOTDATA("XKL4",'kimlong (2016)'!$A$3,"MA_HT","DCH","MA_QH","DDT")</f>
        <v>0</v>
      </c>
      <c r="AO39" s="74">
        <f>+GETPIVOTDATA("XKL4",'kimlong (2016)'!$A$3,"MA_HT","DCH","MA_QH","DDL")</f>
        <v>0</v>
      </c>
      <c r="AP39" s="74">
        <f>+GETPIVOTDATA("XKL4",'kimlong (2016)'!$A$3,"MA_HT","DCH","MA_QH","DRA")</f>
        <v>0</v>
      </c>
      <c r="AQ39" s="74">
        <f>+GETPIVOTDATA("XKL4",'kimlong (2016)'!$A$3,"MA_HT","DCH","MA_QH","ONT")</f>
        <v>0</v>
      </c>
      <c r="AR39" s="74">
        <f>+GETPIVOTDATA("XKL4",'kimlong (2016)'!$A$3,"MA_HT","DCH","MA_QH","ODT")</f>
        <v>0</v>
      </c>
      <c r="AS39" s="74">
        <f>+GETPIVOTDATA("XKL4",'kimlong (2016)'!$A$3,"MA_HT","DCH","MA_QH","TSC")</f>
        <v>0</v>
      </c>
      <c r="AT39" s="74">
        <f>+GETPIVOTDATA("XKL4",'kimlong (2016)'!$A$3,"MA_HT","DCH","MA_QH","DTS")</f>
        <v>0</v>
      </c>
      <c r="AU39" s="74">
        <f>+GETPIVOTDATA("XKL4",'kimlong (2016)'!$A$3,"MA_HT","DCH","MA_QH","DNG")</f>
        <v>0</v>
      </c>
      <c r="AV39" s="74">
        <f>+GETPIVOTDATA("XKL4",'kimlong (2016)'!$A$3,"MA_HT","DCH","MA_QH","TON")</f>
        <v>0</v>
      </c>
      <c r="AW39" s="74">
        <f>+GETPIVOTDATA("XKL4",'kimlong (2016)'!$A$3,"MA_HT","DCH","MA_QH","NTD")</f>
        <v>0</v>
      </c>
      <c r="AX39" s="74">
        <f>+GETPIVOTDATA("XKL4",'kimlong (2016)'!$A$3,"MA_HT","DCH","MA_QH","SKX")</f>
        <v>0</v>
      </c>
      <c r="AY39" s="74">
        <f>+GETPIVOTDATA("XKL4",'kimlong (2016)'!$A$3,"MA_HT","DCH","MA_QH","DSH")</f>
        <v>0</v>
      </c>
      <c r="AZ39" s="74">
        <f>+GETPIVOTDATA("XKL4",'kimlong (2016)'!$A$3,"MA_HT","DCH","MA_QH","DKV")</f>
        <v>0</v>
      </c>
      <c r="BA39" s="139">
        <f>+GETPIVOTDATA("XKL4",'kimlong (2016)'!$A$3,"MA_HT","DCH","MA_QH","TIN")</f>
        <v>0</v>
      </c>
      <c r="BB39" s="74">
        <f>+GETPIVOTDATA("XKL4",'kimlong (2016)'!$A$3,"MA_HT","DCH","MA_QH","SON")</f>
        <v>0</v>
      </c>
      <c r="BC39" s="74">
        <f>+GETPIVOTDATA("XKL4",'kimlong (2016)'!$A$3,"MA_HT","DCH","MA_QH","MNC")</f>
        <v>0</v>
      </c>
      <c r="BD39" s="74">
        <f>+GETPIVOTDATA("XKL4",'kimlong (2016)'!$A$3,"MA_HT","DCH","MA_QH","PNK")</f>
        <v>0</v>
      </c>
      <c r="BE39" s="102">
        <f>+GETPIVOTDATA("XKL4",'kimlong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+GETPIVOTDATA("XKL4",'kimlong (2016)'!$A$3,"MA_HT","DKG","MA_QH","LUC")</f>
        <v>0</v>
      </c>
      <c r="H40" s="74">
        <f>+GETPIVOTDATA("XKL4",'kimlong (2016)'!$A$3,"MA_HT","DKG","MA_QH","LUK")</f>
        <v>0</v>
      </c>
      <c r="I40" s="74">
        <f>+GETPIVOTDATA("XKL4",'kimlong (2016)'!$A$3,"MA_HT","DKG","MA_QH","LUN")</f>
        <v>0</v>
      </c>
      <c r="J40" s="74">
        <f>+GETPIVOTDATA("XKL4",'kimlong (2016)'!$A$3,"MA_HT","DKG","MA_QH","HNK")</f>
        <v>0</v>
      </c>
      <c r="K40" s="74">
        <f>+GETPIVOTDATA("XKL4",'kimlong (2016)'!$A$3,"MA_HT","DKG","MA_QH","CLN")</f>
        <v>0</v>
      </c>
      <c r="L40" s="74">
        <f>+GETPIVOTDATA("XKL4",'kimlong (2016)'!$A$3,"MA_HT","DKG","MA_QH","RSX")</f>
        <v>0</v>
      </c>
      <c r="M40" s="74">
        <f>+GETPIVOTDATA("XKL4",'kimlong (2016)'!$A$3,"MA_HT","DKG","MA_QH","RPH")</f>
        <v>0</v>
      </c>
      <c r="N40" s="74">
        <f>+GETPIVOTDATA("XKL4",'kimlong (2016)'!$A$3,"MA_HT","DKG","MA_QH","RDD")</f>
        <v>0</v>
      </c>
      <c r="O40" s="74">
        <f>+GETPIVOTDATA("XKL4",'kimlong (2016)'!$A$3,"MA_HT","DKG","MA_QH","NTS")</f>
        <v>0</v>
      </c>
      <c r="P40" s="74">
        <f>+GETPIVOTDATA("XKL4",'kimlong (2016)'!$A$3,"MA_HT","DKG","MA_QH","LMU")</f>
        <v>0</v>
      </c>
      <c r="Q40" s="74">
        <f>+GETPIVOTDATA("XKL4",'kimlong (2016)'!$A$3,"MA_HT","DKG","MA_QH","NKH")</f>
        <v>0</v>
      </c>
      <c r="R40" s="72">
        <f>SUM(S40:AA40,AN40:BD40)</f>
        <v>0</v>
      </c>
      <c r="S40" s="74">
        <f>+GETPIVOTDATA("XKL4",'kimlong (2016)'!$A$3,"MA_HT","DKG","MA_QH","CQP")</f>
        <v>0</v>
      </c>
      <c r="T40" s="74">
        <f>+GETPIVOTDATA("XKL4",'kimlong (2016)'!$A$3,"MA_HT","DKG","MA_QH","CAN")</f>
        <v>0</v>
      </c>
      <c r="U40" s="74">
        <f>+GETPIVOTDATA("XKL4",'kimlong (2016)'!$A$3,"MA_HT","DKG","MA_QH","SKK")</f>
        <v>0</v>
      </c>
      <c r="V40" s="74">
        <f>+GETPIVOTDATA("XKL4",'kimlong (2016)'!$A$3,"MA_HT","DKG","MA_QH","SKT")</f>
        <v>0</v>
      </c>
      <c r="W40" s="74">
        <f>+GETPIVOTDATA("XKL4",'kimlong (2016)'!$A$3,"MA_HT","DKG","MA_QH","SKN")</f>
        <v>0</v>
      </c>
      <c r="X40" s="74">
        <f>+GETPIVOTDATA("XKL4",'kimlong (2016)'!$A$3,"MA_HT","DKG","MA_QH","TMD")</f>
        <v>0</v>
      </c>
      <c r="Y40" s="74">
        <f>+GETPIVOTDATA("XKL4",'kimlong (2016)'!$A$3,"MA_HT","DKG","MA_QH","SKC")</f>
        <v>0</v>
      </c>
      <c r="Z40" s="74">
        <f>+GETPIVOTDATA("XKL4",'kimlong (2016)'!$A$3,"MA_HT","DKG","MA_QH","SKS")</f>
        <v>0</v>
      </c>
      <c r="AA40" s="64">
        <f>+SUM(AB40:AL40)</f>
        <v>0</v>
      </c>
      <c r="AB40" s="74">
        <f>+GETPIVOTDATA("XKL4",'kimlong (2016)'!$A$3,"MA_HT","DKG","MA_QH","DGT")</f>
        <v>0</v>
      </c>
      <c r="AC40" s="74">
        <f>+GETPIVOTDATA("XKL4",'kimlong (2016)'!$A$3,"MA_HT","DKG","MA_QH","DTL")</f>
        <v>0</v>
      </c>
      <c r="AD40" s="74">
        <f>+GETPIVOTDATA("XKL4",'kimlong (2016)'!$A$3,"MA_HT","DKG","MA_QH","DNL")</f>
        <v>0</v>
      </c>
      <c r="AE40" s="74">
        <f>+GETPIVOTDATA("XKL4",'kimlong (2016)'!$A$3,"MA_HT","DKG","MA_QH","DBV")</f>
        <v>0</v>
      </c>
      <c r="AF40" s="74">
        <f>+GETPIVOTDATA("XKL4",'kimlong (2016)'!$A$3,"MA_HT","DKG","MA_QH","DVH")</f>
        <v>0</v>
      </c>
      <c r="AG40" s="74">
        <f>+GETPIVOTDATA("XKL4",'kimlong (2016)'!$A$3,"MA_HT","DKG","MA_QH","DYT")</f>
        <v>0</v>
      </c>
      <c r="AH40" s="74">
        <f>+GETPIVOTDATA("XKL4",'kimlong (2016)'!$A$3,"MA_HT","DKG","MA_QH","DGD")</f>
        <v>0</v>
      </c>
      <c r="AI40" s="74">
        <f>+GETPIVOTDATA("XKL4",'kimlong (2016)'!$A$3,"MA_HT","DKG","MA_QH","DTT")</f>
        <v>0</v>
      </c>
      <c r="AJ40" s="74">
        <f>+GETPIVOTDATA("XKL4",'kimlong (2016)'!$A$3,"MA_HT","DKG","MA_QH","NCK")</f>
        <v>0</v>
      </c>
      <c r="AK40" s="74">
        <f>+GETPIVOTDATA("XKL4",'kimlong (2016)'!$A$3,"MA_HT","DKG","MA_QH","DXH")</f>
        <v>0</v>
      </c>
      <c r="AL40" s="122">
        <f>+GETPIVOTDATA("XKL4",'kimlong (2016)'!$A$3,"MA_HT","DDT","MA_QH","DKG")</f>
        <v>0</v>
      </c>
      <c r="AM40" s="100" t="e">
        <f>$D40-$BF40</f>
        <v>#REF!</v>
      </c>
      <c r="AN40" s="74">
        <f>+GETPIVOTDATA("XKL4",'kimlong (2016)'!$A$3,"MA_HT","DKG","MA_QH","DDT")</f>
        <v>0</v>
      </c>
      <c r="AO40" s="74">
        <f>+GETPIVOTDATA("XKL4",'kimlong (2016)'!$A$3,"MA_HT","DKG","MA_QH","DDL")</f>
        <v>0</v>
      </c>
      <c r="AP40" s="74">
        <f>+GETPIVOTDATA("XKL4",'kimlong (2016)'!$A$3,"MA_HT","DKG","MA_QH","DRA")</f>
        <v>0</v>
      </c>
      <c r="AQ40" s="74">
        <f>+GETPIVOTDATA("XKL4",'kimlong (2016)'!$A$3,"MA_HT","DKG","MA_QH","ONT")</f>
        <v>0</v>
      </c>
      <c r="AR40" s="74">
        <f>+GETPIVOTDATA("XKL4",'kimlong (2016)'!$A$3,"MA_HT","DKG","MA_QH","ODT")</f>
        <v>0</v>
      </c>
      <c r="AS40" s="74">
        <f>+GETPIVOTDATA("XKL4",'kimlong (2016)'!$A$3,"MA_HT","DKG","MA_QH","TSC")</f>
        <v>0</v>
      </c>
      <c r="AT40" s="74">
        <f>+GETPIVOTDATA("XKL4",'kimlong (2016)'!$A$3,"MA_HT","DKG","MA_QH","DTS")</f>
        <v>0</v>
      </c>
      <c r="AU40" s="74">
        <f>+GETPIVOTDATA("XKL4",'kimlong (2016)'!$A$3,"MA_HT","DKG","MA_QH","DNG")</f>
        <v>0</v>
      </c>
      <c r="AV40" s="74">
        <f>+GETPIVOTDATA("XKL4",'kimlong (2016)'!$A$3,"MA_HT","DKG","MA_QH","TON")</f>
        <v>0</v>
      </c>
      <c r="AW40" s="74">
        <f>+GETPIVOTDATA("XKL4",'kimlong (2016)'!$A$3,"MA_HT","DKG","MA_QH","NTD")</f>
        <v>0</v>
      </c>
      <c r="AX40" s="74">
        <f>+GETPIVOTDATA("XKL4",'kimlong (2016)'!$A$3,"MA_HT","DKG","MA_QH","SKX")</f>
        <v>0</v>
      </c>
      <c r="AY40" s="74">
        <f>+GETPIVOTDATA("XKL4",'kimlong (2016)'!$A$3,"MA_HT","DKG","MA_QH","DSH")</f>
        <v>0</v>
      </c>
      <c r="AZ40" s="74">
        <f>+GETPIVOTDATA("XKL4",'kimlong (2016)'!$A$3,"MA_HT","DKG","MA_QH","DKV")</f>
        <v>0</v>
      </c>
      <c r="BA40" s="139">
        <f>+GETPIVOTDATA("XKL4",'kimlong (2016)'!$A$3,"MA_HT","DKG","MA_QH","TIN")</f>
        <v>0</v>
      </c>
      <c r="BB40" s="74">
        <f>+GETPIVOTDATA("XKL4",'kimlong (2016)'!$A$3,"MA_HT","DKG","MA_QH","SON")</f>
        <v>0</v>
      </c>
      <c r="BC40" s="74">
        <f>+GETPIVOTDATA("XKL4",'kimlong (2016)'!$A$3,"MA_HT","DKG","MA_QH","MNC")</f>
        <v>0</v>
      </c>
      <c r="BD40" s="74">
        <f>+GETPIVOTDATA("XKL4",'kimlong (2016)'!$A$3,"MA_HT","DKG","MA_QH","PNK")</f>
        <v>0</v>
      </c>
      <c r="BE40" s="102">
        <f>+GETPIVOTDATA("XKL4",'kimlong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+GETPIVOTDATA("XKL4",'kimlong (2016)'!$A$3,"MA_HT","DDT","MA_QH","LUC")</f>
        <v>0</v>
      </c>
      <c r="H41" s="122">
        <f>+GETPIVOTDATA("XKL4",'kimlong (2016)'!$A$3,"MA_HT","DDT","MA_QH","LUK")</f>
        <v>0</v>
      </c>
      <c r="I41" s="122">
        <f>+GETPIVOTDATA("XKL4",'kimlong (2016)'!$A$3,"MA_HT","DDT","MA_QH","LUN")</f>
        <v>0</v>
      </c>
      <c r="J41" s="122">
        <f>+GETPIVOTDATA("XKL4",'kimlong (2016)'!$A$3,"MA_HT","DDT","MA_QH","HNK")</f>
        <v>0</v>
      </c>
      <c r="K41" s="122">
        <f>+GETPIVOTDATA("XKL4",'kimlong (2016)'!$A$3,"MA_HT","DDT","MA_QH","CLN")</f>
        <v>0</v>
      </c>
      <c r="L41" s="122">
        <f>+GETPIVOTDATA("XKL4",'kimlong (2016)'!$A$3,"MA_HT","DDT","MA_QH","RSX")</f>
        <v>0</v>
      </c>
      <c r="M41" s="122">
        <f>+GETPIVOTDATA("XKL4",'kimlong (2016)'!$A$3,"MA_HT","DDT","MA_QH","RPH")</f>
        <v>0</v>
      </c>
      <c r="N41" s="122">
        <f>+GETPIVOTDATA("XKL4",'kimlong (2016)'!$A$3,"MA_HT","DDT","MA_QH","RDD")</f>
        <v>0</v>
      </c>
      <c r="O41" s="122">
        <f>+GETPIVOTDATA("XKL4",'kimlong (2016)'!$A$3,"MA_HT","DDT","MA_QH","NTS")</f>
        <v>0</v>
      </c>
      <c r="P41" s="122">
        <f>+GETPIVOTDATA("XKL4",'kimlong (2016)'!$A$3,"MA_HT","DDT","MA_QH","LMU")</f>
        <v>0</v>
      </c>
      <c r="Q41" s="122">
        <f>+GETPIVOTDATA("XKL4",'kimlong (2016)'!$A$3,"MA_HT","DDT","MA_QH","NKH")</f>
        <v>0</v>
      </c>
      <c r="R41" s="123">
        <f>SUM(S41:AA41,AO41:BD41)</f>
        <v>0</v>
      </c>
      <c r="S41" s="122">
        <f>+GETPIVOTDATA("XKL4",'kimlong (2016)'!$A$3,"MA_HT","DDT","MA_QH","CQP")</f>
        <v>0</v>
      </c>
      <c r="T41" s="122">
        <f>+GETPIVOTDATA("XKL4",'kimlong (2016)'!$A$3,"MA_HT","DDT","MA_QH","CAN")</f>
        <v>0</v>
      </c>
      <c r="U41" s="122">
        <f>+GETPIVOTDATA("XKL4",'kimlong (2016)'!$A$3,"MA_HT","DDT","MA_QH","SKK")</f>
        <v>0</v>
      </c>
      <c r="V41" s="122">
        <f>+GETPIVOTDATA("XKL4",'kimlong (2016)'!$A$3,"MA_HT","DDT","MA_QH","SKT")</f>
        <v>0</v>
      </c>
      <c r="W41" s="122">
        <f>+GETPIVOTDATA("XKL4",'kimlong (2016)'!$A$3,"MA_HT","DDT","MA_QH","SKN")</f>
        <v>0</v>
      </c>
      <c r="X41" s="122">
        <f>+GETPIVOTDATA("XKL4",'kimlong (2016)'!$A$3,"MA_HT","DDT","MA_QH","TMD")</f>
        <v>0</v>
      </c>
      <c r="Y41" s="122">
        <f>+GETPIVOTDATA("XKL4",'kimlong (2016)'!$A$3,"MA_HT","DDT","MA_QH","SKC")</f>
        <v>0</v>
      </c>
      <c r="Z41" s="122">
        <f>+GETPIVOTDATA("XKL4",'kimlong (2016)'!$A$3,"MA_HT","DDT","MA_QH","SKS")</f>
        <v>0</v>
      </c>
      <c r="AA41" s="121">
        <f t="shared" ref="AA41:AA58" si="21">+SUM(AB41:AM41)</f>
        <v>0</v>
      </c>
      <c r="AB41" s="122">
        <f>+GETPIVOTDATA("XKL4",'kimlong (2016)'!$A$3,"MA_HT","DDT","MA_QH","DGT")</f>
        <v>0</v>
      </c>
      <c r="AC41" s="122">
        <f>+GETPIVOTDATA("XKL4",'kimlong (2016)'!$A$3,"MA_HT","DDT","MA_QH","DTL")</f>
        <v>0</v>
      </c>
      <c r="AD41" s="122">
        <f>+GETPIVOTDATA("XKL4",'kimlong (2016)'!$A$3,"MA_HT","DDT","MA_QH","DNL")</f>
        <v>0</v>
      </c>
      <c r="AE41" s="122">
        <f>+GETPIVOTDATA("XKL4",'kimlong (2016)'!$A$3,"MA_HT","DDT","MA_QH","DBV")</f>
        <v>0</v>
      </c>
      <c r="AF41" s="122">
        <f>+GETPIVOTDATA("XKL4",'kimlong (2016)'!$A$3,"MA_HT","DDT","MA_QH","DVH")</f>
        <v>0</v>
      </c>
      <c r="AG41" s="122">
        <f>+GETPIVOTDATA("XKL4",'kimlong (2016)'!$A$3,"MA_HT","DDT","MA_QH","DYT")</f>
        <v>0</v>
      </c>
      <c r="AH41" s="122">
        <f>+GETPIVOTDATA("XKL4",'kimlong (2016)'!$A$3,"MA_HT","DDT","MA_QH","DGD")</f>
        <v>0</v>
      </c>
      <c r="AI41" s="122">
        <f>+GETPIVOTDATA("XKL4",'kimlong (2016)'!$A$3,"MA_HT","DDT","MA_QH","DTT")</f>
        <v>0</v>
      </c>
      <c r="AJ41" s="122">
        <f>+GETPIVOTDATA("XKL4",'kimlong (2016)'!$A$3,"MA_HT","DDT","MA_QH","NCK")</f>
        <v>0</v>
      </c>
      <c r="AK41" s="122">
        <f>+GETPIVOTDATA("XKL4",'kimlong (2016)'!$A$3,"MA_HT","DDT","MA_QH","DXH")</f>
        <v>0</v>
      </c>
      <c r="AL41" s="122">
        <f>+GETPIVOTDATA("XKL4",'kimlong (2016)'!$A$3,"MA_HT","DDT","MA_QH","DCH")</f>
        <v>0</v>
      </c>
      <c r="AM41" s="122">
        <f>+GETPIVOTDATA("XKL4",'kimlong (2016)'!$A$3,"MA_HT","DDT","MA_QH","DKG")</f>
        <v>0</v>
      </c>
      <c r="AN41" s="124" t="e">
        <f>$D41-$BF41</f>
        <v>#REF!</v>
      </c>
      <c r="AO41" s="122">
        <f>+GETPIVOTDATA("XKL4",'kimlong (2016)'!$A$3,"MA_HT","DDT","MA_QH","DDL")</f>
        <v>0</v>
      </c>
      <c r="AP41" s="122">
        <f>+GETPIVOTDATA("XKL4",'kimlong (2016)'!$A$3,"MA_HT","DDT","MA_QH","DRA")</f>
        <v>0</v>
      </c>
      <c r="AQ41" s="122">
        <f>+GETPIVOTDATA("XKL4",'kimlong (2016)'!$A$3,"MA_HT","DDT","MA_QH","ONT")</f>
        <v>0</v>
      </c>
      <c r="AR41" s="122">
        <f>+GETPIVOTDATA("XKL4",'kimlong (2016)'!$A$3,"MA_HT","DDT","MA_QH","ODT")</f>
        <v>0</v>
      </c>
      <c r="AS41" s="122">
        <f>+GETPIVOTDATA("XKL4",'kimlong (2016)'!$A$3,"MA_HT","DDT","MA_QH","TSC")</f>
        <v>0</v>
      </c>
      <c r="AT41" s="122">
        <f>+GETPIVOTDATA("XKL4",'kimlong (2016)'!$A$3,"MA_HT","DDT","MA_QH","DTS")</f>
        <v>0</v>
      </c>
      <c r="AU41" s="122">
        <f>+GETPIVOTDATA("XKL4",'kimlong (2016)'!$A$3,"MA_HT","DDT","MA_QH","DNG")</f>
        <v>0</v>
      </c>
      <c r="AV41" s="122">
        <f>+GETPIVOTDATA("XKL4",'kimlong (2016)'!$A$3,"MA_HT","DDT","MA_QH","TON")</f>
        <v>0</v>
      </c>
      <c r="AW41" s="122">
        <f>+GETPIVOTDATA("XKL4",'kimlong (2016)'!$A$3,"MA_HT","DDT","MA_QH","NTD")</f>
        <v>0</v>
      </c>
      <c r="AX41" s="122">
        <f>+GETPIVOTDATA("XKL4",'kimlong (2016)'!$A$3,"MA_HT","DDT","MA_QH","SKX")</f>
        <v>0</v>
      </c>
      <c r="AY41" s="122">
        <f>+GETPIVOTDATA("XKL4",'kimlong (2016)'!$A$3,"MA_HT","DDT","MA_QH","DSH")</f>
        <v>0</v>
      </c>
      <c r="AZ41" s="122">
        <f>+GETPIVOTDATA("XKL4",'kimlong (2016)'!$A$3,"MA_HT","DDT","MA_QH","DKV")</f>
        <v>0</v>
      </c>
      <c r="BA41" s="141">
        <f>+GETPIVOTDATA("XKL4",'kimlong (2016)'!$A$3,"MA_HT","DDT","MA_QH","TIN")</f>
        <v>0</v>
      </c>
      <c r="BB41" s="125">
        <f>+GETPIVOTDATA("XKL4",'kimlong (2016)'!$A$3,"MA_HT","DDT","MA_QH","SON")</f>
        <v>0</v>
      </c>
      <c r="BC41" s="125">
        <f>+GETPIVOTDATA("XKL4",'kimlong (2016)'!$A$3,"MA_HT","DDT","MA_QH","MNC")</f>
        <v>0</v>
      </c>
      <c r="BD41" s="122">
        <f>+GETPIVOTDATA("XKL4",'kimlong (2016)'!$A$3,"MA_HT","DDT","MA_QH","PNK")</f>
        <v>0</v>
      </c>
      <c r="BE41" s="126">
        <f>+GETPIVOTDATA("XKL4",'kimlong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+GETPIVOTDATA("XKL4",'kimlong (2016)'!$A$3,"MA_HT","DDL","MA_QH","LUC")</f>
        <v>0</v>
      </c>
      <c r="H42" s="35">
        <f>+GETPIVOTDATA("XKL4",'kimlong (2016)'!$A$3,"MA_HT","DDL","MA_QH","LUK")</f>
        <v>0</v>
      </c>
      <c r="I42" s="35">
        <f>+GETPIVOTDATA("XKL4",'kimlong (2016)'!$A$3,"MA_HT","DDL","MA_QH","LUN")</f>
        <v>0</v>
      </c>
      <c r="J42" s="35">
        <f>+GETPIVOTDATA("XKL4",'kimlong (2016)'!$A$3,"MA_HT","DDL","MA_QH","HNK")</f>
        <v>0</v>
      </c>
      <c r="K42" s="35">
        <f>+GETPIVOTDATA("XKL4",'kimlong (2016)'!$A$3,"MA_HT","DDL","MA_QH","CLN")</f>
        <v>0</v>
      </c>
      <c r="L42" s="35">
        <f>+GETPIVOTDATA("XKL4",'kimlong (2016)'!$A$3,"MA_HT","DDL","MA_QH","RSX")</f>
        <v>0</v>
      </c>
      <c r="M42" s="35">
        <f>+GETPIVOTDATA("XKL4",'kimlong (2016)'!$A$3,"MA_HT","DDL","MA_QH","RPH")</f>
        <v>0</v>
      </c>
      <c r="N42" s="35">
        <f>+GETPIVOTDATA("XKL4",'kimlong (2016)'!$A$3,"MA_HT","DDL","MA_QH","RDD")</f>
        <v>0</v>
      </c>
      <c r="O42" s="35">
        <f>+GETPIVOTDATA("XKL4",'kimlong (2016)'!$A$3,"MA_HT","DDL","MA_QH","NTS")</f>
        <v>0</v>
      </c>
      <c r="P42" s="35">
        <f>+GETPIVOTDATA("XKL4",'kimlong (2016)'!$A$3,"MA_HT","DDL","MA_QH","LMU")</f>
        <v>0</v>
      </c>
      <c r="Q42" s="35">
        <f>+GETPIVOTDATA("XKL4",'kimlong (2016)'!$A$3,"MA_HT","DDL","MA_QH","NKH")</f>
        <v>0</v>
      </c>
      <c r="R42" s="106">
        <f>SUM(S42:AA42,AN42,AP42:BD42)</f>
        <v>0</v>
      </c>
      <c r="S42" s="35">
        <f>+GETPIVOTDATA("XKL4",'kimlong (2016)'!$A$3,"MA_HT","DDL","MA_QH","CQP")</f>
        <v>0</v>
      </c>
      <c r="T42" s="35">
        <f>+GETPIVOTDATA("XKL4",'kimlong (2016)'!$A$3,"MA_HT","DDL","MA_QH","CAN")</f>
        <v>0</v>
      </c>
      <c r="U42" s="35">
        <f>+GETPIVOTDATA("XKL4",'kimlong (2016)'!$A$3,"MA_HT","DDL","MA_QH","SKK")</f>
        <v>0</v>
      </c>
      <c r="V42" s="35">
        <f>+GETPIVOTDATA("XKL4",'kimlong (2016)'!$A$3,"MA_HT","DDL","MA_QH","SKT")</f>
        <v>0</v>
      </c>
      <c r="W42" s="35">
        <f>+GETPIVOTDATA("XKL4",'kimlong (2016)'!$A$3,"MA_HT","DDL","MA_QH","SKN")</f>
        <v>0</v>
      </c>
      <c r="X42" s="35">
        <f>+GETPIVOTDATA("XKL4",'kimlong (2016)'!$A$3,"MA_HT","DDL","MA_QH","TMD")</f>
        <v>0</v>
      </c>
      <c r="Y42" s="35">
        <f>+GETPIVOTDATA("XKL4",'kimlong (2016)'!$A$3,"MA_HT","DDL","MA_QH","SKC")</f>
        <v>0</v>
      </c>
      <c r="Z42" s="35">
        <f>+GETPIVOTDATA("XKL4",'kimlong (2016)'!$A$3,"MA_HT","DDL","MA_QH","SKS")</f>
        <v>0</v>
      </c>
      <c r="AA42" s="64">
        <f t="shared" si="21"/>
        <v>0</v>
      </c>
      <c r="AB42" s="35">
        <f>+GETPIVOTDATA("XKL4",'kimlong (2016)'!$A$3,"MA_HT","DDL","MA_QH","DGT")</f>
        <v>0</v>
      </c>
      <c r="AC42" s="35">
        <f>+GETPIVOTDATA("XKL4",'kimlong (2016)'!$A$3,"MA_HT","DDL","MA_QH","DTL")</f>
        <v>0</v>
      </c>
      <c r="AD42" s="35">
        <f>+GETPIVOTDATA("XKL4",'kimlong (2016)'!$A$3,"MA_HT","DDL","MA_QH","DNL")</f>
        <v>0</v>
      </c>
      <c r="AE42" s="35">
        <f>+GETPIVOTDATA("XKL4",'kimlong (2016)'!$A$3,"MA_HT","DDL","MA_QH","DBV")</f>
        <v>0</v>
      </c>
      <c r="AF42" s="35">
        <f>+GETPIVOTDATA("XKL4",'kimlong (2016)'!$A$3,"MA_HT","DDL","MA_QH","DVH")</f>
        <v>0</v>
      </c>
      <c r="AG42" s="35">
        <f>+GETPIVOTDATA("XKL4",'kimlong (2016)'!$A$3,"MA_HT","DDL","MA_QH","DYT")</f>
        <v>0</v>
      </c>
      <c r="AH42" s="35">
        <f>+GETPIVOTDATA("XKL4",'kimlong (2016)'!$A$3,"MA_HT","DDL","MA_QH","DGD")</f>
        <v>0</v>
      </c>
      <c r="AI42" s="35">
        <f>+GETPIVOTDATA("XKL4",'kimlong (2016)'!$A$3,"MA_HT","DDL","MA_QH","DTT")</f>
        <v>0</v>
      </c>
      <c r="AJ42" s="35">
        <f>+GETPIVOTDATA("XKL4",'kimlong (2016)'!$A$3,"MA_HT","DDL","MA_QH","NCK")</f>
        <v>0</v>
      </c>
      <c r="AK42" s="35">
        <f>+GETPIVOTDATA("XKL4",'kimlong (2016)'!$A$3,"MA_HT","DDL","MA_QH","DXH")</f>
        <v>0</v>
      </c>
      <c r="AL42" s="35">
        <f>+GETPIVOTDATA("XKL4",'kimlong (2016)'!$A$3,"MA_HT","DDL","MA_QH","DCH")</f>
        <v>0</v>
      </c>
      <c r="AM42" s="35">
        <f>+GETPIVOTDATA("XKL4",'kimlong (2016)'!$A$3,"MA_HT","DDL","MA_QH","DKG")</f>
        <v>0</v>
      </c>
      <c r="AN42" s="35">
        <f>+GETPIVOTDATA("XKL4",'kimlong (2016)'!$A$3,"MA_HT","DDL","MA_QH","DDT")</f>
        <v>0</v>
      </c>
      <c r="AO42" s="99" t="e">
        <f>$D42-$BF42</f>
        <v>#REF!</v>
      </c>
      <c r="AP42" s="35">
        <f>+GETPIVOTDATA("XKL4",'kimlong (2016)'!$A$3,"MA_HT","DDL","MA_QH","DRA")</f>
        <v>0</v>
      </c>
      <c r="AQ42" s="35">
        <f>+GETPIVOTDATA("XKL4",'kimlong (2016)'!$A$3,"MA_HT","DDL","MA_QH","ONT")</f>
        <v>0</v>
      </c>
      <c r="AR42" s="35">
        <f>+GETPIVOTDATA("XKL4",'kimlong (2016)'!$A$3,"MA_HT","DDL","MA_QH","ODT")</f>
        <v>0</v>
      </c>
      <c r="AS42" s="35">
        <f>+GETPIVOTDATA("XKL4",'kimlong (2016)'!$A$3,"MA_HT","DDL","MA_QH","TSC")</f>
        <v>0</v>
      </c>
      <c r="AT42" s="35">
        <f>+GETPIVOTDATA("XKL4",'kimlong (2016)'!$A$3,"MA_HT","DDL","MA_QH","DTS")</f>
        <v>0</v>
      </c>
      <c r="AU42" s="35">
        <f>+GETPIVOTDATA("XKL4",'kimlong (2016)'!$A$3,"MA_HT","DDL","MA_QH","DNG")</f>
        <v>0</v>
      </c>
      <c r="AV42" s="35">
        <f>+GETPIVOTDATA("XKL4",'kimlong (2016)'!$A$3,"MA_HT","DDL","MA_QH","TON")</f>
        <v>0</v>
      </c>
      <c r="AW42" s="35">
        <f>+GETPIVOTDATA("XKL4",'kimlong (2016)'!$A$3,"MA_HT","DDL","MA_QH","NTD")</f>
        <v>0</v>
      </c>
      <c r="AX42" s="35">
        <f>+GETPIVOTDATA("XKL4",'kimlong (2016)'!$A$3,"MA_HT","DDL","MA_QH","SKX")</f>
        <v>0</v>
      </c>
      <c r="AY42" s="35">
        <f>+GETPIVOTDATA("XKL4",'kimlong (2016)'!$A$3,"MA_HT","DDL","MA_QH","DSH")</f>
        <v>0</v>
      </c>
      <c r="AZ42" s="35">
        <f>+GETPIVOTDATA("XKL4",'kimlong (2016)'!$A$3,"MA_HT","DDL","MA_QH","DKV")</f>
        <v>0</v>
      </c>
      <c r="BA42" s="140">
        <f>+GETPIVOTDATA("XKL4",'kimlong (2016)'!$A$3,"MA_HT","DDL","MA_QH","TIN")</f>
        <v>0</v>
      </c>
      <c r="BB42" s="74">
        <f>+GETPIVOTDATA("XKL4",'kimlong (2016)'!$A$3,"MA_HT","DDL","MA_QH","SON")</f>
        <v>0</v>
      </c>
      <c r="BC42" s="74">
        <f>+GETPIVOTDATA("XKL4",'kimlong (2016)'!$A$3,"MA_HT","DDL","MA_QH","MNC")</f>
        <v>0</v>
      </c>
      <c r="BD42" s="35">
        <f>+GETPIVOTDATA("XKL4",'kimlong (2016)'!$A$3,"MA_HT","DDL","MA_QH","PNK")</f>
        <v>0</v>
      </c>
      <c r="BE42" s="58">
        <f>+GETPIVOTDATA("XKL4",'kimlong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+GETPIVOTDATA("XKL4",'kimlong (2016)'!$A$3,"MA_HT","DRA","MA_QH","LUC")</f>
        <v>0</v>
      </c>
      <c r="H43" s="35">
        <f>+GETPIVOTDATA("XKL4",'kimlong (2016)'!$A$3,"MA_HT","DRA","MA_QH","LUK")</f>
        <v>0</v>
      </c>
      <c r="I43" s="35">
        <f>+GETPIVOTDATA("XKL4",'kimlong (2016)'!$A$3,"MA_HT","DRA","MA_QH","LUN")</f>
        <v>0</v>
      </c>
      <c r="J43" s="35">
        <f>+GETPIVOTDATA("XKL4",'kimlong (2016)'!$A$3,"MA_HT","DRA","MA_QH","HNK")</f>
        <v>0</v>
      </c>
      <c r="K43" s="35">
        <f>+GETPIVOTDATA("XKL4",'kimlong (2016)'!$A$3,"MA_HT","DRA","MA_QH","CLN")</f>
        <v>0</v>
      </c>
      <c r="L43" s="35">
        <f>+GETPIVOTDATA("XKL4",'kimlong (2016)'!$A$3,"MA_HT","DRA","MA_QH","RSX")</f>
        <v>0</v>
      </c>
      <c r="M43" s="35">
        <f>+GETPIVOTDATA("XKL4",'kimlong (2016)'!$A$3,"MA_HT","DRA","MA_QH","RPH")</f>
        <v>0</v>
      </c>
      <c r="N43" s="35">
        <f>+GETPIVOTDATA("XKL4",'kimlong (2016)'!$A$3,"MA_HT","DRA","MA_QH","RDD")</f>
        <v>0</v>
      </c>
      <c r="O43" s="35">
        <f>+GETPIVOTDATA("XKL4",'kimlong (2016)'!$A$3,"MA_HT","DRA","MA_QH","NTS")</f>
        <v>0</v>
      </c>
      <c r="P43" s="35">
        <f>+GETPIVOTDATA("XKL4",'kimlong (2016)'!$A$3,"MA_HT","DRA","MA_QH","LMU")</f>
        <v>0</v>
      </c>
      <c r="Q43" s="35">
        <f>+GETPIVOTDATA("XKL4",'kimlong (2016)'!$A$3,"MA_HT","DRA","MA_QH","NKH")</f>
        <v>0</v>
      </c>
      <c r="R43" s="106">
        <f>SUM(S43:AA43,AN43:AO43,AQ43:BD43)</f>
        <v>0</v>
      </c>
      <c r="S43" s="35">
        <f>+GETPIVOTDATA("XKL4",'kimlong (2016)'!$A$3,"MA_HT","DRA","MA_QH","CQP")</f>
        <v>0</v>
      </c>
      <c r="T43" s="35">
        <f>+GETPIVOTDATA("XKL4",'kimlong (2016)'!$A$3,"MA_HT","DRA","MA_QH","CAN")</f>
        <v>0</v>
      </c>
      <c r="U43" s="35">
        <f>+GETPIVOTDATA("XKL4",'kimlong (2016)'!$A$3,"MA_HT","DRA","MA_QH","SKK")</f>
        <v>0</v>
      </c>
      <c r="V43" s="35">
        <f>+GETPIVOTDATA("XKL4",'kimlong (2016)'!$A$3,"MA_HT","DRA","MA_QH","SKT")</f>
        <v>0</v>
      </c>
      <c r="W43" s="35">
        <f>+GETPIVOTDATA("XKL4",'kimlong (2016)'!$A$3,"MA_HT","DRA","MA_QH","SKN")</f>
        <v>0</v>
      </c>
      <c r="X43" s="35">
        <f>+GETPIVOTDATA("XKL4",'kimlong (2016)'!$A$3,"MA_HT","DRA","MA_QH","TMD")</f>
        <v>0</v>
      </c>
      <c r="Y43" s="35">
        <f>+GETPIVOTDATA("XKL4",'kimlong (2016)'!$A$3,"MA_HT","DRA","MA_QH","SKC")</f>
        <v>0</v>
      </c>
      <c r="Z43" s="35">
        <f>+GETPIVOTDATA("XKL4",'kimlong (2016)'!$A$3,"MA_HT","DRA","MA_QH","SKS")</f>
        <v>0</v>
      </c>
      <c r="AA43" s="64">
        <f t="shared" si="21"/>
        <v>0</v>
      </c>
      <c r="AB43" s="35">
        <f>+GETPIVOTDATA("XKL4",'kimlong (2016)'!$A$3,"MA_HT","DRA","MA_QH","DGT")</f>
        <v>0</v>
      </c>
      <c r="AC43" s="35">
        <f>+GETPIVOTDATA("XKL4",'kimlong (2016)'!$A$3,"MA_HT","DRA","MA_QH","DTL")</f>
        <v>0</v>
      </c>
      <c r="AD43" s="35">
        <f>+GETPIVOTDATA("XKL4",'kimlong (2016)'!$A$3,"MA_HT","DRA","MA_QH","DNL")</f>
        <v>0</v>
      </c>
      <c r="AE43" s="35">
        <f>+GETPIVOTDATA("XKL4",'kimlong (2016)'!$A$3,"MA_HT","DRA","MA_QH","DBV")</f>
        <v>0</v>
      </c>
      <c r="AF43" s="35">
        <f>+GETPIVOTDATA("XKL4",'kimlong (2016)'!$A$3,"MA_HT","DRA","MA_QH","DVH")</f>
        <v>0</v>
      </c>
      <c r="AG43" s="35">
        <f>+GETPIVOTDATA("XKL4",'kimlong (2016)'!$A$3,"MA_HT","DRA","MA_QH","DYT")</f>
        <v>0</v>
      </c>
      <c r="AH43" s="35">
        <f>+GETPIVOTDATA("XKL4",'kimlong (2016)'!$A$3,"MA_HT","DRA","MA_QH","DGD")</f>
        <v>0</v>
      </c>
      <c r="AI43" s="35">
        <f>+GETPIVOTDATA("XKL4",'kimlong (2016)'!$A$3,"MA_HT","DRA","MA_QH","DTT")</f>
        <v>0</v>
      </c>
      <c r="AJ43" s="35">
        <f>+GETPIVOTDATA("XKL4",'kimlong (2016)'!$A$3,"MA_HT","DRA","MA_QH","NCK")</f>
        <v>0</v>
      </c>
      <c r="AK43" s="35">
        <f>+GETPIVOTDATA("XKL4",'kimlong (2016)'!$A$3,"MA_HT","DRA","MA_QH","DXH")</f>
        <v>0</v>
      </c>
      <c r="AL43" s="35">
        <f>+GETPIVOTDATA("XKL4",'kimlong (2016)'!$A$3,"MA_HT","DRA","MA_QH","DCH")</f>
        <v>0</v>
      </c>
      <c r="AM43" s="35">
        <f>+GETPIVOTDATA("XKL4",'kimlong (2016)'!$A$3,"MA_HT","DRA","MA_QH","DKG")</f>
        <v>0</v>
      </c>
      <c r="AN43" s="35">
        <f>+GETPIVOTDATA("XKL4",'kimlong (2016)'!$A$3,"MA_HT","DRA","MA_QH","DDT")</f>
        <v>0</v>
      </c>
      <c r="AO43" s="35">
        <f>+GETPIVOTDATA("XKL4",'kimlong (2016)'!$A$3,"MA_HT","DRA","MA_QH","DDL")</f>
        <v>0</v>
      </c>
      <c r="AP43" s="99" t="e">
        <f>$D43-$BF43</f>
        <v>#REF!</v>
      </c>
      <c r="AQ43" s="35">
        <f>+GETPIVOTDATA("XKL4",'kimlong (2016)'!$A$3,"MA_HT","DRA","MA_QH","ONT")</f>
        <v>0</v>
      </c>
      <c r="AR43" s="35">
        <f>+GETPIVOTDATA("XKL4",'kimlong (2016)'!$A$3,"MA_HT","DRA","MA_QH","ODT")</f>
        <v>0</v>
      </c>
      <c r="AS43" s="35">
        <f>+GETPIVOTDATA("XKL4",'kimlong (2016)'!$A$3,"MA_HT","DRA","MA_QH","TSC")</f>
        <v>0</v>
      </c>
      <c r="AT43" s="35">
        <f>+GETPIVOTDATA("XKL4",'kimlong (2016)'!$A$3,"MA_HT","DRA","MA_QH","DTS")</f>
        <v>0</v>
      </c>
      <c r="AU43" s="35">
        <f>+GETPIVOTDATA("XKL4",'kimlong (2016)'!$A$3,"MA_HT","DRA","MA_QH","DNG")</f>
        <v>0</v>
      </c>
      <c r="AV43" s="35">
        <f>+GETPIVOTDATA("XKL4",'kimlong (2016)'!$A$3,"MA_HT","DRA","MA_QH","TON")</f>
        <v>0</v>
      </c>
      <c r="AW43" s="35">
        <f>+GETPIVOTDATA("XKL4",'kimlong (2016)'!$A$3,"MA_HT","DRA","MA_QH","NTD")</f>
        <v>0</v>
      </c>
      <c r="AX43" s="35">
        <f>+GETPIVOTDATA("XKL4",'kimlong (2016)'!$A$3,"MA_HT","DRA","MA_QH","SKX")</f>
        <v>0</v>
      </c>
      <c r="AY43" s="35">
        <f>+GETPIVOTDATA("XKL4",'kimlong (2016)'!$A$3,"MA_HT","DRA","MA_QH","DSH")</f>
        <v>0</v>
      </c>
      <c r="AZ43" s="35">
        <f>+GETPIVOTDATA("XKL4",'kimlong (2016)'!$A$3,"MA_HT","DRA","MA_QH","DKV")</f>
        <v>0</v>
      </c>
      <c r="BA43" s="140">
        <f>+GETPIVOTDATA("XKL4",'kimlong (2016)'!$A$3,"MA_HT","DRA","MA_QH","TIN")</f>
        <v>0</v>
      </c>
      <c r="BB43" s="74">
        <f>+GETPIVOTDATA("XKL4",'kimlong (2016)'!$A$3,"MA_HT","DRA","MA_QH","SON")</f>
        <v>0</v>
      </c>
      <c r="BC43" s="74">
        <f>+GETPIVOTDATA("XKL4",'kimlong (2016)'!$A$3,"MA_HT","DRA","MA_QH","MNC")</f>
        <v>0</v>
      </c>
      <c r="BD43" s="35">
        <f>+GETPIVOTDATA("XKL4",'kimlong (2016)'!$A$3,"MA_HT","DRA","MA_QH","PNK")</f>
        <v>0</v>
      </c>
      <c r="BE43" s="58">
        <f>+GETPIVOTDATA("XKL4",'kimlong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+GETPIVOTDATA("XKL4",'kimlong (2016)'!$A$3,"MA_HT","ONT","MA_QH","LUC")</f>
        <v>0</v>
      </c>
      <c r="H44" s="35">
        <f>+GETPIVOTDATA("XKL4",'kimlong (2016)'!$A$3,"MA_HT","ONT","MA_QH","LUK")</f>
        <v>0</v>
      </c>
      <c r="I44" s="35">
        <f>+GETPIVOTDATA("XKL4",'kimlong (2016)'!$A$3,"MA_HT","ONT","MA_QH","LUN")</f>
        <v>0</v>
      </c>
      <c r="J44" s="35">
        <f>+GETPIVOTDATA("XKL4",'kimlong (2016)'!$A$3,"MA_HT","ONT","MA_QH","HNK")</f>
        <v>0</v>
      </c>
      <c r="K44" s="35">
        <f>+GETPIVOTDATA("XKL4",'kimlong (2016)'!$A$3,"MA_HT","ONT","MA_QH","CLN")</f>
        <v>0</v>
      </c>
      <c r="L44" s="35">
        <f>+GETPIVOTDATA("XKL4",'kimlong (2016)'!$A$3,"MA_HT","ONT","MA_QH","RSX")</f>
        <v>0</v>
      </c>
      <c r="M44" s="35">
        <f>+GETPIVOTDATA("XKL4",'kimlong (2016)'!$A$3,"MA_HT","ONT","MA_QH","RPH")</f>
        <v>0</v>
      </c>
      <c r="N44" s="35">
        <f>+GETPIVOTDATA("XKL4",'kimlong (2016)'!$A$3,"MA_HT","ONT","MA_QH","RDD")</f>
        <v>0</v>
      </c>
      <c r="O44" s="35">
        <f>+GETPIVOTDATA("XKL4",'kimlong (2016)'!$A$3,"MA_HT","ONT","MA_QH","NTS")</f>
        <v>0</v>
      </c>
      <c r="P44" s="35">
        <f>+GETPIVOTDATA("XKL4",'kimlong (2016)'!$A$3,"MA_HT","ONT","MA_QH","LMU")</f>
        <v>0</v>
      </c>
      <c r="Q44" s="35">
        <f>+GETPIVOTDATA("XKL4",'kimlong (2016)'!$A$3,"MA_HT","ONT","MA_QH","NKH")</f>
        <v>0</v>
      </c>
      <c r="R44" s="106">
        <f>SUM(S44:AA44,AN44:AP44,AR44:BD44)</f>
        <v>0</v>
      </c>
      <c r="S44" s="35">
        <f>+GETPIVOTDATA("XKL4",'kimlong (2016)'!$A$3,"MA_HT","ONT","MA_QH","CQP")</f>
        <v>0</v>
      </c>
      <c r="T44" s="35">
        <f>+GETPIVOTDATA("XKL4",'kimlong (2016)'!$A$3,"MA_HT","ONT","MA_QH","CAN")</f>
        <v>0</v>
      </c>
      <c r="U44" s="35">
        <f>+GETPIVOTDATA("XKL4",'kimlong (2016)'!$A$3,"MA_HT","ONT","MA_QH","SKK")</f>
        <v>0</v>
      </c>
      <c r="V44" s="35">
        <f>+GETPIVOTDATA("XKL4",'kimlong (2016)'!$A$3,"MA_HT","ONT","MA_QH","SKT")</f>
        <v>0</v>
      </c>
      <c r="W44" s="35">
        <f>+GETPIVOTDATA("XKL4",'kimlong (2016)'!$A$3,"MA_HT","ONT","MA_QH","SKN")</f>
        <v>0</v>
      </c>
      <c r="X44" s="35">
        <f>+GETPIVOTDATA("XKL4",'kimlong (2016)'!$A$3,"MA_HT","ONT","MA_QH","TMD")</f>
        <v>0</v>
      </c>
      <c r="Y44" s="35">
        <f>+GETPIVOTDATA("XKL4",'kimlong (2016)'!$A$3,"MA_HT","ONT","MA_QH","SKC")</f>
        <v>0</v>
      </c>
      <c r="Z44" s="35">
        <f>+GETPIVOTDATA("XKL4",'kimlong (2016)'!$A$3,"MA_HT","ONT","MA_QH","SKS")</f>
        <v>0</v>
      </c>
      <c r="AA44" s="64">
        <f t="shared" si="21"/>
        <v>0</v>
      </c>
      <c r="AB44" s="35">
        <f>+GETPIVOTDATA("XKL4",'kimlong (2016)'!$A$3,"MA_HT","ONT","MA_QH","DGT")</f>
        <v>0</v>
      </c>
      <c r="AC44" s="35">
        <f>+GETPIVOTDATA("XKL4",'kimlong (2016)'!$A$3,"MA_HT","ONT","MA_QH","DTL")</f>
        <v>0</v>
      </c>
      <c r="AD44" s="35">
        <f>+GETPIVOTDATA("XKL4",'kimlong (2016)'!$A$3,"MA_HT","ONT","MA_QH","DNL")</f>
        <v>0</v>
      </c>
      <c r="AE44" s="35">
        <f>+GETPIVOTDATA("XKL4",'kimlong (2016)'!$A$3,"MA_HT","ONT","MA_QH","DBV")</f>
        <v>0</v>
      </c>
      <c r="AF44" s="35">
        <f>+GETPIVOTDATA("XKL4",'kimlong (2016)'!$A$3,"MA_HT","ONT","MA_QH","DVH")</f>
        <v>0</v>
      </c>
      <c r="AG44" s="35">
        <f>+GETPIVOTDATA("XKL4",'kimlong (2016)'!$A$3,"MA_HT","ONT","MA_QH","DYT")</f>
        <v>0</v>
      </c>
      <c r="AH44" s="35">
        <f>+GETPIVOTDATA("XKL4",'kimlong (2016)'!$A$3,"MA_HT","ONT","MA_QH","DGD")</f>
        <v>0</v>
      </c>
      <c r="AI44" s="35">
        <f>+GETPIVOTDATA("XKL4",'kimlong (2016)'!$A$3,"MA_HT","ONT","MA_QH","DTT")</f>
        <v>0</v>
      </c>
      <c r="AJ44" s="35">
        <f>+GETPIVOTDATA("XKL4",'kimlong (2016)'!$A$3,"MA_HT","ONT","MA_QH","NCK")</f>
        <v>0</v>
      </c>
      <c r="AK44" s="35">
        <f>+GETPIVOTDATA("XKL4",'kimlong (2016)'!$A$3,"MA_HT","ONT","MA_QH","DXH")</f>
        <v>0</v>
      </c>
      <c r="AL44" s="35">
        <f>+GETPIVOTDATA("XKL4",'kimlong (2016)'!$A$3,"MA_HT","ONT","MA_QH","DCH")</f>
        <v>0</v>
      </c>
      <c r="AM44" s="35">
        <f>+GETPIVOTDATA("XKL4",'kimlong (2016)'!$A$3,"MA_HT","ONT","MA_QH","DKG")</f>
        <v>0</v>
      </c>
      <c r="AN44" s="35">
        <f>+GETPIVOTDATA("XKL4",'kimlong (2016)'!$A$3,"MA_HT","ONT","MA_QH","DDT")</f>
        <v>0</v>
      </c>
      <c r="AO44" s="35">
        <f>+GETPIVOTDATA("XKL4",'kimlong (2016)'!$A$3,"MA_HT","ONT","MA_QH","DDL")</f>
        <v>0</v>
      </c>
      <c r="AP44" s="35">
        <f>+GETPIVOTDATA("XKL4",'kimlong (2016)'!$A$3,"MA_HT","ONT","MA_QH","DRA")</f>
        <v>0</v>
      </c>
      <c r="AQ44" s="99" t="e">
        <f>$D44-$BF44</f>
        <v>#REF!</v>
      </c>
      <c r="AR44" s="35">
        <f>+GETPIVOTDATA("XKL4",'kimlong (2016)'!$A$3,"MA_HT","ONT","MA_QH","ODT")</f>
        <v>0</v>
      </c>
      <c r="AS44" s="35">
        <f>+GETPIVOTDATA("XKL4",'kimlong (2016)'!$A$3,"MA_HT","ONT","MA_QH","TSC")</f>
        <v>0</v>
      </c>
      <c r="AT44" s="35">
        <f>+GETPIVOTDATA("XKL4",'kimlong (2016)'!$A$3,"MA_HT","ONT","MA_QH","DTS")</f>
        <v>0</v>
      </c>
      <c r="AU44" s="35">
        <f>+GETPIVOTDATA("XKL4",'kimlong (2016)'!$A$3,"MA_HT","ONT","MA_QH","DNG")</f>
        <v>0</v>
      </c>
      <c r="AV44" s="35">
        <f>+GETPIVOTDATA("XKL4",'kimlong (2016)'!$A$3,"MA_HT","ONT","MA_QH","TON")</f>
        <v>0</v>
      </c>
      <c r="AW44" s="35">
        <f>+GETPIVOTDATA("XKL4",'kimlong (2016)'!$A$3,"MA_HT","ONT","MA_QH","NTD")</f>
        <v>0</v>
      </c>
      <c r="AX44" s="35">
        <f>+GETPIVOTDATA("XKL4",'kimlong (2016)'!$A$3,"MA_HT","ONT","MA_QH","SKX")</f>
        <v>0</v>
      </c>
      <c r="AY44" s="35">
        <f>+GETPIVOTDATA("XKL4",'kimlong (2016)'!$A$3,"MA_HT","ONT","MA_QH","DSH")</f>
        <v>0</v>
      </c>
      <c r="AZ44" s="35">
        <f>+GETPIVOTDATA("XKL4",'kimlong (2016)'!$A$3,"MA_HT","ONT","MA_QH","DKV")</f>
        <v>0</v>
      </c>
      <c r="BA44" s="140">
        <f>+GETPIVOTDATA("XKL4",'kimlong (2016)'!$A$3,"MA_HT","ONT","MA_QH","TIN")</f>
        <v>0</v>
      </c>
      <c r="BB44" s="74">
        <f>+GETPIVOTDATA("XKL4",'kimlong (2016)'!$A$3,"MA_HT","ONT","MA_QH","SON")</f>
        <v>0</v>
      </c>
      <c r="BC44" s="74">
        <f>+GETPIVOTDATA("XKL4",'kimlong (2016)'!$A$3,"MA_HT","ONT","MA_QH","MNC")</f>
        <v>0</v>
      </c>
      <c r="BD44" s="35">
        <f>+GETPIVOTDATA("XKL4",'kimlong (2016)'!$A$3,"MA_HT","ONT","MA_QH","PNK")</f>
        <v>0</v>
      </c>
      <c r="BE44" s="58">
        <f>+GETPIVOTDATA("XKL4",'kimlong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+GETPIVOTDATA("XKL4",'kimlong (2016)'!$A$3,"MA_HT","ODT","MA_QH","LUC")</f>
        <v>0</v>
      </c>
      <c r="H45" s="111">
        <f>+GETPIVOTDATA("XKL4",'kimlong (2016)'!$A$3,"MA_HT","ODT","MA_QH","LUK")</f>
        <v>0</v>
      </c>
      <c r="I45" s="111">
        <f>+GETPIVOTDATA("XKL4",'kimlong (2016)'!$A$3,"MA_HT","ODT","MA_QH","LUN")</f>
        <v>0</v>
      </c>
      <c r="J45" s="111">
        <f>+GETPIVOTDATA("XKL4",'kimlong (2016)'!$A$3,"MA_HT","ODT","MA_QH","HNK")</f>
        <v>0</v>
      </c>
      <c r="K45" s="111">
        <f>+GETPIVOTDATA("XKL4",'kimlong (2016)'!$A$3,"MA_HT","ODT","MA_QH","CLN")</f>
        <v>0</v>
      </c>
      <c r="L45" s="111">
        <f>+GETPIVOTDATA("XKL4",'kimlong (2016)'!$A$3,"MA_HT","ODT","MA_QH","RSX")</f>
        <v>0</v>
      </c>
      <c r="M45" s="111">
        <f>+GETPIVOTDATA("XKL4",'kimlong (2016)'!$A$3,"MA_HT","ODT","MA_QH","RPH")</f>
        <v>0</v>
      </c>
      <c r="N45" s="111">
        <f>+GETPIVOTDATA("XKL4",'kimlong (2016)'!$A$3,"MA_HT","ODT","MA_QH","RDD")</f>
        <v>0</v>
      </c>
      <c r="O45" s="111">
        <f>+GETPIVOTDATA("XKL4",'kimlong (2016)'!$A$3,"MA_HT","ODT","MA_QH","NTS")</f>
        <v>0</v>
      </c>
      <c r="P45" s="111">
        <f>+GETPIVOTDATA("XKL4",'kimlong (2016)'!$A$3,"MA_HT","ODT","MA_QH","LMU")</f>
        <v>0</v>
      </c>
      <c r="Q45" s="111">
        <f>+GETPIVOTDATA("XKL4",'kimlong (2016)'!$A$3,"MA_HT","ODT","MA_QH","NKH")</f>
        <v>0</v>
      </c>
      <c r="R45" s="106">
        <f>SUM(S45:AA45,AN45:AQ45,AS45:BD45)</f>
        <v>0</v>
      </c>
      <c r="S45" s="111">
        <f>+GETPIVOTDATA("XKL4",'kimlong (2016)'!$A$3,"MA_HT","ODT","MA_QH","CQP")</f>
        <v>0</v>
      </c>
      <c r="T45" s="111">
        <f>+GETPIVOTDATA("XKL4",'kimlong (2016)'!$A$3,"MA_HT","ODT","MA_QH","CAN")</f>
        <v>0</v>
      </c>
      <c r="U45" s="111">
        <f>+GETPIVOTDATA("XKL4",'kimlong (2016)'!$A$3,"MA_HT","ODT","MA_QH","SKK")</f>
        <v>0</v>
      </c>
      <c r="V45" s="111">
        <f>+GETPIVOTDATA("XKL4",'kimlong (2016)'!$A$3,"MA_HT","ODT","MA_QH","SKT")</f>
        <v>0</v>
      </c>
      <c r="W45" s="111">
        <f>+GETPIVOTDATA("XKL4",'kimlong (2016)'!$A$3,"MA_HT","ODT","MA_QH","SKN")</f>
        <v>0</v>
      </c>
      <c r="X45" s="111">
        <f>+GETPIVOTDATA("XKL4",'kimlong (2016)'!$A$3,"MA_HT","ODT","MA_QH","TMD")</f>
        <v>0</v>
      </c>
      <c r="Y45" s="111">
        <f>+GETPIVOTDATA("XKL4",'kimlong (2016)'!$A$3,"MA_HT","ODT","MA_QH","SKC")</f>
        <v>0</v>
      </c>
      <c r="Z45" s="111">
        <f>+GETPIVOTDATA("XKL4",'kimlong (2016)'!$A$3,"MA_HT","ODT","MA_QH","SKS")</f>
        <v>0</v>
      </c>
      <c r="AA45" s="104">
        <f t="shared" si="21"/>
        <v>0</v>
      </c>
      <c r="AB45" s="111">
        <f>+GETPIVOTDATA("XKL4",'kimlong (2016)'!$A$3,"MA_HT","ODT","MA_QH","DGT")</f>
        <v>0</v>
      </c>
      <c r="AC45" s="111">
        <f>+GETPIVOTDATA("XKL4",'kimlong (2016)'!$A$3,"MA_HT","ODT","MA_QH","DTL")</f>
        <v>0</v>
      </c>
      <c r="AD45" s="111">
        <f>+GETPIVOTDATA("XKL4",'kimlong (2016)'!$A$3,"MA_HT","ODT","MA_QH","DNL")</f>
        <v>0</v>
      </c>
      <c r="AE45" s="111">
        <f>+GETPIVOTDATA("XKL4",'kimlong (2016)'!$A$3,"MA_HT","ODT","MA_QH","DBV")</f>
        <v>0</v>
      </c>
      <c r="AF45" s="111">
        <f>+GETPIVOTDATA("XKL4",'kimlong (2016)'!$A$3,"MA_HT","ODT","MA_QH","DVH")</f>
        <v>0</v>
      </c>
      <c r="AG45" s="111">
        <f>+GETPIVOTDATA("XKL4",'kimlong (2016)'!$A$3,"MA_HT","ODT","MA_QH","DYT")</f>
        <v>0</v>
      </c>
      <c r="AH45" s="111">
        <f>+GETPIVOTDATA("XKL4",'kimlong (2016)'!$A$3,"MA_HT","ODT","MA_QH","DGD")</f>
        <v>0</v>
      </c>
      <c r="AI45" s="111">
        <f>+GETPIVOTDATA("XKL4",'kimlong (2016)'!$A$3,"MA_HT","ODT","MA_QH","DTT")</f>
        <v>0</v>
      </c>
      <c r="AJ45" s="111">
        <f>+GETPIVOTDATA("XKL4",'kimlong (2016)'!$A$3,"MA_HT","ODT","MA_QH","NCK")</f>
        <v>0</v>
      </c>
      <c r="AK45" s="111">
        <f>+GETPIVOTDATA("XKL4",'kimlong (2016)'!$A$3,"MA_HT","ODT","MA_QH","DXH")</f>
        <v>0</v>
      </c>
      <c r="AL45" s="111">
        <f>+GETPIVOTDATA("XKL4",'kimlong (2016)'!$A$3,"MA_HT","ODT","MA_QH","DCH")</f>
        <v>0</v>
      </c>
      <c r="AM45" s="111">
        <f>+GETPIVOTDATA("XKL4",'kimlong (2016)'!$A$3,"MA_HT","ODT","MA_QH","DKG")</f>
        <v>0</v>
      </c>
      <c r="AN45" s="111">
        <f>+GETPIVOTDATA("XKL4",'kimlong (2016)'!$A$3,"MA_HT","ODT","MA_QH","DDT")</f>
        <v>0</v>
      </c>
      <c r="AO45" s="111">
        <f>+GETPIVOTDATA("XKL4",'kimlong (2016)'!$A$3,"MA_HT","ODT","MA_QH","DDL")</f>
        <v>0</v>
      </c>
      <c r="AP45" s="111">
        <f>+GETPIVOTDATA("XKL4",'kimlong (2016)'!$A$3,"MA_HT","ODT","MA_QH","DRA")</f>
        <v>0</v>
      </c>
      <c r="AQ45" s="111">
        <f>+GETPIVOTDATA("XKL4",'kimlong (2016)'!$A$3,"MA_HT","ODT","MA_QH","ONT")</f>
        <v>0</v>
      </c>
      <c r="AR45" s="112" t="e">
        <f>$D45-$BF45</f>
        <v>#REF!</v>
      </c>
      <c r="AS45" s="111">
        <f>+GETPIVOTDATA("XKL4",'kimlong (2016)'!$A$3,"MA_HT","ODT","MA_QH","TSC")</f>
        <v>0</v>
      </c>
      <c r="AT45" s="111">
        <f>+GETPIVOTDATA("XKL4",'kimlong (2016)'!$A$3,"MA_HT","ODT","MA_QH","DTS")</f>
        <v>0</v>
      </c>
      <c r="AU45" s="111">
        <f>+GETPIVOTDATA("XKL4",'kimlong (2016)'!$A$3,"MA_HT","ODT","MA_QH","DNG")</f>
        <v>0</v>
      </c>
      <c r="AV45" s="111">
        <f>+GETPIVOTDATA("XKL4",'kimlong (2016)'!$A$3,"MA_HT","ODT","MA_QH","TON")</f>
        <v>0</v>
      </c>
      <c r="AW45" s="111">
        <f>+GETPIVOTDATA("XKL4",'kimlong (2016)'!$A$3,"MA_HT","ODT","MA_QH","NTD")</f>
        <v>0</v>
      </c>
      <c r="AX45" s="111">
        <f>+GETPIVOTDATA("XKL4",'kimlong (2016)'!$A$3,"MA_HT","ODT","MA_QH","SKX")</f>
        <v>0</v>
      </c>
      <c r="AY45" s="111">
        <f>+GETPIVOTDATA("XKL4",'kimlong (2016)'!$A$3,"MA_HT","ODT","MA_QH","DSH")</f>
        <v>0</v>
      </c>
      <c r="AZ45" s="111">
        <f>+GETPIVOTDATA("XKL4",'kimlong (2016)'!$A$3,"MA_HT","ODT","MA_QH","DKV")</f>
        <v>0</v>
      </c>
      <c r="BA45" s="142">
        <f>+GETPIVOTDATA("XKL4",'kimlong (2016)'!$A$3,"MA_HT","ODT","MA_QH","TIN")</f>
        <v>0</v>
      </c>
      <c r="BB45" s="105">
        <f>+GETPIVOTDATA("XKL4",'kimlong (2016)'!$A$3,"MA_HT","ODT","MA_QH","SON")</f>
        <v>0</v>
      </c>
      <c r="BC45" s="105">
        <f>+GETPIVOTDATA("XKL4",'kimlong (2016)'!$A$3,"MA_HT","ODT","MA_QH","MNC")</f>
        <v>0</v>
      </c>
      <c r="BD45" s="111">
        <f>+GETPIVOTDATA("XKL4",'kimlong (2016)'!$A$3,"MA_HT","ODT","MA_QH","PNK")</f>
        <v>0</v>
      </c>
      <c r="BE45" s="113">
        <f>+GETPIVOTDATA("XKL4",'kimlong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+GETPIVOTDATA("XKL4",'kimlong (2016)'!$A$3,"MA_HT","TSC","MA_QH","LUC")</f>
        <v>0</v>
      </c>
      <c r="H46" s="35">
        <f>+GETPIVOTDATA("XKL4",'kimlong (2016)'!$A$3,"MA_HT","TSC","MA_QH","LUK")</f>
        <v>0</v>
      </c>
      <c r="I46" s="35">
        <f>+GETPIVOTDATA("XKL4",'kimlong (2016)'!$A$3,"MA_HT","TSC","MA_QH","LUN")</f>
        <v>0</v>
      </c>
      <c r="J46" s="35">
        <f>+GETPIVOTDATA("XKL4",'kimlong (2016)'!$A$3,"MA_HT","TSC","MA_QH","HNK")</f>
        <v>0</v>
      </c>
      <c r="K46" s="35">
        <f>+GETPIVOTDATA("XKL4",'kimlong (2016)'!$A$3,"MA_HT","TSC","MA_QH","CLN")</f>
        <v>0</v>
      </c>
      <c r="L46" s="35">
        <f>+GETPIVOTDATA("XKL4",'kimlong (2016)'!$A$3,"MA_HT","TSC","MA_QH","RSX")</f>
        <v>0</v>
      </c>
      <c r="M46" s="35">
        <f>+GETPIVOTDATA("XKL4",'kimlong (2016)'!$A$3,"MA_HT","TSC","MA_QH","RPH")</f>
        <v>0</v>
      </c>
      <c r="N46" s="35">
        <f>+GETPIVOTDATA("XKL4",'kimlong (2016)'!$A$3,"MA_HT","TSC","MA_QH","RDD")</f>
        <v>0</v>
      </c>
      <c r="O46" s="35">
        <f>+GETPIVOTDATA("XKL4",'kimlong (2016)'!$A$3,"MA_HT","TSC","MA_QH","NTS")</f>
        <v>0</v>
      </c>
      <c r="P46" s="35">
        <f>+GETPIVOTDATA("XKL4",'kimlong (2016)'!$A$3,"MA_HT","TSC","MA_QH","LMU")</f>
        <v>0</v>
      </c>
      <c r="Q46" s="35">
        <f>+GETPIVOTDATA("XKL4",'kimlong (2016)'!$A$3,"MA_HT","TSC","MA_QH","NKH")</f>
        <v>0</v>
      </c>
      <c r="R46" s="72">
        <f>SUM(S46:AA46,AN46:AR46,AT46:BD46)</f>
        <v>0</v>
      </c>
      <c r="S46" s="35">
        <f>+GETPIVOTDATA("XKL4",'kimlong (2016)'!$A$3,"MA_HT","TSC","MA_QH","CQP")</f>
        <v>0</v>
      </c>
      <c r="T46" s="35">
        <f>+GETPIVOTDATA("XKL4",'kimlong (2016)'!$A$3,"MA_HT","TSC","MA_QH","CAN")</f>
        <v>0</v>
      </c>
      <c r="U46" s="35">
        <f>+GETPIVOTDATA("XKL4",'kimlong (2016)'!$A$3,"MA_HT","TSC","MA_QH","SKK")</f>
        <v>0</v>
      </c>
      <c r="V46" s="35">
        <f>+GETPIVOTDATA("XKL4",'kimlong (2016)'!$A$3,"MA_HT","TSC","MA_QH","SKT")</f>
        <v>0</v>
      </c>
      <c r="W46" s="35">
        <f>+GETPIVOTDATA("XKL4",'kimlong (2016)'!$A$3,"MA_HT","TSC","MA_QH","SKN")</f>
        <v>0</v>
      </c>
      <c r="X46" s="35">
        <f>+GETPIVOTDATA("XKL4",'kimlong (2016)'!$A$3,"MA_HT","TSC","MA_QH","TMD")</f>
        <v>0</v>
      </c>
      <c r="Y46" s="35">
        <f>+GETPIVOTDATA("XKL4",'kimlong (2016)'!$A$3,"MA_HT","TSC","MA_QH","SKC")</f>
        <v>0</v>
      </c>
      <c r="Z46" s="35">
        <f>+GETPIVOTDATA("XKL4",'kimlong (2016)'!$A$3,"MA_HT","TSC","MA_QH","SKS")</f>
        <v>0</v>
      </c>
      <c r="AA46" s="64">
        <f t="shared" si="21"/>
        <v>0</v>
      </c>
      <c r="AB46" s="35">
        <f>+GETPIVOTDATA("XKL4",'kimlong (2016)'!$A$3,"MA_HT","TSC","MA_QH","DGT")</f>
        <v>0</v>
      </c>
      <c r="AC46" s="35">
        <f>+GETPIVOTDATA("XKL4",'kimlong (2016)'!$A$3,"MA_HT","TSC","MA_QH","DTL")</f>
        <v>0</v>
      </c>
      <c r="AD46" s="35">
        <f>+GETPIVOTDATA("XKL4",'kimlong (2016)'!$A$3,"MA_HT","TSC","MA_QH","DNL")</f>
        <v>0</v>
      </c>
      <c r="AE46" s="35">
        <f>+GETPIVOTDATA("XKL4",'kimlong (2016)'!$A$3,"MA_HT","TSC","MA_QH","DBV")</f>
        <v>0</v>
      </c>
      <c r="AF46" s="35">
        <f>+GETPIVOTDATA("XKL4",'kimlong (2016)'!$A$3,"MA_HT","TSC","MA_QH","DVH")</f>
        <v>0</v>
      </c>
      <c r="AG46" s="35">
        <f>+GETPIVOTDATA("XKL4",'kimlong (2016)'!$A$3,"MA_HT","TSC","MA_QH","DYT")</f>
        <v>0</v>
      </c>
      <c r="AH46" s="35">
        <f>+GETPIVOTDATA("XKL4",'kimlong (2016)'!$A$3,"MA_HT","TSC","MA_QH","DGD")</f>
        <v>0</v>
      </c>
      <c r="AI46" s="35">
        <f>+GETPIVOTDATA("XKL4",'kimlong (2016)'!$A$3,"MA_HT","TSC","MA_QH","DTT")</f>
        <v>0</v>
      </c>
      <c r="AJ46" s="35">
        <f>+GETPIVOTDATA("XKL4",'kimlong (2016)'!$A$3,"MA_HT","TSC","MA_QH","NCK")</f>
        <v>0</v>
      </c>
      <c r="AK46" s="35">
        <f>+GETPIVOTDATA("XKL4",'kimlong (2016)'!$A$3,"MA_HT","TSC","MA_QH","DXH")</f>
        <v>0</v>
      </c>
      <c r="AL46" s="35">
        <f>+GETPIVOTDATA("XKL4",'kimlong (2016)'!$A$3,"MA_HT","TSC","MA_QH","DCH")</f>
        <v>0</v>
      </c>
      <c r="AM46" s="35">
        <f>+GETPIVOTDATA("XKL4",'kimlong (2016)'!$A$3,"MA_HT","TSC","MA_QH","DKG")</f>
        <v>0</v>
      </c>
      <c r="AN46" s="35">
        <f>+GETPIVOTDATA("XKL4",'kimlong (2016)'!$A$3,"MA_HT","TSC","MA_QH","DDT")</f>
        <v>0</v>
      </c>
      <c r="AO46" s="35">
        <f>+GETPIVOTDATA("XKL4",'kimlong (2016)'!$A$3,"MA_HT","TSC","MA_QH","DDL")</f>
        <v>0</v>
      </c>
      <c r="AP46" s="35">
        <f>+GETPIVOTDATA("XKL4",'kimlong (2016)'!$A$3,"MA_HT","TSC","MA_QH","DRA")</f>
        <v>0</v>
      </c>
      <c r="AQ46" s="35">
        <f>+GETPIVOTDATA("XKL4",'kimlong (2016)'!$A$3,"MA_HT","TSC","MA_QH","ONT")</f>
        <v>0</v>
      </c>
      <c r="AR46" s="35">
        <f>+GETPIVOTDATA("XKL4",'kimlong (2016)'!$A$3,"MA_HT","TSC","MA_QH","ODT")</f>
        <v>0</v>
      </c>
      <c r="AS46" s="99" t="e">
        <f>$D46-$BF46</f>
        <v>#REF!</v>
      </c>
      <c r="AT46" s="35">
        <f>+GETPIVOTDATA("XKL4",'kimlong (2016)'!$A$3,"MA_HT","TSC","MA_QH","DTS")</f>
        <v>0</v>
      </c>
      <c r="AU46" s="35">
        <f>+GETPIVOTDATA("XKL4",'kimlong (2016)'!$A$3,"MA_HT","TSC","MA_QH","DNG")</f>
        <v>0</v>
      </c>
      <c r="AV46" s="35">
        <f>+GETPIVOTDATA("XKL4",'kimlong (2016)'!$A$3,"MA_HT","TSC","MA_QH","TON")</f>
        <v>0</v>
      </c>
      <c r="AW46" s="35">
        <f>+GETPIVOTDATA("XKL4",'kimlong (2016)'!$A$3,"MA_HT","TSC","MA_QH","NTD")</f>
        <v>0</v>
      </c>
      <c r="AX46" s="35">
        <f>+GETPIVOTDATA("XKL4",'kimlong (2016)'!$A$3,"MA_HT","TSC","MA_QH","SKX")</f>
        <v>0</v>
      </c>
      <c r="AY46" s="35">
        <f>+GETPIVOTDATA("XKL4",'kimlong (2016)'!$A$3,"MA_HT","TSC","MA_QH","DSH")</f>
        <v>0</v>
      </c>
      <c r="AZ46" s="35">
        <f>+GETPIVOTDATA("XKL4",'kimlong (2016)'!$A$3,"MA_HT","TSC","MA_QH","DKV")</f>
        <v>0</v>
      </c>
      <c r="BA46" s="140">
        <f>+GETPIVOTDATA("XKL4",'kimlong (2016)'!$A$3,"MA_HT","TSC","MA_QH","TIN")</f>
        <v>0</v>
      </c>
      <c r="BB46" s="74">
        <f>+GETPIVOTDATA("XKL4",'kimlong (2016)'!$A$3,"MA_HT","TSC","MA_QH","SON")</f>
        <v>0</v>
      </c>
      <c r="BC46" s="74">
        <f>+GETPIVOTDATA("XKL4",'kimlong (2016)'!$A$3,"MA_HT","TSC","MA_QH","MNC")</f>
        <v>0</v>
      </c>
      <c r="BD46" s="35">
        <f>+GETPIVOTDATA("XKL4",'kimlong (2016)'!$A$3,"MA_HT","TSC","MA_QH","PNK")</f>
        <v>0</v>
      </c>
      <c r="BE46" s="58">
        <f>+GETPIVOTDATA("XKL4",'kimlong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+GETPIVOTDATA("XKL4",'kimlong (2016)'!$A$3,"MA_HT","DTS","MA_QH","LUC")</f>
        <v>0</v>
      </c>
      <c r="H47" s="122">
        <f>+GETPIVOTDATA("XKL4",'kimlong (2016)'!$A$3,"MA_HT","DTS","MA_QH","LUK")</f>
        <v>0</v>
      </c>
      <c r="I47" s="122">
        <f>+GETPIVOTDATA("XKL4",'kimlong (2016)'!$A$3,"MA_HT","DTS","MA_QH","LUN")</f>
        <v>0</v>
      </c>
      <c r="J47" s="122">
        <f>+GETPIVOTDATA("XKL4",'kimlong (2016)'!$A$3,"MA_HT","DTS","MA_QH","HNK")</f>
        <v>0</v>
      </c>
      <c r="K47" s="122">
        <f>+GETPIVOTDATA("XKL4",'kimlong (2016)'!$A$3,"MA_HT","DTS","MA_QH","CLN")</f>
        <v>0</v>
      </c>
      <c r="L47" s="122">
        <f>+GETPIVOTDATA("XKL4",'kimlong (2016)'!$A$3,"MA_HT","DTS","MA_QH","RSX")</f>
        <v>0</v>
      </c>
      <c r="M47" s="122">
        <f>+GETPIVOTDATA("XKL4",'kimlong (2016)'!$A$3,"MA_HT","DTS","MA_QH","RPH")</f>
        <v>0</v>
      </c>
      <c r="N47" s="122">
        <f>+GETPIVOTDATA("XKL4",'kimlong (2016)'!$A$3,"MA_HT","DTS","MA_QH","RDD")</f>
        <v>0</v>
      </c>
      <c r="O47" s="122">
        <f>+GETPIVOTDATA("XKL4",'kimlong (2016)'!$A$3,"MA_HT","DTS","MA_QH","NTS")</f>
        <v>0</v>
      </c>
      <c r="P47" s="122">
        <f>+GETPIVOTDATA("XKL4",'kimlong (2016)'!$A$3,"MA_HT","DTS","MA_QH","LMU")</f>
        <v>0</v>
      </c>
      <c r="Q47" s="122">
        <f>+GETPIVOTDATA("XKL4",'kimlong (2016)'!$A$3,"MA_HT","DTS","MA_QH","NKH")</f>
        <v>0</v>
      </c>
      <c r="R47" s="123">
        <f>SUM(S47:AA47,AN47:AS47,AU47:BD47)</f>
        <v>0</v>
      </c>
      <c r="S47" s="122">
        <f>+GETPIVOTDATA("XKL4",'kimlong (2016)'!$A$3,"MA_HT","DTS","MA_QH","CQP")</f>
        <v>0</v>
      </c>
      <c r="T47" s="122">
        <f>+GETPIVOTDATA("XKL4",'kimlong (2016)'!$A$3,"MA_HT","DTS","MA_QH","CAN")</f>
        <v>0</v>
      </c>
      <c r="U47" s="122">
        <f>+GETPIVOTDATA("XKL4",'kimlong (2016)'!$A$3,"MA_HT","DTS","MA_QH","SKK")</f>
        <v>0</v>
      </c>
      <c r="V47" s="122">
        <f>+GETPIVOTDATA("XKL4",'kimlong (2016)'!$A$3,"MA_HT","DTS","MA_QH","SKT")</f>
        <v>0</v>
      </c>
      <c r="W47" s="122">
        <f>+GETPIVOTDATA("XKL4",'kimlong (2016)'!$A$3,"MA_HT","DTS","MA_QH","SKN")</f>
        <v>0</v>
      </c>
      <c r="X47" s="122">
        <f>+GETPIVOTDATA("XKL4",'kimlong (2016)'!$A$3,"MA_HT","DTS","MA_QH","TMD")</f>
        <v>0</v>
      </c>
      <c r="Y47" s="122">
        <f>+GETPIVOTDATA("XKL4",'kimlong (2016)'!$A$3,"MA_HT","DTS","MA_QH","SKC")</f>
        <v>0</v>
      </c>
      <c r="Z47" s="122">
        <f>+GETPIVOTDATA("XKL4",'kimlong (2016)'!$A$3,"MA_HT","DTS","MA_QH","SKS")</f>
        <v>0</v>
      </c>
      <c r="AA47" s="121">
        <f t="shared" si="21"/>
        <v>0</v>
      </c>
      <c r="AB47" s="122">
        <f>+GETPIVOTDATA("XKL4",'kimlong (2016)'!$A$3,"MA_HT","DTS","MA_QH","DGT")</f>
        <v>0</v>
      </c>
      <c r="AC47" s="122">
        <f>+GETPIVOTDATA("XKL4",'kimlong (2016)'!$A$3,"MA_HT","DTS","MA_QH","DTL")</f>
        <v>0</v>
      </c>
      <c r="AD47" s="122">
        <f>+GETPIVOTDATA("XKL4",'kimlong (2016)'!$A$3,"MA_HT","DTS","MA_QH","DNL")</f>
        <v>0</v>
      </c>
      <c r="AE47" s="122">
        <f>+GETPIVOTDATA("XKL4",'kimlong (2016)'!$A$3,"MA_HT","DTS","MA_QH","DBV")</f>
        <v>0</v>
      </c>
      <c r="AF47" s="122">
        <f>+GETPIVOTDATA("XKL4",'kimlong (2016)'!$A$3,"MA_HT","DTS","MA_QH","DVH")</f>
        <v>0</v>
      </c>
      <c r="AG47" s="122">
        <f>+GETPIVOTDATA("XKL4",'kimlong (2016)'!$A$3,"MA_HT","DTS","MA_QH","DYT")</f>
        <v>0</v>
      </c>
      <c r="AH47" s="122">
        <f>+GETPIVOTDATA("XKL4",'kimlong (2016)'!$A$3,"MA_HT","DTS","MA_QH","DGD")</f>
        <v>0</v>
      </c>
      <c r="AI47" s="122">
        <f>+GETPIVOTDATA("XKL4",'kimlong (2016)'!$A$3,"MA_HT","DTS","MA_QH","DTT")</f>
        <v>0</v>
      </c>
      <c r="AJ47" s="122">
        <f>+GETPIVOTDATA("XKL4",'kimlong (2016)'!$A$3,"MA_HT","DTS","MA_QH","NCK")</f>
        <v>0</v>
      </c>
      <c r="AK47" s="122">
        <f>+GETPIVOTDATA("XKL4",'kimlong (2016)'!$A$3,"MA_HT","DTS","MA_QH","DXH")</f>
        <v>0</v>
      </c>
      <c r="AL47" s="122">
        <f>+GETPIVOTDATA("XKL4",'kimlong (2016)'!$A$3,"MA_HT","DTS","MA_QH","DCH")</f>
        <v>0</v>
      </c>
      <c r="AM47" s="122">
        <f>+GETPIVOTDATA("XKL4",'kimlong (2016)'!$A$3,"MA_HT","DTS","MA_QH","DKG")</f>
        <v>0</v>
      </c>
      <c r="AN47" s="122">
        <f>+GETPIVOTDATA("XKL4",'kimlong (2016)'!$A$3,"MA_HT","DTS","MA_QH","DDT")</f>
        <v>0</v>
      </c>
      <c r="AO47" s="122">
        <f>+GETPIVOTDATA("XKL4",'kimlong (2016)'!$A$3,"MA_HT","DTS","MA_QH","DDL")</f>
        <v>0</v>
      </c>
      <c r="AP47" s="122">
        <f>+GETPIVOTDATA("XKL4",'kimlong (2016)'!$A$3,"MA_HT","DTS","MA_QH","DRA")</f>
        <v>0</v>
      </c>
      <c r="AQ47" s="122">
        <f>+GETPIVOTDATA("XKL4",'kimlong (2016)'!$A$3,"MA_HT","DTS","MA_QH","ONT")</f>
        <v>0</v>
      </c>
      <c r="AR47" s="122">
        <f>+GETPIVOTDATA("XKL4",'kimlong (2016)'!$A$3,"MA_HT","DTS","MA_QH","ODT")</f>
        <v>0</v>
      </c>
      <c r="AS47" s="122">
        <f>+GETPIVOTDATA("XKL4",'kimlong (2016)'!$A$3,"MA_HT","DTS","MA_QH","TSC")</f>
        <v>0</v>
      </c>
      <c r="AT47" s="124" t="e">
        <f>$D47-$BF47</f>
        <v>#REF!</v>
      </c>
      <c r="AU47" s="122">
        <f>+GETPIVOTDATA("XKL4",'kimlong (2016)'!$A$3,"MA_HT","DTS","MA_QH","DNG")</f>
        <v>0</v>
      </c>
      <c r="AV47" s="122">
        <f>+GETPIVOTDATA("XKL4",'kimlong (2016)'!$A$3,"MA_HT","DTS","MA_QH","TON")</f>
        <v>0</v>
      </c>
      <c r="AW47" s="122">
        <f>+GETPIVOTDATA("XKL4",'kimlong (2016)'!$A$3,"MA_HT","DTS","MA_QH","NTD")</f>
        <v>0</v>
      </c>
      <c r="AX47" s="122">
        <f>+GETPIVOTDATA("XKL4",'kimlong (2016)'!$A$3,"MA_HT","DTS","MA_QH","SKX")</f>
        <v>0</v>
      </c>
      <c r="AY47" s="122">
        <f>+GETPIVOTDATA("XKL4",'kimlong (2016)'!$A$3,"MA_HT","DTS","MA_QH","DSH")</f>
        <v>0</v>
      </c>
      <c r="AZ47" s="122">
        <f>+GETPIVOTDATA("XKL4",'kimlong (2016)'!$A$3,"MA_HT","DTS","MA_QH","DKV")</f>
        <v>0</v>
      </c>
      <c r="BA47" s="141">
        <f>+GETPIVOTDATA("XKL4",'kimlong (2016)'!$A$3,"MA_HT","DTS","MA_QH","TIN")</f>
        <v>0</v>
      </c>
      <c r="BB47" s="125">
        <f>+GETPIVOTDATA("XKL4",'kimlong (2016)'!$A$3,"MA_HT","DTS","MA_QH","SON")</f>
        <v>0</v>
      </c>
      <c r="BC47" s="125">
        <f>+GETPIVOTDATA("XKL4",'kimlong (2016)'!$A$3,"MA_HT","DTS","MA_QH","MNC")</f>
        <v>0</v>
      </c>
      <c r="BD47" s="122">
        <f>+GETPIVOTDATA("XKL4",'kimlong (2016)'!$A$3,"MA_HT","DTS","MA_QH","PNK")</f>
        <v>0</v>
      </c>
      <c r="BE47" s="126">
        <f>+GETPIVOTDATA("XKL4",'kimlong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+GETPIVOTDATA("XKL4",'kimlong (2016)'!$A$3,"MA_HT","DNG","MA_QH","LUC")</f>
        <v>0</v>
      </c>
      <c r="H48" s="35">
        <f>+GETPIVOTDATA("XKL4",'kimlong (2016)'!$A$3,"MA_HT","DNG","MA_QH","LUK")</f>
        <v>0</v>
      </c>
      <c r="I48" s="35">
        <f>+GETPIVOTDATA("XKL4",'kimlong (2016)'!$A$3,"MA_HT","DNG","MA_QH","LUN")</f>
        <v>0</v>
      </c>
      <c r="J48" s="35">
        <f>+GETPIVOTDATA("XKL4",'kimlong (2016)'!$A$3,"MA_HT","DNG","MA_QH","HNK")</f>
        <v>0</v>
      </c>
      <c r="K48" s="35">
        <f>+GETPIVOTDATA("XKL4",'kimlong (2016)'!$A$3,"MA_HT","DNG","MA_QH","CLN")</f>
        <v>0</v>
      </c>
      <c r="L48" s="35">
        <f>+GETPIVOTDATA("XKL4",'kimlong (2016)'!$A$3,"MA_HT","DNG","MA_QH","RSX")</f>
        <v>0</v>
      </c>
      <c r="M48" s="35">
        <f>+GETPIVOTDATA("XKL4",'kimlong (2016)'!$A$3,"MA_HT","DNG","MA_QH","RPH")</f>
        <v>0</v>
      </c>
      <c r="N48" s="35">
        <f>+GETPIVOTDATA("XKL4",'kimlong (2016)'!$A$3,"MA_HT","DNG","MA_QH","RDD")</f>
        <v>0</v>
      </c>
      <c r="O48" s="35">
        <f>+GETPIVOTDATA("XKL4",'kimlong (2016)'!$A$3,"MA_HT","DNG","MA_QH","NTS")</f>
        <v>0</v>
      </c>
      <c r="P48" s="35">
        <f>+GETPIVOTDATA("XKL4",'kimlong (2016)'!$A$3,"MA_HT","DNG","MA_QH","LMU")</f>
        <v>0</v>
      </c>
      <c r="Q48" s="35">
        <f>+GETPIVOTDATA("XKL4",'kimlong (2016)'!$A$3,"MA_HT","DNG","MA_QH","NKH")</f>
        <v>0</v>
      </c>
      <c r="R48" s="106">
        <f>SUM(S48:AA48,AN48:AT48,AV48:BD48)</f>
        <v>0</v>
      </c>
      <c r="S48" s="35">
        <f>+GETPIVOTDATA("XKL4",'kimlong (2016)'!$A$3,"MA_HT","DNG","MA_QH","CQP")</f>
        <v>0</v>
      </c>
      <c r="T48" s="35">
        <f>+GETPIVOTDATA("XKL4",'kimlong (2016)'!$A$3,"MA_HT","DNG","MA_QH","CAN")</f>
        <v>0</v>
      </c>
      <c r="U48" s="35">
        <f>+GETPIVOTDATA("XKL4",'kimlong (2016)'!$A$3,"MA_HT","DNG","MA_QH","SKK")</f>
        <v>0</v>
      </c>
      <c r="V48" s="35">
        <f>+GETPIVOTDATA("XKL4",'kimlong (2016)'!$A$3,"MA_HT","DNG","MA_QH","SKT")</f>
        <v>0</v>
      </c>
      <c r="W48" s="35">
        <f>+GETPIVOTDATA("XKL4",'kimlong (2016)'!$A$3,"MA_HT","DNG","MA_QH","SKN")</f>
        <v>0</v>
      </c>
      <c r="X48" s="35">
        <f>+GETPIVOTDATA("XKL4",'kimlong (2016)'!$A$3,"MA_HT","DNG","MA_QH","TMD")</f>
        <v>0</v>
      </c>
      <c r="Y48" s="35">
        <f>+GETPIVOTDATA("XKL4",'kimlong (2016)'!$A$3,"MA_HT","DNG","MA_QH","SKC")</f>
        <v>0</v>
      </c>
      <c r="Z48" s="35">
        <f>+GETPIVOTDATA("XKL4",'kimlong (2016)'!$A$3,"MA_HT","DNG","MA_QH","SKS")</f>
        <v>0</v>
      </c>
      <c r="AA48" s="64">
        <f t="shared" si="21"/>
        <v>0</v>
      </c>
      <c r="AB48" s="35">
        <f>+GETPIVOTDATA("XKL4",'kimlong (2016)'!$A$3,"MA_HT","DNG","MA_QH","DGT")</f>
        <v>0</v>
      </c>
      <c r="AC48" s="35">
        <f>+GETPIVOTDATA("XKL4",'kimlong (2016)'!$A$3,"MA_HT","DNG","MA_QH","DTL")</f>
        <v>0</v>
      </c>
      <c r="AD48" s="35">
        <f>+GETPIVOTDATA("XKL4",'kimlong (2016)'!$A$3,"MA_HT","DNG","MA_QH","DNL")</f>
        <v>0</v>
      </c>
      <c r="AE48" s="35">
        <f>+GETPIVOTDATA("XKL4",'kimlong (2016)'!$A$3,"MA_HT","DNG","MA_QH","DBV")</f>
        <v>0</v>
      </c>
      <c r="AF48" s="35">
        <f>+GETPIVOTDATA("XKL4",'kimlong (2016)'!$A$3,"MA_HT","DNG","MA_QH","DVH")</f>
        <v>0</v>
      </c>
      <c r="AG48" s="35">
        <f>+GETPIVOTDATA("XKL4",'kimlong (2016)'!$A$3,"MA_HT","DNG","MA_QH","DYT")</f>
        <v>0</v>
      </c>
      <c r="AH48" s="35">
        <f>+GETPIVOTDATA("XKL4",'kimlong (2016)'!$A$3,"MA_HT","DNG","MA_QH","DGD")</f>
        <v>0</v>
      </c>
      <c r="AI48" s="35">
        <f>+GETPIVOTDATA("XKL4",'kimlong (2016)'!$A$3,"MA_HT","DNG","MA_QH","DTT")</f>
        <v>0</v>
      </c>
      <c r="AJ48" s="35">
        <f>+GETPIVOTDATA("XKL4",'kimlong (2016)'!$A$3,"MA_HT","DNG","MA_QH","NCK")</f>
        <v>0</v>
      </c>
      <c r="AK48" s="35">
        <f>+GETPIVOTDATA("XKL4",'kimlong (2016)'!$A$3,"MA_HT","DNG","MA_QH","DXH")</f>
        <v>0</v>
      </c>
      <c r="AL48" s="35">
        <f>+GETPIVOTDATA("XKL4",'kimlong (2016)'!$A$3,"MA_HT","DNG","MA_QH","DCH")</f>
        <v>0</v>
      </c>
      <c r="AM48" s="35">
        <f>+GETPIVOTDATA("XKL4",'kimlong (2016)'!$A$3,"MA_HT","DNG","MA_QH","DKG")</f>
        <v>0</v>
      </c>
      <c r="AN48" s="35">
        <f>+GETPIVOTDATA("XKL4",'kimlong (2016)'!$A$3,"MA_HT","DNG","MA_QH","DDT")</f>
        <v>0</v>
      </c>
      <c r="AO48" s="35">
        <f>+GETPIVOTDATA("XKL4",'kimlong (2016)'!$A$3,"MA_HT","DNG","MA_QH","DDL")</f>
        <v>0</v>
      </c>
      <c r="AP48" s="35">
        <f>+GETPIVOTDATA("XKL4",'kimlong (2016)'!$A$3,"MA_HT","DNG","MA_QH","DRA")</f>
        <v>0</v>
      </c>
      <c r="AQ48" s="35">
        <f>+GETPIVOTDATA("XKL4",'kimlong (2016)'!$A$3,"MA_HT","DNG","MA_QH","ONT")</f>
        <v>0</v>
      </c>
      <c r="AR48" s="35">
        <f>+GETPIVOTDATA("XKL4",'kimlong (2016)'!$A$3,"MA_HT","DNG","MA_QH","ODT")</f>
        <v>0</v>
      </c>
      <c r="AS48" s="35">
        <f>+GETPIVOTDATA("XKL4",'kimlong (2016)'!$A$3,"MA_HT","DNG","MA_QH","TSC")</f>
        <v>0</v>
      </c>
      <c r="AT48" s="35">
        <f>+GETPIVOTDATA("XKL4",'kimlong (2016)'!$A$3,"MA_HT","DNG","MA_QH","DTS")</f>
        <v>0</v>
      </c>
      <c r="AU48" s="99" t="e">
        <f>$D48-$BF48</f>
        <v>#REF!</v>
      </c>
      <c r="AV48" s="35">
        <f>+GETPIVOTDATA("XKL4",'kimlong (2016)'!$A$3,"MA_HT","DNG","MA_QH","TON")</f>
        <v>0</v>
      </c>
      <c r="AW48" s="35">
        <f>+GETPIVOTDATA("XKL4",'kimlong (2016)'!$A$3,"MA_HT","DNG","MA_QH","NTD")</f>
        <v>0</v>
      </c>
      <c r="AX48" s="35">
        <f>+GETPIVOTDATA("XKL4",'kimlong (2016)'!$A$3,"MA_HT","DNG","MA_QH","SKX")</f>
        <v>0</v>
      </c>
      <c r="AY48" s="35">
        <f>+GETPIVOTDATA("XKL4",'kimlong (2016)'!$A$3,"MA_HT","DNG","MA_QH","DSH")</f>
        <v>0</v>
      </c>
      <c r="AZ48" s="35">
        <f>+GETPIVOTDATA("XKL4",'kimlong (2016)'!$A$3,"MA_HT","DNG","MA_QH","DKV")</f>
        <v>0</v>
      </c>
      <c r="BA48" s="140">
        <f>+GETPIVOTDATA("XKL4",'kimlong (2016)'!$A$3,"MA_HT","DNG","MA_QH","TIN")</f>
        <v>0</v>
      </c>
      <c r="BB48" s="74">
        <f>+GETPIVOTDATA("XKL4",'kimlong (2016)'!$A$3,"MA_HT","DNG","MA_QH","SON")</f>
        <v>0</v>
      </c>
      <c r="BC48" s="74">
        <f>+GETPIVOTDATA("XKL4",'kimlong (2016)'!$A$3,"MA_HT","DNG","MA_QH","MNC")</f>
        <v>0</v>
      </c>
      <c r="BD48" s="35">
        <f>+GETPIVOTDATA("XKL4",'kimlong (2016)'!$A$3,"MA_HT","DNG","MA_QH","PNK")</f>
        <v>0</v>
      </c>
      <c r="BE48" s="58">
        <f>+GETPIVOTDATA("XKL4",'kimlong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+GETPIVOTDATA("XKL4",'kimlong (2016)'!$A$3,"MA_HT","TON","MA_QH","LUC")</f>
        <v>0</v>
      </c>
      <c r="H49" s="35">
        <f>+GETPIVOTDATA("XKL4",'kimlong (2016)'!$A$3,"MA_HT","TON","MA_QH","LUK")</f>
        <v>0</v>
      </c>
      <c r="I49" s="35">
        <f>+GETPIVOTDATA("XKL4",'kimlong (2016)'!$A$3,"MA_HT","TON","MA_QH","LUN")</f>
        <v>0</v>
      </c>
      <c r="J49" s="35">
        <f>+GETPIVOTDATA("XKL4",'kimlong (2016)'!$A$3,"MA_HT","TON","MA_QH","HNK")</f>
        <v>0</v>
      </c>
      <c r="K49" s="35">
        <f>+GETPIVOTDATA("XKL4",'kimlong (2016)'!$A$3,"MA_HT","TON","MA_QH","CLN")</f>
        <v>0</v>
      </c>
      <c r="L49" s="35">
        <f>+GETPIVOTDATA("XKL4",'kimlong (2016)'!$A$3,"MA_HT","TON","MA_QH","RSX")</f>
        <v>0</v>
      </c>
      <c r="M49" s="35">
        <f>+GETPIVOTDATA("XKL4",'kimlong (2016)'!$A$3,"MA_HT","TON","MA_QH","RPH")</f>
        <v>0</v>
      </c>
      <c r="N49" s="35">
        <f>+GETPIVOTDATA("XKL4",'kimlong (2016)'!$A$3,"MA_HT","TON","MA_QH","RDD")</f>
        <v>0</v>
      </c>
      <c r="O49" s="35">
        <f>+GETPIVOTDATA("XKL4",'kimlong (2016)'!$A$3,"MA_HT","TON","MA_QH","NTS")</f>
        <v>0</v>
      </c>
      <c r="P49" s="35">
        <f>+GETPIVOTDATA("XKL4",'kimlong (2016)'!$A$3,"MA_HT","TON","MA_QH","LMU")</f>
        <v>0</v>
      </c>
      <c r="Q49" s="35">
        <f>+GETPIVOTDATA("XKL4",'kimlong (2016)'!$A$3,"MA_HT","TON","MA_QH","NKH")</f>
        <v>0</v>
      </c>
      <c r="R49" s="106">
        <f>SUM(S49:AA49,AN49:AU49,AW49:BD49)</f>
        <v>0</v>
      </c>
      <c r="S49" s="35">
        <f>+GETPIVOTDATA("XKL4",'kimlong (2016)'!$A$3,"MA_HT","TON","MA_QH","CQP")</f>
        <v>0</v>
      </c>
      <c r="T49" s="35">
        <f>+GETPIVOTDATA("XKL4",'kimlong (2016)'!$A$3,"MA_HT","TON","MA_QH","CAN")</f>
        <v>0</v>
      </c>
      <c r="U49" s="35">
        <f>+GETPIVOTDATA("XKL4",'kimlong (2016)'!$A$3,"MA_HT","TON","MA_QH","SKK")</f>
        <v>0</v>
      </c>
      <c r="V49" s="35">
        <f>+GETPIVOTDATA("XKL4",'kimlong (2016)'!$A$3,"MA_HT","TON","MA_QH","SKT")</f>
        <v>0</v>
      </c>
      <c r="W49" s="35">
        <f>+GETPIVOTDATA("XKL4",'kimlong (2016)'!$A$3,"MA_HT","TON","MA_QH","SKN")</f>
        <v>0</v>
      </c>
      <c r="X49" s="35">
        <f>+GETPIVOTDATA("XKL4",'kimlong (2016)'!$A$3,"MA_HT","TON","MA_QH","TMD")</f>
        <v>0</v>
      </c>
      <c r="Y49" s="35">
        <f>+GETPIVOTDATA("XKL4",'kimlong (2016)'!$A$3,"MA_HT","TON","MA_QH","SKC")</f>
        <v>0</v>
      </c>
      <c r="Z49" s="35">
        <f>+GETPIVOTDATA("XKL4",'kimlong (2016)'!$A$3,"MA_HT","TON","MA_QH","SKS")</f>
        <v>0</v>
      </c>
      <c r="AA49" s="64">
        <f t="shared" si="21"/>
        <v>0</v>
      </c>
      <c r="AB49" s="35">
        <f>+GETPIVOTDATA("XKL4",'kimlong (2016)'!$A$3,"MA_HT","TON","MA_QH","DGT")</f>
        <v>0</v>
      </c>
      <c r="AC49" s="35">
        <f>+GETPIVOTDATA("XKL4",'kimlong (2016)'!$A$3,"MA_HT","TON","MA_QH","DTL")</f>
        <v>0</v>
      </c>
      <c r="AD49" s="35">
        <f>+GETPIVOTDATA("XKL4",'kimlong (2016)'!$A$3,"MA_HT","TON","MA_QH","DNL")</f>
        <v>0</v>
      </c>
      <c r="AE49" s="35">
        <f>+GETPIVOTDATA("XKL4",'kimlong (2016)'!$A$3,"MA_HT","TON","MA_QH","DBV")</f>
        <v>0</v>
      </c>
      <c r="AF49" s="35">
        <f>+GETPIVOTDATA("XKL4",'kimlong (2016)'!$A$3,"MA_HT","TON","MA_QH","DVH")</f>
        <v>0</v>
      </c>
      <c r="AG49" s="35">
        <f>+GETPIVOTDATA("XKL4",'kimlong (2016)'!$A$3,"MA_HT","TON","MA_QH","DYT")</f>
        <v>0</v>
      </c>
      <c r="AH49" s="35">
        <f>+GETPIVOTDATA("XKL4",'kimlong (2016)'!$A$3,"MA_HT","TON","MA_QH","DGD")</f>
        <v>0</v>
      </c>
      <c r="AI49" s="35">
        <f>+GETPIVOTDATA("XKL4",'kimlong (2016)'!$A$3,"MA_HT","TON","MA_QH","DTT")</f>
        <v>0</v>
      </c>
      <c r="AJ49" s="35">
        <f>+GETPIVOTDATA("XKL4",'kimlong (2016)'!$A$3,"MA_HT","TON","MA_QH","NCK")</f>
        <v>0</v>
      </c>
      <c r="AK49" s="35">
        <f>+GETPIVOTDATA("XKL4",'kimlong (2016)'!$A$3,"MA_HT","TON","MA_QH","DXH")</f>
        <v>0</v>
      </c>
      <c r="AL49" s="35">
        <f>+GETPIVOTDATA("XKL4",'kimlong (2016)'!$A$3,"MA_HT","TON","MA_QH","DCH")</f>
        <v>0</v>
      </c>
      <c r="AM49" s="35">
        <f>+GETPIVOTDATA("XKL4",'kimlong (2016)'!$A$3,"MA_HT","TON","MA_QH","DKG")</f>
        <v>0</v>
      </c>
      <c r="AN49" s="35">
        <f>+GETPIVOTDATA("XKL4",'kimlong (2016)'!$A$3,"MA_HT","TON","MA_QH","DDT")</f>
        <v>0</v>
      </c>
      <c r="AO49" s="35">
        <f>+GETPIVOTDATA("XKL4",'kimlong (2016)'!$A$3,"MA_HT","TON","MA_QH","DDL")</f>
        <v>0</v>
      </c>
      <c r="AP49" s="35">
        <f>+GETPIVOTDATA("XKL4",'kimlong (2016)'!$A$3,"MA_HT","TON","MA_QH","DRA")</f>
        <v>0</v>
      </c>
      <c r="AQ49" s="35">
        <f>+GETPIVOTDATA("XKL4",'kimlong (2016)'!$A$3,"MA_HT","TON","MA_QH","ONT")</f>
        <v>0</v>
      </c>
      <c r="AR49" s="35">
        <f>+GETPIVOTDATA("XKL4",'kimlong (2016)'!$A$3,"MA_HT","TON","MA_QH","ODT")</f>
        <v>0</v>
      </c>
      <c r="AS49" s="35">
        <f>+GETPIVOTDATA("XKL4",'kimlong (2016)'!$A$3,"MA_HT","TON","MA_QH","TSC")</f>
        <v>0</v>
      </c>
      <c r="AT49" s="35">
        <f>+GETPIVOTDATA("XKL4",'kimlong (2016)'!$A$3,"MA_HT","TON","MA_QH","DTS")</f>
        <v>0</v>
      </c>
      <c r="AU49" s="35">
        <f>+GETPIVOTDATA("XKL4",'kimlong (2016)'!$A$3,"MA_HT","TON","MA_QH","DNG")</f>
        <v>0</v>
      </c>
      <c r="AV49" s="99" t="e">
        <f>$D49-$BF49</f>
        <v>#REF!</v>
      </c>
      <c r="AW49" s="35">
        <f>+GETPIVOTDATA("XKL4",'kimlong (2016)'!$A$3,"MA_HT","TON","MA_QH","NTD")</f>
        <v>0</v>
      </c>
      <c r="AX49" s="35">
        <f>+GETPIVOTDATA("XKL4",'kimlong (2016)'!$A$3,"MA_HT","TON","MA_QH","SKX")</f>
        <v>0</v>
      </c>
      <c r="AY49" s="35">
        <f>+GETPIVOTDATA("XKL4",'kimlong (2016)'!$A$3,"MA_HT","TON","MA_QH","DSH")</f>
        <v>0</v>
      </c>
      <c r="AZ49" s="35">
        <f>+GETPIVOTDATA("XKL4",'kimlong (2016)'!$A$3,"MA_HT","TON","MA_QH","DKV")</f>
        <v>0</v>
      </c>
      <c r="BA49" s="140">
        <f>+GETPIVOTDATA("XKL4",'kimlong (2016)'!$A$3,"MA_HT","TON","MA_QH","TIN")</f>
        <v>0</v>
      </c>
      <c r="BB49" s="74">
        <f>+GETPIVOTDATA("XKL4",'kimlong (2016)'!$A$3,"MA_HT","TON","MA_QH","SON")</f>
        <v>0</v>
      </c>
      <c r="BC49" s="74">
        <f>+GETPIVOTDATA("XKL4",'kimlong (2016)'!$A$3,"MA_HT","TON","MA_QH","MNC")</f>
        <v>0</v>
      </c>
      <c r="BD49" s="35">
        <f>+GETPIVOTDATA("XKL4",'kimlong (2016)'!$A$3,"MA_HT","TON","MA_QH","PNK")</f>
        <v>0</v>
      </c>
      <c r="BE49" s="58">
        <f>+GETPIVOTDATA("XKL4",'kimlong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+GETPIVOTDATA("XKL4",'kimlong (2016)'!$A$3,"MA_HT","NTD","MA_QH","LUC")</f>
        <v>0</v>
      </c>
      <c r="H50" s="35">
        <f>+GETPIVOTDATA("XKL4",'kimlong (2016)'!$A$3,"MA_HT","NTD","MA_QH","LUK")</f>
        <v>0</v>
      </c>
      <c r="I50" s="35">
        <f>+GETPIVOTDATA("XKL4",'kimlong (2016)'!$A$3,"MA_HT","NTD","MA_QH","LUN")</f>
        <v>0</v>
      </c>
      <c r="J50" s="35">
        <f>+GETPIVOTDATA("XKL4",'kimlong (2016)'!$A$3,"MA_HT","NTD","MA_QH","HNK")</f>
        <v>0</v>
      </c>
      <c r="K50" s="35">
        <f>+GETPIVOTDATA("XKL4",'kimlong (2016)'!$A$3,"MA_HT","NTD","MA_QH","CLN")</f>
        <v>0</v>
      </c>
      <c r="L50" s="35">
        <f>+GETPIVOTDATA("XKL4",'kimlong (2016)'!$A$3,"MA_HT","NTD","MA_QH","RSX")</f>
        <v>0</v>
      </c>
      <c r="M50" s="35">
        <f>+GETPIVOTDATA("XKL4",'kimlong (2016)'!$A$3,"MA_HT","NTD","MA_QH","RPH")</f>
        <v>0</v>
      </c>
      <c r="N50" s="35">
        <f>+GETPIVOTDATA("XKL4",'kimlong (2016)'!$A$3,"MA_HT","NTD","MA_QH","RDD")</f>
        <v>0</v>
      </c>
      <c r="O50" s="35">
        <f>+GETPIVOTDATA("XKL4",'kimlong (2016)'!$A$3,"MA_HT","NTD","MA_QH","NTS")</f>
        <v>0</v>
      </c>
      <c r="P50" s="35">
        <f>+GETPIVOTDATA("XKL4",'kimlong (2016)'!$A$3,"MA_HT","NTD","MA_QH","LMU")</f>
        <v>0</v>
      </c>
      <c r="Q50" s="35">
        <f>+GETPIVOTDATA("XKL4",'kimlong (2016)'!$A$3,"MA_HT","NTD","MA_QH","NKH")</f>
        <v>0</v>
      </c>
      <c r="R50" s="106">
        <f>SUM(S50:AA50,AN50:AV50,AX50:BD50)</f>
        <v>0</v>
      </c>
      <c r="S50" s="35">
        <f>+GETPIVOTDATA("XKL4",'kimlong (2016)'!$A$3,"MA_HT","NTD","MA_QH","CQP")</f>
        <v>0</v>
      </c>
      <c r="T50" s="35">
        <f>+GETPIVOTDATA("XKL4",'kimlong (2016)'!$A$3,"MA_HT","NTD","MA_QH","CAN")</f>
        <v>0</v>
      </c>
      <c r="U50" s="35">
        <f>+GETPIVOTDATA("XKL4",'kimlong (2016)'!$A$3,"MA_HT","NTD","MA_QH","SKK")</f>
        <v>0</v>
      </c>
      <c r="V50" s="35">
        <f>+GETPIVOTDATA("XKL4",'kimlong (2016)'!$A$3,"MA_HT","NTD","MA_QH","SKT")</f>
        <v>0</v>
      </c>
      <c r="W50" s="35">
        <f>+GETPIVOTDATA("XKL4",'kimlong (2016)'!$A$3,"MA_HT","NTD","MA_QH","SKN")</f>
        <v>0</v>
      </c>
      <c r="X50" s="35">
        <f>+GETPIVOTDATA("XKL4",'kimlong (2016)'!$A$3,"MA_HT","NTD","MA_QH","TMD")</f>
        <v>0</v>
      </c>
      <c r="Y50" s="35">
        <f>+GETPIVOTDATA("XKL4",'kimlong (2016)'!$A$3,"MA_HT","NTD","MA_QH","SKC")</f>
        <v>0</v>
      </c>
      <c r="Z50" s="35">
        <f>+GETPIVOTDATA("XKL4",'kimlong (2016)'!$A$3,"MA_HT","NTD","MA_QH","SKS")</f>
        <v>0</v>
      </c>
      <c r="AA50" s="64">
        <f t="shared" si="21"/>
        <v>0</v>
      </c>
      <c r="AB50" s="35">
        <f>+GETPIVOTDATA("XKL4",'kimlong (2016)'!$A$3,"MA_HT","NTD","MA_QH","DGT")</f>
        <v>0</v>
      </c>
      <c r="AC50" s="35">
        <f>+GETPIVOTDATA("XKL4",'kimlong (2016)'!$A$3,"MA_HT","NTD","MA_QH","DTL")</f>
        <v>0</v>
      </c>
      <c r="AD50" s="35">
        <f>+GETPIVOTDATA("XKL4",'kimlong (2016)'!$A$3,"MA_HT","NTD","MA_QH","DNL")</f>
        <v>0</v>
      </c>
      <c r="AE50" s="35">
        <f>+GETPIVOTDATA("XKL4",'kimlong (2016)'!$A$3,"MA_HT","NTD","MA_QH","DBV")</f>
        <v>0</v>
      </c>
      <c r="AF50" s="35">
        <f>+GETPIVOTDATA("XKL4",'kimlong (2016)'!$A$3,"MA_HT","NTD","MA_QH","DVH")</f>
        <v>0</v>
      </c>
      <c r="AG50" s="35">
        <f>+GETPIVOTDATA("XKL4",'kimlong (2016)'!$A$3,"MA_HT","NTD","MA_QH","DYT")</f>
        <v>0</v>
      </c>
      <c r="AH50" s="35">
        <f>+GETPIVOTDATA("XKL4",'kimlong (2016)'!$A$3,"MA_HT","NTD","MA_QH","DGD")</f>
        <v>0</v>
      </c>
      <c r="AI50" s="35">
        <f>+GETPIVOTDATA("XKL4",'kimlong (2016)'!$A$3,"MA_HT","NTD","MA_QH","DTT")</f>
        <v>0</v>
      </c>
      <c r="AJ50" s="35">
        <f>+GETPIVOTDATA("XKL4",'kimlong (2016)'!$A$3,"MA_HT","NTD","MA_QH","NCK")</f>
        <v>0</v>
      </c>
      <c r="AK50" s="35">
        <f>+GETPIVOTDATA("XKL4",'kimlong (2016)'!$A$3,"MA_HT","NTD","MA_QH","DXH")</f>
        <v>0</v>
      </c>
      <c r="AL50" s="35">
        <f>+GETPIVOTDATA("XKL4",'kimlong (2016)'!$A$3,"MA_HT","NTD","MA_QH","DCH")</f>
        <v>0</v>
      </c>
      <c r="AM50" s="35">
        <f>+GETPIVOTDATA("XKL4",'kimlong (2016)'!$A$3,"MA_HT","NTD","MA_QH","DKG")</f>
        <v>0</v>
      </c>
      <c r="AN50" s="35">
        <f>+GETPIVOTDATA("XKL4",'kimlong (2016)'!$A$3,"MA_HT","NTD","MA_QH","DDT")</f>
        <v>0</v>
      </c>
      <c r="AO50" s="35">
        <f>+GETPIVOTDATA("XKL4",'kimlong (2016)'!$A$3,"MA_HT","NTD","MA_QH","DDL")</f>
        <v>0</v>
      </c>
      <c r="AP50" s="35">
        <f>+GETPIVOTDATA("XKL4",'kimlong (2016)'!$A$3,"MA_HT","NTD","MA_QH","DRA")</f>
        <v>0</v>
      </c>
      <c r="AQ50" s="35">
        <f>+GETPIVOTDATA("XKL4",'kimlong (2016)'!$A$3,"MA_HT","NTD","MA_QH","ONT")</f>
        <v>0</v>
      </c>
      <c r="AR50" s="35">
        <f>+GETPIVOTDATA("XKL4",'kimlong (2016)'!$A$3,"MA_HT","NTD","MA_QH","ODT")</f>
        <v>0</v>
      </c>
      <c r="AS50" s="35">
        <f>+GETPIVOTDATA("XKL4",'kimlong (2016)'!$A$3,"MA_HT","NTD","MA_QH","TSC")</f>
        <v>0</v>
      </c>
      <c r="AT50" s="35">
        <f>+GETPIVOTDATA("XKL4",'kimlong (2016)'!$A$3,"MA_HT","NTD","MA_QH","DTS")</f>
        <v>0</v>
      </c>
      <c r="AU50" s="35">
        <f>+GETPIVOTDATA("XKL4",'kimlong (2016)'!$A$3,"MA_HT","NTD","MA_QH","DNG")</f>
        <v>0</v>
      </c>
      <c r="AV50" s="35">
        <f>+GETPIVOTDATA("XKL4",'kimlong (2016)'!$A$3,"MA_HT","NTD","MA_QH","TON")</f>
        <v>0</v>
      </c>
      <c r="AW50" s="99" t="e">
        <f>$D50-$BF50</f>
        <v>#REF!</v>
      </c>
      <c r="AX50" s="35">
        <f>+GETPIVOTDATA("XKL4",'kimlong (2016)'!$A$3,"MA_HT","NTD","MA_QH","SKX")</f>
        <v>0</v>
      </c>
      <c r="AY50" s="35">
        <f>+GETPIVOTDATA("XKL4",'kimlong (2016)'!$A$3,"MA_HT","NTD","MA_QH","DSH")</f>
        <v>0</v>
      </c>
      <c r="AZ50" s="35">
        <f>+GETPIVOTDATA("XKL4",'kimlong (2016)'!$A$3,"MA_HT","NTD","MA_QH","DKV")</f>
        <v>0</v>
      </c>
      <c r="BA50" s="140">
        <f>+GETPIVOTDATA("XKL4",'kimlong (2016)'!$A$3,"MA_HT","NTD","MA_QH","TIN")</f>
        <v>0</v>
      </c>
      <c r="BB50" s="74">
        <f>+GETPIVOTDATA("XKL4",'kimlong (2016)'!$A$3,"MA_HT","NTD","MA_QH","SON")</f>
        <v>0</v>
      </c>
      <c r="BC50" s="74">
        <f>+GETPIVOTDATA("XKL4",'kimlong (2016)'!$A$3,"MA_HT","NTD","MA_QH","MNC")</f>
        <v>0</v>
      </c>
      <c r="BD50" s="35">
        <f>+GETPIVOTDATA("XKL4",'kimlong (2016)'!$A$3,"MA_HT","NTD","MA_QH","PNK")</f>
        <v>0</v>
      </c>
      <c r="BE50" s="58">
        <f>+GETPIVOTDATA("XKL4",'kimlong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+GETPIVOTDATA("XKL4",'kimlong (2016)'!$A$3,"MA_HT","SKX","MA_QH","LUC")</f>
        <v>0</v>
      </c>
      <c r="H51" s="35">
        <f>+GETPIVOTDATA("XKL4",'kimlong (2016)'!$A$3,"MA_HT","SKX","MA_QH","LUK")</f>
        <v>0</v>
      </c>
      <c r="I51" s="35">
        <f>+GETPIVOTDATA("XKL4",'kimlong (2016)'!$A$3,"MA_HT","SKX","MA_QH","LUN")</f>
        <v>0</v>
      </c>
      <c r="J51" s="35">
        <f>+GETPIVOTDATA("XKL4",'kimlong (2016)'!$A$3,"MA_HT","SKX","MA_QH","HNK")</f>
        <v>0</v>
      </c>
      <c r="K51" s="35">
        <f>+GETPIVOTDATA("XKL4",'kimlong (2016)'!$A$3,"MA_HT","SKX","MA_QH","CLN")</f>
        <v>0</v>
      </c>
      <c r="L51" s="35">
        <f>+GETPIVOTDATA("XKL4",'kimlong (2016)'!$A$3,"MA_HT","SKX","MA_QH","RSX")</f>
        <v>0</v>
      </c>
      <c r="M51" s="35">
        <f>+GETPIVOTDATA("XKL4",'kimlong (2016)'!$A$3,"MA_HT","SKX","MA_QH","RPH")</f>
        <v>0</v>
      </c>
      <c r="N51" s="35">
        <f>+GETPIVOTDATA("XKL4",'kimlong (2016)'!$A$3,"MA_HT","SKX","MA_QH","RDD")</f>
        <v>0</v>
      </c>
      <c r="O51" s="35">
        <f>+GETPIVOTDATA("XKL4",'kimlong (2016)'!$A$3,"MA_HT","SKX","MA_QH","NTS")</f>
        <v>0</v>
      </c>
      <c r="P51" s="35">
        <f>+GETPIVOTDATA("XKL4",'kimlong (2016)'!$A$3,"MA_HT","SKX","MA_QH","LMU")</f>
        <v>0</v>
      </c>
      <c r="Q51" s="35">
        <f>+GETPIVOTDATA("XKL4",'kimlong (2016)'!$A$3,"MA_HT","SKX","MA_QH","NKH")</f>
        <v>0</v>
      </c>
      <c r="R51" s="106">
        <f>SUM(S51:AA51,AN51:AW51,AY51:BD51)</f>
        <v>0</v>
      </c>
      <c r="S51" s="35">
        <f>+GETPIVOTDATA("XKL4",'kimlong (2016)'!$A$3,"MA_HT","SKX","MA_QH","CQP")</f>
        <v>0</v>
      </c>
      <c r="T51" s="35">
        <f>+GETPIVOTDATA("XKL4",'kimlong (2016)'!$A$3,"MA_HT","SKX","MA_QH","CAN")</f>
        <v>0</v>
      </c>
      <c r="U51" s="35">
        <f>+GETPIVOTDATA("XKL4",'kimlong (2016)'!$A$3,"MA_HT","SKX","MA_QH","SKK")</f>
        <v>0</v>
      </c>
      <c r="V51" s="35">
        <f>+GETPIVOTDATA("XKL4",'kimlong (2016)'!$A$3,"MA_HT","SKX","MA_QH","SKT")</f>
        <v>0</v>
      </c>
      <c r="W51" s="35">
        <f>+GETPIVOTDATA("XKL4",'kimlong (2016)'!$A$3,"MA_HT","SKX","MA_QH","SKN")</f>
        <v>0</v>
      </c>
      <c r="X51" s="35">
        <f>+GETPIVOTDATA("XKL4",'kimlong (2016)'!$A$3,"MA_HT","SKX","MA_QH","TMD")</f>
        <v>0</v>
      </c>
      <c r="Y51" s="35">
        <f>+GETPIVOTDATA("XKL4",'kimlong (2016)'!$A$3,"MA_HT","SKX","MA_QH","SKC")</f>
        <v>0</v>
      </c>
      <c r="Z51" s="35">
        <f>+GETPIVOTDATA("XKL4",'kimlong (2016)'!$A$3,"MA_HT","SKX","MA_QH","SKS")</f>
        <v>0</v>
      </c>
      <c r="AA51" s="64">
        <f t="shared" si="21"/>
        <v>0</v>
      </c>
      <c r="AB51" s="35">
        <f>+GETPIVOTDATA("XKL4",'kimlong (2016)'!$A$3,"MA_HT","SKX","MA_QH","DGT")</f>
        <v>0</v>
      </c>
      <c r="AC51" s="35">
        <f>+GETPIVOTDATA("XKL4",'kimlong (2016)'!$A$3,"MA_HT","SKX","MA_QH","DTL")</f>
        <v>0</v>
      </c>
      <c r="AD51" s="35">
        <f>+GETPIVOTDATA("XKL4",'kimlong (2016)'!$A$3,"MA_HT","SKX","MA_QH","DNL")</f>
        <v>0</v>
      </c>
      <c r="AE51" s="35">
        <f>+GETPIVOTDATA("XKL4",'kimlong (2016)'!$A$3,"MA_HT","SKX","MA_QH","DBV")</f>
        <v>0</v>
      </c>
      <c r="AF51" s="35">
        <f>+GETPIVOTDATA("XKL4",'kimlong (2016)'!$A$3,"MA_HT","SKX","MA_QH","DVH")</f>
        <v>0</v>
      </c>
      <c r="AG51" s="35">
        <f>+GETPIVOTDATA("XKL4",'kimlong (2016)'!$A$3,"MA_HT","SKX","MA_QH","DYT")</f>
        <v>0</v>
      </c>
      <c r="AH51" s="35">
        <f>+GETPIVOTDATA("XKL4",'kimlong (2016)'!$A$3,"MA_HT","SKX","MA_QH","DGD")</f>
        <v>0</v>
      </c>
      <c r="AI51" s="35">
        <f>+GETPIVOTDATA("XKL4",'kimlong (2016)'!$A$3,"MA_HT","SKX","MA_QH","DTT")</f>
        <v>0</v>
      </c>
      <c r="AJ51" s="35">
        <f>+GETPIVOTDATA("XKL4",'kimlong (2016)'!$A$3,"MA_HT","SKX","MA_QH","NCK")</f>
        <v>0</v>
      </c>
      <c r="AK51" s="35">
        <f>+GETPIVOTDATA("XKL4",'kimlong (2016)'!$A$3,"MA_HT","SKX","MA_QH","DXH")</f>
        <v>0</v>
      </c>
      <c r="AL51" s="35">
        <f>+GETPIVOTDATA("XKL4",'kimlong (2016)'!$A$3,"MA_HT","SKX","MA_QH","DCH")</f>
        <v>0</v>
      </c>
      <c r="AM51" s="35">
        <f>+GETPIVOTDATA("XKL4",'kimlong (2016)'!$A$3,"MA_HT","SKX","MA_QH","DKG")</f>
        <v>0</v>
      </c>
      <c r="AN51" s="35">
        <f>+GETPIVOTDATA("XKL4",'kimlong (2016)'!$A$3,"MA_HT","SKX","MA_QH","DDT")</f>
        <v>0</v>
      </c>
      <c r="AO51" s="35">
        <f>+GETPIVOTDATA("XKL4",'kimlong (2016)'!$A$3,"MA_HT","SKX","MA_QH","DDL")</f>
        <v>0</v>
      </c>
      <c r="AP51" s="35">
        <f>+GETPIVOTDATA("XKL4",'kimlong (2016)'!$A$3,"MA_HT","SKX","MA_QH","DRA")</f>
        <v>0</v>
      </c>
      <c r="AQ51" s="35">
        <f>+GETPIVOTDATA("XKL4",'kimlong (2016)'!$A$3,"MA_HT","SKX","MA_QH","ONT")</f>
        <v>0</v>
      </c>
      <c r="AR51" s="35">
        <f>+GETPIVOTDATA("XKL4",'kimlong (2016)'!$A$3,"MA_HT","SKX","MA_QH","ODT")</f>
        <v>0</v>
      </c>
      <c r="AS51" s="35">
        <f>+GETPIVOTDATA("XKL4",'kimlong (2016)'!$A$3,"MA_HT","SKX","MA_QH","TSC")</f>
        <v>0</v>
      </c>
      <c r="AT51" s="35">
        <f>+GETPIVOTDATA("XKL4",'kimlong (2016)'!$A$3,"MA_HT","SKX","MA_QH","DTS")</f>
        <v>0</v>
      </c>
      <c r="AU51" s="35">
        <f>+GETPIVOTDATA("XKL4",'kimlong (2016)'!$A$3,"MA_HT","SKX","MA_QH","DNG")</f>
        <v>0</v>
      </c>
      <c r="AV51" s="35">
        <f>+GETPIVOTDATA("XKL4",'kimlong (2016)'!$A$3,"MA_HT","SKX","MA_QH","TON")</f>
        <v>0</v>
      </c>
      <c r="AW51" s="35">
        <f>+GETPIVOTDATA("XKL4",'kimlong (2016)'!$A$3,"MA_HT","SKX","MA_QH","NTD")</f>
        <v>0</v>
      </c>
      <c r="AX51" s="99" t="e">
        <f>$D51-$BF51</f>
        <v>#REF!</v>
      </c>
      <c r="AY51" s="35">
        <f>+GETPIVOTDATA("XKL4",'kimlong (2016)'!$A$3,"MA_HT","SKX","MA_QH","DSH")</f>
        <v>0</v>
      </c>
      <c r="AZ51" s="35">
        <f>+GETPIVOTDATA("XKL4",'kimlong (2016)'!$A$3,"MA_HT","SKX","MA_QH","DKV")</f>
        <v>0</v>
      </c>
      <c r="BA51" s="140">
        <f>+GETPIVOTDATA("XKL4",'kimlong (2016)'!$A$3,"MA_HT","SKX","MA_QH","TIN")</f>
        <v>0</v>
      </c>
      <c r="BB51" s="74">
        <f>+GETPIVOTDATA("XKL4",'kimlong (2016)'!$A$3,"MA_HT","SKX","MA_QH","SON")</f>
        <v>0</v>
      </c>
      <c r="BC51" s="74">
        <f>+GETPIVOTDATA("XKL4",'kimlong (2016)'!$A$3,"MA_HT","SKX","MA_QH","MNC")</f>
        <v>0</v>
      </c>
      <c r="BD51" s="35">
        <f>+GETPIVOTDATA("XKL4",'kimlong (2016)'!$A$3,"MA_HT","SKX","MA_QH","PNK")</f>
        <v>0</v>
      </c>
      <c r="BE51" s="58">
        <f>+GETPIVOTDATA("XKL4",'kimlong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+GETPIVOTDATA("XKL4",'kimlong (2016)'!$A$3,"MA_HT","DSH","MA_QH","LUC")</f>
        <v>0</v>
      </c>
      <c r="H52" s="35">
        <f>+GETPIVOTDATA("XKL4",'kimlong (2016)'!$A$3,"MA_HT","DSH","MA_QH","LUK")</f>
        <v>0</v>
      </c>
      <c r="I52" s="35">
        <f>+GETPIVOTDATA("XKL4",'kimlong (2016)'!$A$3,"MA_HT","DSH","MA_QH","LUN")</f>
        <v>0</v>
      </c>
      <c r="J52" s="35">
        <f>+GETPIVOTDATA("XKL4",'kimlong (2016)'!$A$3,"MA_HT","DSH","MA_QH","HNK")</f>
        <v>0</v>
      </c>
      <c r="K52" s="35">
        <f>+GETPIVOTDATA("XKL4",'kimlong (2016)'!$A$3,"MA_HT","DSH","MA_QH","CLN")</f>
        <v>0</v>
      </c>
      <c r="L52" s="35">
        <f>+GETPIVOTDATA("XKL4",'kimlong (2016)'!$A$3,"MA_HT","DSH","MA_QH","RSX")</f>
        <v>0</v>
      </c>
      <c r="M52" s="35">
        <f>+GETPIVOTDATA("XKL4",'kimlong (2016)'!$A$3,"MA_HT","DSH","MA_QH","RPH")</f>
        <v>0</v>
      </c>
      <c r="N52" s="35">
        <f>+GETPIVOTDATA("XKL4",'kimlong (2016)'!$A$3,"MA_HT","DSH","MA_QH","RDD")</f>
        <v>0</v>
      </c>
      <c r="O52" s="35">
        <f>+GETPIVOTDATA("XKL4",'kimlong (2016)'!$A$3,"MA_HT","DSH","MA_QH","NTS")</f>
        <v>0</v>
      </c>
      <c r="P52" s="35">
        <f>+GETPIVOTDATA("XKL4",'kimlong (2016)'!$A$3,"MA_HT","DSH","MA_QH","LMU")</f>
        <v>0</v>
      </c>
      <c r="Q52" s="35">
        <f>+GETPIVOTDATA("XKL4",'kimlong (2016)'!$A$3,"MA_HT","DSH","MA_QH","NKH")</f>
        <v>0</v>
      </c>
      <c r="R52" s="106">
        <f>SUM(S52:AA52,AN52:AX52,AZ52:BD52)</f>
        <v>0</v>
      </c>
      <c r="S52" s="35">
        <f>+GETPIVOTDATA("XKL4",'kimlong (2016)'!$A$3,"MA_HT","DSH","MA_QH","CQP")</f>
        <v>0</v>
      </c>
      <c r="T52" s="35">
        <f>+GETPIVOTDATA("XKL4",'kimlong (2016)'!$A$3,"MA_HT","DSH","MA_QH","CAN")</f>
        <v>0</v>
      </c>
      <c r="U52" s="35">
        <f>+GETPIVOTDATA("XKL4",'kimlong (2016)'!$A$3,"MA_HT","DSH","MA_QH","SKK")</f>
        <v>0</v>
      </c>
      <c r="V52" s="35">
        <f>+GETPIVOTDATA("XKL4",'kimlong (2016)'!$A$3,"MA_HT","DSH","MA_QH","SKT")</f>
        <v>0</v>
      </c>
      <c r="W52" s="35">
        <f>+GETPIVOTDATA("XKL4",'kimlong (2016)'!$A$3,"MA_HT","DSH","MA_QH","SKN")</f>
        <v>0</v>
      </c>
      <c r="X52" s="35">
        <f>+GETPIVOTDATA("XKL4",'kimlong (2016)'!$A$3,"MA_HT","DSH","MA_QH","TMD")</f>
        <v>0</v>
      </c>
      <c r="Y52" s="35">
        <f>+GETPIVOTDATA("XKL4",'kimlong (2016)'!$A$3,"MA_HT","DSH","MA_QH","SKC")</f>
        <v>0</v>
      </c>
      <c r="Z52" s="35">
        <f>+GETPIVOTDATA("XKL4",'kimlong (2016)'!$A$3,"MA_HT","DSH","MA_QH","SKS")</f>
        <v>0</v>
      </c>
      <c r="AA52" s="64">
        <f t="shared" si="21"/>
        <v>0</v>
      </c>
      <c r="AB52" s="35">
        <f>+GETPIVOTDATA("XKL4",'kimlong (2016)'!$A$3,"MA_HT","DSH","MA_QH","DGT")</f>
        <v>0</v>
      </c>
      <c r="AC52" s="35">
        <f>+GETPIVOTDATA("XKL4",'kimlong (2016)'!$A$3,"MA_HT","DSH","MA_QH","DTL")</f>
        <v>0</v>
      </c>
      <c r="AD52" s="35">
        <f>+GETPIVOTDATA("XKL4",'kimlong (2016)'!$A$3,"MA_HT","DSH","MA_QH","DNL")</f>
        <v>0</v>
      </c>
      <c r="AE52" s="35">
        <f>+GETPIVOTDATA("XKL4",'kimlong (2016)'!$A$3,"MA_HT","DSH","MA_QH","DBV")</f>
        <v>0</v>
      </c>
      <c r="AF52" s="35">
        <f>+GETPIVOTDATA("XKL4",'kimlong (2016)'!$A$3,"MA_HT","DSH","MA_QH","DVH")</f>
        <v>0</v>
      </c>
      <c r="AG52" s="35">
        <f>+GETPIVOTDATA("XKL4",'kimlong (2016)'!$A$3,"MA_HT","DSH","MA_QH","DYT")</f>
        <v>0</v>
      </c>
      <c r="AH52" s="35">
        <f>+GETPIVOTDATA("XKL4",'kimlong (2016)'!$A$3,"MA_HT","DSH","MA_QH","DGD")</f>
        <v>0</v>
      </c>
      <c r="AI52" s="35">
        <f>+GETPIVOTDATA("XKL4",'kimlong (2016)'!$A$3,"MA_HT","DSH","MA_QH","DTT")</f>
        <v>0</v>
      </c>
      <c r="AJ52" s="35">
        <f>+GETPIVOTDATA("XKL4",'kimlong (2016)'!$A$3,"MA_HT","DSH","MA_QH","NCK")</f>
        <v>0</v>
      </c>
      <c r="AK52" s="35">
        <f>+GETPIVOTDATA("XKL4",'kimlong (2016)'!$A$3,"MA_HT","DSH","MA_QH","DXH")</f>
        <v>0</v>
      </c>
      <c r="AL52" s="35">
        <f>+GETPIVOTDATA("XKL4",'kimlong (2016)'!$A$3,"MA_HT","DSH","MA_QH","DCH")</f>
        <v>0</v>
      </c>
      <c r="AM52" s="35">
        <f>+GETPIVOTDATA("XKL4",'kimlong (2016)'!$A$3,"MA_HT","DSH","MA_QH","DKG")</f>
        <v>0</v>
      </c>
      <c r="AN52" s="35">
        <f>+GETPIVOTDATA("XKL4",'kimlong (2016)'!$A$3,"MA_HT","DSH","MA_QH","DDT")</f>
        <v>0</v>
      </c>
      <c r="AO52" s="35">
        <f>+GETPIVOTDATA("XKL4",'kimlong (2016)'!$A$3,"MA_HT","DSH","MA_QH","DDL")</f>
        <v>0</v>
      </c>
      <c r="AP52" s="35">
        <f>+GETPIVOTDATA("XKL4",'kimlong (2016)'!$A$3,"MA_HT","DSH","MA_QH","DRA")</f>
        <v>0</v>
      </c>
      <c r="AQ52" s="35">
        <f>+GETPIVOTDATA("XKL4",'kimlong (2016)'!$A$3,"MA_HT","DSH","MA_QH","ONT")</f>
        <v>0</v>
      </c>
      <c r="AR52" s="35">
        <f>+GETPIVOTDATA("XKL4",'kimlong (2016)'!$A$3,"MA_HT","DSH","MA_QH","ODT")</f>
        <v>0</v>
      </c>
      <c r="AS52" s="35">
        <f>+GETPIVOTDATA("XKL4",'kimlong (2016)'!$A$3,"MA_HT","DSH","MA_QH","TSC")</f>
        <v>0</v>
      </c>
      <c r="AT52" s="35">
        <f>+GETPIVOTDATA("XKL4",'kimlong (2016)'!$A$3,"MA_HT","DSH","MA_QH","DTS")</f>
        <v>0</v>
      </c>
      <c r="AU52" s="35">
        <f>+GETPIVOTDATA("XKL4",'kimlong (2016)'!$A$3,"MA_HT","DSH","MA_QH","DNG")</f>
        <v>0</v>
      </c>
      <c r="AV52" s="35">
        <f>+GETPIVOTDATA("XKL4",'kimlong (2016)'!$A$3,"MA_HT","DSH","MA_QH","TON")</f>
        <v>0</v>
      </c>
      <c r="AW52" s="35">
        <f>+GETPIVOTDATA("XKL4",'kimlong (2016)'!$A$3,"MA_HT","DSH","MA_QH","NTD")</f>
        <v>0</v>
      </c>
      <c r="AX52" s="35">
        <f>+GETPIVOTDATA("XKL4",'kimlong (2016)'!$A$3,"MA_HT","DSH","MA_QH","SKX")</f>
        <v>0</v>
      </c>
      <c r="AY52" s="99" t="e">
        <f>$D52-$BF52</f>
        <v>#REF!</v>
      </c>
      <c r="AZ52" s="35">
        <f>+GETPIVOTDATA("XKL4",'kimlong (2016)'!$A$3,"MA_HT","DSH","MA_QH","DKV")</f>
        <v>0</v>
      </c>
      <c r="BA52" s="140">
        <f>+GETPIVOTDATA("XKL4",'kimlong (2016)'!$A$3,"MA_HT","DSH","MA_QH","TIN")</f>
        <v>0</v>
      </c>
      <c r="BB52" s="74">
        <f>+GETPIVOTDATA("XKL4",'kimlong (2016)'!$A$3,"MA_HT","DSH","MA_QH","SON")</f>
        <v>0</v>
      </c>
      <c r="BC52" s="74">
        <f>+GETPIVOTDATA("XKL4",'kimlong (2016)'!$A$3,"MA_HT","DSH","MA_QH","MNC")</f>
        <v>0</v>
      </c>
      <c r="BD52" s="35">
        <f>+GETPIVOTDATA("XKL4",'kimlong (2016)'!$A$3,"MA_HT","DSH","MA_QH","PNK")</f>
        <v>0</v>
      </c>
      <c r="BE52" s="58">
        <f>+GETPIVOTDATA("XKL4",'kimlong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+GETPIVOTDATA("XKL4",'kimlong (2016)'!$A$3,"MA_HT","DKV","MA_QH","LUC")</f>
        <v>0</v>
      </c>
      <c r="H53" s="35">
        <f>+GETPIVOTDATA("XKL4",'kimlong (2016)'!$A$3,"MA_HT","DKV","MA_QH","LUK")</f>
        <v>0</v>
      </c>
      <c r="I53" s="35">
        <f>+GETPIVOTDATA("XKL4",'kimlong (2016)'!$A$3,"MA_HT","DKV","MA_QH","LUN")</f>
        <v>0</v>
      </c>
      <c r="J53" s="35">
        <f>+GETPIVOTDATA("XKL4",'kimlong (2016)'!$A$3,"MA_HT","DKV","MA_QH","HNK")</f>
        <v>0</v>
      </c>
      <c r="K53" s="35">
        <f>+GETPIVOTDATA("XKL4",'kimlong (2016)'!$A$3,"MA_HT","DKV","MA_QH","CLN")</f>
        <v>0</v>
      </c>
      <c r="L53" s="35">
        <f>+GETPIVOTDATA("XKL4",'kimlong (2016)'!$A$3,"MA_HT","DKV","MA_QH","RSX")</f>
        <v>0</v>
      </c>
      <c r="M53" s="35">
        <f>+GETPIVOTDATA("XKL4",'kimlong (2016)'!$A$3,"MA_HT","DKV","MA_QH","RPH")</f>
        <v>0</v>
      </c>
      <c r="N53" s="35">
        <f>+GETPIVOTDATA("XKL4",'kimlong (2016)'!$A$3,"MA_HT","DKV","MA_QH","RDD")</f>
        <v>0</v>
      </c>
      <c r="O53" s="35">
        <f>+GETPIVOTDATA("XKL4",'kimlong (2016)'!$A$3,"MA_HT","DKV","MA_QH","NTS")</f>
        <v>0</v>
      </c>
      <c r="P53" s="35">
        <f>+GETPIVOTDATA("XKL4",'kimlong (2016)'!$A$3,"MA_HT","DKV","MA_QH","LMU")</f>
        <v>0</v>
      </c>
      <c r="Q53" s="35">
        <f>+GETPIVOTDATA("XKL4",'kimlong (2016)'!$A$3,"MA_HT","DKV","MA_QH","NKH")</f>
        <v>0</v>
      </c>
      <c r="R53" s="106">
        <f>SUM(S53:AA53,AN53:AY53,BB53:BD53)</f>
        <v>0</v>
      </c>
      <c r="S53" s="35">
        <f>+GETPIVOTDATA("XKL4",'kimlong (2016)'!$A$3,"MA_HT","DKV","MA_QH","CQP")</f>
        <v>0</v>
      </c>
      <c r="T53" s="35">
        <f>+GETPIVOTDATA("XKL4",'kimlong (2016)'!$A$3,"MA_HT","DKV","MA_QH","CAN")</f>
        <v>0</v>
      </c>
      <c r="U53" s="35">
        <f>+GETPIVOTDATA("XKL4",'kimlong (2016)'!$A$3,"MA_HT","DKV","MA_QH","SKK")</f>
        <v>0</v>
      </c>
      <c r="V53" s="35">
        <f>+GETPIVOTDATA("XKL4",'kimlong (2016)'!$A$3,"MA_HT","DKV","MA_QH","SKT")</f>
        <v>0</v>
      </c>
      <c r="W53" s="35">
        <f>+GETPIVOTDATA("XKL4",'kimlong (2016)'!$A$3,"MA_HT","DKV","MA_QH","SKN")</f>
        <v>0</v>
      </c>
      <c r="X53" s="35">
        <f>+GETPIVOTDATA("XKL4",'kimlong (2016)'!$A$3,"MA_HT","DKV","MA_QH","TMD")</f>
        <v>0</v>
      </c>
      <c r="Y53" s="35">
        <f>+GETPIVOTDATA("XKL4",'kimlong (2016)'!$A$3,"MA_HT","DKV","MA_QH","SKC")</f>
        <v>0</v>
      </c>
      <c r="Z53" s="35">
        <f>+GETPIVOTDATA("XKL4",'kimlong (2016)'!$A$3,"MA_HT","DKV","MA_QH","SKS")</f>
        <v>0</v>
      </c>
      <c r="AA53" s="64">
        <f t="shared" si="21"/>
        <v>0</v>
      </c>
      <c r="AB53" s="35">
        <f>+GETPIVOTDATA("XKL4",'kimlong (2016)'!$A$3,"MA_HT","DKV","MA_QH","DGT")</f>
        <v>0</v>
      </c>
      <c r="AC53" s="35">
        <f>+GETPIVOTDATA("XKL4",'kimlong (2016)'!$A$3,"MA_HT","DKV","MA_QH","DTL")</f>
        <v>0</v>
      </c>
      <c r="AD53" s="35">
        <f>+GETPIVOTDATA("XKL4",'kimlong (2016)'!$A$3,"MA_HT","DKV","MA_QH","DNL")</f>
        <v>0</v>
      </c>
      <c r="AE53" s="35">
        <f>+GETPIVOTDATA("XKL4",'kimlong (2016)'!$A$3,"MA_HT","DKV","MA_QH","DBV")</f>
        <v>0</v>
      </c>
      <c r="AF53" s="35">
        <f>+GETPIVOTDATA("XKL4",'kimlong (2016)'!$A$3,"MA_HT","DKV","MA_QH","DVH")</f>
        <v>0</v>
      </c>
      <c r="AG53" s="35">
        <f>+GETPIVOTDATA("XKL4",'kimlong (2016)'!$A$3,"MA_HT","DKV","MA_QH","DYT")</f>
        <v>0</v>
      </c>
      <c r="AH53" s="35">
        <f>+GETPIVOTDATA("XKL4",'kimlong (2016)'!$A$3,"MA_HT","DKV","MA_QH","DGD")</f>
        <v>0</v>
      </c>
      <c r="AI53" s="35">
        <f>+GETPIVOTDATA("XKL4",'kimlong (2016)'!$A$3,"MA_HT","DKV","MA_QH","DTT")</f>
        <v>0</v>
      </c>
      <c r="AJ53" s="35">
        <f>+GETPIVOTDATA("XKL4",'kimlong (2016)'!$A$3,"MA_HT","DKV","MA_QH","NCK")</f>
        <v>0</v>
      </c>
      <c r="AK53" s="35">
        <f>+GETPIVOTDATA("XKL4",'kimlong (2016)'!$A$3,"MA_HT","DKV","MA_QH","DXH")</f>
        <v>0</v>
      </c>
      <c r="AL53" s="35">
        <f>+GETPIVOTDATA("XKL4",'kimlong (2016)'!$A$3,"MA_HT","DKV","MA_QH","DCH")</f>
        <v>0</v>
      </c>
      <c r="AM53" s="35">
        <f>+GETPIVOTDATA("XKL4",'kimlong (2016)'!$A$3,"MA_HT","DKV","MA_QH","DKG")</f>
        <v>0</v>
      </c>
      <c r="AN53" s="35">
        <f>+GETPIVOTDATA("XKL4",'kimlong (2016)'!$A$3,"MA_HT","DKV","MA_QH","DDT")</f>
        <v>0</v>
      </c>
      <c r="AO53" s="35">
        <f>+GETPIVOTDATA("XKL4",'kimlong (2016)'!$A$3,"MA_HT","DKV","MA_QH","DDL")</f>
        <v>0</v>
      </c>
      <c r="AP53" s="35">
        <f>+GETPIVOTDATA("XKL4",'kimlong (2016)'!$A$3,"MA_HT","DKV","MA_QH","DRA")</f>
        <v>0</v>
      </c>
      <c r="AQ53" s="35">
        <f>+GETPIVOTDATA("XKL4",'kimlong (2016)'!$A$3,"MA_HT","DKV","MA_QH","ONT")</f>
        <v>0</v>
      </c>
      <c r="AR53" s="35">
        <f>+GETPIVOTDATA("XKL4",'kimlong (2016)'!$A$3,"MA_HT","DKV","MA_QH","ODT")</f>
        <v>0</v>
      </c>
      <c r="AS53" s="35">
        <f>+GETPIVOTDATA("XKL4",'kimlong (2016)'!$A$3,"MA_HT","DKV","MA_QH","TSC")</f>
        <v>0</v>
      </c>
      <c r="AT53" s="35">
        <f>+GETPIVOTDATA("XKL4",'kimlong (2016)'!$A$3,"MA_HT","DKV","MA_QH","DTS")</f>
        <v>0</v>
      </c>
      <c r="AU53" s="35">
        <f>+GETPIVOTDATA("XKL4",'kimlong (2016)'!$A$3,"MA_HT","DKV","MA_QH","DNG")</f>
        <v>0</v>
      </c>
      <c r="AV53" s="35">
        <f>+GETPIVOTDATA("XKL4",'kimlong (2016)'!$A$3,"MA_HT","DKV","MA_QH","TON")</f>
        <v>0</v>
      </c>
      <c r="AW53" s="35">
        <f>+GETPIVOTDATA("XKL4",'kimlong (2016)'!$A$3,"MA_HT","DKV","MA_QH","NTD")</f>
        <v>0</v>
      </c>
      <c r="AX53" s="35">
        <f>+GETPIVOTDATA("XKL4",'kimlong (2016)'!$A$3,"MA_HT","DKV","MA_QH","SKX")</f>
        <v>0</v>
      </c>
      <c r="AY53" s="35">
        <f>+GETPIVOTDATA("XKL4",'kimlong (2016)'!$A$3,"MA_HT","DKV","MA_QH","DSH")</f>
        <v>0</v>
      </c>
      <c r="AZ53" s="99" t="e">
        <f>$D53-$BF53</f>
        <v>#REF!</v>
      </c>
      <c r="BA53" s="140">
        <f>+GETPIVOTDATA("XKL4",'kimlong (2016)'!$A$3,"MA_HT","DKV","MA_QH","TIN")</f>
        <v>0</v>
      </c>
      <c r="BB53" s="74">
        <f>+GETPIVOTDATA("XKL4",'kimlong (2016)'!$A$3,"MA_HT","DKV","MA_QH","SON")</f>
        <v>0</v>
      </c>
      <c r="BC53" s="74">
        <f>+GETPIVOTDATA("XKL4",'kimlong (2016)'!$A$3,"MA_HT","DKV","MA_QH","MNC")</f>
        <v>0</v>
      </c>
      <c r="BD53" s="35">
        <f>+GETPIVOTDATA("XKL4",'kimlong (2016)'!$A$3,"MA_HT","DKV","MA_QH","PNK")</f>
        <v>0</v>
      </c>
      <c r="BE53" s="58">
        <f>+GETPIVOTDATA("XKL4",'kimlong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>SUM(E29:E39)</f>
        <v>0</v>
      </c>
      <c r="F54" s="64">
        <f>SUM(F29:F39)</f>
        <v>0</v>
      </c>
      <c r="G54" s="35">
        <f>+GETPIVOTDATA("XKL4",'kimlong (2016)'!$A$3,"MA_HT","TIN","MA_QH","LUC")</f>
        <v>0</v>
      </c>
      <c r="H54" s="35">
        <f>+GETPIVOTDATA("XKL4",'kimlong (2016)'!$A$3,"MA_HT","TIN","MA_QH","LUK")</f>
        <v>0</v>
      </c>
      <c r="I54" s="35">
        <f>+GETPIVOTDATA("XKL4",'kimlong (2016)'!$A$3,"MA_HT","TIN","MA_QH","LUN")</f>
        <v>0</v>
      </c>
      <c r="J54" s="35">
        <f>+GETPIVOTDATA("XKL4",'kimlong (2016)'!$A$3,"MA_HT","TIN","MA_QH","HNK")</f>
        <v>0</v>
      </c>
      <c r="K54" s="35">
        <f>+GETPIVOTDATA("XKL4",'kimlong (2016)'!$A$3,"MA_HT","TIN","MA_QH","CLN")</f>
        <v>0</v>
      </c>
      <c r="L54" s="35">
        <f>+GETPIVOTDATA("XKL4",'kimlong (2016)'!$A$3,"MA_HT","TIN","MA_QH","RSX")</f>
        <v>0</v>
      </c>
      <c r="M54" s="35">
        <f>+GETPIVOTDATA("XKL4",'kimlong (2016)'!$A$3,"MA_HT","TIN","MA_QH","RPH")</f>
        <v>0</v>
      </c>
      <c r="N54" s="35">
        <f>+GETPIVOTDATA("XKL4",'kimlong (2016)'!$A$3,"MA_HT","TIN","MA_QH","RDD")</f>
        <v>0</v>
      </c>
      <c r="O54" s="35">
        <f>+GETPIVOTDATA("XKL4",'kimlong (2016)'!$A$3,"MA_HT","TIN","MA_QH","NTS")</f>
        <v>0</v>
      </c>
      <c r="P54" s="35">
        <f>+GETPIVOTDATA("XKL4",'kimlong (2016)'!$A$3,"MA_HT","TIN","MA_QH","LMU")</f>
        <v>0</v>
      </c>
      <c r="Q54" s="35">
        <f>+GETPIVOTDATA("XKL4",'kimlong (2016)'!$A$3,"MA_HT","TIN","MA_QH","NKH")</f>
        <v>0</v>
      </c>
      <c r="R54" s="106">
        <f>SUM(S54:AA54,AN54:AZ54,BB54:BD54)</f>
        <v>0</v>
      </c>
      <c r="S54" s="35">
        <f>+GETPIVOTDATA("XKL4",'kimlong (2016)'!$A$3,"MA_HT","TIN","MA_QH","CQP")</f>
        <v>0</v>
      </c>
      <c r="T54" s="35">
        <f>+GETPIVOTDATA("XKL4",'kimlong (2016)'!$A$3,"MA_HT","TIN","MA_QH","CAN")</f>
        <v>0</v>
      </c>
      <c r="U54" s="35">
        <f>+GETPIVOTDATA("XKL4",'kimlong (2016)'!$A$3,"MA_HT","TIN","MA_QH","SKK")</f>
        <v>0</v>
      </c>
      <c r="V54" s="35">
        <f>+GETPIVOTDATA("XKL4",'kimlong (2016)'!$A$3,"MA_HT","TIN","MA_QH","SKT")</f>
        <v>0</v>
      </c>
      <c r="W54" s="35">
        <f>+GETPIVOTDATA("XKL4",'kimlong (2016)'!$A$3,"MA_HT","TIN","MA_QH","SKN")</f>
        <v>0</v>
      </c>
      <c r="X54" s="35">
        <f>+GETPIVOTDATA("XKL4",'kimlong (2016)'!$A$3,"MA_HT","TIN","MA_QH","TMD")</f>
        <v>0</v>
      </c>
      <c r="Y54" s="35">
        <f>+GETPIVOTDATA("XKL4",'kimlong (2016)'!$A$3,"MA_HT","TIN","MA_QH","SKC")</f>
        <v>0</v>
      </c>
      <c r="Z54" s="35">
        <f>+GETPIVOTDATA("XKL4",'kimlong (2016)'!$A$3,"MA_HT","TIN","MA_QH","SKS")</f>
        <v>0</v>
      </c>
      <c r="AA54" s="64">
        <f t="shared" si="21"/>
        <v>0</v>
      </c>
      <c r="AB54" s="35">
        <f>+GETPIVOTDATA("XKL4",'kimlong (2016)'!$A$3,"MA_HT","TIN","MA_QH","DGT")</f>
        <v>0</v>
      </c>
      <c r="AC54" s="35">
        <f>+GETPIVOTDATA("XKL4",'kimlong (2016)'!$A$3,"MA_HT","TIN","MA_QH","DTL")</f>
        <v>0</v>
      </c>
      <c r="AD54" s="35">
        <f>+GETPIVOTDATA("XKL4",'kimlong (2016)'!$A$3,"MA_HT","TIN","MA_QH","DNL")</f>
        <v>0</v>
      </c>
      <c r="AE54" s="35">
        <f>+GETPIVOTDATA("XKL4",'kimlong (2016)'!$A$3,"MA_HT","TIN","MA_QH","DBV")</f>
        <v>0</v>
      </c>
      <c r="AF54" s="35">
        <f>+GETPIVOTDATA("XKL4",'kimlong (2016)'!$A$3,"MA_HT","TIN","MA_QH","DVH")</f>
        <v>0</v>
      </c>
      <c r="AG54" s="35">
        <f>+GETPIVOTDATA("XKL4",'kimlong (2016)'!$A$3,"MA_HT","TIN","MA_QH","DYT")</f>
        <v>0</v>
      </c>
      <c r="AH54" s="35">
        <f>+GETPIVOTDATA("XKL4",'kimlong (2016)'!$A$3,"MA_HT","TIN","MA_QH","DGD")</f>
        <v>0</v>
      </c>
      <c r="AI54" s="35">
        <f>+GETPIVOTDATA("XKL4",'kimlong (2016)'!$A$3,"MA_HT","TIN","MA_QH","DTT")</f>
        <v>0</v>
      </c>
      <c r="AJ54" s="35">
        <f>+GETPIVOTDATA("XKL4",'kimlong (2016)'!$A$3,"MA_HT","TIN","MA_QH","NCK")</f>
        <v>0</v>
      </c>
      <c r="AK54" s="35">
        <f>+GETPIVOTDATA("XKL4",'kimlong (2016)'!$A$3,"MA_HT","TIN","MA_QH","DXH")</f>
        <v>0</v>
      </c>
      <c r="AL54" s="35">
        <f>+GETPIVOTDATA("XKL4",'kimlong (2016)'!$A$3,"MA_HT","TIN","MA_QH","DCH")</f>
        <v>0</v>
      </c>
      <c r="AM54" s="35">
        <f>+GETPIVOTDATA("XKL4",'kimlong (2016)'!$A$3,"MA_HT","TIN","MA_QH","DKG")</f>
        <v>0</v>
      </c>
      <c r="AN54" s="35">
        <f>+GETPIVOTDATA("XKL4",'kimlong (2016)'!$A$3,"MA_HT","TIN","MA_QH","DDT")</f>
        <v>0</v>
      </c>
      <c r="AO54" s="35">
        <f>+GETPIVOTDATA("XKL4",'kimlong (2016)'!$A$3,"MA_HT","TIN","MA_QH","DDL")</f>
        <v>0</v>
      </c>
      <c r="AP54" s="35">
        <f>+GETPIVOTDATA("XKL4",'kimlong (2016)'!$A$3,"MA_HT","TIN","MA_QH","DRA")</f>
        <v>0</v>
      </c>
      <c r="AQ54" s="35">
        <f>+GETPIVOTDATA("XKL4",'kimlong (2016)'!$A$3,"MA_HT","TIN","MA_QH","ONT")</f>
        <v>0</v>
      </c>
      <c r="AR54" s="35">
        <f>+GETPIVOTDATA("XKL4",'kimlong (2016)'!$A$3,"MA_HT","TIN","MA_QH","ODT")</f>
        <v>0</v>
      </c>
      <c r="AS54" s="35">
        <f>+GETPIVOTDATA("XKL4",'kimlong (2016)'!$A$3,"MA_HT","TIN","MA_QH","TSC")</f>
        <v>0</v>
      </c>
      <c r="AT54" s="35">
        <f>+GETPIVOTDATA("XKL4",'kimlong (2016)'!$A$3,"MA_HT","TIN","MA_QH","DTS")</f>
        <v>0</v>
      </c>
      <c r="AU54" s="35">
        <f>+GETPIVOTDATA("XKL4",'kimlong (2016)'!$A$3,"MA_HT","TIN","MA_QH","DNG")</f>
        <v>0</v>
      </c>
      <c r="AV54" s="35">
        <f>+GETPIVOTDATA("XKL4",'kimlong (2016)'!$A$3,"MA_HT","TIN","MA_QH","TON")</f>
        <v>0</v>
      </c>
      <c r="AW54" s="35">
        <f>+GETPIVOTDATA("XKL4",'kimlong (2016)'!$A$3,"MA_HT","TIN","MA_QH","NTD")</f>
        <v>0</v>
      </c>
      <c r="AX54" s="35">
        <f>+GETPIVOTDATA("XKL4",'kimlong (2016)'!$A$3,"MA_HT","TIN","MA_QH","SKX")</f>
        <v>0</v>
      </c>
      <c r="AY54" s="35">
        <f>+GETPIVOTDATA("XKL4",'kimlong (2016)'!$A$3,"MA_HT","TIN","MA_QH","DSH")</f>
        <v>0</v>
      </c>
      <c r="AZ54" s="35">
        <f>+GETPIVOTDATA("XKL4",'kimlong (2016)'!$A$3,"MA_HT","TIN","MA_QH","DKV")</f>
        <v>0</v>
      </c>
      <c r="BA54" s="99" t="e">
        <f>$D54-$BF54</f>
        <v>#REF!</v>
      </c>
      <c r="BB54" s="35">
        <f>+GETPIVOTDATA("XKL4",'kimlong (2016)'!$A$3,"MA_HT","TIN","MA_QH","SON")</f>
        <v>0</v>
      </c>
      <c r="BC54" s="35">
        <f>+GETPIVOTDATA("XKL4",'kimlong (2016)'!$A$3,"MA_HT","TIN","MA_QH","MNC")</f>
        <v>0</v>
      </c>
      <c r="BD54" s="35">
        <f>+GETPIVOTDATA("XKL4",'kimlong (2016)'!$A$3,"MA_HT","TIN","MA_QH","PNK")</f>
        <v>0</v>
      </c>
      <c r="BE54" s="58">
        <f>+GETPIVOTDATA("XKL4",'kimlong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+GETPIVOTDATA("XKL4",'kimlong (2016)'!$A$3,"MA_HT","SON","MA_QH","LUC")</f>
        <v>0</v>
      </c>
      <c r="H55" s="35">
        <f>+GETPIVOTDATA("XKL4",'kimlong (2016)'!$A$3,"MA_HT","SON","MA_QH","LUK")</f>
        <v>0</v>
      </c>
      <c r="I55" s="35">
        <f>+GETPIVOTDATA("XKL4",'kimlong (2016)'!$A$3,"MA_HT","SON","MA_QH","LUN")</f>
        <v>0</v>
      </c>
      <c r="J55" s="35">
        <f>+GETPIVOTDATA("XKL4",'kimlong (2016)'!$A$3,"MA_HT","SON","MA_QH","HNK")</f>
        <v>0</v>
      </c>
      <c r="K55" s="35">
        <f>+GETPIVOTDATA("XKL4",'kimlong (2016)'!$A$3,"MA_HT","SON","MA_QH","CLN")</f>
        <v>0</v>
      </c>
      <c r="L55" s="35">
        <f>+GETPIVOTDATA("XKL4",'kimlong (2016)'!$A$3,"MA_HT","SON","MA_QH","RSX")</f>
        <v>0</v>
      </c>
      <c r="M55" s="35">
        <f>+GETPIVOTDATA("XKL4",'kimlong (2016)'!$A$3,"MA_HT","SON","MA_QH","RPH")</f>
        <v>0</v>
      </c>
      <c r="N55" s="35">
        <f>+GETPIVOTDATA("XKL4",'kimlong (2016)'!$A$3,"MA_HT","SON","MA_QH","RDD")</f>
        <v>0</v>
      </c>
      <c r="O55" s="35">
        <f>+GETPIVOTDATA("XKL4",'kimlong (2016)'!$A$3,"MA_HT","SON","MA_QH","NTS")</f>
        <v>0</v>
      </c>
      <c r="P55" s="35">
        <f>+GETPIVOTDATA("XKL4",'kimlong (2016)'!$A$3,"MA_HT","SON","MA_QH","LMU")</f>
        <v>0</v>
      </c>
      <c r="Q55" s="35">
        <f>+GETPIVOTDATA("XKL4",'kimlong (2016)'!$A$3,"MA_HT","SON","MA_QH","NKH")</f>
        <v>0</v>
      </c>
      <c r="R55" s="106">
        <f>SUM(S55:AA55,AN55:AZ55,BC55:BD55)</f>
        <v>0</v>
      </c>
      <c r="S55" s="35">
        <f>+GETPIVOTDATA("XKL4",'kimlong (2016)'!$A$3,"MA_HT","SON","MA_QH","CQP")</f>
        <v>0</v>
      </c>
      <c r="T55" s="35">
        <f>+GETPIVOTDATA("XKL4",'kimlong (2016)'!$A$3,"MA_HT","SON","MA_QH","CAN")</f>
        <v>0</v>
      </c>
      <c r="U55" s="35">
        <f>+GETPIVOTDATA("XKL4",'kimlong (2016)'!$A$3,"MA_HT","SON","MA_QH","SKK")</f>
        <v>0</v>
      </c>
      <c r="V55" s="35">
        <f>+GETPIVOTDATA("XKL4",'kimlong (2016)'!$A$3,"MA_HT","SON","MA_QH","SKT")</f>
        <v>0</v>
      </c>
      <c r="W55" s="35">
        <f>+GETPIVOTDATA("XKL4",'kimlong (2016)'!$A$3,"MA_HT","SON","MA_QH","SKN")</f>
        <v>0</v>
      </c>
      <c r="X55" s="35">
        <f>+GETPIVOTDATA("XKL4",'kimlong (2016)'!$A$3,"MA_HT","SON","MA_QH","TMD")</f>
        <v>0</v>
      </c>
      <c r="Y55" s="35">
        <f>+GETPIVOTDATA("XKL4",'kimlong (2016)'!$A$3,"MA_HT","SON","MA_QH","SKC")</f>
        <v>0</v>
      </c>
      <c r="Z55" s="35">
        <f>+GETPIVOTDATA("XKL4",'kimlong (2016)'!$A$3,"MA_HT","SON","MA_QH","SKS")</f>
        <v>0</v>
      </c>
      <c r="AA55" s="64">
        <f t="shared" si="21"/>
        <v>0</v>
      </c>
      <c r="AB55" s="35">
        <f>+GETPIVOTDATA("XKL4",'kimlong (2016)'!$A$3,"MA_HT","SON","MA_QH","DGT")</f>
        <v>0</v>
      </c>
      <c r="AC55" s="35">
        <f>+GETPIVOTDATA("XKL4",'kimlong (2016)'!$A$3,"MA_HT","SON","MA_QH","DTL")</f>
        <v>0</v>
      </c>
      <c r="AD55" s="35">
        <f>+GETPIVOTDATA("XKL4",'kimlong (2016)'!$A$3,"MA_HT","SON","MA_QH","DNL")</f>
        <v>0</v>
      </c>
      <c r="AE55" s="35">
        <f>+GETPIVOTDATA("XKL4",'kimlong (2016)'!$A$3,"MA_HT","SON","MA_QH","DBV")</f>
        <v>0</v>
      </c>
      <c r="AF55" s="35">
        <f>+GETPIVOTDATA("XKL4",'kimlong (2016)'!$A$3,"MA_HT","SON","MA_QH","DVH")</f>
        <v>0</v>
      </c>
      <c r="AG55" s="35">
        <f>+GETPIVOTDATA("XKL4",'kimlong (2016)'!$A$3,"MA_HT","SON","MA_QH","DYT")</f>
        <v>0</v>
      </c>
      <c r="AH55" s="35">
        <f>+GETPIVOTDATA("XKL4",'kimlong (2016)'!$A$3,"MA_HT","SON","MA_QH","DGD")</f>
        <v>0</v>
      </c>
      <c r="AI55" s="35">
        <f>+GETPIVOTDATA("XKL4",'kimlong (2016)'!$A$3,"MA_HT","SON","MA_QH","DTT")</f>
        <v>0</v>
      </c>
      <c r="AJ55" s="35">
        <f>+GETPIVOTDATA("XKL4",'kimlong (2016)'!$A$3,"MA_HT","SON","MA_QH","NCK")</f>
        <v>0</v>
      </c>
      <c r="AK55" s="35">
        <f>+GETPIVOTDATA("XKL4",'kimlong (2016)'!$A$3,"MA_HT","SON","MA_QH","DXH")</f>
        <v>0</v>
      </c>
      <c r="AL55" s="35">
        <f>+GETPIVOTDATA("XKL4",'kimlong (2016)'!$A$3,"MA_HT","SON","MA_QH","DCH")</f>
        <v>0</v>
      </c>
      <c r="AM55" s="35">
        <f>+GETPIVOTDATA("XKL4",'kimlong (2016)'!$A$3,"MA_HT","SON","MA_QH","DKG")</f>
        <v>0</v>
      </c>
      <c r="AN55" s="35">
        <f>+GETPIVOTDATA("XKL4",'kimlong (2016)'!$A$3,"MA_HT","SON","MA_QH","DDT")</f>
        <v>0</v>
      </c>
      <c r="AO55" s="35">
        <f>+GETPIVOTDATA("XKL4",'kimlong (2016)'!$A$3,"MA_HT","SON","MA_QH","DDL")</f>
        <v>0</v>
      </c>
      <c r="AP55" s="35">
        <f>+GETPIVOTDATA("XKL4",'kimlong (2016)'!$A$3,"MA_HT","SON","MA_QH","DRA")</f>
        <v>0</v>
      </c>
      <c r="AQ55" s="35">
        <f>+GETPIVOTDATA("XKL4",'kimlong (2016)'!$A$3,"MA_HT","SON","MA_QH","ONT")</f>
        <v>0</v>
      </c>
      <c r="AR55" s="35">
        <f>+GETPIVOTDATA("XKL4",'kimlong (2016)'!$A$3,"MA_HT","SON","MA_QH","ODT")</f>
        <v>0</v>
      </c>
      <c r="AS55" s="35">
        <f>+GETPIVOTDATA("XKL4",'kimlong (2016)'!$A$3,"MA_HT","SON","MA_QH","TSC")</f>
        <v>0</v>
      </c>
      <c r="AT55" s="35">
        <f>+GETPIVOTDATA("XKL4",'kimlong (2016)'!$A$3,"MA_HT","SON","MA_QH","DTS")</f>
        <v>0</v>
      </c>
      <c r="AU55" s="35">
        <f>+GETPIVOTDATA("XKL4",'kimlong (2016)'!$A$3,"MA_HT","SON","MA_QH","DNG")</f>
        <v>0</v>
      </c>
      <c r="AV55" s="35">
        <f>+GETPIVOTDATA("XKL4",'kimlong (2016)'!$A$3,"MA_HT","SON","MA_QH","TON")</f>
        <v>0</v>
      </c>
      <c r="AW55" s="35">
        <f>+GETPIVOTDATA("XKL4",'kimlong (2016)'!$A$3,"MA_HT","SON","MA_QH","NTD")</f>
        <v>0</v>
      </c>
      <c r="AX55" s="35">
        <f>+GETPIVOTDATA("XKL4",'kimlong (2016)'!$A$3,"MA_HT","SON","MA_QH","SKX")</f>
        <v>0</v>
      </c>
      <c r="AY55" s="35">
        <f>+GETPIVOTDATA("XKL4",'kimlong (2016)'!$A$3,"MA_HT","SON","MA_QH","DSH")</f>
        <v>0</v>
      </c>
      <c r="AZ55" s="35">
        <f>+GETPIVOTDATA("XKL4",'kimlong (2016)'!$A$3,"MA_HT","SON","MA_QH","DKV")</f>
        <v>0</v>
      </c>
      <c r="BA55" s="140">
        <f>+GETPIVOTDATA("XKL4",'kimlong (2016)'!$A$3,"MA_HT","SON","MA_QH","TIN")</f>
        <v>0</v>
      </c>
      <c r="BB55" s="99" t="e">
        <f>$D55-$BF55</f>
        <v>#REF!</v>
      </c>
      <c r="BC55" s="74">
        <f>+GETPIVOTDATA("XKL4",'kimlong (2016)'!$A$3,"MA_HT","SON","MA_QH","MNC")</f>
        <v>0</v>
      </c>
      <c r="BD55" s="35">
        <f>+GETPIVOTDATA("XKL4",'kimlong (2016)'!$A$3,"MA_HT","SON","MA_QH","PNK")</f>
        <v>0</v>
      </c>
      <c r="BE55" s="58">
        <f>+GETPIVOTDATA("XKL4",'kimlong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+GETPIVOTDATA("XKL4",'kimlong (2016)'!$A$3,"MA_HT","MNC","MA_QH","LUC")</f>
        <v>0</v>
      </c>
      <c r="H56" s="35">
        <f>+GETPIVOTDATA("XKL4",'kimlong (2016)'!$A$3,"MA_HT","MNC","MA_QH","LUK")</f>
        <v>0</v>
      </c>
      <c r="I56" s="35">
        <f>+GETPIVOTDATA("XKL4",'kimlong (2016)'!$A$3,"MA_HT","MNC","MA_QH","LUN")</f>
        <v>0</v>
      </c>
      <c r="J56" s="35">
        <f>+GETPIVOTDATA("XKL4",'kimlong (2016)'!$A$3,"MA_HT","MNC","MA_QH","HNK")</f>
        <v>0</v>
      </c>
      <c r="K56" s="35">
        <f>+GETPIVOTDATA("XKL4",'kimlong (2016)'!$A$3,"MA_HT","MNC","MA_QH","CLN")</f>
        <v>0</v>
      </c>
      <c r="L56" s="35">
        <f>+GETPIVOTDATA("XKL4",'kimlong (2016)'!$A$3,"MA_HT","MNC","MA_QH","RSX")</f>
        <v>0</v>
      </c>
      <c r="M56" s="35">
        <f>+GETPIVOTDATA("XKL4",'kimlong (2016)'!$A$3,"MA_HT","MNC","MA_QH","RPH")</f>
        <v>0</v>
      </c>
      <c r="N56" s="35">
        <f>+GETPIVOTDATA("XKL4",'kimlong (2016)'!$A$3,"MA_HT","MNC","MA_QH","RDD")</f>
        <v>0</v>
      </c>
      <c r="O56" s="35">
        <f>+GETPIVOTDATA("XKL4",'kimlong (2016)'!$A$3,"MA_HT","MNC","MA_QH","NTS")</f>
        <v>0</v>
      </c>
      <c r="P56" s="35">
        <f>+GETPIVOTDATA("XKL4",'kimlong (2016)'!$A$3,"MA_HT","MNC","MA_QH","LMU")</f>
        <v>0</v>
      </c>
      <c r="Q56" s="35">
        <f>+GETPIVOTDATA("XKL4",'kimlong (2016)'!$A$3,"MA_HT","MNC","MA_QH","NKH")</f>
        <v>0</v>
      </c>
      <c r="R56" s="106">
        <f>SUM(S56:AA56,AN56:BB56,BD56)</f>
        <v>0</v>
      </c>
      <c r="S56" s="35">
        <f>+GETPIVOTDATA("XKL4",'kimlong (2016)'!$A$3,"MA_HT","MNC","MA_QH","CQP")</f>
        <v>0</v>
      </c>
      <c r="T56" s="35">
        <f>+GETPIVOTDATA("XKL4",'kimlong (2016)'!$A$3,"MA_HT","MNC","MA_QH","CAN")</f>
        <v>0</v>
      </c>
      <c r="U56" s="35">
        <f>+GETPIVOTDATA("XKL4",'kimlong (2016)'!$A$3,"MA_HT","MNC","MA_QH","SKK")</f>
        <v>0</v>
      </c>
      <c r="V56" s="35">
        <f>+GETPIVOTDATA("XKL4",'kimlong (2016)'!$A$3,"MA_HT","MNC","MA_QH","SKT")</f>
        <v>0</v>
      </c>
      <c r="W56" s="35">
        <f>+GETPIVOTDATA("XKL4",'kimlong (2016)'!$A$3,"MA_HT","MNC","MA_QH","SKN")</f>
        <v>0</v>
      </c>
      <c r="X56" s="35">
        <f>+GETPIVOTDATA("XKL4",'kimlong (2016)'!$A$3,"MA_HT","MNC","MA_QH","TMD")</f>
        <v>0</v>
      </c>
      <c r="Y56" s="35">
        <f>+GETPIVOTDATA("XKL4",'kimlong (2016)'!$A$3,"MA_HT","MNC","MA_QH","SKC")</f>
        <v>0</v>
      </c>
      <c r="Z56" s="35">
        <f>+GETPIVOTDATA("XKL4",'kimlong (2016)'!$A$3,"MA_HT","MNC","MA_QH","SKS")</f>
        <v>0</v>
      </c>
      <c r="AA56" s="64">
        <f t="shared" si="21"/>
        <v>0</v>
      </c>
      <c r="AB56" s="35">
        <f>+GETPIVOTDATA("XKL4",'kimlong (2016)'!$A$3,"MA_HT","MNC","MA_QH","DGT")</f>
        <v>0</v>
      </c>
      <c r="AC56" s="35">
        <f>+GETPIVOTDATA("XKL4",'kimlong (2016)'!$A$3,"MA_HT","MNC","MA_QH","DTL")</f>
        <v>0</v>
      </c>
      <c r="AD56" s="35">
        <f>+GETPIVOTDATA("XKL4",'kimlong (2016)'!$A$3,"MA_HT","MNC","MA_QH","DNL")</f>
        <v>0</v>
      </c>
      <c r="AE56" s="35">
        <f>+GETPIVOTDATA("XKL4",'kimlong (2016)'!$A$3,"MA_HT","MNC","MA_QH","DBV")</f>
        <v>0</v>
      </c>
      <c r="AF56" s="35">
        <f>+GETPIVOTDATA("XKL4",'kimlong (2016)'!$A$3,"MA_HT","MNC","MA_QH","DVH")</f>
        <v>0</v>
      </c>
      <c r="AG56" s="35">
        <f>+GETPIVOTDATA("XKL4",'kimlong (2016)'!$A$3,"MA_HT","MNC","MA_QH","DYT")</f>
        <v>0</v>
      </c>
      <c r="AH56" s="35">
        <f>+GETPIVOTDATA("XKL4",'kimlong (2016)'!$A$3,"MA_HT","MNC","MA_QH","DGD")</f>
        <v>0</v>
      </c>
      <c r="AI56" s="35">
        <f>+GETPIVOTDATA("XKL4",'kimlong (2016)'!$A$3,"MA_HT","MNC","MA_QH","DTT")</f>
        <v>0</v>
      </c>
      <c r="AJ56" s="35">
        <f>+GETPIVOTDATA("XKL4",'kimlong (2016)'!$A$3,"MA_HT","MNC","MA_QH","NCK")</f>
        <v>0</v>
      </c>
      <c r="AK56" s="35">
        <f>+GETPIVOTDATA("XKL4",'kimlong (2016)'!$A$3,"MA_HT","MNC","MA_QH","DXH")</f>
        <v>0</v>
      </c>
      <c r="AL56" s="35">
        <f>+GETPIVOTDATA("XKL4",'kimlong (2016)'!$A$3,"MA_HT","MNC","MA_QH","DCH")</f>
        <v>0</v>
      </c>
      <c r="AM56" s="35">
        <f>+GETPIVOTDATA("XKL4",'kimlong (2016)'!$A$3,"MA_HT","MNC","MA_QH","DKG")</f>
        <v>0</v>
      </c>
      <c r="AN56" s="35">
        <f>+GETPIVOTDATA("XKL4",'kimlong (2016)'!$A$3,"MA_HT","MNC","MA_QH","DDT")</f>
        <v>0</v>
      </c>
      <c r="AO56" s="35">
        <f>+GETPIVOTDATA("XKL4",'kimlong (2016)'!$A$3,"MA_HT","MNC","MA_QH","DDL")</f>
        <v>0</v>
      </c>
      <c r="AP56" s="35">
        <f>+GETPIVOTDATA("XKL4",'kimlong (2016)'!$A$3,"MA_HT","MNC","MA_QH","DRA")</f>
        <v>0</v>
      </c>
      <c r="AQ56" s="35">
        <f>+GETPIVOTDATA("XKL4",'kimlong (2016)'!$A$3,"MA_HT","MNC","MA_QH","ONT")</f>
        <v>0</v>
      </c>
      <c r="AR56" s="35">
        <f>+GETPIVOTDATA("XKL4",'kimlong (2016)'!$A$3,"MA_HT","MNC","MA_QH","ODT")</f>
        <v>0</v>
      </c>
      <c r="AS56" s="35">
        <f>+GETPIVOTDATA("XKL4",'kimlong (2016)'!$A$3,"MA_HT","MNC","MA_QH","TSC")</f>
        <v>0</v>
      </c>
      <c r="AT56" s="35">
        <f>+GETPIVOTDATA("XKL4",'kimlong (2016)'!$A$3,"MA_HT","MNC","MA_QH","DTS")</f>
        <v>0</v>
      </c>
      <c r="AU56" s="35">
        <f>+GETPIVOTDATA("XKL4",'kimlong (2016)'!$A$3,"MA_HT","MNC","MA_QH","DNG")</f>
        <v>0</v>
      </c>
      <c r="AV56" s="35">
        <f>+GETPIVOTDATA("XKL4",'kimlong (2016)'!$A$3,"MA_HT","MNC","MA_QH","TON")</f>
        <v>0</v>
      </c>
      <c r="AW56" s="35">
        <f>+GETPIVOTDATA("XKL4",'kimlong (2016)'!$A$3,"MA_HT","MNC","MA_QH","NTD")</f>
        <v>0</v>
      </c>
      <c r="AX56" s="35">
        <f>+GETPIVOTDATA("XKL4",'kimlong (2016)'!$A$3,"MA_HT","MNC","MA_QH","SKX")</f>
        <v>0</v>
      </c>
      <c r="AY56" s="35">
        <f>+GETPIVOTDATA("XKL4",'kimlong (2016)'!$A$3,"MA_HT","MNC","MA_QH","DSH")</f>
        <v>0</v>
      </c>
      <c r="AZ56" s="35">
        <f>+GETPIVOTDATA("XKL4",'kimlong (2016)'!$A$3,"MA_HT","MNC","MA_QH","DKV")</f>
        <v>0</v>
      </c>
      <c r="BA56" s="140">
        <f>+GETPIVOTDATA("XKL4",'kimlong (2016)'!$A$3,"MA_HT","MNC","MA_QH","TIN")</f>
        <v>0</v>
      </c>
      <c r="BB56" s="74">
        <f>+GETPIVOTDATA("XKL4",'kimlong (2016)'!$A$3,"MA_HT","MNC","MA_QH","SON")</f>
        <v>0</v>
      </c>
      <c r="BC56" s="99" t="e">
        <f>$D56-$BF56</f>
        <v>#REF!</v>
      </c>
      <c r="BD56" s="35">
        <f>+GETPIVOTDATA("XKL4",'kimlong (2016)'!$A$3,"MA_HT","MNC","MA_QH","PNK")</f>
        <v>0</v>
      </c>
      <c r="BE56" s="58">
        <f>+GETPIVOTDATA("XKL4",'kimlong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+GETPIVOTDATA("XKL4",'kimlong (2016)'!$A$3,"MA_HT","PNK","MA_QH","LUC")</f>
        <v>0</v>
      </c>
      <c r="H57" s="35">
        <f>+GETPIVOTDATA("XKL4",'kimlong (2016)'!$A$3,"MA_HT","PNK","MA_QH","LUK")</f>
        <v>0</v>
      </c>
      <c r="I57" s="35">
        <f>+GETPIVOTDATA("XKL4",'kimlong (2016)'!$A$3,"MA_HT","PNK","MA_QH","LUN")</f>
        <v>0</v>
      </c>
      <c r="J57" s="35">
        <f>+GETPIVOTDATA("XKL4",'kimlong (2016)'!$A$3,"MA_HT","PNK","MA_QH","HNK")</f>
        <v>0</v>
      </c>
      <c r="K57" s="35">
        <f>+GETPIVOTDATA("XKL4",'kimlong (2016)'!$A$3,"MA_HT","PNK","MA_QH","CLN")</f>
        <v>0</v>
      </c>
      <c r="L57" s="35">
        <f>+GETPIVOTDATA("XKL4",'kimlong (2016)'!$A$3,"MA_HT","PNK","MA_QH","RSX")</f>
        <v>0</v>
      </c>
      <c r="M57" s="35">
        <f>+GETPIVOTDATA("XKL4",'kimlong (2016)'!$A$3,"MA_HT","PNK","MA_QH","RPH")</f>
        <v>0</v>
      </c>
      <c r="N57" s="35">
        <f>+GETPIVOTDATA("XKL4",'kimlong (2016)'!$A$3,"MA_HT","PNK","MA_QH","RDD")</f>
        <v>0</v>
      </c>
      <c r="O57" s="35">
        <f>+GETPIVOTDATA("XKL4",'kimlong (2016)'!$A$3,"MA_HT","PNK","MA_QH","NTS")</f>
        <v>0</v>
      </c>
      <c r="P57" s="35">
        <f>+GETPIVOTDATA("XKL4",'kimlong (2016)'!$A$3,"MA_HT","PNK","MA_QH","LMU")</f>
        <v>0</v>
      </c>
      <c r="Q57" s="35">
        <f>+GETPIVOTDATA("XKL4",'kimlong (2016)'!$A$3,"MA_HT","PNK","MA_QH","NKH")</f>
        <v>0</v>
      </c>
      <c r="R57" s="106">
        <f>SUM(S57:AA57,AN57:BC57)</f>
        <v>0</v>
      </c>
      <c r="S57" s="35">
        <f>+GETPIVOTDATA("XKL4",'kimlong (2016)'!$A$3,"MA_HT","PNK","MA_QH","CQP")</f>
        <v>0</v>
      </c>
      <c r="T57" s="35">
        <f>+GETPIVOTDATA("XKL4",'kimlong (2016)'!$A$3,"MA_HT","PNK","MA_QH","CAN")</f>
        <v>0</v>
      </c>
      <c r="U57" s="35">
        <f>+GETPIVOTDATA("XKL4",'kimlong (2016)'!$A$3,"MA_HT","PNK","MA_QH","SKK")</f>
        <v>0</v>
      </c>
      <c r="V57" s="35">
        <f>+GETPIVOTDATA("XKL4",'kimlong (2016)'!$A$3,"MA_HT","PNK","MA_QH","SKT")</f>
        <v>0</v>
      </c>
      <c r="W57" s="35">
        <f>+GETPIVOTDATA("XKL4",'kimlong (2016)'!$A$3,"MA_HT","PNK","MA_QH","SKN")</f>
        <v>0</v>
      </c>
      <c r="X57" s="35">
        <f>+GETPIVOTDATA("XKL4",'kimlong (2016)'!$A$3,"MA_HT","PNK","MA_QH","TMD")</f>
        <v>0</v>
      </c>
      <c r="Y57" s="35">
        <f>+GETPIVOTDATA("XKL4",'kimlong (2016)'!$A$3,"MA_HT","PNK","MA_QH","SKC")</f>
        <v>0</v>
      </c>
      <c r="Z57" s="35">
        <f>+GETPIVOTDATA("XKL4",'kimlong (2016)'!$A$3,"MA_HT","PNK","MA_QH","SKS")</f>
        <v>0</v>
      </c>
      <c r="AA57" s="64">
        <f t="shared" si="21"/>
        <v>0</v>
      </c>
      <c r="AB57" s="35">
        <f>+GETPIVOTDATA("XKL4",'kimlong (2016)'!$A$3,"MA_HT","PNK","MA_QH","DGT")</f>
        <v>0</v>
      </c>
      <c r="AC57" s="35">
        <f>+GETPIVOTDATA("XKL4",'kimlong (2016)'!$A$3,"MA_HT","PNK","MA_QH","DTL")</f>
        <v>0</v>
      </c>
      <c r="AD57" s="35">
        <f>+GETPIVOTDATA("XKL4",'kimlong (2016)'!$A$3,"MA_HT","PNK","MA_QH","DNL")</f>
        <v>0</v>
      </c>
      <c r="AE57" s="35">
        <f>+GETPIVOTDATA("XKL4",'kimlong (2016)'!$A$3,"MA_HT","PNK","MA_QH","DBV")</f>
        <v>0</v>
      </c>
      <c r="AF57" s="35">
        <f>+GETPIVOTDATA("XKL4",'kimlong (2016)'!$A$3,"MA_HT","PNK","MA_QH","DVH")</f>
        <v>0</v>
      </c>
      <c r="AG57" s="35">
        <f>+GETPIVOTDATA("XKL4",'kimlong (2016)'!$A$3,"MA_HT","PNK","MA_QH","DYT")</f>
        <v>0</v>
      </c>
      <c r="AH57" s="35">
        <f>+GETPIVOTDATA("XKL4",'kimlong (2016)'!$A$3,"MA_HT","PNK","MA_QH","DGD")</f>
        <v>0</v>
      </c>
      <c r="AI57" s="35">
        <f>+GETPIVOTDATA("XKL4",'kimlong (2016)'!$A$3,"MA_HT","PNK","MA_QH","DTT")</f>
        <v>0</v>
      </c>
      <c r="AJ57" s="35">
        <f>+GETPIVOTDATA("XKL4",'kimlong (2016)'!$A$3,"MA_HT","PNK","MA_QH","NCK")</f>
        <v>0</v>
      </c>
      <c r="AK57" s="35">
        <f>+GETPIVOTDATA("XKL4",'kimlong (2016)'!$A$3,"MA_HT","PNK","MA_QH","DXH")</f>
        <v>0</v>
      </c>
      <c r="AL57" s="35">
        <f>+GETPIVOTDATA("XKL4",'kimlong (2016)'!$A$3,"MA_HT","PNK","MA_QH","DCH")</f>
        <v>0</v>
      </c>
      <c r="AM57" s="35">
        <f>+GETPIVOTDATA("XKL4",'kimlong (2016)'!$A$3,"MA_HT","PNK","MA_QH","DKG")</f>
        <v>0</v>
      </c>
      <c r="AN57" s="35">
        <f>+GETPIVOTDATA("XKL4",'kimlong (2016)'!$A$3,"MA_HT","PNK","MA_QH","DDT")</f>
        <v>0</v>
      </c>
      <c r="AO57" s="35">
        <f>+GETPIVOTDATA("XKL4",'kimlong (2016)'!$A$3,"MA_HT","PNK","MA_QH","DDL")</f>
        <v>0</v>
      </c>
      <c r="AP57" s="35">
        <f>+GETPIVOTDATA("XKL4",'kimlong (2016)'!$A$3,"MA_HT","PNK","MA_QH","DRA")</f>
        <v>0</v>
      </c>
      <c r="AQ57" s="35">
        <f>+GETPIVOTDATA("XKL4",'kimlong (2016)'!$A$3,"MA_HT","PNK","MA_QH","ONT")</f>
        <v>0</v>
      </c>
      <c r="AR57" s="35">
        <f>+GETPIVOTDATA("XKL4",'kimlong (2016)'!$A$3,"MA_HT","PNK","MA_QH","ODT")</f>
        <v>0</v>
      </c>
      <c r="AS57" s="35">
        <f>+GETPIVOTDATA("XKL4",'kimlong (2016)'!$A$3,"MA_HT","PNK","MA_QH","TSC")</f>
        <v>0</v>
      </c>
      <c r="AT57" s="35">
        <f>+GETPIVOTDATA("XKL4",'kimlong (2016)'!$A$3,"MA_HT","PNK","MA_QH","DTS")</f>
        <v>0</v>
      </c>
      <c r="AU57" s="35">
        <f>+GETPIVOTDATA("XKL4",'kimlong (2016)'!$A$3,"MA_HT","PNK","MA_QH","DNG")</f>
        <v>0</v>
      </c>
      <c r="AV57" s="35">
        <f>+GETPIVOTDATA("XKL4",'kimlong (2016)'!$A$3,"MA_HT","PNK","MA_QH","TON")</f>
        <v>0</v>
      </c>
      <c r="AW57" s="35">
        <f>+GETPIVOTDATA("XKL4",'kimlong (2016)'!$A$3,"MA_HT","PNK","MA_QH","NTD")</f>
        <v>0</v>
      </c>
      <c r="AX57" s="35">
        <f>+GETPIVOTDATA("XKL4",'kimlong (2016)'!$A$3,"MA_HT","PNK","MA_QH","SKX")</f>
        <v>0</v>
      </c>
      <c r="AY57" s="35">
        <f>+GETPIVOTDATA("XKL4",'kimlong (2016)'!$A$3,"MA_HT","PNK","MA_QH","DSH")</f>
        <v>0</v>
      </c>
      <c r="AZ57" s="35">
        <f>+GETPIVOTDATA("XKL4",'kimlong (2016)'!$A$3,"MA_HT","PNK","MA_QH","DKV")</f>
        <v>0</v>
      </c>
      <c r="BA57" s="140">
        <f>+GETPIVOTDATA("XKL4",'kimlong (2016)'!$A$3,"MA_HT","PNK","MA_QH","TIN")</f>
        <v>0</v>
      </c>
      <c r="BB57" s="74">
        <f>+GETPIVOTDATA("XKL4",'kimlong (2016)'!$A$3,"MA_HT","PNK","MA_QH","SON")</f>
        <v>0</v>
      </c>
      <c r="BC57" s="74">
        <f>+GETPIVOTDATA("XKL4",'kimlong (2016)'!$A$3,"MA_HT","PNK","MA_QH","MNC")</f>
        <v>0</v>
      </c>
      <c r="BD57" s="99" t="e">
        <f>$D57-$BF57</f>
        <v>#REF!</v>
      </c>
      <c r="BE57" s="58">
        <f>+GETPIVOTDATA("XKL4",'kimlong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+GETPIVOTDATA("XKL4",'kimlong (2016)'!$A$3,"MA_HT","CSD","MA_QH","LUC")</f>
        <v>0</v>
      </c>
      <c r="H58" s="58">
        <f>+GETPIVOTDATA("XKL4",'kimlong (2016)'!$A$3,"MA_HT","CSD","MA_QH","LUK")</f>
        <v>0</v>
      </c>
      <c r="I58" s="58">
        <f>+GETPIVOTDATA("XKL4",'kimlong (2016)'!$A$3,"MA_HT","CSD","MA_QH","LUN")</f>
        <v>0</v>
      </c>
      <c r="J58" s="58">
        <f>+GETPIVOTDATA("XKL4",'kimlong (2016)'!$A$3,"MA_HT","CSD","MA_QH","HNK")</f>
        <v>0</v>
      </c>
      <c r="K58" s="58">
        <f>+GETPIVOTDATA("XKL4",'kimlong (2016)'!$A$3,"MA_HT","CSD","MA_QH","CLN")</f>
        <v>0</v>
      </c>
      <c r="L58" s="58">
        <f>+GETPIVOTDATA("XKL4",'kimlong (2016)'!$A$3,"MA_HT","CSD","MA_QH","RSX")</f>
        <v>0</v>
      </c>
      <c r="M58" s="58">
        <f>+GETPIVOTDATA("XKL4",'kimlong (2016)'!$A$3,"MA_HT","CSD","MA_QH","RPH")</f>
        <v>0</v>
      </c>
      <c r="N58" s="58">
        <f>+GETPIVOTDATA("XKL4",'kimlong (2016)'!$A$3,"MA_HT","CSD","MA_QH","RDD")</f>
        <v>0</v>
      </c>
      <c r="O58" s="58">
        <f>+GETPIVOTDATA("XKL4",'kimlong (2016)'!$A$3,"MA_HT","CSD","MA_QH","NTS")</f>
        <v>0</v>
      </c>
      <c r="P58" s="58">
        <f>+GETPIVOTDATA("XKL4",'kimlong (2016)'!$A$3,"MA_HT","CSD","MA_QH","LMU")</f>
        <v>0</v>
      </c>
      <c r="Q58" s="58">
        <f>+GETPIVOTDATA("XKL4",'kimlong (2016)'!$A$3,"MA_HT","CSD","MA_QH","NKH")</f>
        <v>0</v>
      </c>
      <c r="R58" s="106">
        <f>SUM(S58:AA58,AN58:BD58)</f>
        <v>0</v>
      </c>
      <c r="S58" s="102">
        <f>+GETPIVOTDATA("XKL4",'kimlong (2016)'!$A$3,"MA_HT","CSD","MA_QH","CQP")</f>
        <v>0</v>
      </c>
      <c r="T58" s="102">
        <f>+GETPIVOTDATA("XKL4",'kimlong (2016)'!$A$3,"MA_HT","CSD","MA_QH","CAN")</f>
        <v>0</v>
      </c>
      <c r="U58" s="58">
        <f>+GETPIVOTDATA("XKL4",'kimlong (2016)'!$A$3,"MA_HT","CSD","MA_QH","SKK")</f>
        <v>0</v>
      </c>
      <c r="V58" s="58">
        <f>+GETPIVOTDATA("XKL4",'kimlong (2016)'!$A$3,"MA_HT","CSD","MA_QH","SKT")</f>
        <v>0</v>
      </c>
      <c r="W58" s="58">
        <f>+GETPIVOTDATA("XKL4",'kimlong (2016)'!$A$3,"MA_HT","CSD","MA_QH","SKN")</f>
        <v>0</v>
      </c>
      <c r="X58" s="58">
        <f>+GETPIVOTDATA("XKL4",'kimlong (2016)'!$A$3,"MA_HT","CSD","MA_QH","TMD")</f>
        <v>0</v>
      </c>
      <c r="Y58" s="58">
        <f>+GETPIVOTDATA("XKL4",'kimlong (2016)'!$A$3,"MA_HT","CSD","MA_QH","SKC")</f>
        <v>0</v>
      </c>
      <c r="Z58" s="58">
        <f>+GETPIVOTDATA("XKL4",'kimlong (2016)'!$A$3,"MA_HT","CSD","MA_QH","SKS")</f>
        <v>0</v>
      </c>
      <c r="AA58" s="64">
        <f t="shared" si="21"/>
        <v>0</v>
      </c>
      <c r="AB58" s="102">
        <f>+GETPIVOTDATA("XKL4",'kimlong (2016)'!$A$3,"MA_HT","CSD","MA_QH","DGT")</f>
        <v>0</v>
      </c>
      <c r="AC58" s="102">
        <f>+GETPIVOTDATA("XKL4",'kimlong (2016)'!$A$3,"MA_HT","CSD","MA_QH","DTL")</f>
        <v>0</v>
      </c>
      <c r="AD58" s="102">
        <f>+GETPIVOTDATA("XKL4",'kimlong (2016)'!$A$3,"MA_HT","CSD","MA_QH","DNL")</f>
        <v>0</v>
      </c>
      <c r="AE58" s="102">
        <f>+GETPIVOTDATA("XKL4",'kimlong (2016)'!$A$3,"MA_HT","CSD","MA_QH","DBV")</f>
        <v>0</v>
      </c>
      <c r="AF58" s="102">
        <f>+GETPIVOTDATA("XKL4",'kimlong (2016)'!$A$3,"MA_HT","CSD","MA_QH","DVH")</f>
        <v>0</v>
      </c>
      <c r="AG58" s="102">
        <f>+GETPIVOTDATA("XKL4",'kimlong (2016)'!$A$3,"MA_HT","CSD","MA_QH","DYT")</f>
        <v>0</v>
      </c>
      <c r="AH58" s="102">
        <f>+GETPIVOTDATA("XKL4",'kimlong (2016)'!$A$3,"MA_HT","CSD","MA_QH","DGD")</f>
        <v>0</v>
      </c>
      <c r="AI58" s="102">
        <f>+GETPIVOTDATA("XKL4",'kimlong (2016)'!$A$3,"MA_HT","CSD","MA_QH","DTT")</f>
        <v>0</v>
      </c>
      <c r="AJ58" s="102">
        <f>+GETPIVOTDATA("XKL4",'kimlong (2016)'!$A$3,"MA_HT","CSD","MA_QH","NCK")</f>
        <v>0</v>
      </c>
      <c r="AK58" s="102">
        <f>+GETPIVOTDATA("XKL4",'kimlong (2016)'!$A$3,"MA_HT","CSD","MA_QH","DXH")</f>
        <v>0</v>
      </c>
      <c r="AL58" s="102">
        <f>+GETPIVOTDATA("XKL4",'kimlong (2016)'!$A$3,"MA_HT","CSD","MA_QH","DCH")</f>
        <v>0</v>
      </c>
      <c r="AM58" s="102">
        <f>+GETPIVOTDATA("XKL4",'kimlong (2016)'!$A$3,"MA_HT","CSD","MA_QH","DKG")</f>
        <v>0</v>
      </c>
      <c r="AN58" s="58">
        <f>+GETPIVOTDATA("XKL4",'kimlong (2016)'!$A$3,"MA_HT","CSD","MA_QH","DDT")</f>
        <v>0</v>
      </c>
      <c r="AO58" s="58">
        <f>+GETPIVOTDATA("XKL4",'kimlong (2016)'!$A$3,"MA_HT","CSD","MA_QH","DDL")</f>
        <v>0</v>
      </c>
      <c r="AP58" s="58">
        <f>+GETPIVOTDATA("XKL4",'kimlong (2016)'!$A$3,"MA_HT","CSD","MA_QH","DRA")</f>
        <v>0</v>
      </c>
      <c r="AQ58" s="58">
        <f>+GETPIVOTDATA("XKL4",'kimlong (2016)'!$A$3,"MA_HT","CSD","MA_QH","ONT")</f>
        <v>0</v>
      </c>
      <c r="AR58" s="58">
        <f>+GETPIVOTDATA("XKL4",'kimlong (2016)'!$A$3,"MA_HT","CSD","MA_QH","ODT")</f>
        <v>0</v>
      </c>
      <c r="AS58" s="58">
        <f>+GETPIVOTDATA("XKL4",'kimlong (2016)'!$A$3,"MA_HT","CSD","MA_QH","TSC")</f>
        <v>0</v>
      </c>
      <c r="AT58" s="58">
        <f>+GETPIVOTDATA("XKL4",'kimlong (2016)'!$A$3,"MA_HT","CSD","MA_QH","DTS")</f>
        <v>0</v>
      </c>
      <c r="AU58" s="58">
        <f>+GETPIVOTDATA("XKL4",'kimlong (2016)'!$A$3,"MA_HT","CSD","MA_QH","DNG")</f>
        <v>0</v>
      </c>
      <c r="AV58" s="58">
        <f>+GETPIVOTDATA("XKL4",'kimlong (2016)'!$A$3,"MA_HT","CSD","MA_QH","TON")</f>
        <v>0</v>
      </c>
      <c r="AW58" s="58">
        <f>+GETPIVOTDATA("XKL4",'kimlong (2016)'!$A$3,"MA_HT","CSD","MA_QH","NTD")</f>
        <v>0</v>
      </c>
      <c r="AX58" s="58">
        <f>+GETPIVOTDATA("XKL4",'kimlong (2016)'!$A$3,"MA_HT","CSD","MA_QH","SKX")</f>
        <v>0</v>
      </c>
      <c r="AY58" s="58">
        <f>+GETPIVOTDATA("XKL4",'kimlong (2016)'!$A$3,"MA_HT","CSD","MA_QH","DSH")</f>
        <v>0</v>
      </c>
      <c r="AZ58" s="58">
        <f>+GETPIVOTDATA("XKL4",'kimlong (2016)'!$A$3,"MA_HT","CSD","MA_QH","DKV")</f>
        <v>0</v>
      </c>
      <c r="BA58" s="140">
        <f>+GETPIVOTDATA("XKL4",'kimlong (2016)'!$A$3,"MA_HT","CSD","MA_QH","TIN")</f>
        <v>0</v>
      </c>
      <c r="BB58" s="102">
        <f>+GETPIVOTDATA("XKL4",'kimlong (2016)'!$A$3,"MA_HT","CSD","MA_QH","SON")</f>
        <v>0</v>
      </c>
      <c r="BC58" s="102">
        <f>+GETPIVOTDATA("XKL4",'kimlong (2016)'!$A$3,"MA_HT","CSD","MA_QH","MNC")</f>
        <v>0</v>
      </c>
      <c r="BD58" s="58">
        <f>+GETPIVOTDATA("XKL4",'kimlong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7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+GETPIVOTDATA("XLL4",'langlon (2016)'!$A$3,"MA_HT","LUC","MA_QH","LUK")</f>
        <v>0</v>
      </c>
      <c r="I8" s="74">
        <f>+GETPIVOTDATA("XLL4",'langlon (2016)'!$A$3,"MA_HT","LUC","MA_QH","LUN")</f>
        <v>0</v>
      </c>
      <c r="J8" s="74">
        <f>+GETPIVOTDATA("XLL4",'langlon (2016)'!$A$3,"MA_HT","LUC","MA_QH","HNK")</f>
        <v>0</v>
      </c>
      <c r="K8" s="74">
        <f>+GETPIVOTDATA("XLL4",'langlon (2016)'!$A$3,"MA_HT","LUC","MA_QH","CLN")</f>
        <v>0</v>
      </c>
      <c r="L8" s="74">
        <f>+GETPIVOTDATA("XLL4",'langlon (2016)'!$A$3,"MA_HT","LUC","MA_QH","RSX")</f>
        <v>0</v>
      </c>
      <c r="M8" s="74">
        <f>+GETPIVOTDATA("XLL4",'langlon (2016)'!$A$3,"MA_HT","LUC","MA_QH","RPH")</f>
        <v>0</v>
      </c>
      <c r="N8" s="74">
        <f>+GETPIVOTDATA("XLL4",'langlon (2016)'!$A$3,"MA_HT","LUC","MA_QH","RDD")</f>
        <v>0</v>
      </c>
      <c r="O8" s="74">
        <f>+GETPIVOTDATA("XLL4",'langlon (2016)'!$A$3,"MA_HT","LUC","MA_QH","NTS")</f>
        <v>0</v>
      </c>
      <c r="P8" s="74">
        <f>+GETPIVOTDATA("XLL4",'langlon (2016)'!$A$3,"MA_HT","LUC","MA_QH","LMU")</f>
        <v>0</v>
      </c>
      <c r="Q8" s="74">
        <f>+GETPIVOTDATA("XLL4",'langlon (2016)'!$A$3,"MA_HT","LUC","MA_QH","NKH")</f>
        <v>0</v>
      </c>
      <c r="R8" s="72">
        <f>SUM(S8:AA8,AN8:BD8)</f>
        <v>0</v>
      </c>
      <c r="S8" s="74">
        <f>+GETPIVOTDATA("XLL4",'langlon (2016)'!$A$3,"MA_HT","LUC","MA_QH","CQP")</f>
        <v>0</v>
      </c>
      <c r="T8" s="74">
        <f>+GETPIVOTDATA("XLL4",'langlon (2016)'!$A$3,"MA_HT","LUC","MA_QH","CAN")</f>
        <v>0</v>
      </c>
      <c r="U8" s="74">
        <f>+GETPIVOTDATA("XLL4",'langlon (2016)'!$A$3,"MA_HT","LUC","MA_QH","SKK")</f>
        <v>0</v>
      </c>
      <c r="V8" s="74">
        <f>+GETPIVOTDATA("XLL4",'langlon (2016)'!$A$3,"MA_HT","LUC","MA_QH","SKT")</f>
        <v>0</v>
      </c>
      <c r="W8" s="74">
        <f>+GETPIVOTDATA("XLL4",'langlon (2016)'!$A$3,"MA_HT","LUC","MA_QH","SKN")</f>
        <v>0</v>
      </c>
      <c r="X8" s="74">
        <f>+GETPIVOTDATA("XLL4",'langlon (2016)'!$A$3,"MA_HT","LUC","MA_QH","TMD")</f>
        <v>0</v>
      </c>
      <c r="Y8" s="74">
        <f>+GETPIVOTDATA("XLL4",'langlon (2016)'!$A$3,"MA_HT","LUC","MA_QH","SKC")</f>
        <v>0</v>
      </c>
      <c r="Z8" s="74">
        <f>+GETPIVOTDATA("XLL4",'langlon (2016)'!$A$3,"MA_HT","LUC","MA_QH","SKS")</f>
        <v>0</v>
      </c>
      <c r="AA8" s="64">
        <f t="shared" si="4"/>
        <v>0</v>
      </c>
      <c r="AB8" s="74">
        <f>+GETPIVOTDATA("XLL4",'langlon (2016)'!$A$3,"MA_HT","LUC","MA_QH","DGT")</f>
        <v>0</v>
      </c>
      <c r="AC8" s="74">
        <f>+GETPIVOTDATA("XLL4",'langlon (2016)'!$A$3,"MA_HT","LUC","MA_QH","DTL")</f>
        <v>0</v>
      </c>
      <c r="AD8" s="74">
        <f>+GETPIVOTDATA("XLL4",'langlon (2016)'!$A$3,"MA_HT","LUC","MA_QH","DNL")</f>
        <v>0</v>
      </c>
      <c r="AE8" s="74">
        <f>+GETPIVOTDATA("XLL4",'langlon (2016)'!$A$3,"MA_HT","LUC","MA_QH","DBV")</f>
        <v>0</v>
      </c>
      <c r="AF8" s="74">
        <f>+GETPIVOTDATA("XLL4",'langlon (2016)'!$A$3,"MA_HT","LUC","MA_QH","DVH")</f>
        <v>0</v>
      </c>
      <c r="AG8" s="74">
        <f>+GETPIVOTDATA("XLL4",'langlon (2016)'!$A$3,"MA_HT","LUC","MA_QH","DYT")</f>
        <v>0</v>
      </c>
      <c r="AH8" s="74">
        <f>+GETPIVOTDATA("XLL4",'langlon (2016)'!$A$3,"MA_HT","LUC","MA_QH","DGD")</f>
        <v>0</v>
      </c>
      <c r="AI8" s="74">
        <f>+GETPIVOTDATA("XLL4",'langlon (2016)'!$A$3,"MA_HT","LUC","MA_QH","DTT")</f>
        <v>0</v>
      </c>
      <c r="AJ8" s="74">
        <f>+GETPIVOTDATA("XLL4",'langlon (2016)'!$A$3,"MA_HT","LUC","MA_QH","NCK")</f>
        <v>0</v>
      </c>
      <c r="AK8" s="74">
        <f>+GETPIVOTDATA("XLL4",'langlon (2016)'!$A$3,"MA_HT","LUC","MA_QH","DXH")</f>
        <v>0</v>
      </c>
      <c r="AL8" s="74">
        <f>+GETPIVOTDATA("XLL4",'langlon (2016)'!$A$3,"MA_HT","LUC","MA_QH","DCH")</f>
        <v>0</v>
      </c>
      <c r="AM8" s="74">
        <f>+GETPIVOTDATA("XLL4",'langlon (2016)'!$A$3,"MA_HT","LUC","MA_QH","DKG")</f>
        <v>0</v>
      </c>
      <c r="AN8" s="74">
        <f>+GETPIVOTDATA("XLL4",'langlon (2016)'!$A$3,"MA_HT","LUC","MA_QH","DDT")</f>
        <v>0</v>
      </c>
      <c r="AO8" s="74">
        <f>+GETPIVOTDATA("XLL4",'langlon (2016)'!$A$3,"MA_HT","LUC","MA_QH","DDL")</f>
        <v>0</v>
      </c>
      <c r="AP8" s="74">
        <f>+GETPIVOTDATA("XLL4",'langlon (2016)'!$A$3,"MA_HT","LUC","MA_QH","DRA")</f>
        <v>0</v>
      </c>
      <c r="AQ8" s="74">
        <f>+GETPIVOTDATA("XLL4",'langlon (2016)'!$A$3,"MA_HT","LUC","MA_QH","ONT")</f>
        <v>0</v>
      </c>
      <c r="AR8" s="74">
        <f>+GETPIVOTDATA("XLL4",'langlon (2016)'!$A$3,"MA_HT","LUC","MA_QH","ODT")</f>
        <v>0</v>
      </c>
      <c r="AS8" s="74">
        <f>+GETPIVOTDATA("XLL4",'langlon (2016)'!$A$3,"MA_HT","LUC","MA_QH","TSC")</f>
        <v>0</v>
      </c>
      <c r="AT8" s="74">
        <f>+GETPIVOTDATA("XLL4",'langlon (2016)'!$A$3,"MA_HT","LUC","MA_QH","DTS")</f>
        <v>0</v>
      </c>
      <c r="AU8" s="74">
        <f>+GETPIVOTDATA("XLL4",'langlon (2016)'!$A$3,"MA_HT","LUC","MA_QH","DNG")</f>
        <v>0</v>
      </c>
      <c r="AV8" s="74">
        <f>+GETPIVOTDATA("XLL4",'langlon (2016)'!$A$3,"MA_HT","LUC","MA_QH","TON")</f>
        <v>0</v>
      </c>
      <c r="AW8" s="74">
        <f>+GETPIVOTDATA("XLL4",'langlon (2016)'!$A$3,"MA_HT","LUC","MA_QH","NTD")</f>
        <v>0</v>
      </c>
      <c r="AX8" s="74">
        <f>+GETPIVOTDATA("XLL4",'langlon (2016)'!$A$3,"MA_HT","LUC","MA_QH","SKX")</f>
        <v>0</v>
      </c>
      <c r="AY8" s="74">
        <f>+GETPIVOTDATA("XLL4",'langlon (2016)'!$A$3,"MA_HT","LUC","MA_QH","DSH")</f>
        <v>0</v>
      </c>
      <c r="AZ8" s="74">
        <f>+GETPIVOTDATA("XLL4",'langlon (2016)'!$A$3,"MA_HT","LUC","MA_QH","DKV")</f>
        <v>0</v>
      </c>
      <c r="BA8" s="139">
        <f>+GETPIVOTDATA("XLL4",'langlon (2016)'!$A$3,"MA_HT","LUC","MA_QH","TIN")</f>
        <v>0</v>
      </c>
      <c r="BB8" s="74">
        <f>+GETPIVOTDATA("XLL4",'langlon (2016)'!$A$3,"MA_HT","LUC","MA_QH","SON")</f>
        <v>0</v>
      </c>
      <c r="BC8" s="74">
        <f>+GETPIVOTDATA("XLL4",'langlon (2016)'!$A$3,"MA_HT","LUC","MA_QH","MNC")</f>
        <v>0</v>
      </c>
      <c r="BD8" s="74">
        <f>+GETPIVOTDATA("XLL4",'langlon (2016)'!$A$3,"MA_HT","LUC","MA_QH","PNK")</f>
        <v>0</v>
      </c>
      <c r="BE8" s="102">
        <f>+GETPIVOTDATA("XLL4",'langlon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+GETPIVOTDATA("XLL4",'langlon (2016)'!$A$3,"MA_HT","LUK","MA_QH","LUC")</f>
        <v>0</v>
      </c>
      <c r="H9" s="100" t="e">
        <f>$D9-$BF9</f>
        <v>#REF!</v>
      </c>
      <c r="I9" s="74">
        <f>+GETPIVOTDATA("XLL4",'langlon (2016)'!$A$3,"MA_HT","LUK","MA_QH","LUN")</f>
        <v>0</v>
      </c>
      <c r="J9" s="74">
        <f>+GETPIVOTDATA("XLL4",'langlon (2016)'!$A$3,"MA_HT","LUK","MA_QH","HNK")</f>
        <v>0</v>
      </c>
      <c r="K9" s="74">
        <f>+GETPIVOTDATA("XLL4",'langlon (2016)'!$A$3,"MA_HT","LUK","MA_QH","CLN")</f>
        <v>0</v>
      </c>
      <c r="L9" s="74">
        <f>+GETPIVOTDATA("XLL4",'langlon (2016)'!$A$3,"MA_HT","LUK","MA_QH","RSX")</f>
        <v>0</v>
      </c>
      <c r="M9" s="74">
        <f>+GETPIVOTDATA("XLL4",'langlon (2016)'!$A$3,"MA_HT","LUK","MA_QH","RPH")</f>
        <v>0</v>
      </c>
      <c r="N9" s="74">
        <f>+GETPIVOTDATA("XLL4",'langlon (2016)'!$A$3,"MA_HT","LUK","MA_QH","RDD")</f>
        <v>0</v>
      </c>
      <c r="O9" s="74">
        <f>+GETPIVOTDATA("XLL4",'langlon (2016)'!$A$3,"MA_HT","LUK","MA_QH","NTS")</f>
        <v>0</v>
      </c>
      <c r="P9" s="74">
        <f>+GETPIVOTDATA("XLL4",'langlon (2016)'!$A$3,"MA_HT","LUK","MA_QH","LMU")</f>
        <v>0</v>
      </c>
      <c r="Q9" s="74">
        <f>+GETPIVOTDATA("XLL4",'langlon (2016)'!$A$3,"MA_HT","LUK","MA_QH","NKH")</f>
        <v>0</v>
      </c>
      <c r="R9" s="72">
        <f t="shared" si="2"/>
        <v>0</v>
      </c>
      <c r="S9" s="74">
        <f>+GETPIVOTDATA("XLL4",'langlon (2016)'!$A$3,"MA_HT","LUK","MA_QH","CQP")</f>
        <v>0</v>
      </c>
      <c r="T9" s="74">
        <f>+GETPIVOTDATA("XLL4",'langlon (2016)'!$A$3,"MA_HT","LUK","MA_QH","CAN")</f>
        <v>0</v>
      </c>
      <c r="U9" s="74">
        <f>+GETPIVOTDATA("XLL4",'langlon (2016)'!$A$3,"MA_HT","LUK","MA_QH","SKK")</f>
        <v>0</v>
      </c>
      <c r="V9" s="74">
        <f>+GETPIVOTDATA("XLL4",'langlon (2016)'!$A$3,"MA_HT","LUK","MA_QH","SKT")</f>
        <v>0</v>
      </c>
      <c r="W9" s="74">
        <f>+GETPIVOTDATA("XLL4",'langlon (2016)'!$A$3,"MA_HT","LUK","MA_QH","SKN")</f>
        <v>0</v>
      </c>
      <c r="X9" s="74">
        <f>+GETPIVOTDATA("XLL4",'langlon (2016)'!$A$3,"MA_HT","LUK","MA_QH","TMD")</f>
        <v>0</v>
      </c>
      <c r="Y9" s="74">
        <f>+GETPIVOTDATA("XLL4",'langlon (2016)'!$A$3,"MA_HT","LUK","MA_QH","SKC")</f>
        <v>0</v>
      </c>
      <c r="Z9" s="74">
        <f>+GETPIVOTDATA("XLL4",'langlon (2016)'!$A$3,"MA_HT","LUK","MA_QH","SKS")</f>
        <v>0</v>
      </c>
      <c r="AA9" s="64">
        <f t="shared" si="4"/>
        <v>0</v>
      </c>
      <c r="AB9" s="74">
        <f>+GETPIVOTDATA("XLL4",'langlon (2016)'!$A$3,"MA_HT","LUK","MA_QH","DGT")</f>
        <v>0</v>
      </c>
      <c r="AC9" s="74">
        <f>+GETPIVOTDATA("XLL4",'langlon (2016)'!$A$3,"MA_HT","LUK","MA_QH","DTL")</f>
        <v>0</v>
      </c>
      <c r="AD9" s="74">
        <f>+GETPIVOTDATA("XLL4",'langlon (2016)'!$A$3,"MA_HT","LUK","MA_QH","DNL")</f>
        <v>0</v>
      </c>
      <c r="AE9" s="74">
        <f>+GETPIVOTDATA("XLL4",'langlon (2016)'!$A$3,"MA_HT","LUK","MA_QH","DBV")</f>
        <v>0</v>
      </c>
      <c r="AF9" s="74">
        <f>+GETPIVOTDATA("XLL4",'langlon (2016)'!$A$3,"MA_HT","LUK","MA_QH","DVH")</f>
        <v>0</v>
      </c>
      <c r="AG9" s="74">
        <f>+GETPIVOTDATA("XLL4",'langlon (2016)'!$A$3,"MA_HT","LUK","MA_QH","DYT")</f>
        <v>0</v>
      </c>
      <c r="AH9" s="74">
        <f>+GETPIVOTDATA("XLL4",'langlon (2016)'!$A$3,"MA_HT","LUK","MA_QH","DGD")</f>
        <v>0</v>
      </c>
      <c r="AI9" s="74">
        <f>+GETPIVOTDATA("XLL4",'langlon (2016)'!$A$3,"MA_HT","LUK","MA_QH","DTT")</f>
        <v>0</v>
      </c>
      <c r="AJ9" s="74">
        <f>+GETPIVOTDATA("XLL4",'langlon (2016)'!$A$3,"MA_HT","LUK","MA_QH","NCK")</f>
        <v>0</v>
      </c>
      <c r="AK9" s="74">
        <f>+GETPIVOTDATA("XLL4",'langlon (2016)'!$A$3,"MA_HT","LUK","MA_QH","DXH")</f>
        <v>0</v>
      </c>
      <c r="AL9" s="74">
        <f>+GETPIVOTDATA("XLL4",'langlon (2016)'!$A$3,"MA_HT","LUK","MA_QH","DCH")</f>
        <v>0</v>
      </c>
      <c r="AM9" s="74">
        <f>+GETPIVOTDATA("XLL4",'langlon (2016)'!$A$3,"MA_HT","LUK","MA_QH","DKG")</f>
        <v>0</v>
      </c>
      <c r="AN9" s="74">
        <f>+GETPIVOTDATA("XLL4",'langlon (2016)'!$A$3,"MA_HT","LUK","MA_QH","DDT")</f>
        <v>0</v>
      </c>
      <c r="AO9" s="74">
        <f>+GETPIVOTDATA("XLL4",'langlon (2016)'!$A$3,"MA_HT","LUK","MA_QH","DDL")</f>
        <v>0</v>
      </c>
      <c r="AP9" s="74">
        <f>+GETPIVOTDATA("XLL4",'langlon (2016)'!$A$3,"MA_HT","LUK","MA_QH","DRA")</f>
        <v>0</v>
      </c>
      <c r="AQ9" s="74">
        <f>+GETPIVOTDATA("XLL4",'langlon (2016)'!$A$3,"MA_HT","LUK","MA_QH","ONT")</f>
        <v>0</v>
      </c>
      <c r="AR9" s="74">
        <f>+GETPIVOTDATA("XLL4",'langlon (2016)'!$A$3,"MA_HT","LUK","MA_QH","ODT")</f>
        <v>0</v>
      </c>
      <c r="AS9" s="74">
        <f>+GETPIVOTDATA("XLL4",'langlon (2016)'!$A$3,"MA_HT","LUK","MA_QH","TSC")</f>
        <v>0</v>
      </c>
      <c r="AT9" s="74">
        <f>+GETPIVOTDATA("XLL4",'langlon (2016)'!$A$3,"MA_HT","LUK","MA_QH","DTS")</f>
        <v>0</v>
      </c>
      <c r="AU9" s="74">
        <f>+GETPIVOTDATA("XLL4",'langlon (2016)'!$A$3,"MA_HT","LUK","MA_QH","DNG")</f>
        <v>0</v>
      </c>
      <c r="AV9" s="74">
        <f>+GETPIVOTDATA("XLL4",'langlon (2016)'!$A$3,"MA_HT","LUK","MA_QH","TON")</f>
        <v>0</v>
      </c>
      <c r="AW9" s="74">
        <f>+GETPIVOTDATA("XLL4",'langlon (2016)'!$A$3,"MA_HT","LUK","MA_QH","NTD")</f>
        <v>0</v>
      </c>
      <c r="AX9" s="74">
        <f>+GETPIVOTDATA("XLL4",'langlon (2016)'!$A$3,"MA_HT","LUK","MA_QH","SKX")</f>
        <v>0</v>
      </c>
      <c r="AY9" s="74">
        <f>+GETPIVOTDATA("XLL4",'langlon (2016)'!$A$3,"MA_HT","LUK","MA_QH","DSH")</f>
        <v>0</v>
      </c>
      <c r="AZ9" s="74">
        <f>+GETPIVOTDATA("XLL4",'langlon (2016)'!$A$3,"MA_HT","LUK","MA_QH","DKV")</f>
        <v>0</v>
      </c>
      <c r="BA9" s="139">
        <f>+GETPIVOTDATA("XLL4",'langlon (2016)'!$A$3,"MA_HT","LUK","MA_QH","TIN")</f>
        <v>0</v>
      </c>
      <c r="BB9" s="74">
        <f>+GETPIVOTDATA("XLL4",'langlon (2016)'!$A$3,"MA_HT","LUK","MA_QH","SON")</f>
        <v>0</v>
      </c>
      <c r="BC9" s="74">
        <f>+GETPIVOTDATA("XLL4",'langlon (2016)'!$A$3,"MA_HT","LUK","MA_QH","MNC")</f>
        <v>0</v>
      </c>
      <c r="BD9" s="74">
        <f>+GETPIVOTDATA("XLL4",'langlon (2016)'!$A$3,"MA_HT","LUK","MA_QH","PNK")</f>
        <v>0</v>
      </c>
      <c r="BE9" s="102">
        <f>+GETPIVOTDATA("XLL4",'langlon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+GETPIVOTDATA("XLL4",'langlon (2016)'!$A$3,"MA_HT","LUN","MA_QH","LUC")</f>
        <v>0</v>
      </c>
      <c r="H10" s="74">
        <f>+GETPIVOTDATA("XLL4",'langlon (2016)'!$A$3,"MA_HT","LUN","MA_QH","LUK")</f>
        <v>0</v>
      </c>
      <c r="I10" s="100" t="e">
        <f>$D10-$BF10</f>
        <v>#REF!</v>
      </c>
      <c r="J10" s="74">
        <f>+GETPIVOTDATA("XLL4",'langlon (2016)'!$A$3,"MA_HT","LUN","MA_QH","HNK")</f>
        <v>0</v>
      </c>
      <c r="K10" s="74">
        <f>+GETPIVOTDATA("XLL4",'langlon (2016)'!$A$3,"MA_HT","LUN","MA_QH","CLN")</f>
        <v>0</v>
      </c>
      <c r="L10" s="74">
        <f>+GETPIVOTDATA("XLL4",'langlon (2016)'!$A$3,"MA_HT","LUN","MA_QH","RSX")</f>
        <v>0</v>
      </c>
      <c r="M10" s="74">
        <f>+GETPIVOTDATA("XLL4",'langlon (2016)'!$A$3,"MA_HT","LUN","MA_QH","RPH")</f>
        <v>0</v>
      </c>
      <c r="N10" s="74">
        <f>+GETPIVOTDATA("XLL4",'langlon (2016)'!$A$3,"MA_HT","LUN","MA_QH","RDD")</f>
        <v>0</v>
      </c>
      <c r="O10" s="74">
        <f>+GETPIVOTDATA("XLL4",'langlon (2016)'!$A$3,"MA_HT","LUN","MA_QH","NTS")</f>
        <v>0</v>
      </c>
      <c r="P10" s="74">
        <f>+GETPIVOTDATA("XLL4",'langlon (2016)'!$A$3,"MA_HT","LUN","MA_QH","LMU")</f>
        <v>0</v>
      </c>
      <c r="Q10" s="74">
        <f>+GETPIVOTDATA("XLL4",'langlon (2016)'!$A$3,"MA_HT","LUN","MA_QH","NKH")</f>
        <v>0</v>
      </c>
      <c r="R10" s="72">
        <f t="shared" si="2"/>
        <v>0</v>
      </c>
      <c r="S10" s="74">
        <f>+GETPIVOTDATA("XLL4",'langlon (2016)'!$A$3,"MA_HT","LUN","MA_QH","CQP")</f>
        <v>0</v>
      </c>
      <c r="T10" s="74">
        <f>+GETPIVOTDATA("XLL4",'langlon (2016)'!$A$3,"MA_HT","LUN","MA_QH","CAN")</f>
        <v>0</v>
      </c>
      <c r="U10" s="74">
        <f>+GETPIVOTDATA("XLL4",'langlon (2016)'!$A$3,"MA_HT","LUN","MA_QH","SKK")</f>
        <v>0</v>
      </c>
      <c r="V10" s="74">
        <f>+GETPIVOTDATA("XLL4",'langlon (2016)'!$A$3,"MA_HT","LUN","MA_QH","SKT")</f>
        <v>0</v>
      </c>
      <c r="W10" s="74">
        <f>+GETPIVOTDATA("XLL4",'langlon (2016)'!$A$3,"MA_HT","LUN","MA_QH","SKN")</f>
        <v>0</v>
      </c>
      <c r="X10" s="74">
        <f>+GETPIVOTDATA("XLL4",'langlon (2016)'!$A$3,"MA_HT","LUN","MA_QH","TMD")</f>
        <v>0</v>
      </c>
      <c r="Y10" s="74">
        <f>+GETPIVOTDATA("XLL4",'langlon (2016)'!$A$3,"MA_HT","LUN","MA_QH","SKC")</f>
        <v>0</v>
      </c>
      <c r="Z10" s="74">
        <f>+GETPIVOTDATA("XLL4",'langlon (2016)'!$A$3,"MA_HT","LUN","MA_QH","SKS")</f>
        <v>0</v>
      </c>
      <c r="AA10" s="64">
        <f t="shared" si="4"/>
        <v>0</v>
      </c>
      <c r="AB10" s="74">
        <f>+GETPIVOTDATA("XLL4",'langlon (2016)'!$A$3,"MA_HT","LUN","MA_QH","DGT")</f>
        <v>0</v>
      </c>
      <c r="AC10" s="74">
        <f>+GETPIVOTDATA("XLL4",'langlon (2016)'!$A$3,"MA_HT","LUN","MA_QH","DTL")</f>
        <v>0</v>
      </c>
      <c r="AD10" s="74">
        <f>+GETPIVOTDATA("XLL4",'langlon (2016)'!$A$3,"MA_HT","LUN","MA_QH","DNL")</f>
        <v>0</v>
      </c>
      <c r="AE10" s="74">
        <f>+GETPIVOTDATA("XLL4",'langlon (2016)'!$A$3,"MA_HT","LUN","MA_QH","DBV")</f>
        <v>0</v>
      </c>
      <c r="AF10" s="74">
        <f>+GETPIVOTDATA("XLL4",'langlon (2016)'!$A$3,"MA_HT","LUN","MA_QH","DVH")</f>
        <v>0</v>
      </c>
      <c r="AG10" s="74">
        <f>+GETPIVOTDATA("XLL4",'langlon (2016)'!$A$3,"MA_HT","LUN","MA_QH","DYT")</f>
        <v>0</v>
      </c>
      <c r="AH10" s="74">
        <f>+GETPIVOTDATA("XLL4",'langlon (2016)'!$A$3,"MA_HT","LUN","MA_QH","DGD")</f>
        <v>0</v>
      </c>
      <c r="AI10" s="74">
        <f>+GETPIVOTDATA("XLL4",'langlon (2016)'!$A$3,"MA_HT","LUN","MA_QH","DTT")</f>
        <v>0</v>
      </c>
      <c r="AJ10" s="74">
        <f>+GETPIVOTDATA("XLL4",'langlon (2016)'!$A$3,"MA_HT","LUN","MA_QH","NCK")</f>
        <v>0</v>
      </c>
      <c r="AK10" s="74">
        <f>+GETPIVOTDATA("XLL4",'langlon (2016)'!$A$3,"MA_HT","LUN","MA_QH","DXH")</f>
        <v>0</v>
      </c>
      <c r="AL10" s="74">
        <f>+GETPIVOTDATA("XLL4",'langlon (2016)'!$A$3,"MA_HT","LUN","MA_QH","DCH")</f>
        <v>0</v>
      </c>
      <c r="AM10" s="74">
        <f>+GETPIVOTDATA("XLL4",'langlon (2016)'!$A$3,"MA_HT","LUN","MA_QH","DKG")</f>
        <v>0</v>
      </c>
      <c r="AN10" s="74">
        <f>+GETPIVOTDATA("XLL4",'langlon (2016)'!$A$3,"MA_HT","LUN","MA_QH","DDT")</f>
        <v>0</v>
      </c>
      <c r="AO10" s="74">
        <f>+GETPIVOTDATA("XLL4",'langlon (2016)'!$A$3,"MA_HT","LUN","MA_QH","DDL")</f>
        <v>0</v>
      </c>
      <c r="AP10" s="74">
        <f>+GETPIVOTDATA("XLL4",'langlon (2016)'!$A$3,"MA_HT","LUN","MA_QH","DRA")</f>
        <v>0</v>
      </c>
      <c r="AQ10" s="74">
        <f>+GETPIVOTDATA("XLL4",'langlon (2016)'!$A$3,"MA_HT","LUN","MA_QH","ONT")</f>
        <v>0</v>
      </c>
      <c r="AR10" s="74">
        <f>+GETPIVOTDATA("XLL4",'langlon (2016)'!$A$3,"MA_HT","LUN","MA_QH","ODT")</f>
        <v>0</v>
      </c>
      <c r="AS10" s="74">
        <f>+GETPIVOTDATA("XLL4",'langlon (2016)'!$A$3,"MA_HT","LUN","MA_QH","TSC")</f>
        <v>0</v>
      </c>
      <c r="AT10" s="74">
        <f>+GETPIVOTDATA("XLL4",'langlon (2016)'!$A$3,"MA_HT","LUN","MA_QH","DTS")</f>
        <v>0</v>
      </c>
      <c r="AU10" s="74">
        <f>+GETPIVOTDATA("XLL4",'langlon (2016)'!$A$3,"MA_HT","LUN","MA_QH","DNG")</f>
        <v>0</v>
      </c>
      <c r="AV10" s="74">
        <f>+GETPIVOTDATA("XLL4",'langlon (2016)'!$A$3,"MA_HT","LUN","MA_QH","TON")</f>
        <v>0</v>
      </c>
      <c r="AW10" s="74">
        <f>+GETPIVOTDATA("XLL4",'langlon (2016)'!$A$3,"MA_HT","LUN","MA_QH","NTD")</f>
        <v>0</v>
      </c>
      <c r="AX10" s="74">
        <f>+GETPIVOTDATA("XLL4",'langlon (2016)'!$A$3,"MA_HT","LUN","MA_QH","SKX")</f>
        <v>0</v>
      </c>
      <c r="AY10" s="74">
        <f>+GETPIVOTDATA("XLL4",'langlon (2016)'!$A$3,"MA_HT","LUN","MA_QH","DSH")</f>
        <v>0</v>
      </c>
      <c r="AZ10" s="74">
        <f>+GETPIVOTDATA("XLL4",'langlon (2016)'!$A$3,"MA_HT","LUN","MA_QH","DKV")</f>
        <v>0</v>
      </c>
      <c r="BA10" s="139">
        <f>+GETPIVOTDATA("XLL4",'langlon (2016)'!$A$3,"MA_HT","LUN","MA_QH","TIN")</f>
        <v>0</v>
      </c>
      <c r="BB10" s="74">
        <f>+GETPIVOTDATA("XLL4",'langlon (2016)'!$A$3,"MA_HT","LUN","MA_QH","SON")</f>
        <v>0</v>
      </c>
      <c r="BC10" s="74">
        <f>+GETPIVOTDATA("XLL4",'langlon (2016)'!$A$3,"MA_HT","LUN","MA_QH","MNC")</f>
        <v>0</v>
      </c>
      <c r="BD10" s="74">
        <f>+GETPIVOTDATA("XLL4",'langlon (2016)'!$A$3,"MA_HT","LUN","MA_QH","PNK")</f>
        <v>0</v>
      </c>
      <c r="BE10" s="102">
        <f>+GETPIVOTDATA("XLL4",'langlon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+GETPIVOTDATA("XLL4",'langlon (2016)'!$A$3,"MA_HT","HNK","MA_QH","LUC")</f>
        <v>0</v>
      </c>
      <c r="H11" s="35">
        <f>+GETPIVOTDATA("XLL4",'langlon (2016)'!$A$3,"MA_HT","HNK","MA_QH","LUK")</f>
        <v>0</v>
      </c>
      <c r="I11" s="35">
        <f>+GETPIVOTDATA("XLL4",'langlon (2016)'!$A$3,"MA_HT","HNK","MA_QH","LUN")</f>
        <v>0</v>
      </c>
      <c r="J11" s="99" t="e">
        <f>$D11-$BF11</f>
        <v>#REF!</v>
      </c>
      <c r="K11" s="35">
        <f>+GETPIVOTDATA("XLL4",'langlon (2016)'!$A$3,"MA_HT","HNK","MA_QH","CLN")</f>
        <v>0</v>
      </c>
      <c r="L11" s="35">
        <f>+GETPIVOTDATA("XLL4",'langlon (2016)'!$A$3,"MA_HT","HNK","MA_QH","RSX")</f>
        <v>0</v>
      </c>
      <c r="M11" s="35">
        <f>+GETPIVOTDATA("XLL4",'langlon (2016)'!$A$3,"MA_HT","HNK","MA_QH","RPH")</f>
        <v>0</v>
      </c>
      <c r="N11" s="35">
        <f>+GETPIVOTDATA("XLL4",'langlon (2016)'!$A$3,"MA_HT","HNK","MA_QH","RDD")</f>
        <v>0</v>
      </c>
      <c r="O11" s="35">
        <f>+GETPIVOTDATA("XLL4",'langlon (2016)'!$A$3,"MA_HT","HNK","MA_QH","NTS")</f>
        <v>0</v>
      </c>
      <c r="P11" s="35">
        <f>+GETPIVOTDATA("XLL4",'langlon (2016)'!$A$3,"MA_HT","HNK","MA_QH","LMU")</f>
        <v>0</v>
      </c>
      <c r="Q11" s="35">
        <f>+GETPIVOTDATA("XLL4",'langlon (2016)'!$A$3,"MA_HT","HNK","MA_QH","NKH")</f>
        <v>0</v>
      </c>
      <c r="R11" s="63">
        <f t="shared" si="2"/>
        <v>0</v>
      </c>
      <c r="S11" s="35">
        <f>+GETPIVOTDATA("XLL4",'langlon (2016)'!$A$3,"MA_HT","HNK","MA_QH","CQP")</f>
        <v>0</v>
      </c>
      <c r="T11" s="35">
        <f>+GETPIVOTDATA("XLL4",'langlon (2016)'!$A$3,"MA_HT","HNK","MA_QH","CAN")</f>
        <v>0</v>
      </c>
      <c r="U11" s="35">
        <f>+GETPIVOTDATA("XLL4",'langlon (2016)'!$A$3,"MA_HT","HNK","MA_QH","SKK")</f>
        <v>0</v>
      </c>
      <c r="V11" s="35">
        <f>+GETPIVOTDATA("XLL4",'langlon (2016)'!$A$3,"MA_HT","HNK","MA_QH","SKT")</f>
        <v>0</v>
      </c>
      <c r="W11" s="35">
        <f>+GETPIVOTDATA("XLL4",'langlon (2016)'!$A$3,"MA_HT","HNK","MA_QH","SKN")</f>
        <v>0</v>
      </c>
      <c r="X11" s="35">
        <f>+GETPIVOTDATA("XLL4",'langlon (2016)'!$A$3,"MA_HT","HNK","MA_QH","TMD")</f>
        <v>0</v>
      </c>
      <c r="Y11" s="35">
        <f>+GETPIVOTDATA("XLL4",'langlon (2016)'!$A$3,"MA_HT","HNK","MA_QH","SKC")</f>
        <v>0</v>
      </c>
      <c r="Z11" s="35">
        <f>+GETPIVOTDATA("XLL4",'langlon (2016)'!$A$3,"MA_HT","HNK","MA_QH","SKS")</f>
        <v>0</v>
      </c>
      <c r="AA11" s="64">
        <f t="shared" si="4"/>
        <v>0</v>
      </c>
      <c r="AB11" s="35">
        <f>+GETPIVOTDATA("XLL4",'langlon (2016)'!$A$3,"MA_HT","HNK","MA_QH","DGT")</f>
        <v>0</v>
      </c>
      <c r="AC11" s="35">
        <f>+GETPIVOTDATA("XLL4",'langlon (2016)'!$A$3,"MA_HT","HNK","MA_QH","DTL")</f>
        <v>0</v>
      </c>
      <c r="AD11" s="35">
        <f>+GETPIVOTDATA("XLL4",'langlon (2016)'!$A$3,"MA_HT","HNK","MA_QH","DNL")</f>
        <v>0</v>
      </c>
      <c r="AE11" s="35">
        <f>+GETPIVOTDATA("XLL4",'langlon (2016)'!$A$3,"MA_HT","HNK","MA_QH","DBV")</f>
        <v>0</v>
      </c>
      <c r="AF11" s="35">
        <f>+GETPIVOTDATA("XLL4",'langlon (2016)'!$A$3,"MA_HT","HNK","MA_QH","DVH")</f>
        <v>0</v>
      </c>
      <c r="AG11" s="35">
        <f>+GETPIVOTDATA("XLL4",'langlon (2016)'!$A$3,"MA_HT","HNK","MA_QH","DYT")</f>
        <v>0</v>
      </c>
      <c r="AH11" s="35">
        <f>+GETPIVOTDATA("XLL4",'langlon (2016)'!$A$3,"MA_HT","HNK","MA_QH","DGD")</f>
        <v>0</v>
      </c>
      <c r="AI11" s="35">
        <f>+GETPIVOTDATA("XLL4",'langlon (2016)'!$A$3,"MA_HT","HNK","MA_QH","DTT")</f>
        <v>0</v>
      </c>
      <c r="AJ11" s="35">
        <f>+GETPIVOTDATA("XLL4",'langlon (2016)'!$A$3,"MA_HT","HNK","MA_QH","NCK")</f>
        <v>0</v>
      </c>
      <c r="AK11" s="35">
        <f>+GETPIVOTDATA("XLL4",'langlon (2016)'!$A$3,"MA_HT","HNK","MA_QH","DXH")</f>
        <v>0</v>
      </c>
      <c r="AL11" s="35">
        <f>+GETPIVOTDATA("XLL4",'langlon (2016)'!$A$3,"MA_HT","HNK","MA_QH","DCH")</f>
        <v>0</v>
      </c>
      <c r="AM11" s="35">
        <f>+GETPIVOTDATA("XLL4",'langlon (2016)'!$A$3,"MA_HT","HNK","MA_QH","DKG")</f>
        <v>0</v>
      </c>
      <c r="AN11" s="35">
        <f>+GETPIVOTDATA("XLL4",'langlon (2016)'!$A$3,"MA_HT","HNK","MA_QH","DDT")</f>
        <v>0</v>
      </c>
      <c r="AO11" s="35">
        <f>+GETPIVOTDATA("XLL4",'langlon (2016)'!$A$3,"MA_HT","HNK","MA_QH","DDL")</f>
        <v>0</v>
      </c>
      <c r="AP11" s="35">
        <f>+GETPIVOTDATA("XLL4",'langlon (2016)'!$A$3,"MA_HT","HNK","MA_QH","DRA")</f>
        <v>0</v>
      </c>
      <c r="AQ11" s="35">
        <f>+GETPIVOTDATA("XLL4",'langlon (2016)'!$A$3,"MA_HT","HNK","MA_QH","ONT")</f>
        <v>0</v>
      </c>
      <c r="AR11" s="35">
        <f>+GETPIVOTDATA("XLL4",'langlon (2016)'!$A$3,"MA_HT","HNK","MA_QH","ODT")</f>
        <v>0</v>
      </c>
      <c r="AS11" s="35">
        <f>+GETPIVOTDATA("XLL4",'langlon (2016)'!$A$3,"MA_HT","HNK","MA_QH","TSC")</f>
        <v>0</v>
      </c>
      <c r="AT11" s="35">
        <f>+GETPIVOTDATA("XLL4",'langlon (2016)'!$A$3,"MA_HT","HNK","MA_QH","DTS")</f>
        <v>0</v>
      </c>
      <c r="AU11" s="35">
        <f>+GETPIVOTDATA("XLL4",'langlon (2016)'!$A$3,"MA_HT","HNK","MA_QH","DNG")</f>
        <v>0</v>
      </c>
      <c r="AV11" s="35">
        <f>+GETPIVOTDATA("XLL4",'langlon (2016)'!$A$3,"MA_HT","HNK","MA_QH","TON")</f>
        <v>0</v>
      </c>
      <c r="AW11" s="35">
        <f>+GETPIVOTDATA("XLL4",'langlon (2016)'!$A$3,"MA_HT","HNK","MA_QH","NTD")</f>
        <v>0</v>
      </c>
      <c r="AX11" s="35">
        <f>+GETPIVOTDATA("XLL4",'langlon (2016)'!$A$3,"MA_HT","HNK","MA_QH","SKX")</f>
        <v>0</v>
      </c>
      <c r="AY11" s="35">
        <f>+GETPIVOTDATA("XLL4",'langlon (2016)'!$A$3,"MA_HT","HNK","MA_QH","DSH")</f>
        <v>0</v>
      </c>
      <c r="AZ11" s="35">
        <f>+GETPIVOTDATA("XLL4",'langlon (2016)'!$A$3,"MA_HT","HNK","MA_QH","DKV")</f>
        <v>0</v>
      </c>
      <c r="BA11" s="140">
        <f>+GETPIVOTDATA("XLL4",'langlon (2016)'!$A$3,"MA_HT","HNK","MA_QH","TIN")</f>
        <v>0</v>
      </c>
      <c r="BB11" s="74">
        <f>+GETPIVOTDATA("XLL4",'langlon (2016)'!$A$3,"MA_HT","HNK","MA_QH","SON")</f>
        <v>0</v>
      </c>
      <c r="BC11" s="74">
        <f>+GETPIVOTDATA("XLL4",'langlon (2016)'!$A$3,"MA_HT","HNK","MA_QH","MNC")</f>
        <v>0</v>
      </c>
      <c r="BD11" s="35">
        <f>+GETPIVOTDATA("XLL4",'langlon (2016)'!$A$3,"MA_HT","HNK","MA_QH","PNK")</f>
        <v>0</v>
      </c>
      <c r="BE11" s="58">
        <f>+GETPIVOTDATA("XLL4",'langlon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+GETPIVOTDATA("XLL4",'langlon (2016)'!$A$3,"MA_HT","CLN","MA_QH","LUC")</f>
        <v>0</v>
      </c>
      <c r="H12" s="35">
        <f>+GETPIVOTDATA("XLL4",'langlon (2016)'!$A$3,"MA_HT","CLN","MA_QH","LUK")</f>
        <v>0</v>
      </c>
      <c r="I12" s="35">
        <f>+GETPIVOTDATA("XLL4",'langlon (2016)'!$A$3,"MA_HT","CLN","MA_QH","LUN")</f>
        <v>0</v>
      </c>
      <c r="J12" s="35">
        <f>+GETPIVOTDATA("XLL4",'langlon (2016)'!$A$3,"MA_HT","CLN","MA_QH","HNK")</f>
        <v>0</v>
      </c>
      <c r="K12" s="99" t="e">
        <f>$D12-$BF12</f>
        <v>#REF!</v>
      </c>
      <c r="L12" s="35">
        <f>+GETPIVOTDATA("XLL4",'langlon (2016)'!$A$3,"MA_HT","CLN","MA_QH","RSX")</f>
        <v>0</v>
      </c>
      <c r="M12" s="35">
        <f>+GETPIVOTDATA("XLL4",'langlon (2016)'!$A$3,"MA_HT","CLN","MA_QH","RPH")</f>
        <v>0</v>
      </c>
      <c r="N12" s="35">
        <f>+GETPIVOTDATA("XLL4",'langlon (2016)'!$A$3,"MA_HT","CLN","MA_QH","RDD")</f>
        <v>0</v>
      </c>
      <c r="O12" s="35">
        <f>+GETPIVOTDATA("XLL4",'langlon (2016)'!$A$3,"MA_HT","CLN","MA_QH","NTS")</f>
        <v>0</v>
      </c>
      <c r="P12" s="35">
        <f>+GETPIVOTDATA("XLL4",'langlon (2016)'!$A$3,"MA_HT","CLN","MA_QH","LMU")</f>
        <v>0</v>
      </c>
      <c r="Q12" s="35">
        <f>+GETPIVOTDATA("XLL4",'langlon (2016)'!$A$3,"MA_HT","CLN","MA_QH","NKH")</f>
        <v>0</v>
      </c>
      <c r="R12" s="63">
        <f t="shared" si="2"/>
        <v>0</v>
      </c>
      <c r="S12" s="35">
        <f>+GETPIVOTDATA("XLL4",'langlon (2016)'!$A$3,"MA_HT","CLN","MA_QH","CQP")</f>
        <v>0</v>
      </c>
      <c r="T12" s="35">
        <f>+GETPIVOTDATA("XLL4",'langlon (2016)'!$A$3,"MA_HT","CLN","MA_QH","CAN")</f>
        <v>0</v>
      </c>
      <c r="U12" s="35">
        <f>+GETPIVOTDATA("XLL4",'langlon (2016)'!$A$3,"MA_HT","CLN","MA_QH","SKK")</f>
        <v>0</v>
      </c>
      <c r="V12" s="35">
        <f>+GETPIVOTDATA("XLL4",'langlon (2016)'!$A$3,"MA_HT","CLN","MA_QH","SKT")</f>
        <v>0</v>
      </c>
      <c r="W12" s="35">
        <f>+GETPIVOTDATA("XLL4",'langlon (2016)'!$A$3,"MA_HT","CLN","MA_QH","SKN")</f>
        <v>0</v>
      </c>
      <c r="X12" s="35">
        <f>+GETPIVOTDATA("XLL4",'langlon (2016)'!$A$3,"MA_HT","CLN","MA_QH","TMD")</f>
        <v>0</v>
      </c>
      <c r="Y12" s="35">
        <f>+GETPIVOTDATA("XLL4",'langlon (2016)'!$A$3,"MA_HT","CLN","MA_QH","SKC")</f>
        <v>0</v>
      </c>
      <c r="Z12" s="35">
        <f>+GETPIVOTDATA("XLL4",'langlon (2016)'!$A$3,"MA_HT","CLN","MA_QH","SKS")</f>
        <v>0</v>
      </c>
      <c r="AA12" s="64">
        <f t="shared" si="4"/>
        <v>0</v>
      </c>
      <c r="AB12" s="35">
        <f>+GETPIVOTDATA("XLL4",'langlon (2016)'!$A$3,"MA_HT","CLN","MA_QH","DGT")</f>
        <v>0</v>
      </c>
      <c r="AC12" s="35">
        <f>+GETPIVOTDATA("XLL4",'langlon (2016)'!$A$3,"MA_HT","CLN","MA_QH","DTL")</f>
        <v>0</v>
      </c>
      <c r="AD12" s="35">
        <f>+GETPIVOTDATA("XLL4",'langlon (2016)'!$A$3,"MA_HT","CLN","MA_QH","DNL")</f>
        <v>0</v>
      </c>
      <c r="AE12" s="35">
        <f>+GETPIVOTDATA("XLL4",'langlon (2016)'!$A$3,"MA_HT","CLN","MA_QH","DBV")</f>
        <v>0</v>
      </c>
      <c r="AF12" s="35">
        <f>+GETPIVOTDATA("XLL4",'langlon (2016)'!$A$3,"MA_HT","CLN","MA_QH","DVH")</f>
        <v>0</v>
      </c>
      <c r="AG12" s="35">
        <f>+GETPIVOTDATA("XLL4",'langlon (2016)'!$A$3,"MA_HT","CLN","MA_QH","DYT")</f>
        <v>0</v>
      </c>
      <c r="AH12" s="35">
        <f>+GETPIVOTDATA("XLL4",'langlon (2016)'!$A$3,"MA_HT","CLN","MA_QH","DGD")</f>
        <v>0</v>
      </c>
      <c r="AI12" s="35">
        <f>+GETPIVOTDATA("XLL4",'langlon (2016)'!$A$3,"MA_HT","CLN","MA_QH","DTT")</f>
        <v>0</v>
      </c>
      <c r="AJ12" s="35">
        <f>+GETPIVOTDATA("XLL4",'langlon (2016)'!$A$3,"MA_HT","CLN","MA_QH","NCK")</f>
        <v>0</v>
      </c>
      <c r="AK12" s="35">
        <f>+GETPIVOTDATA("XLL4",'langlon (2016)'!$A$3,"MA_HT","CLN","MA_QH","DXH")</f>
        <v>0</v>
      </c>
      <c r="AL12" s="35">
        <f>+GETPIVOTDATA("XLL4",'langlon (2016)'!$A$3,"MA_HT","CLN","MA_QH","DCH")</f>
        <v>0</v>
      </c>
      <c r="AM12" s="35">
        <f>+GETPIVOTDATA("XLL4",'langlon (2016)'!$A$3,"MA_HT","CLN","MA_QH","DKG")</f>
        <v>0</v>
      </c>
      <c r="AN12" s="35">
        <f>+GETPIVOTDATA("XLL4",'langlon (2016)'!$A$3,"MA_HT","CLN","MA_QH","DDT")</f>
        <v>0</v>
      </c>
      <c r="AO12" s="35">
        <f>+GETPIVOTDATA("XLL4",'langlon (2016)'!$A$3,"MA_HT","CLN","MA_QH","DDL")</f>
        <v>0</v>
      </c>
      <c r="AP12" s="35">
        <f>+GETPIVOTDATA("XLL4",'langlon (2016)'!$A$3,"MA_HT","CLN","MA_QH","DRA")</f>
        <v>0</v>
      </c>
      <c r="AQ12" s="35">
        <f>+GETPIVOTDATA("XLL4",'langlon (2016)'!$A$3,"MA_HT","CLN","MA_QH","ONT")</f>
        <v>0</v>
      </c>
      <c r="AR12" s="35">
        <f>+GETPIVOTDATA("XLL4",'langlon (2016)'!$A$3,"MA_HT","CLN","MA_QH","ODT")</f>
        <v>0</v>
      </c>
      <c r="AS12" s="35">
        <f>+GETPIVOTDATA("XLL4",'langlon (2016)'!$A$3,"MA_HT","CLN","MA_QH","TSC")</f>
        <v>0</v>
      </c>
      <c r="AT12" s="35">
        <f>+GETPIVOTDATA("XLL4",'langlon (2016)'!$A$3,"MA_HT","CLN","MA_QH","DTS")</f>
        <v>0</v>
      </c>
      <c r="AU12" s="35">
        <f>+GETPIVOTDATA("XLL4",'langlon (2016)'!$A$3,"MA_HT","CLN","MA_QH","DNG")</f>
        <v>0</v>
      </c>
      <c r="AV12" s="35">
        <f>+GETPIVOTDATA("XLL4",'langlon (2016)'!$A$3,"MA_HT","CLN","MA_QH","TON")</f>
        <v>0</v>
      </c>
      <c r="AW12" s="35">
        <f>+GETPIVOTDATA("XLL4",'langlon (2016)'!$A$3,"MA_HT","CLN","MA_QH","NTD")</f>
        <v>0</v>
      </c>
      <c r="AX12" s="35">
        <f>+GETPIVOTDATA("XLL4",'langlon (2016)'!$A$3,"MA_HT","CLN","MA_QH","SKX")</f>
        <v>0</v>
      </c>
      <c r="AY12" s="35">
        <f>+GETPIVOTDATA("XLL4",'langlon (2016)'!$A$3,"MA_HT","CLN","MA_QH","DSH")</f>
        <v>0</v>
      </c>
      <c r="AZ12" s="35">
        <f>+GETPIVOTDATA("XLL4",'langlon (2016)'!$A$3,"MA_HT","CLN","MA_QH","DKV")</f>
        <v>0</v>
      </c>
      <c r="BA12" s="140">
        <f>+GETPIVOTDATA("XLL4",'langlon (2016)'!$A$3,"MA_HT","CLN","MA_QH","TIN")</f>
        <v>0</v>
      </c>
      <c r="BB12" s="74">
        <f>+GETPIVOTDATA("XLL4",'langlon (2016)'!$A$3,"MA_HT","CLN","MA_QH","SON")</f>
        <v>0</v>
      </c>
      <c r="BC12" s="74">
        <f>+GETPIVOTDATA("XLL4",'langlon (2016)'!$A$3,"MA_HT","CLN","MA_QH","MNC")</f>
        <v>0</v>
      </c>
      <c r="BD12" s="35">
        <f>+GETPIVOTDATA("XLL4",'langlon (2016)'!$A$3,"MA_HT","CLN","MA_QH","PNK")</f>
        <v>0</v>
      </c>
      <c r="BE12" s="58">
        <f>+GETPIVOTDATA("XLL4",'langlon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+GETPIVOTDATA("XLL4",'langlon (2016)'!$A$3,"MA_HT","RSX","MA_QH","LUC")</f>
        <v>0</v>
      </c>
      <c r="H13" s="35">
        <f>+GETPIVOTDATA("XLL4",'langlon (2016)'!$A$3,"MA_HT","RSX","MA_QH","LUK")</f>
        <v>0</v>
      </c>
      <c r="I13" s="35">
        <f>+GETPIVOTDATA("XLL4",'langlon (2016)'!$A$3,"MA_HT","RSX","MA_QH","LUN")</f>
        <v>0</v>
      </c>
      <c r="J13" s="35">
        <f>+GETPIVOTDATA("XLL4",'langlon (2016)'!$A$3,"MA_HT","RSX","MA_QH","HNK")</f>
        <v>0</v>
      </c>
      <c r="K13" s="35">
        <f>+GETPIVOTDATA("XLL4",'langlon (2016)'!$A$3,"MA_HT","RSX","MA_QH","CLN")</f>
        <v>0</v>
      </c>
      <c r="L13" s="99" t="e">
        <f>$D13-$BF13</f>
        <v>#REF!</v>
      </c>
      <c r="M13" s="35">
        <f>+GETPIVOTDATA("XLL4",'langlon (2016)'!$A$3,"MA_HT","RSX","MA_QH","RPH")</f>
        <v>0</v>
      </c>
      <c r="N13" s="35">
        <f>+GETPIVOTDATA("XLL4",'langlon (2016)'!$A$3,"MA_HT","RSX","MA_QH","RDD")</f>
        <v>0</v>
      </c>
      <c r="O13" s="35">
        <f>+GETPIVOTDATA("XLL4",'langlon (2016)'!$A$3,"MA_HT","RSX","MA_QH","NTS")</f>
        <v>0</v>
      </c>
      <c r="P13" s="35">
        <f>+GETPIVOTDATA("XLL4",'langlon (2016)'!$A$3,"MA_HT","RSX","MA_QH","LMU")</f>
        <v>0</v>
      </c>
      <c r="Q13" s="35">
        <f>+GETPIVOTDATA("XLL4",'langlon (2016)'!$A$3,"MA_HT","RSX","MA_QH","NKH")</f>
        <v>0</v>
      </c>
      <c r="R13" s="63">
        <f t="shared" si="2"/>
        <v>0</v>
      </c>
      <c r="S13" s="35">
        <f>+GETPIVOTDATA("XLL4",'langlon (2016)'!$A$3,"MA_HT","RSX","MA_QH","CQP")</f>
        <v>0</v>
      </c>
      <c r="T13" s="35">
        <f>+GETPIVOTDATA("XLL4",'langlon (2016)'!$A$3,"MA_HT","RSX","MA_QH","CAN")</f>
        <v>0</v>
      </c>
      <c r="U13" s="35">
        <f>+GETPIVOTDATA("XLL4",'langlon (2016)'!$A$3,"MA_HT","RSX","MA_QH","SKK")</f>
        <v>0</v>
      </c>
      <c r="V13" s="35">
        <f>+GETPIVOTDATA("XLL4",'langlon (2016)'!$A$3,"MA_HT","RSX","MA_QH","SKT")</f>
        <v>0</v>
      </c>
      <c r="W13" s="35">
        <f>+GETPIVOTDATA("XLL4",'langlon (2016)'!$A$3,"MA_HT","RSX","MA_QH","SKN")</f>
        <v>0</v>
      </c>
      <c r="X13" s="35">
        <f>+GETPIVOTDATA("XLL4",'langlon (2016)'!$A$3,"MA_HT","RSX","MA_QH","TMD")</f>
        <v>0</v>
      </c>
      <c r="Y13" s="35">
        <f>+GETPIVOTDATA("XLL4",'langlon (2016)'!$A$3,"MA_HT","RSX","MA_QH","SKC")</f>
        <v>0</v>
      </c>
      <c r="Z13" s="35">
        <f>+GETPIVOTDATA("XLL4",'langlon (2016)'!$A$3,"MA_HT","RSX","MA_QH","SKS")</f>
        <v>0</v>
      </c>
      <c r="AA13" s="64">
        <f t="shared" si="4"/>
        <v>0</v>
      </c>
      <c r="AB13" s="35">
        <f>+GETPIVOTDATA("XLL4",'langlon (2016)'!$A$3,"MA_HT","RSX","MA_QH","DGT")</f>
        <v>0</v>
      </c>
      <c r="AC13" s="35">
        <f>+GETPIVOTDATA("XLL4",'langlon (2016)'!$A$3,"MA_HT","RSX","MA_QH","DTL")</f>
        <v>0</v>
      </c>
      <c r="AD13" s="35">
        <f>+GETPIVOTDATA("XLL4",'langlon (2016)'!$A$3,"MA_HT","RSX","MA_QH","DNL")</f>
        <v>0</v>
      </c>
      <c r="AE13" s="35">
        <f>+GETPIVOTDATA("XLL4",'langlon (2016)'!$A$3,"MA_HT","RSX","MA_QH","DBV")</f>
        <v>0</v>
      </c>
      <c r="AF13" s="35">
        <f>+GETPIVOTDATA("XLL4",'langlon (2016)'!$A$3,"MA_HT","RSX","MA_QH","DVH")</f>
        <v>0</v>
      </c>
      <c r="AG13" s="35">
        <f>+GETPIVOTDATA("XLL4",'langlon (2016)'!$A$3,"MA_HT","RSX","MA_QH","DYT")</f>
        <v>0</v>
      </c>
      <c r="AH13" s="35">
        <f>+GETPIVOTDATA("XLL4",'langlon (2016)'!$A$3,"MA_HT","RSX","MA_QH","DGD")</f>
        <v>0</v>
      </c>
      <c r="AI13" s="35">
        <f>+GETPIVOTDATA("XLL4",'langlon (2016)'!$A$3,"MA_HT","RSX","MA_QH","DTT")</f>
        <v>0</v>
      </c>
      <c r="AJ13" s="35">
        <f>+GETPIVOTDATA("XLL4",'langlon (2016)'!$A$3,"MA_HT","RSX","MA_QH","NCK")</f>
        <v>0</v>
      </c>
      <c r="AK13" s="35">
        <f>+GETPIVOTDATA("XLL4",'langlon (2016)'!$A$3,"MA_HT","RSX","MA_QH","DXH")</f>
        <v>0</v>
      </c>
      <c r="AL13" s="35">
        <f>+GETPIVOTDATA("XLL4",'langlon (2016)'!$A$3,"MA_HT","RSX","MA_QH","DCH")</f>
        <v>0</v>
      </c>
      <c r="AM13" s="35">
        <f>+GETPIVOTDATA("XLL4",'langlon (2016)'!$A$3,"MA_HT","RSX","MA_QH","DKG")</f>
        <v>0</v>
      </c>
      <c r="AN13" s="35">
        <f>+GETPIVOTDATA("XLL4",'langlon (2016)'!$A$3,"MA_HT","RSX","MA_QH","DDT")</f>
        <v>0</v>
      </c>
      <c r="AO13" s="35">
        <f>+GETPIVOTDATA("XLL4",'langlon (2016)'!$A$3,"MA_HT","RSX","MA_QH","DDL")</f>
        <v>0</v>
      </c>
      <c r="AP13" s="35">
        <f>+GETPIVOTDATA("XLL4",'langlon (2016)'!$A$3,"MA_HT","RSX","MA_QH","DRA")</f>
        <v>0</v>
      </c>
      <c r="AQ13" s="35">
        <f>+GETPIVOTDATA("XLL4",'langlon (2016)'!$A$3,"MA_HT","RSX","MA_QH","ONT")</f>
        <v>0</v>
      </c>
      <c r="AR13" s="35">
        <f>+GETPIVOTDATA("XLL4",'langlon (2016)'!$A$3,"MA_HT","RSX","MA_QH","ODT")</f>
        <v>0</v>
      </c>
      <c r="AS13" s="35">
        <f>+GETPIVOTDATA("XLL4",'langlon (2016)'!$A$3,"MA_HT","RSX","MA_QH","TSC")</f>
        <v>0</v>
      </c>
      <c r="AT13" s="35">
        <f>+GETPIVOTDATA("XLL4",'langlon (2016)'!$A$3,"MA_HT","RSX","MA_QH","DTS")</f>
        <v>0</v>
      </c>
      <c r="AU13" s="35">
        <f>+GETPIVOTDATA("XLL4",'langlon (2016)'!$A$3,"MA_HT","RSX","MA_QH","DNG")</f>
        <v>0</v>
      </c>
      <c r="AV13" s="35">
        <f>+GETPIVOTDATA("XLL4",'langlon (2016)'!$A$3,"MA_HT","RSX","MA_QH","TON")</f>
        <v>0</v>
      </c>
      <c r="AW13" s="35">
        <f>+GETPIVOTDATA("XLL4",'langlon (2016)'!$A$3,"MA_HT","RSX","MA_QH","NTD")</f>
        <v>0</v>
      </c>
      <c r="AX13" s="35">
        <f>+GETPIVOTDATA("XLL4",'langlon (2016)'!$A$3,"MA_HT","RSX","MA_QH","SKX")</f>
        <v>0</v>
      </c>
      <c r="AY13" s="35">
        <f>+GETPIVOTDATA("XLL4",'langlon (2016)'!$A$3,"MA_HT","RSX","MA_QH","DSH")</f>
        <v>0</v>
      </c>
      <c r="AZ13" s="35">
        <f>+GETPIVOTDATA("XLL4",'langlon (2016)'!$A$3,"MA_HT","RSX","MA_QH","DKV")</f>
        <v>0</v>
      </c>
      <c r="BA13" s="140">
        <f>+GETPIVOTDATA("XLL4",'langlon (2016)'!$A$3,"MA_HT","RSX","MA_QH","TIN")</f>
        <v>0</v>
      </c>
      <c r="BB13" s="74">
        <f>+GETPIVOTDATA("XLL4",'langlon (2016)'!$A$3,"MA_HT","RSX","MA_QH","SON")</f>
        <v>0</v>
      </c>
      <c r="BC13" s="74">
        <f>+GETPIVOTDATA("XLL4",'langlon (2016)'!$A$3,"MA_HT","RSX","MA_QH","MNC")</f>
        <v>0</v>
      </c>
      <c r="BD13" s="35">
        <f>+GETPIVOTDATA("XLL4",'langlon (2016)'!$A$3,"MA_HT","RSX","MA_QH","PNK")</f>
        <v>0</v>
      </c>
      <c r="BE13" s="58">
        <f>+GETPIVOTDATA("XLL4",'langlon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+GETPIVOTDATA("XLL4",'langlon (2016)'!$A$3,"MA_HT","RPH","MA_QH","LUC")</f>
        <v>0</v>
      </c>
      <c r="H14" s="35">
        <f>+GETPIVOTDATA("XLL4",'langlon (2016)'!$A$3,"MA_HT","RPH","MA_QH","LUK")</f>
        <v>0</v>
      </c>
      <c r="I14" s="35">
        <f>+GETPIVOTDATA("XLL4",'langlon (2016)'!$A$3,"MA_HT","RPH","MA_QH","LUN")</f>
        <v>0</v>
      </c>
      <c r="J14" s="35">
        <f>+GETPIVOTDATA("XLL4",'langlon (2016)'!$A$3,"MA_HT","RPH","MA_QH","HNK")</f>
        <v>0</v>
      </c>
      <c r="K14" s="35">
        <f>+GETPIVOTDATA("XLL4",'langlon (2016)'!$A$3,"MA_HT","RPH","MA_QH","CLN")</f>
        <v>0</v>
      </c>
      <c r="L14" s="35">
        <f>+GETPIVOTDATA("XLL4",'langlon (2016)'!$A$3,"MA_HT","RPH","MA_QH","RSX")</f>
        <v>0</v>
      </c>
      <c r="M14" s="99" t="e">
        <f>$D14-$BF14</f>
        <v>#REF!</v>
      </c>
      <c r="N14" s="35">
        <f>+GETPIVOTDATA("XLL4",'langlon (2016)'!$A$3,"MA_HT","RPH","MA_QH","RDD")</f>
        <v>0</v>
      </c>
      <c r="O14" s="35">
        <f>+GETPIVOTDATA("XLL4",'langlon (2016)'!$A$3,"MA_HT","RPH","MA_QH","NTS")</f>
        <v>0</v>
      </c>
      <c r="P14" s="35">
        <f>+GETPIVOTDATA("XLL4",'langlon (2016)'!$A$3,"MA_HT","RPH","MA_QH","LMU")</f>
        <v>0</v>
      </c>
      <c r="Q14" s="35">
        <f>+GETPIVOTDATA("XLL4",'langlon (2016)'!$A$3,"MA_HT","RPH","MA_QH","NKH")</f>
        <v>0</v>
      </c>
      <c r="R14" s="63">
        <f t="shared" si="2"/>
        <v>0</v>
      </c>
      <c r="S14" s="35">
        <f>+GETPIVOTDATA("XLL4",'langlon (2016)'!$A$3,"MA_HT","RPH","MA_QH","CQP")</f>
        <v>0</v>
      </c>
      <c r="T14" s="35">
        <f>+GETPIVOTDATA("XLL4",'langlon (2016)'!$A$3,"MA_HT","RPH","MA_QH","CAN")</f>
        <v>0</v>
      </c>
      <c r="U14" s="35">
        <f>+GETPIVOTDATA("XLL4",'langlon (2016)'!$A$3,"MA_HT","RPH","MA_QH","SKK")</f>
        <v>0</v>
      </c>
      <c r="V14" s="35">
        <f>+GETPIVOTDATA("XLL4",'langlon (2016)'!$A$3,"MA_HT","RPH","MA_QH","SKT")</f>
        <v>0</v>
      </c>
      <c r="W14" s="35">
        <f>+GETPIVOTDATA("XLL4",'langlon (2016)'!$A$3,"MA_HT","RPH","MA_QH","SKN")</f>
        <v>0</v>
      </c>
      <c r="X14" s="35">
        <f>+GETPIVOTDATA("XLL4",'langlon (2016)'!$A$3,"MA_HT","RPH","MA_QH","TMD")</f>
        <v>0</v>
      </c>
      <c r="Y14" s="35">
        <f>+GETPIVOTDATA("XLL4",'langlon (2016)'!$A$3,"MA_HT","RPH","MA_QH","SKC")</f>
        <v>0</v>
      </c>
      <c r="Z14" s="35">
        <f>+GETPIVOTDATA("XLL4",'langlon (2016)'!$A$3,"MA_HT","RPH","MA_QH","SKS")</f>
        <v>0</v>
      </c>
      <c r="AA14" s="64">
        <f t="shared" si="4"/>
        <v>0</v>
      </c>
      <c r="AB14" s="35">
        <f>+GETPIVOTDATA("XLL4",'langlon (2016)'!$A$3,"MA_HT","RPH","MA_QH","DGT")</f>
        <v>0</v>
      </c>
      <c r="AC14" s="35">
        <f>+GETPIVOTDATA("XLL4",'langlon (2016)'!$A$3,"MA_HT","RPH","MA_QH","DTL")</f>
        <v>0</v>
      </c>
      <c r="AD14" s="35">
        <f>+GETPIVOTDATA("XLL4",'langlon (2016)'!$A$3,"MA_HT","RPH","MA_QH","DNL")</f>
        <v>0</v>
      </c>
      <c r="AE14" s="35">
        <f>+GETPIVOTDATA("XLL4",'langlon (2016)'!$A$3,"MA_HT","RPH","MA_QH","DBV")</f>
        <v>0</v>
      </c>
      <c r="AF14" s="35">
        <f>+GETPIVOTDATA("XLL4",'langlon (2016)'!$A$3,"MA_HT","RPH","MA_QH","DVH")</f>
        <v>0</v>
      </c>
      <c r="AG14" s="35">
        <f>+GETPIVOTDATA("XLL4",'langlon (2016)'!$A$3,"MA_HT","RPH","MA_QH","DYT")</f>
        <v>0</v>
      </c>
      <c r="AH14" s="35">
        <f>+GETPIVOTDATA("XLL4",'langlon (2016)'!$A$3,"MA_HT","RPH","MA_QH","DGD")</f>
        <v>0</v>
      </c>
      <c r="AI14" s="35">
        <f>+GETPIVOTDATA("XLL4",'langlon (2016)'!$A$3,"MA_HT","RPH","MA_QH","DTT")</f>
        <v>0</v>
      </c>
      <c r="AJ14" s="35">
        <f>+GETPIVOTDATA("XLL4",'langlon (2016)'!$A$3,"MA_HT","RPH","MA_QH","NCK")</f>
        <v>0</v>
      </c>
      <c r="AK14" s="35">
        <f>+GETPIVOTDATA("XLL4",'langlon (2016)'!$A$3,"MA_HT","RPH","MA_QH","DXH")</f>
        <v>0</v>
      </c>
      <c r="AL14" s="35">
        <f>+GETPIVOTDATA("XLL4",'langlon (2016)'!$A$3,"MA_HT","RPH","MA_QH","DCH")</f>
        <v>0</v>
      </c>
      <c r="AM14" s="35">
        <f>+GETPIVOTDATA("XLL4",'langlon (2016)'!$A$3,"MA_HT","RPH","MA_QH","DKG")</f>
        <v>0</v>
      </c>
      <c r="AN14" s="35">
        <f>+GETPIVOTDATA("XLL4",'langlon (2016)'!$A$3,"MA_HT","RPH","MA_QH","DDT")</f>
        <v>0</v>
      </c>
      <c r="AO14" s="35">
        <f>+GETPIVOTDATA("XLL4",'langlon (2016)'!$A$3,"MA_HT","RPH","MA_QH","DDL")</f>
        <v>0</v>
      </c>
      <c r="AP14" s="35">
        <f>+GETPIVOTDATA("XLL4",'langlon (2016)'!$A$3,"MA_HT","RPH","MA_QH","DRA")</f>
        <v>0</v>
      </c>
      <c r="AQ14" s="35">
        <f>+GETPIVOTDATA("XLL4",'langlon (2016)'!$A$3,"MA_HT","RPH","MA_QH","ONT")</f>
        <v>0</v>
      </c>
      <c r="AR14" s="35">
        <f>+GETPIVOTDATA("XLL4",'langlon (2016)'!$A$3,"MA_HT","RPH","MA_QH","ODT")</f>
        <v>0</v>
      </c>
      <c r="AS14" s="35">
        <f>+GETPIVOTDATA("XLL4",'langlon (2016)'!$A$3,"MA_HT","RPH","MA_QH","TSC")</f>
        <v>0</v>
      </c>
      <c r="AT14" s="35">
        <f>+GETPIVOTDATA("XLL4",'langlon (2016)'!$A$3,"MA_HT","RPH","MA_QH","DTS")</f>
        <v>0</v>
      </c>
      <c r="AU14" s="35">
        <f>+GETPIVOTDATA("XLL4",'langlon (2016)'!$A$3,"MA_HT","RPH","MA_QH","DNG")</f>
        <v>0</v>
      </c>
      <c r="AV14" s="35">
        <f>+GETPIVOTDATA("XLL4",'langlon (2016)'!$A$3,"MA_HT","RPH","MA_QH","TON")</f>
        <v>0</v>
      </c>
      <c r="AW14" s="35">
        <f>+GETPIVOTDATA("XLL4",'langlon (2016)'!$A$3,"MA_HT","RPH","MA_QH","NTD")</f>
        <v>0</v>
      </c>
      <c r="AX14" s="35">
        <f>+GETPIVOTDATA("XLL4",'langlon (2016)'!$A$3,"MA_HT","RPH","MA_QH","SKX")</f>
        <v>0</v>
      </c>
      <c r="AY14" s="35">
        <f>+GETPIVOTDATA("XLL4",'langlon (2016)'!$A$3,"MA_HT","RPH","MA_QH","DSH")</f>
        <v>0</v>
      </c>
      <c r="AZ14" s="35">
        <f>+GETPIVOTDATA("XLL4",'langlon (2016)'!$A$3,"MA_HT","RPH","MA_QH","DKV")</f>
        <v>0</v>
      </c>
      <c r="BA14" s="140">
        <f>+GETPIVOTDATA("XLL4",'langlon (2016)'!$A$3,"MA_HT","RPH","MA_QH","TIN")</f>
        <v>0</v>
      </c>
      <c r="BB14" s="74">
        <f>+GETPIVOTDATA("XLL4",'langlon (2016)'!$A$3,"MA_HT","RPH","MA_QH","SON")</f>
        <v>0</v>
      </c>
      <c r="BC14" s="74">
        <f>+GETPIVOTDATA("XLL4",'langlon (2016)'!$A$3,"MA_HT","RPH","MA_QH","MNC")</f>
        <v>0</v>
      </c>
      <c r="BD14" s="35">
        <f>+GETPIVOTDATA("XLL4",'langlon (2016)'!$A$3,"MA_HT","RPH","MA_QH","PNK")</f>
        <v>0</v>
      </c>
      <c r="BE14" s="58">
        <f>+GETPIVOTDATA("XLL4",'langlon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+GETPIVOTDATA("XLL4",'langlon (2016)'!$A$3,"MA_HT","RDD","MA_QH","LUC")</f>
        <v>0</v>
      </c>
      <c r="H15" s="35">
        <f>+GETPIVOTDATA("XLL4",'langlon (2016)'!$A$3,"MA_HT","RDD","MA_QH","LUK")</f>
        <v>0</v>
      </c>
      <c r="I15" s="35">
        <f>+GETPIVOTDATA("XLL4",'langlon (2016)'!$A$3,"MA_HT","RDD","MA_QH","LUN")</f>
        <v>0</v>
      </c>
      <c r="J15" s="35">
        <f>+GETPIVOTDATA("XLL4",'langlon (2016)'!$A$3,"MA_HT","RDD","MA_QH","HNK")</f>
        <v>0</v>
      </c>
      <c r="K15" s="35">
        <f>+GETPIVOTDATA("XLL4",'langlon (2016)'!$A$3,"MA_HT","RDD","MA_QH","CLN")</f>
        <v>0</v>
      </c>
      <c r="L15" s="35">
        <f>+GETPIVOTDATA("XLL4",'langlon (2016)'!$A$3,"MA_HT","RDD","MA_QH","RSX")</f>
        <v>0</v>
      </c>
      <c r="M15" s="35">
        <f>+GETPIVOTDATA("XLL4",'langlon (2016)'!$A$3,"MA_HT","RDD","MA_QH","RPH")</f>
        <v>0</v>
      </c>
      <c r="N15" s="99" t="e">
        <f>$D15-$BF15</f>
        <v>#REF!</v>
      </c>
      <c r="O15" s="35">
        <f>+GETPIVOTDATA("XLL4",'langlon (2016)'!$A$3,"MA_HT","RDD","MA_QH","NTS")</f>
        <v>0</v>
      </c>
      <c r="P15" s="35">
        <f>+GETPIVOTDATA("XLL4",'langlon (2016)'!$A$3,"MA_HT","RDD","MA_QH","LMU")</f>
        <v>0</v>
      </c>
      <c r="Q15" s="35">
        <f>+GETPIVOTDATA("XLL4",'langlon (2016)'!$A$3,"MA_HT","RDD","MA_QH","NKH")</f>
        <v>0</v>
      </c>
      <c r="R15" s="63">
        <f t="shared" si="2"/>
        <v>0</v>
      </c>
      <c r="S15" s="35">
        <f>+GETPIVOTDATA("XLL4",'langlon (2016)'!$A$3,"MA_HT","RDD","MA_QH","CQP")</f>
        <v>0</v>
      </c>
      <c r="T15" s="35">
        <f>+GETPIVOTDATA("XLL4",'langlon (2016)'!$A$3,"MA_HT","RDD","MA_QH","CAN")</f>
        <v>0</v>
      </c>
      <c r="U15" s="35">
        <f>+GETPIVOTDATA("XLL4",'langlon (2016)'!$A$3,"MA_HT","RDD","MA_QH","SKK")</f>
        <v>0</v>
      </c>
      <c r="V15" s="35">
        <f>+GETPIVOTDATA("XLL4",'langlon (2016)'!$A$3,"MA_HT","RDD","MA_QH","SKT")</f>
        <v>0</v>
      </c>
      <c r="W15" s="35">
        <f>+GETPIVOTDATA("XLL4",'langlon (2016)'!$A$3,"MA_HT","RDD","MA_QH","SKN")</f>
        <v>0</v>
      </c>
      <c r="X15" s="35">
        <f>+GETPIVOTDATA("XLL4",'langlon (2016)'!$A$3,"MA_HT","RDD","MA_QH","TMD")</f>
        <v>0</v>
      </c>
      <c r="Y15" s="35">
        <f>+GETPIVOTDATA("XLL4",'langlon (2016)'!$A$3,"MA_HT","RDD","MA_QH","SKC")</f>
        <v>0</v>
      </c>
      <c r="Z15" s="35">
        <f>+GETPIVOTDATA("XLL4",'langlon (2016)'!$A$3,"MA_HT","RDD","MA_QH","SKS")</f>
        <v>0</v>
      </c>
      <c r="AA15" s="64">
        <f t="shared" si="4"/>
        <v>0</v>
      </c>
      <c r="AB15" s="35">
        <f>+GETPIVOTDATA("XLL4",'langlon (2016)'!$A$3,"MA_HT","RDD","MA_QH","DGT")</f>
        <v>0</v>
      </c>
      <c r="AC15" s="35">
        <f>+GETPIVOTDATA("XLL4",'langlon (2016)'!$A$3,"MA_HT","RDD","MA_QH","DTL")</f>
        <v>0</v>
      </c>
      <c r="AD15" s="35">
        <f>+GETPIVOTDATA("XLL4",'langlon (2016)'!$A$3,"MA_HT","RDD","MA_QH","DNL")</f>
        <v>0</v>
      </c>
      <c r="AE15" s="35">
        <f>+GETPIVOTDATA("XLL4",'langlon (2016)'!$A$3,"MA_HT","RDD","MA_QH","DBV")</f>
        <v>0</v>
      </c>
      <c r="AF15" s="35">
        <f>+GETPIVOTDATA("XLL4",'langlon (2016)'!$A$3,"MA_HT","RDD","MA_QH","DVH")</f>
        <v>0</v>
      </c>
      <c r="AG15" s="35">
        <f>+GETPIVOTDATA("XLL4",'langlon (2016)'!$A$3,"MA_HT","RDD","MA_QH","DYT")</f>
        <v>0</v>
      </c>
      <c r="AH15" s="35">
        <f>+GETPIVOTDATA("XLL4",'langlon (2016)'!$A$3,"MA_HT","RDD","MA_QH","DGD")</f>
        <v>0</v>
      </c>
      <c r="AI15" s="35">
        <f>+GETPIVOTDATA("XLL4",'langlon (2016)'!$A$3,"MA_HT","RDD","MA_QH","DTT")</f>
        <v>0</v>
      </c>
      <c r="AJ15" s="35">
        <f>+GETPIVOTDATA("XLL4",'langlon (2016)'!$A$3,"MA_HT","RDD","MA_QH","NCK")</f>
        <v>0</v>
      </c>
      <c r="AK15" s="35">
        <f>+GETPIVOTDATA("XLL4",'langlon (2016)'!$A$3,"MA_HT","RDD","MA_QH","DXH")</f>
        <v>0</v>
      </c>
      <c r="AL15" s="35">
        <f>+GETPIVOTDATA("XLL4",'langlon (2016)'!$A$3,"MA_HT","RDD","MA_QH","DCH")</f>
        <v>0</v>
      </c>
      <c r="AM15" s="35">
        <f>+GETPIVOTDATA("XLL4",'langlon (2016)'!$A$3,"MA_HT","RDD","MA_QH","DKG")</f>
        <v>0</v>
      </c>
      <c r="AN15" s="35">
        <f>+GETPIVOTDATA("XLL4",'langlon (2016)'!$A$3,"MA_HT","RDD","MA_QH","DDT")</f>
        <v>0</v>
      </c>
      <c r="AO15" s="35">
        <f>+GETPIVOTDATA("XLL4",'langlon (2016)'!$A$3,"MA_HT","RDD","MA_QH","DDL")</f>
        <v>0</v>
      </c>
      <c r="AP15" s="35">
        <f>+GETPIVOTDATA("XLL4",'langlon (2016)'!$A$3,"MA_HT","RDD","MA_QH","DRA")</f>
        <v>0</v>
      </c>
      <c r="AQ15" s="35">
        <f>+GETPIVOTDATA("XLL4",'langlon (2016)'!$A$3,"MA_HT","RDD","MA_QH","ONT")</f>
        <v>0</v>
      </c>
      <c r="AR15" s="35">
        <f>+GETPIVOTDATA("XLL4",'langlon (2016)'!$A$3,"MA_HT","RDD","MA_QH","ODT")</f>
        <v>0</v>
      </c>
      <c r="AS15" s="35">
        <f>+GETPIVOTDATA("XLL4",'langlon (2016)'!$A$3,"MA_HT","RDD","MA_QH","TSC")</f>
        <v>0</v>
      </c>
      <c r="AT15" s="35">
        <f>+GETPIVOTDATA("XLL4",'langlon (2016)'!$A$3,"MA_HT","RDD","MA_QH","DTS")</f>
        <v>0</v>
      </c>
      <c r="AU15" s="35">
        <f>+GETPIVOTDATA("XLL4",'langlon (2016)'!$A$3,"MA_HT","RDD","MA_QH","DNG")</f>
        <v>0</v>
      </c>
      <c r="AV15" s="35">
        <f>+GETPIVOTDATA("XLL4",'langlon (2016)'!$A$3,"MA_HT","RDD","MA_QH","TON")</f>
        <v>0</v>
      </c>
      <c r="AW15" s="35">
        <f>+GETPIVOTDATA("XLL4",'langlon (2016)'!$A$3,"MA_HT","RDD","MA_QH","NTD")</f>
        <v>0</v>
      </c>
      <c r="AX15" s="35">
        <f>+GETPIVOTDATA("XLL4",'langlon (2016)'!$A$3,"MA_HT","RDD","MA_QH","SKX")</f>
        <v>0</v>
      </c>
      <c r="AY15" s="35">
        <f>+GETPIVOTDATA("XLL4",'langlon (2016)'!$A$3,"MA_HT","RDD","MA_QH","DSH")</f>
        <v>0</v>
      </c>
      <c r="AZ15" s="35">
        <f>+GETPIVOTDATA("XLL4",'langlon (2016)'!$A$3,"MA_HT","RDD","MA_QH","DKV")</f>
        <v>0</v>
      </c>
      <c r="BA15" s="140">
        <f>+GETPIVOTDATA("XLL4",'langlon (2016)'!$A$3,"MA_HT","RDD","MA_QH","TIN")</f>
        <v>0</v>
      </c>
      <c r="BB15" s="74">
        <f>+GETPIVOTDATA("XLL4",'langlon (2016)'!$A$3,"MA_HT","RDD","MA_QH","SON")</f>
        <v>0</v>
      </c>
      <c r="BC15" s="74">
        <f>+GETPIVOTDATA("XLL4",'langlon (2016)'!$A$3,"MA_HT","RDD","MA_QH","MNC")</f>
        <v>0</v>
      </c>
      <c r="BD15" s="35">
        <f>+GETPIVOTDATA("XLL4",'langlon (2016)'!$A$3,"MA_HT","RDD","MA_QH","PNK")</f>
        <v>0</v>
      </c>
      <c r="BE15" s="58">
        <f>+GETPIVOTDATA("XLL4",'langlon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+GETPIVOTDATA("XLL4",'langlon (2016)'!$A$3,"MA_HT","NTS","MA_QH","LUC")</f>
        <v>0</v>
      </c>
      <c r="H16" s="35">
        <f>+GETPIVOTDATA("XLL4",'langlon (2016)'!$A$3,"MA_HT","NTS","MA_QH","LUK")</f>
        <v>0</v>
      </c>
      <c r="I16" s="35">
        <f>+GETPIVOTDATA("XLL4",'langlon (2016)'!$A$3,"MA_HT","NTS","MA_QH","LUN")</f>
        <v>0</v>
      </c>
      <c r="J16" s="35">
        <f>+GETPIVOTDATA("XLL4",'langlon (2016)'!$A$3,"MA_HT","NTS","MA_QH","HNK")</f>
        <v>0</v>
      </c>
      <c r="K16" s="35">
        <f>+GETPIVOTDATA("XLL4",'langlon (2016)'!$A$3,"MA_HT","NTS","MA_QH","CLN")</f>
        <v>0</v>
      </c>
      <c r="L16" s="35">
        <f>+GETPIVOTDATA("XLL4",'langlon (2016)'!$A$3,"MA_HT","NTS","MA_QH","RSX")</f>
        <v>0</v>
      </c>
      <c r="M16" s="35">
        <f>+GETPIVOTDATA("XLL4",'langlon (2016)'!$A$3,"MA_HT","NTS","MA_QH","RPH")</f>
        <v>0</v>
      </c>
      <c r="N16" s="35">
        <f>+GETPIVOTDATA("XLL4",'langlon (2016)'!$A$3,"MA_HT","NTS","MA_QH","RDD")</f>
        <v>0</v>
      </c>
      <c r="O16" s="99" t="e">
        <f>$D16-$BF16</f>
        <v>#REF!</v>
      </c>
      <c r="P16" s="35">
        <f>+GETPIVOTDATA("XLL4",'langlon (2016)'!$A$3,"MA_HT","NTS","MA_QH","LMU")</f>
        <v>0</v>
      </c>
      <c r="Q16" s="35">
        <f>+GETPIVOTDATA("XLL4",'langlon (2016)'!$A$3,"MA_HT","NTS","MA_QH","NKH")</f>
        <v>0</v>
      </c>
      <c r="R16" s="63">
        <f t="shared" si="2"/>
        <v>0</v>
      </c>
      <c r="S16" s="35">
        <f>+GETPIVOTDATA("XLL4",'langlon (2016)'!$A$3,"MA_HT","NTS","MA_QH","CQP")</f>
        <v>0</v>
      </c>
      <c r="T16" s="35">
        <f>+GETPIVOTDATA("XLL4",'langlon (2016)'!$A$3,"MA_HT","NTS","MA_QH","CAN")</f>
        <v>0</v>
      </c>
      <c r="U16" s="35">
        <f>+GETPIVOTDATA("XLL4",'langlon (2016)'!$A$3,"MA_HT","NTS","MA_QH","SKK")</f>
        <v>0</v>
      </c>
      <c r="V16" s="35">
        <f>+GETPIVOTDATA("XLL4",'langlon (2016)'!$A$3,"MA_HT","NTS","MA_QH","SKT")</f>
        <v>0</v>
      </c>
      <c r="W16" s="35">
        <f>+GETPIVOTDATA("XLL4",'langlon (2016)'!$A$3,"MA_HT","NTS","MA_QH","SKN")</f>
        <v>0</v>
      </c>
      <c r="X16" s="35">
        <f>+GETPIVOTDATA("XLL4",'langlon (2016)'!$A$3,"MA_HT","NTS","MA_QH","TMD")</f>
        <v>0</v>
      </c>
      <c r="Y16" s="35">
        <f>+GETPIVOTDATA("XLL4",'langlon (2016)'!$A$3,"MA_HT","NTS","MA_QH","SKC")</f>
        <v>0</v>
      </c>
      <c r="Z16" s="35">
        <f>+GETPIVOTDATA("XLL4",'langlon (2016)'!$A$3,"MA_HT","NTS","MA_QH","SKS")</f>
        <v>0</v>
      </c>
      <c r="AA16" s="64">
        <f t="shared" si="4"/>
        <v>0</v>
      </c>
      <c r="AB16" s="35">
        <f>+GETPIVOTDATA("XLL4",'langlon (2016)'!$A$3,"MA_HT","NTS","MA_QH","DGT")</f>
        <v>0</v>
      </c>
      <c r="AC16" s="35">
        <f>+GETPIVOTDATA("XLL4",'langlon (2016)'!$A$3,"MA_HT","NTS","MA_QH","DTL")</f>
        <v>0</v>
      </c>
      <c r="AD16" s="35">
        <f>+GETPIVOTDATA("XLL4",'langlon (2016)'!$A$3,"MA_HT","NTS","MA_QH","DNL")</f>
        <v>0</v>
      </c>
      <c r="AE16" s="35">
        <f>+GETPIVOTDATA("XLL4",'langlon (2016)'!$A$3,"MA_HT","NTS","MA_QH","DBV")</f>
        <v>0</v>
      </c>
      <c r="AF16" s="35">
        <f>+GETPIVOTDATA("XLL4",'langlon (2016)'!$A$3,"MA_HT","NTS","MA_QH","DVH")</f>
        <v>0</v>
      </c>
      <c r="AG16" s="35">
        <f>+GETPIVOTDATA("XLL4",'langlon (2016)'!$A$3,"MA_HT","NTS","MA_QH","DYT")</f>
        <v>0</v>
      </c>
      <c r="AH16" s="35">
        <f>+GETPIVOTDATA("XLL4",'langlon (2016)'!$A$3,"MA_HT","NTS","MA_QH","DGD")</f>
        <v>0</v>
      </c>
      <c r="AI16" s="35">
        <f>+GETPIVOTDATA("XLL4",'langlon (2016)'!$A$3,"MA_HT","NTS","MA_QH","DTT")</f>
        <v>0</v>
      </c>
      <c r="AJ16" s="35">
        <f>+GETPIVOTDATA("XLL4",'langlon (2016)'!$A$3,"MA_HT","NTS","MA_QH","NCK")</f>
        <v>0</v>
      </c>
      <c r="AK16" s="35">
        <f>+GETPIVOTDATA("XLL4",'langlon (2016)'!$A$3,"MA_HT","NTS","MA_QH","DXH")</f>
        <v>0</v>
      </c>
      <c r="AL16" s="35">
        <f>+GETPIVOTDATA("XLL4",'langlon (2016)'!$A$3,"MA_HT","NTS","MA_QH","DCH")</f>
        <v>0</v>
      </c>
      <c r="AM16" s="35">
        <f>+GETPIVOTDATA("XLL4",'langlon (2016)'!$A$3,"MA_HT","NTS","MA_QH","DKG")</f>
        <v>0</v>
      </c>
      <c r="AN16" s="35">
        <f>+GETPIVOTDATA("XLL4",'langlon (2016)'!$A$3,"MA_HT","NTS","MA_QH","DDT")</f>
        <v>0</v>
      </c>
      <c r="AO16" s="35">
        <f>+GETPIVOTDATA("XLL4",'langlon (2016)'!$A$3,"MA_HT","NTS","MA_QH","DDL")</f>
        <v>0</v>
      </c>
      <c r="AP16" s="35">
        <f>+GETPIVOTDATA("XLL4",'langlon (2016)'!$A$3,"MA_HT","NTS","MA_QH","DRA")</f>
        <v>0</v>
      </c>
      <c r="AQ16" s="35">
        <f>+GETPIVOTDATA("XLL4",'langlon (2016)'!$A$3,"MA_HT","NTS","MA_QH","ONT")</f>
        <v>0</v>
      </c>
      <c r="AR16" s="35">
        <f>+GETPIVOTDATA("XLL4",'langlon (2016)'!$A$3,"MA_HT","NTS","MA_QH","ODT")</f>
        <v>0</v>
      </c>
      <c r="AS16" s="35">
        <f>+GETPIVOTDATA("XLL4",'langlon (2016)'!$A$3,"MA_HT","NTS","MA_QH","TSC")</f>
        <v>0</v>
      </c>
      <c r="AT16" s="35">
        <f>+GETPIVOTDATA("XLL4",'langlon (2016)'!$A$3,"MA_HT","NTS","MA_QH","DTS")</f>
        <v>0</v>
      </c>
      <c r="AU16" s="35">
        <f>+GETPIVOTDATA("XLL4",'langlon (2016)'!$A$3,"MA_HT","NTS","MA_QH","DNG")</f>
        <v>0</v>
      </c>
      <c r="AV16" s="35">
        <f>+GETPIVOTDATA("XLL4",'langlon (2016)'!$A$3,"MA_HT","NTS","MA_QH","TON")</f>
        <v>0</v>
      </c>
      <c r="AW16" s="35">
        <f>+GETPIVOTDATA("XLL4",'langlon (2016)'!$A$3,"MA_HT","NTS","MA_QH","NTD")</f>
        <v>0</v>
      </c>
      <c r="AX16" s="35">
        <f>+GETPIVOTDATA("XLL4",'langlon (2016)'!$A$3,"MA_HT","NTS","MA_QH","SKX")</f>
        <v>0</v>
      </c>
      <c r="AY16" s="35">
        <f>+GETPIVOTDATA("XLL4",'langlon (2016)'!$A$3,"MA_HT","NTS","MA_QH","DSH")</f>
        <v>0</v>
      </c>
      <c r="AZ16" s="35">
        <f>+GETPIVOTDATA("XLL4",'langlon (2016)'!$A$3,"MA_HT","NTS","MA_QH","DKV")</f>
        <v>0</v>
      </c>
      <c r="BA16" s="140">
        <f>+GETPIVOTDATA("XLL4",'langlon (2016)'!$A$3,"MA_HT","NTS","MA_QH","TIN")</f>
        <v>0</v>
      </c>
      <c r="BB16" s="74">
        <f>+GETPIVOTDATA("XLL4",'langlon (2016)'!$A$3,"MA_HT","NTS","MA_QH","SON")</f>
        <v>0</v>
      </c>
      <c r="BC16" s="74">
        <f>+GETPIVOTDATA("XLL4",'langlon (2016)'!$A$3,"MA_HT","NTS","MA_QH","MNC")</f>
        <v>0</v>
      </c>
      <c r="BD16" s="35">
        <f>+GETPIVOTDATA("XLL4",'langlon (2016)'!$A$3,"MA_HT","NTS","MA_QH","PNK")</f>
        <v>0</v>
      </c>
      <c r="BE16" s="58">
        <f>+GETPIVOTDATA("XLL4",'langlon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+GETPIVOTDATA("XLL4",'langlon (2016)'!$A$3,"MA_HT","LMU","MA_QH","LUC")</f>
        <v>0</v>
      </c>
      <c r="H17" s="35">
        <f>+GETPIVOTDATA("XLL4",'langlon (2016)'!$A$3,"MA_HT","LMU","MA_QH","LUK")</f>
        <v>0</v>
      </c>
      <c r="I17" s="35">
        <f>+GETPIVOTDATA("XLL4",'langlon (2016)'!$A$3,"MA_HT","LMU","MA_QH","LUN")</f>
        <v>0</v>
      </c>
      <c r="J17" s="35">
        <f>+GETPIVOTDATA("XLL4",'langlon (2016)'!$A$3,"MA_HT","LMU","MA_QH","HNK")</f>
        <v>0</v>
      </c>
      <c r="K17" s="35">
        <f>+GETPIVOTDATA("XLL4",'langlon (2016)'!$A$3,"MA_HT","LMU","MA_QH","CLN")</f>
        <v>0</v>
      </c>
      <c r="L17" s="35">
        <f>+GETPIVOTDATA("XLL4",'langlon (2016)'!$A$3,"MA_HT","LMU","MA_QH","RSX")</f>
        <v>0</v>
      </c>
      <c r="M17" s="35">
        <f>+GETPIVOTDATA("XLL4",'langlon (2016)'!$A$3,"MA_HT","LMU","MA_QH","RPH")</f>
        <v>0</v>
      </c>
      <c r="N17" s="35">
        <f>+GETPIVOTDATA("XLL4",'langlon (2016)'!$A$3,"MA_HT","LMU","MA_QH","RDD")</f>
        <v>0</v>
      </c>
      <c r="O17" s="35">
        <f>+GETPIVOTDATA("XLL4",'langlon (2016)'!$A$3,"MA_HT","LMU","MA_QH","NTS")</f>
        <v>0</v>
      </c>
      <c r="P17" s="99" t="e">
        <f>$D17-$BF17</f>
        <v>#REF!</v>
      </c>
      <c r="Q17" s="35">
        <f>+GETPIVOTDATA("XLL4",'langlon (2016)'!$A$3,"MA_HT","LMU","MA_QH","NKH")</f>
        <v>0</v>
      </c>
      <c r="R17" s="63">
        <f t="shared" si="2"/>
        <v>0</v>
      </c>
      <c r="S17" s="35">
        <f>+GETPIVOTDATA("XLL4",'langlon (2016)'!$A$3,"MA_HT","LMU","MA_QH","CQP")</f>
        <v>0</v>
      </c>
      <c r="T17" s="35">
        <f>+GETPIVOTDATA("XLL4",'langlon (2016)'!$A$3,"MA_HT","LMU","MA_QH","CAN")</f>
        <v>0</v>
      </c>
      <c r="U17" s="35">
        <f>+GETPIVOTDATA("XLL4",'langlon (2016)'!$A$3,"MA_HT","LMU","MA_QH","SKK")</f>
        <v>0</v>
      </c>
      <c r="V17" s="35">
        <f>+GETPIVOTDATA("XLL4",'langlon (2016)'!$A$3,"MA_HT","LMU","MA_QH","SKT")</f>
        <v>0</v>
      </c>
      <c r="W17" s="35">
        <f>+GETPIVOTDATA("XLL4",'langlon (2016)'!$A$3,"MA_HT","LMU","MA_QH","SKN")</f>
        <v>0</v>
      </c>
      <c r="X17" s="35">
        <f>+GETPIVOTDATA("XLL4",'langlon (2016)'!$A$3,"MA_HT","LMU","MA_QH","TMD")</f>
        <v>0</v>
      </c>
      <c r="Y17" s="35">
        <f>+GETPIVOTDATA("XLL4",'langlon (2016)'!$A$3,"MA_HT","LMU","MA_QH","SKC")</f>
        <v>0</v>
      </c>
      <c r="Z17" s="35">
        <f>+GETPIVOTDATA("XLL4",'langlon (2016)'!$A$3,"MA_HT","LMU","MA_QH","SKS")</f>
        <v>0</v>
      </c>
      <c r="AA17" s="64">
        <f t="shared" si="4"/>
        <v>0</v>
      </c>
      <c r="AB17" s="35">
        <f>+GETPIVOTDATA("XLL4",'langlon (2016)'!$A$3,"MA_HT","LMU","MA_QH","DGT")</f>
        <v>0</v>
      </c>
      <c r="AC17" s="35">
        <f>+GETPIVOTDATA("XLL4",'langlon (2016)'!$A$3,"MA_HT","LMU","MA_QH","DTL")</f>
        <v>0</v>
      </c>
      <c r="AD17" s="35">
        <f>+GETPIVOTDATA("XLL4",'langlon (2016)'!$A$3,"MA_HT","LMU","MA_QH","DNL")</f>
        <v>0</v>
      </c>
      <c r="AE17" s="35">
        <f>+GETPIVOTDATA("XLL4",'langlon (2016)'!$A$3,"MA_HT","LMU","MA_QH","DBV")</f>
        <v>0</v>
      </c>
      <c r="AF17" s="35">
        <f>+GETPIVOTDATA("XLL4",'langlon (2016)'!$A$3,"MA_HT","LMU","MA_QH","DVH")</f>
        <v>0</v>
      </c>
      <c r="AG17" s="35">
        <f>+GETPIVOTDATA("XLL4",'langlon (2016)'!$A$3,"MA_HT","LMU","MA_QH","DYT")</f>
        <v>0</v>
      </c>
      <c r="AH17" s="35">
        <f>+GETPIVOTDATA("XLL4",'langlon (2016)'!$A$3,"MA_HT","LMU","MA_QH","DGD")</f>
        <v>0</v>
      </c>
      <c r="AI17" s="35">
        <f>+GETPIVOTDATA("XLL4",'langlon (2016)'!$A$3,"MA_HT","LMU","MA_QH","DTT")</f>
        <v>0</v>
      </c>
      <c r="AJ17" s="35">
        <f>+GETPIVOTDATA("XLL4",'langlon (2016)'!$A$3,"MA_HT","LMU","MA_QH","NCK")</f>
        <v>0</v>
      </c>
      <c r="AK17" s="35">
        <f>+GETPIVOTDATA("XLL4",'langlon (2016)'!$A$3,"MA_HT","LMU","MA_QH","DXH")</f>
        <v>0</v>
      </c>
      <c r="AL17" s="35">
        <f>+GETPIVOTDATA("XLL4",'langlon (2016)'!$A$3,"MA_HT","LMU","MA_QH","DCH")</f>
        <v>0</v>
      </c>
      <c r="AM17" s="35">
        <f>+GETPIVOTDATA("XLL4",'langlon (2016)'!$A$3,"MA_HT","LMU","MA_QH","DKG")</f>
        <v>0</v>
      </c>
      <c r="AN17" s="35">
        <f>+GETPIVOTDATA("XLL4",'langlon (2016)'!$A$3,"MA_HT","LMU","MA_QH","DDT")</f>
        <v>0</v>
      </c>
      <c r="AO17" s="35">
        <f>+GETPIVOTDATA("XLL4",'langlon (2016)'!$A$3,"MA_HT","LMU","MA_QH","DDL")</f>
        <v>0</v>
      </c>
      <c r="AP17" s="35">
        <f>+GETPIVOTDATA("XLL4",'langlon (2016)'!$A$3,"MA_HT","LMU","MA_QH","DRA")</f>
        <v>0</v>
      </c>
      <c r="AQ17" s="35">
        <f>+GETPIVOTDATA("XLL4",'langlon (2016)'!$A$3,"MA_HT","LMU","MA_QH","ONT")</f>
        <v>0</v>
      </c>
      <c r="AR17" s="35">
        <f>+GETPIVOTDATA("XLL4",'langlon (2016)'!$A$3,"MA_HT","LMU","MA_QH","ODT")</f>
        <v>0</v>
      </c>
      <c r="AS17" s="35">
        <f>+GETPIVOTDATA("XLL4",'langlon (2016)'!$A$3,"MA_HT","LMU","MA_QH","TSC")</f>
        <v>0</v>
      </c>
      <c r="AT17" s="35">
        <f>+GETPIVOTDATA("XLL4",'langlon (2016)'!$A$3,"MA_HT","LMU","MA_QH","DTS")</f>
        <v>0</v>
      </c>
      <c r="AU17" s="35">
        <f>+GETPIVOTDATA("XLL4",'langlon (2016)'!$A$3,"MA_HT","LMU","MA_QH","DNG")</f>
        <v>0</v>
      </c>
      <c r="AV17" s="35">
        <f>+GETPIVOTDATA("XLL4",'langlon (2016)'!$A$3,"MA_HT","LMU","MA_QH","TON")</f>
        <v>0</v>
      </c>
      <c r="AW17" s="35">
        <f>+GETPIVOTDATA("XLL4",'langlon (2016)'!$A$3,"MA_HT","LMU","MA_QH","NTD")</f>
        <v>0</v>
      </c>
      <c r="AX17" s="35">
        <f>+GETPIVOTDATA("XLL4",'langlon (2016)'!$A$3,"MA_HT","LMU","MA_QH","SKX")</f>
        <v>0</v>
      </c>
      <c r="AY17" s="35">
        <f>+GETPIVOTDATA("XLL4",'langlon (2016)'!$A$3,"MA_HT","LMU","MA_QH","DSH")</f>
        <v>0</v>
      </c>
      <c r="AZ17" s="35">
        <f>+GETPIVOTDATA("XLL4",'langlon (2016)'!$A$3,"MA_HT","LMU","MA_QH","DKV")</f>
        <v>0</v>
      </c>
      <c r="BA17" s="140">
        <f>+GETPIVOTDATA("XLL4",'langlon (2016)'!$A$3,"MA_HT","LMU","MA_QH","TIN")</f>
        <v>0</v>
      </c>
      <c r="BB17" s="74">
        <f>+GETPIVOTDATA("XLL4",'langlon (2016)'!$A$3,"MA_HT","LMU","MA_QH","SON")</f>
        <v>0</v>
      </c>
      <c r="BC17" s="74">
        <f>+GETPIVOTDATA("XLL4",'langlon (2016)'!$A$3,"MA_HT","LMU","MA_QH","MNC")</f>
        <v>0</v>
      </c>
      <c r="BD17" s="35">
        <f>+GETPIVOTDATA("XLL4",'langlon (2016)'!$A$3,"MA_HT","LMU","MA_QH","PNK")</f>
        <v>0</v>
      </c>
      <c r="BE17" s="58">
        <f>+GETPIVOTDATA("XLL4",'langlon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+GETPIVOTDATA("XLL4",'langlon (2016)'!$A$3,"MA_HT","NKH","MA_QH","LUC")</f>
        <v>0</v>
      </c>
      <c r="H18" s="35">
        <f>+GETPIVOTDATA("XLL4",'langlon (2016)'!$A$3,"MA_HT","NKH","MA_QH","LUK")</f>
        <v>0</v>
      </c>
      <c r="I18" s="35">
        <f>+GETPIVOTDATA("XLL4",'langlon (2016)'!$A$3,"MA_HT","NKH","MA_QH","LUN")</f>
        <v>0</v>
      </c>
      <c r="J18" s="35">
        <f>+GETPIVOTDATA("XLL4",'langlon (2016)'!$A$3,"MA_HT","NKH","MA_QH","HNK")</f>
        <v>0</v>
      </c>
      <c r="K18" s="35">
        <f>+GETPIVOTDATA("XLL4",'langlon (2016)'!$A$3,"MA_HT","NKH","MA_QH","CLN")</f>
        <v>0</v>
      </c>
      <c r="L18" s="35">
        <f>+GETPIVOTDATA("XLL4",'langlon (2016)'!$A$3,"MA_HT","NKH","MA_QH","RSX")</f>
        <v>0</v>
      </c>
      <c r="M18" s="35">
        <f>+GETPIVOTDATA("XLL4",'langlon (2016)'!$A$3,"MA_HT","NKH","MA_QH","RPH")</f>
        <v>0</v>
      </c>
      <c r="N18" s="35">
        <f>+GETPIVOTDATA("XLL4",'langlon (2016)'!$A$3,"MA_HT","NKH","MA_QH","RDD")</f>
        <v>0</v>
      </c>
      <c r="O18" s="35">
        <f>+GETPIVOTDATA("XLL4",'langlon (2016)'!$A$3,"MA_HT","NKH","MA_QH","NTS")</f>
        <v>0</v>
      </c>
      <c r="P18" s="35">
        <f>+GETPIVOTDATA("XLL4",'langlon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+GETPIVOTDATA("XLL4",'langlon (2016)'!$A$3,"MA_HT","NKH","MA_QH","CQP")</f>
        <v>0</v>
      </c>
      <c r="T18" s="35">
        <f>+GETPIVOTDATA("XLL4",'langlon (2016)'!$A$3,"MA_HT","NKH","MA_QH","CAN")</f>
        <v>0</v>
      </c>
      <c r="U18" s="35">
        <f>+GETPIVOTDATA("XLL4",'langlon (2016)'!$A$3,"MA_HT","NKH","MA_QH","SKK")</f>
        <v>0</v>
      </c>
      <c r="V18" s="35">
        <f>+GETPIVOTDATA("XLL4",'langlon (2016)'!$A$3,"MA_HT","NKH","MA_QH","SKT")</f>
        <v>0</v>
      </c>
      <c r="W18" s="35">
        <f>+GETPIVOTDATA("XLL4",'langlon (2016)'!$A$3,"MA_HT","NKH","MA_QH","SKN")</f>
        <v>0</v>
      </c>
      <c r="X18" s="35">
        <f>+GETPIVOTDATA("XLL4",'langlon (2016)'!$A$3,"MA_HT","NKH","MA_QH","TMD")</f>
        <v>0</v>
      </c>
      <c r="Y18" s="35">
        <f>+GETPIVOTDATA("XLL4",'langlon (2016)'!$A$3,"MA_HT","NKH","MA_QH","SKC")</f>
        <v>0</v>
      </c>
      <c r="Z18" s="35">
        <f>+GETPIVOTDATA("XLL4",'langlon (2016)'!$A$3,"MA_HT","NKH","MA_QH","SKS")</f>
        <v>0</v>
      </c>
      <c r="AA18" s="64">
        <f t="shared" si="4"/>
        <v>0</v>
      </c>
      <c r="AB18" s="35">
        <f>+GETPIVOTDATA("XLL4",'langlon (2016)'!$A$3,"MA_HT","NKH","MA_QH","DGT")</f>
        <v>0</v>
      </c>
      <c r="AC18" s="35">
        <f>+GETPIVOTDATA("XLL4",'langlon (2016)'!$A$3,"MA_HT","NKH","MA_QH","DTL")</f>
        <v>0</v>
      </c>
      <c r="AD18" s="35">
        <f>+GETPIVOTDATA("XLL4",'langlon (2016)'!$A$3,"MA_HT","NKH","MA_QH","DNL")</f>
        <v>0</v>
      </c>
      <c r="AE18" s="35">
        <f>+GETPIVOTDATA("XLL4",'langlon (2016)'!$A$3,"MA_HT","NKH","MA_QH","DBV")</f>
        <v>0</v>
      </c>
      <c r="AF18" s="35">
        <f>+GETPIVOTDATA("XLL4",'langlon (2016)'!$A$3,"MA_HT","NKH","MA_QH","DVH")</f>
        <v>0</v>
      </c>
      <c r="AG18" s="35">
        <f>+GETPIVOTDATA("XLL4",'langlon (2016)'!$A$3,"MA_HT","NKH","MA_QH","DYT")</f>
        <v>0</v>
      </c>
      <c r="AH18" s="35">
        <f>+GETPIVOTDATA("XLL4",'langlon (2016)'!$A$3,"MA_HT","NKH","MA_QH","DGD")</f>
        <v>0</v>
      </c>
      <c r="AI18" s="35">
        <f>+GETPIVOTDATA("XLL4",'langlon (2016)'!$A$3,"MA_HT","NKH","MA_QH","DTT")</f>
        <v>0</v>
      </c>
      <c r="AJ18" s="35">
        <f>+GETPIVOTDATA("XLL4",'langlon (2016)'!$A$3,"MA_HT","NKH","MA_QH","NCK")</f>
        <v>0</v>
      </c>
      <c r="AK18" s="35">
        <f>+GETPIVOTDATA("XLL4",'langlon (2016)'!$A$3,"MA_HT","NKH","MA_QH","DXH")</f>
        <v>0</v>
      </c>
      <c r="AL18" s="35">
        <f>+GETPIVOTDATA("XLL4",'langlon (2016)'!$A$3,"MA_HT","NKH","MA_QH","DCH")</f>
        <v>0</v>
      </c>
      <c r="AM18" s="35">
        <f>+GETPIVOTDATA("XLL4",'langlon (2016)'!$A$3,"MA_HT","NKH","MA_QH","DKG")</f>
        <v>0</v>
      </c>
      <c r="AN18" s="35">
        <f>+GETPIVOTDATA("XLL4",'langlon (2016)'!$A$3,"MA_HT","NKH","MA_QH","DDT")</f>
        <v>0</v>
      </c>
      <c r="AO18" s="35">
        <f>+GETPIVOTDATA("XLL4",'langlon (2016)'!$A$3,"MA_HT","NKH","MA_QH","DDL")</f>
        <v>0</v>
      </c>
      <c r="AP18" s="35">
        <f>+GETPIVOTDATA("XLL4",'langlon (2016)'!$A$3,"MA_HT","NKH","MA_QH","DRA")</f>
        <v>0</v>
      </c>
      <c r="AQ18" s="35">
        <f>+GETPIVOTDATA("XLL4",'langlon (2016)'!$A$3,"MA_HT","NKH","MA_QH","ONT")</f>
        <v>0</v>
      </c>
      <c r="AR18" s="35">
        <f>+GETPIVOTDATA("XLL4",'langlon (2016)'!$A$3,"MA_HT","NKH","MA_QH","ODT")</f>
        <v>0</v>
      </c>
      <c r="AS18" s="35">
        <f>+GETPIVOTDATA("XLL4",'langlon (2016)'!$A$3,"MA_HT","NKH","MA_QH","TSC")</f>
        <v>0</v>
      </c>
      <c r="AT18" s="35">
        <f>+GETPIVOTDATA("XLL4",'langlon (2016)'!$A$3,"MA_HT","NKH","MA_QH","DTS")</f>
        <v>0</v>
      </c>
      <c r="AU18" s="35">
        <f>+GETPIVOTDATA("XLL4",'langlon (2016)'!$A$3,"MA_HT","NKH","MA_QH","DNG")</f>
        <v>0</v>
      </c>
      <c r="AV18" s="35">
        <f>+GETPIVOTDATA("XLL4",'langlon (2016)'!$A$3,"MA_HT","NKH","MA_QH","TON")</f>
        <v>0</v>
      </c>
      <c r="AW18" s="35">
        <f>+GETPIVOTDATA("XLL4",'langlon (2016)'!$A$3,"MA_HT","NKH","MA_QH","NTD")</f>
        <v>0</v>
      </c>
      <c r="AX18" s="35">
        <f>+GETPIVOTDATA("XLL4",'langlon (2016)'!$A$3,"MA_HT","NKH","MA_QH","SKX")</f>
        <v>0</v>
      </c>
      <c r="AY18" s="35">
        <f>+GETPIVOTDATA("XLL4",'langlon (2016)'!$A$3,"MA_HT","NKH","MA_QH","DSH")</f>
        <v>0</v>
      </c>
      <c r="AZ18" s="35">
        <f>+GETPIVOTDATA("XLL4",'langlon (2016)'!$A$3,"MA_HT","NKH","MA_QH","DKV")</f>
        <v>0</v>
      </c>
      <c r="BA18" s="140">
        <f>+GETPIVOTDATA("XLL4",'langlon (2016)'!$A$3,"MA_HT","NKH","MA_QH","TIN")</f>
        <v>0</v>
      </c>
      <c r="BB18" s="74">
        <f>+GETPIVOTDATA("XLL4",'langlon (2016)'!$A$3,"MA_HT","NKH","MA_QH","SON")</f>
        <v>0</v>
      </c>
      <c r="BC18" s="74">
        <f>+GETPIVOTDATA("XLL4",'langlon (2016)'!$A$3,"MA_HT","NKH","MA_QH","MNC")</f>
        <v>0</v>
      </c>
      <c r="BD18" s="35">
        <f>+GETPIVOTDATA("XLL4",'langlon (2016)'!$A$3,"MA_HT","NKH","MA_QH","PNK")</f>
        <v>0</v>
      </c>
      <c r="BE18" s="58">
        <f>+GETPIVOTDATA("XLL4",'langlon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+GETPIVOTDATA("XLL4",'langlon (2016)'!$A$3,"MA_HT","CQP","MA_QH","LUC")</f>
        <v>0</v>
      </c>
      <c r="H20" s="35">
        <f>+GETPIVOTDATA("XLL4",'langlon (2016)'!$A$3,"MA_HT","CQP","MA_QH","LUK")</f>
        <v>0</v>
      </c>
      <c r="I20" s="35">
        <f>+GETPIVOTDATA("XLL4",'langlon (2016)'!$A$3,"MA_HT","CQP","MA_QH","LUN")</f>
        <v>0</v>
      </c>
      <c r="J20" s="35">
        <f>+GETPIVOTDATA("XLL4",'langlon (2016)'!$A$3,"MA_HT","CQP","MA_QH","HNK")</f>
        <v>0</v>
      </c>
      <c r="K20" s="35">
        <f>+GETPIVOTDATA("XLL4",'langlon (2016)'!$A$3,"MA_HT","CQP","MA_QH","CLN")</f>
        <v>0</v>
      </c>
      <c r="L20" s="35">
        <f>+GETPIVOTDATA("XLL4",'langlon (2016)'!$A$3,"MA_HT","CQP","MA_QH","RSX")</f>
        <v>0</v>
      </c>
      <c r="M20" s="35">
        <f>+GETPIVOTDATA("XLL4",'langlon (2016)'!$A$3,"MA_HT","CQP","MA_QH","RPH")</f>
        <v>0</v>
      </c>
      <c r="N20" s="35">
        <f>+GETPIVOTDATA("XLL4",'langlon (2016)'!$A$3,"MA_HT","CQP","MA_QH","RDD")</f>
        <v>0</v>
      </c>
      <c r="O20" s="35">
        <f>+GETPIVOTDATA("XLL4",'langlon (2016)'!$A$3,"MA_HT","CQP","MA_QH","NTS")</f>
        <v>0</v>
      </c>
      <c r="P20" s="35">
        <f>+GETPIVOTDATA("XLL4",'langlon (2016)'!$A$3,"MA_HT","CQP","MA_QH","LMU")</f>
        <v>0</v>
      </c>
      <c r="Q20" s="35">
        <f>+GETPIVOTDATA("XLL4",'langlon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+GETPIVOTDATA("XLL4",'langlon (2016)'!$A$3,"MA_HT","CQP","MA_QH","CAN")</f>
        <v>0</v>
      </c>
      <c r="U20" s="35">
        <f>+GETPIVOTDATA("XLL4",'langlon (2016)'!$A$3,"MA_HT","CQP","MA_QH","SKK")</f>
        <v>0</v>
      </c>
      <c r="V20" s="35">
        <f>+GETPIVOTDATA("XLL4",'langlon (2016)'!$A$3,"MA_HT","CQP","MA_QH","SKT")</f>
        <v>0</v>
      </c>
      <c r="W20" s="35">
        <f>+GETPIVOTDATA("XLL4",'langlon (2016)'!$A$3,"MA_HT","CQP","MA_QH","SKN")</f>
        <v>0</v>
      </c>
      <c r="X20" s="35">
        <f>+GETPIVOTDATA("XLL4",'langlon (2016)'!$A$3,"MA_HT","CQP","MA_QH","TMD")</f>
        <v>0</v>
      </c>
      <c r="Y20" s="35">
        <f>+GETPIVOTDATA("XLL4",'langlon (2016)'!$A$3,"MA_HT","CQP","MA_QH","SKC")</f>
        <v>0</v>
      </c>
      <c r="Z20" s="35">
        <f>+GETPIVOTDATA("XLL4",'langlon (2016)'!$A$3,"MA_HT","CQP","MA_QH","SKS")</f>
        <v>0</v>
      </c>
      <c r="AA20" s="64">
        <f t="shared" ref="AA20:AA27" si="12">+SUM(AB20:AM20)</f>
        <v>0</v>
      </c>
      <c r="AB20" s="35">
        <f>+GETPIVOTDATA("XLL4",'langlon (2016)'!$A$3,"MA_HT","CQP","MA_QH","DGT")</f>
        <v>0</v>
      </c>
      <c r="AC20" s="35">
        <f>+GETPIVOTDATA("XLL4",'langlon (2016)'!$A$3,"MA_HT","CQP","MA_QH","DTL")</f>
        <v>0</v>
      </c>
      <c r="AD20" s="35">
        <f>+GETPIVOTDATA("XLL4",'langlon (2016)'!$A$3,"MA_HT","CQP","MA_QH","DNL")</f>
        <v>0</v>
      </c>
      <c r="AE20" s="35">
        <f>+GETPIVOTDATA("XLL4",'langlon (2016)'!$A$3,"MA_HT","CQP","MA_QH","DBV")</f>
        <v>0</v>
      </c>
      <c r="AF20" s="35">
        <f>+GETPIVOTDATA("XLL4",'langlon (2016)'!$A$3,"MA_HT","CQP","MA_QH","DVH")</f>
        <v>0</v>
      </c>
      <c r="AG20" s="35">
        <f>+GETPIVOTDATA("XLL4",'langlon (2016)'!$A$3,"MA_HT","CQP","MA_QH","DYT")</f>
        <v>0</v>
      </c>
      <c r="AH20" s="35">
        <f>+GETPIVOTDATA("XLL4",'langlon (2016)'!$A$3,"MA_HT","CQP","MA_QH","DGD")</f>
        <v>0</v>
      </c>
      <c r="AI20" s="35">
        <f>+GETPIVOTDATA("XLL4",'langlon (2016)'!$A$3,"MA_HT","CQP","MA_QH","DTT")</f>
        <v>0</v>
      </c>
      <c r="AJ20" s="35">
        <f>+GETPIVOTDATA("XLL4",'langlon (2016)'!$A$3,"MA_HT","CQP","MA_QH","NCK")</f>
        <v>0</v>
      </c>
      <c r="AK20" s="35">
        <f>+GETPIVOTDATA("XLL4",'langlon (2016)'!$A$3,"MA_HT","CQP","MA_QH","DXH")</f>
        <v>0</v>
      </c>
      <c r="AL20" s="35">
        <f>+GETPIVOTDATA("XLL4",'langlon (2016)'!$A$3,"MA_HT","CQP","MA_QH","DCH")</f>
        <v>0</v>
      </c>
      <c r="AM20" s="35">
        <f>+GETPIVOTDATA("XLL4",'langlon (2016)'!$A$3,"MA_HT","CQP","MA_QH","DKG")</f>
        <v>0</v>
      </c>
      <c r="AN20" s="35">
        <f>+GETPIVOTDATA("XLL4",'langlon (2016)'!$A$3,"MA_HT","CQP","MA_QH","DDT")</f>
        <v>0</v>
      </c>
      <c r="AO20" s="35">
        <f>+GETPIVOTDATA("XLL4",'langlon (2016)'!$A$3,"MA_HT","CQP","MA_QH","DDL")</f>
        <v>0</v>
      </c>
      <c r="AP20" s="35">
        <f>+GETPIVOTDATA("XLL4",'langlon (2016)'!$A$3,"MA_HT","CQP","MA_QH","DRA")</f>
        <v>0</v>
      </c>
      <c r="AQ20" s="35">
        <f>+GETPIVOTDATA("XLL4",'langlon (2016)'!$A$3,"MA_HT","CQP","MA_QH","ONT")</f>
        <v>0</v>
      </c>
      <c r="AR20" s="35">
        <f>+GETPIVOTDATA("XLL4",'langlon (2016)'!$A$3,"MA_HT","CQP","MA_QH","ODT")</f>
        <v>0</v>
      </c>
      <c r="AS20" s="35">
        <f>+GETPIVOTDATA("XLL4",'langlon (2016)'!$A$3,"MA_HT","CQP","MA_QH","TSC")</f>
        <v>0</v>
      </c>
      <c r="AT20" s="35">
        <f>+GETPIVOTDATA("XLL4",'langlon (2016)'!$A$3,"MA_HT","CQP","MA_QH","DTS")</f>
        <v>0</v>
      </c>
      <c r="AU20" s="35">
        <f>+GETPIVOTDATA("XLL4",'langlon (2016)'!$A$3,"MA_HT","CQP","MA_QH","DNG")</f>
        <v>0</v>
      </c>
      <c r="AV20" s="35">
        <f>+GETPIVOTDATA("XLL4",'langlon (2016)'!$A$3,"MA_HT","CQP","MA_QH","TON")</f>
        <v>0</v>
      </c>
      <c r="AW20" s="35">
        <f>+GETPIVOTDATA("XLL4",'langlon (2016)'!$A$3,"MA_HT","CQP","MA_QH","NTD")</f>
        <v>0</v>
      </c>
      <c r="AX20" s="35">
        <f>+GETPIVOTDATA("XLL4",'langlon (2016)'!$A$3,"MA_HT","CQP","MA_QH","SKX")</f>
        <v>0</v>
      </c>
      <c r="AY20" s="35">
        <f>+GETPIVOTDATA("XLL4",'langlon (2016)'!$A$3,"MA_HT","CQP","MA_QH","DSH")</f>
        <v>0</v>
      </c>
      <c r="AZ20" s="35">
        <f>+GETPIVOTDATA("XLL4",'langlon (2016)'!$A$3,"MA_HT","CQP","MA_QH","DKV")</f>
        <v>0</v>
      </c>
      <c r="BA20" s="140">
        <f>+GETPIVOTDATA("XLL4",'langlon (2016)'!$A$3,"MA_HT","CQP","MA_QH","TIN")</f>
        <v>0</v>
      </c>
      <c r="BB20" s="74">
        <f>+GETPIVOTDATA("XLL4",'langlon (2016)'!$A$3,"MA_HT","CQP","MA_QH","SON")</f>
        <v>0</v>
      </c>
      <c r="BC20" s="74">
        <f>+GETPIVOTDATA("XLL4",'langlon (2016)'!$A$3,"MA_HT","CQP","MA_QH","MNC")</f>
        <v>0</v>
      </c>
      <c r="BD20" s="35">
        <f>+GETPIVOTDATA("XLL4",'langlon (2016)'!$A$3,"MA_HT","CQP","MA_QH","PNK")</f>
        <v>0</v>
      </c>
      <c r="BE20" s="58">
        <f>+GETPIVOTDATA("XLL4",'langlon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+GETPIVOTDATA("XLL4",'langlon (2016)'!$A$3,"MA_HT","CAN","MA_QH","LUC")</f>
        <v>0</v>
      </c>
      <c r="H21" s="35">
        <f>+GETPIVOTDATA("XLL4",'langlon (2016)'!$A$3,"MA_HT","CAN","MA_QH","LUK")</f>
        <v>0</v>
      </c>
      <c r="I21" s="35">
        <f>+GETPIVOTDATA("XLL4",'langlon (2016)'!$A$3,"MA_HT","CAN","MA_QH","LUN")</f>
        <v>0</v>
      </c>
      <c r="J21" s="35">
        <f>+GETPIVOTDATA("XLL4",'langlon (2016)'!$A$3,"MA_HT","CAN","MA_QH","HNK")</f>
        <v>0</v>
      </c>
      <c r="K21" s="35">
        <f>+GETPIVOTDATA("XLL4",'langlon (2016)'!$A$3,"MA_HT","CAN","MA_QH","CLN")</f>
        <v>0</v>
      </c>
      <c r="L21" s="35">
        <f>+GETPIVOTDATA("XLL4",'langlon (2016)'!$A$3,"MA_HT","CAN","MA_QH","RSX")</f>
        <v>0</v>
      </c>
      <c r="M21" s="35">
        <f>+GETPIVOTDATA("XLL4",'langlon (2016)'!$A$3,"MA_HT","CAN","MA_QH","RPH")</f>
        <v>0</v>
      </c>
      <c r="N21" s="35">
        <f>+GETPIVOTDATA("XLL4",'langlon (2016)'!$A$3,"MA_HT","CAN","MA_QH","RDD")</f>
        <v>0</v>
      </c>
      <c r="O21" s="35">
        <f>+GETPIVOTDATA("XLL4",'langlon (2016)'!$A$3,"MA_HT","CAN","MA_QH","NTS")</f>
        <v>0</v>
      </c>
      <c r="P21" s="35">
        <f>+GETPIVOTDATA("XLL4",'langlon (2016)'!$A$3,"MA_HT","CAN","MA_QH","LMU")</f>
        <v>0</v>
      </c>
      <c r="Q21" s="35">
        <f>+GETPIVOTDATA("XLL4",'langlon (2016)'!$A$3,"MA_HT","CAN","MA_QH","NKH")</f>
        <v>0</v>
      </c>
      <c r="R21" s="63">
        <f>SUM(S21,U21:AA21,AN21:BD21)</f>
        <v>0</v>
      </c>
      <c r="S21" s="35">
        <f>+GETPIVOTDATA("XLL4",'langlon (2016)'!$A$3,"MA_HT","CAN","MA_QH","CQP")</f>
        <v>0</v>
      </c>
      <c r="T21" s="99" t="e">
        <f>$D21-$BF21</f>
        <v>#REF!</v>
      </c>
      <c r="U21" s="35">
        <f>+GETPIVOTDATA("XLL4",'langlon (2016)'!$A$3,"MA_HT","CAN","MA_QH","SKK")</f>
        <v>0</v>
      </c>
      <c r="V21" s="35">
        <f>+GETPIVOTDATA("XLL4",'langlon (2016)'!$A$3,"MA_HT","CAN","MA_QH","SKT")</f>
        <v>0</v>
      </c>
      <c r="W21" s="35">
        <f>+GETPIVOTDATA("XLL4",'langlon (2016)'!$A$3,"MA_HT","CAN","MA_QH","SKN")</f>
        <v>0</v>
      </c>
      <c r="X21" s="35">
        <f>+GETPIVOTDATA("XLL4",'langlon (2016)'!$A$3,"MA_HT","CAN","MA_QH","TMD")</f>
        <v>0</v>
      </c>
      <c r="Y21" s="35">
        <f>+GETPIVOTDATA("XLL4",'langlon (2016)'!$A$3,"MA_HT","CAN","MA_QH","SKC")</f>
        <v>0</v>
      </c>
      <c r="Z21" s="35">
        <f>+GETPIVOTDATA("XLL4",'langlon (2016)'!$A$3,"MA_HT","CAN","MA_QH","SKS")</f>
        <v>0</v>
      </c>
      <c r="AA21" s="64">
        <f t="shared" si="12"/>
        <v>0</v>
      </c>
      <c r="AB21" s="35">
        <f>+GETPIVOTDATA("XLL4",'langlon (2016)'!$A$3,"MA_HT","CAN","MA_QH","DGT")</f>
        <v>0</v>
      </c>
      <c r="AC21" s="35">
        <f>+GETPIVOTDATA("XLL4",'langlon (2016)'!$A$3,"MA_HT","CAN","MA_QH","DTL")</f>
        <v>0</v>
      </c>
      <c r="AD21" s="35">
        <f>+GETPIVOTDATA("XLL4",'langlon (2016)'!$A$3,"MA_HT","CAN","MA_QH","DNL")</f>
        <v>0</v>
      </c>
      <c r="AE21" s="35">
        <f>+GETPIVOTDATA("XLL4",'langlon (2016)'!$A$3,"MA_HT","CAN","MA_QH","DBV")</f>
        <v>0</v>
      </c>
      <c r="AF21" s="35">
        <f>+GETPIVOTDATA("XLL4",'langlon (2016)'!$A$3,"MA_HT","CAN","MA_QH","DVH")</f>
        <v>0</v>
      </c>
      <c r="AG21" s="35">
        <f>+GETPIVOTDATA("XLL4",'langlon (2016)'!$A$3,"MA_HT","CAN","MA_QH","DYT")</f>
        <v>0</v>
      </c>
      <c r="AH21" s="35">
        <f>+GETPIVOTDATA("XLL4",'langlon (2016)'!$A$3,"MA_HT","CAN","MA_QH","DGD")</f>
        <v>0</v>
      </c>
      <c r="AI21" s="35">
        <f>+GETPIVOTDATA("XLL4",'langlon (2016)'!$A$3,"MA_HT","CAN","MA_QH","DTT")</f>
        <v>0</v>
      </c>
      <c r="AJ21" s="35">
        <f>+GETPIVOTDATA("XLL4",'langlon (2016)'!$A$3,"MA_HT","CAN","MA_QH","NCK")</f>
        <v>0</v>
      </c>
      <c r="AK21" s="35">
        <f>+GETPIVOTDATA("XLL4",'langlon (2016)'!$A$3,"MA_HT","CAN","MA_QH","DXH")</f>
        <v>0</v>
      </c>
      <c r="AL21" s="35">
        <f>+GETPIVOTDATA("XLL4",'langlon (2016)'!$A$3,"MA_HT","CAN","MA_QH","DCH")</f>
        <v>0</v>
      </c>
      <c r="AM21" s="35">
        <f>+GETPIVOTDATA("XLL4",'langlon (2016)'!$A$3,"MA_HT","CAN","MA_QH","DKG")</f>
        <v>0</v>
      </c>
      <c r="AN21" s="35">
        <f>+GETPIVOTDATA("XLL4",'langlon (2016)'!$A$3,"MA_HT","CAN","MA_QH","DDT")</f>
        <v>0</v>
      </c>
      <c r="AO21" s="35">
        <f>+GETPIVOTDATA("XLL4",'langlon (2016)'!$A$3,"MA_HT","CAN","MA_QH","DDL")</f>
        <v>0</v>
      </c>
      <c r="AP21" s="35">
        <f>+GETPIVOTDATA("XLL4",'langlon (2016)'!$A$3,"MA_HT","CAN","MA_QH","DRA")</f>
        <v>0</v>
      </c>
      <c r="AQ21" s="35">
        <f>+GETPIVOTDATA("XLL4",'langlon (2016)'!$A$3,"MA_HT","CAN","MA_QH","ONT")</f>
        <v>0</v>
      </c>
      <c r="AR21" s="35">
        <f>+GETPIVOTDATA("XLL4",'langlon (2016)'!$A$3,"MA_HT","CAN","MA_QH","ODT")</f>
        <v>0</v>
      </c>
      <c r="AS21" s="35">
        <f>+GETPIVOTDATA("XLL4",'langlon (2016)'!$A$3,"MA_HT","CAN","MA_QH","TSC")</f>
        <v>0</v>
      </c>
      <c r="AT21" s="35">
        <f>+GETPIVOTDATA("XLL4",'langlon (2016)'!$A$3,"MA_HT","CAN","MA_QH","DTS")</f>
        <v>0</v>
      </c>
      <c r="AU21" s="35">
        <f>+GETPIVOTDATA("XLL4",'langlon (2016)'!$A$3,"MA_HT","CAN","MA_QH","DNG")</f>
        <v>0</v>
      </c>
      <c r="AV21" s="35">
        <f>+GETPIVOTDATA("XLL4",'langlon (2016)'!$A$3,"MA_HT","CAN","MA_QH","TON")</f>
        <v>0</v>
      </c>
      <c r="AW21" s="35">
        <f>+GETPIVOTDATA("XLL4",'langlon (2016)'!$A$3,"MA_HT","CAN","MA_QH","NTD")</f>
        <v>0</v>
      </c>
      <c r="AX21" s="35">
        <f>+GETPIVOTDATA("XLL4",'langlon (2016)'!$A$3,"MA_HT","CAN","MA_QH","SKX")</f>
        <v>0</v>
      </c>
      <c r="AY21" s="35">
        <f>+GETPIVOTDATA("XLL4",'langlon (2016)'!$A$3,"MA_HT","CAN","MA_QH","DSH")</f>
        <v>0</v>
      </c>
      <c r="AZ21" s="35">
        <f>+GETPIVOTDATA("XLL4",'langlon (2016)'!$A$3,"MA_HT","CAN","MA_QH","DKV")</f>
        <v>0</v>
      </c>
      <c r="BA21" s="140">
        <f>+GETPIVOTDATA("XLL4",'langlon (2016)'!$A$3,"MA_HT","CAN","MA_QH","TIN")</f>
        <v>0</v>
      </c>
      <c r="BB21" s="74">
        <f>+GETPIVOTDATA("XLL4",'langlon (2016)'!$A$3,"MA_HT","CAN","MA_QH","SON")</f>
        <v>0</v>
      </c>
      <c r="BC21" s="74">
        <f>+GETPIVOTDATA("XLL4",'langlon (2016)'!$A$3,"MA_HT","CAN","MA_QH","MNC")</f>
        <v>0</v>
      </c>
      <c r="BD21" s="35">
        <f>+GETPIVOTDATA("XLL4",'langlon (2016)'!$A$3,"MA_HT","CAN","MA_QH","PNK")</f>
        <v>0</v>
      </c>
      <c r="BE21" s="58">
        <f>+GETPIVOTDATA("XLL4",'langlon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+GETPIVOTDATA("XLL4",'langlon (2016)'!$A$3,"MA_HT","SKK","MA_QH","LUC")</f>
        <v>0</v>
      </c>
      <c r="H22" s="35">
        <f>+GETPIVOTDATA("XLL4",'langlon (2016)'!$A$3,"MA_HT","SKK","MA_QH","LUK")</f>
        <v>0</v>
      </c>
      <c r="I22" s="35">
        <f>+GETPIVOTDATA("XLL4",'langlon (2016)'!$A$3,"MA_HT","SKK","MA_QH","LUN")</f>
        <v>0</v>
      </c>
      <c r="J22" s="35">
        <f>+GETPIVOTDATA("XLL4",'langlon (2016)'!$A$3,"MA_HT","SKK","MA_QH","HNK")</f>
        <v>0</v>
      </c>
      <c r="K22" s="35">
        <f>+GETPIVOTDATA("XLL4",'langlon (2016)'!$A$3,"MA_HT","SKK","MA_QH","CLN")</f>
        <v>0</v>
      </c>
      <c r="L22" s="35">
        <f>+GETPIVOTDATA("XLL4",'langlon (2016)'!$A$3,"MA_HT","SKK","MA_QH","RSX")</f>
        <v>0</v>
      </c>
      <c r="M22" s="35">
        <f>+GETPIVOTDATA("XLL4",'langlon (2016)'!$A$3,"MA_HT","SKK","MA_QH","RPH")</f>
        <v>0</v>
      </c>
      <c r="N22" s="35">
        <f>+GETPIVOTDATA("XLL4",'langlon (2016)'!$A$3,"MA_HT","SKK","MA_QH","RDD")</f>
        <v>0</v>
      </c>
      <c r="O22" s="35">
        <f>+GETPIVOTDATA("XLL4",'langlon (2016)'!$A$3,"MA_HT","SKK","MA_QH","NTS")</f>
        <v>0</v>
      </c>
      <c r="P22" s="35">
        <f>+GETPIVOTDATA("XLL4",'langlon (2016)'!$A$3,"MA_HT","SKK","MA_QH","LMU")</f>
        <v>0</v>
      </c>
      <c r="Q22" s="35">
        <f>+GETPIVOTDATA("XLL4",'langlon (2016)'!$A$3,"MA_HT","SKK","MA_QH","NKH")</f>
        <v>0</v>
      </c>
      <c r="R22" s="63">
        <f>SUM(S22:T22,V22:AA22,AN22:BD22)</f>
        <v>0</v>
      </c>
      <c r="S22" s="35">
        <f>+GETPIVOTDATA("XLL4",'langlon (2016)'!$A$3,"MA_HT","SKK","MA_QH","CQP")</f>
        <v>0</v>
      </c>
      <c r="T22" s="35">
        <f>+GETPIVOTDATA("XLL4",'langlon (2016)'!$A$3,"MA_HT","SKK","MA_QH","CAN")</f>
        <v>0</v>
      </c>
      <c r="U22" s="99" t="e">
        <f>$D22-$BF22</f>
        <v>#REF!</v>
      </c>
      <c r="V22" s="35">
        <f>+GETPIVOTDATA("XLL4",'langlon (2016)'!$A$3,"MA_HT","SKK","MA_QH","SKT")</f>
        <v>0</v>
      </c>
      <c r="W22" s="35">
        <f>+GETPIVOTDATA("XLL4",'langlon (2016)'!$A$3,"MA_HT","SKK","MA_QH","SKN")</f>
        <v>0</v>
      </c>
      <c r="X22" s="35">
        <f>+GETPIVOTDATA("XLL4",'langlon (2016)'!$A$3,"MA_HT","SKK","MA_QH","TMD")</f>
        <v>0</v>
      </c>
      <c r="Y22" s="35">
        <f>+GETPIVOTDATA("XLL4",'langlon (2016)'!$A$3,"MA_HT","SKK","MA_QH","SKC")</f>
        <v>0</v>
      </c>
      <c r="Z22" s="35">
        <f>+GETPIVOTDATA("XLL4",'langlon (2016)'!$A$3,"MA_HT","SKK","MA_QH","SKS")</f>
        <v>0</v>
      </c>
      <c r="AA22" s="64">
        <f t="shared" si="12"/>
        <v>0</v>
      </c>
      <c r="AB22" s="35">
        <f>+GETPIVOTDATA("XLL4",'langlon (2016)'!$A$3,"MA_HT","SKK","MA_QH","DGT")</f>
        <v>0</v>
      </c>
      <c r="AC22" s="35">
        <f>+GETPIVOTDATA("XLL4",'langlon (2016)'!$A$3,"MA_HT","SKK","MA_QH","DTL")</f>
        <v>0</v>
      </c>
      <c r="AD22" s="35">
        <f>+GETPIVOTDATA("XLL4",'langlon (2016)'!$A$3,"MA_HT","SKK","MA_QH","DNL")</f>
        <v>0</v>
      </c>
      <c r="AE22" s="35">
        <f>+GETPIVOTDATA("XLL4",'langlon (2016)'!$A$3,"MA_HT","SKK","MA_QH","DBV")</f>
        <v>0</v>
      </c>
      <c r="AF22" s="35">
        <f>+GETPIVOTDATA("XLL4",'langlon (2016)'!$A$3,"MA_HT","SKK","MA_QH","DVH")</f>
        <v>0</v>
      </c>
      <c r="AG22" s="35">
        <f>+GETPIVOTDATA("XLL4",'langlon (2016)'!$A$3,"MA_HT","SKK","MA_QH","DYT")</f>
        <v>0</v>
      </c>
      <c r="AH22" s="35">
        <f>+GETPIVOTDATA("XLL4",'langlon (2016)'!$A$3,"MA_HT","SKK","MA_QH","DGD")</f>
        <v>0</v>
      </c>
      <c r="AI22" s="35">
        <f>+GETPIVOTDATA("XLL4",'langlon (2016)'!$A$3,"MA_HT","SKK","MA_QH","DTT")</f>
        <v>0</v>
      </c>
      <c r="AJ22" s="35">
        <f>+GETPIVOTDATA("XLL4",'langlon (2016)'!$A$3,"MA_HT","SKK","MA_QH","NCK")</f>
        <v>0</v>
      </c>
      <c r="AK22" s="35">
        <f>+GETPIVOTDATA("XLL4",'langlon (2016)'!$A$3,"MA_HT","SKK","MA_QH","DXH")</f>
        <v>0</v>
      </c>
      <c r="AL22" s="35">
        <f>+GETPIVOTDATA("XLL4",'langlon (2016)'!$A$3,"MA_HT","SKK","MA_QH","DCH")</f>
        <v>0</v>
      </c>
      <c r="AM22" s="35">
        <f>+GETPIVOTDATA("XLL4",'langlon (2016)'!$A$3,"MA_HT","SKK","MA_QH","DKG")</f>
        <v>0</v>
      </c>
      <c r="AN22" s="35">
        <f>+GETPIVOTDATA("XLL4",'langlon (2016)'!$A$3,"MA_HT","SKK","MA_QH","DDT")</f>
        <v>0</v>
      </c>
      <c r="AO22" s="35">
        <f>+GETPIVOTDATA("XLL4",'langlon (2016)'!$A$3,"MA_HT","SKK","MA_QH","DDL")</f>
        <v>0</v>
      </c>
      <c r="AP22" s="35">
        <f>+GETPIVOTDATA("XLL4",'langlon (2016)'!$A$3,"MA_HT","SKK","MA_QH","DRA")</f>
        <v>0</v>
      </c>
      <c r="AQ22" s="35">
        <f>+GETPIVOTDATA("XLL4",'langlon (2016)'!$A$3,"MA_HT","SKK","MA_QH","ONT")</f>
        <v>0</v>
      </c>
      <c r="AR22" s="35">
        <f>+GETPIVOTDATA("XLL4",'langlon (2016)'!$A$3,"MA_HT","SKK","MA_QH","ODT")</f>
        <v>0</v>
      </c>
      <c r="AS22" s="35">
        <f>+GETPIVOTDATA("XLL4",'langlon (2016)'!$A$3,"MA_HT","SKK","MA_QH","TSC")</f>
        <v>0</v>
      </c>
      <c r="AT22" s="35">
        <f>+GETPIVOTDATA("XLL4",'langlon (2016)'!$A$3,"MA_HT","SKK","MA_QH","DTS")</f>
        <v>0</v>
      </c>
      <c r="AU22" s="35">
        <f>+GETPIVOTDATA("XLL4",'langlon (2016)'!$A$3,"MA_HT","SKK","MA_QH","DNG")</f>
        <v>0</v>
      </c>
      <c r="AV22" s="35">
        <f>+GETPIVOTDATA("XLL4",'langlon (2016)'!$A$3,"MA_HT","SKK","MA_QH","TON")</f>
        <v>0</v>
      </c>
      <c r="AW22" s="35">
        <f>+GETPIVOTDATA("XLL4",'langlon (2016)'!$A$3,"MA_HT","SKK","MA_QH","NTD")</f>
        <v>0</v>
      </c>
      <c r="AX22" s="35">
        <f>+GETPIVOTDATA("XLL4",'langlon (2016)'!$A$3,"MA_HT","SKK","MA_QH","SKX")</f>
        <v>0</v>
      </c>
      <c r="AY22" s="35">
        <f>+GETPIVOTDATA("XLL4",'langlon (2016)'!$A$3,"MA_HT","SKK","MA_QH","DSH")</f>
        <v>0</v>
      </c>
      <c r="AZ22" s="35">
        <f>+GETPIVOTDATA("XLL4",'langlon (2016)'!$A$3,"MA_HT","SKK","MA_QH","DKV")</f>
        <v>0</v>
      </c>
      <c r="BA22" s="140">
        <f>+GETPIVOTDATA("XLL4",'langlon (2016)'!$A$3,"MA_HT","SKK","MA_QH","TIN")</f>
        <v>0</v>
      </c>
      <c r="BB22" s="74">
        <f>+GETPIVOTDATA("XLL4",'langlon (2016)'!$A$3,"MA_HT","SKK","MA_QH","SON")</f>
        <v>0</v>
      </c>
      <c r="BC22" s="74">
        <f>+GETPIVOTDATA("XLL4",'langlon (2016)'!$A$3,"MA_HT","SKK","MA_QH","MNC")</f>
        <v>0</v>
      </c>
      <c r="BD22" s="35">
        <f>+GETPIVOTDATA("XLL4",'langlon (2016)'!$A$3,"MA_HT","SKK","MA_QH","PNK")</f>
        <v>0</v>
      </c>
      <c r="BE22" s="58">
        <f>+GETPIVOTDATA("XLL4",'langlon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+GETPIVOTDATA("XLL4",'langlon (2016)'!$A$3,"MA_HT","SKT","MA_QH","LUC")</f>
        <v>0</v>
      </c>
      <c r="H23" s="35">
        <f>+GETPIVOTDATA("XLL4",'langlon (2016)'!$A$3,"MA_HT","SKT","MA_QH","LUK")</f>
        <v>0</v>
      </c>
      <c r="I23" s="35">
        <f>+GETPIVOTDATA("XLL4",'langlon (2016)'!$A$3,"MA_HT","SKT","MA_QH","LUN")</f>
        <v>0</v>
      </c>
      <c r="J23" s="35">
        <f>+GETPIVOTDATA("XLL4",'langlon (2016)'!$A$3,"MA_HT","SKT","MA_QH","HNK")</f>
        <v>0</v>
      </c>
      <c r="K23" s="35">
        <f>+GETPIVOTDATA("XLL4",'langlon (2016)'!$A$3,"MA_HT","SKT","MA_QH","CLN")</f>
        <v>0</v>
      </c>
      <c r="L23" s="35">
        <f>+GETPIVOTDATA("XLL4",'langlon (2016)'!$A$3,"MA_HT","SKT","MA_QH","RSX")</f>
        <v>0</v>
      </c>
      <c r="M23" s="35">
        <f>+GETPIVOTDATA("XLL4",'langlon (2016)'!$A$3,"MA_HT","SKT","MA_QH","RPH")</f>
        <v>0</v>
      </c>
      <c r="N23" s="35">
        <f>+GETPIVOTDATA("XLL4",'langlon (2016)'!$A$3,"MA_HT","SKT","MA_QH","RDD")</f>
        <v>0</v>
      </c>
      <c r="O23" s="35">
        <f>+GETPIVOTDATA("XLL4",'langlon (2016)'!$A$3,"MA_HT","SKT","MA_QH","NTS")</f>
        <v>0</v>
      </c>
      <c r="P23" s="35">
        <f>+GETPIVOTDATA("XLL4",'langlon (2016)'!$A$3,"MA_HT","SKT","MA_QH","LMU")</f>
        <v>0</v>
      </c>
      <c r="Q23" s="35">
        <f>+GETPIVOTDATA("XLL4",'langlon (2016)'!$A$3,"MA_HT","SKT","MA_QH","NKH")</f>
        <v>0</v>
      </c>
      <c r="R23" s="63">
        <f>SUM(S23:U23,W23:AA23,AN23:BD23)</f>
        <v>0</v>
      </c>
      <c r="S23" s="35">
        <f>+GETPIVOTDATA("XLL4",'langlon (2016)'!$A$3,"MA_HT","SKT","MA_QH","CQP")</f>
        <v>0</v>
      </c>
      <c r="T23" s="35">
        <f>+GETPIVOTDATA("XLL4",'langlon (2016)'!$A$3,"MA_HT","SKT","MA_QH","CAN")</f>
        <v>0</v>
      </c>
      <c r="U23" s="35">
        <f>+GETPIVOTDATA("XLL4",'langlon (2016)'!$A$3,"MA_HT","SKT","MA_QH","SKK")</f>
        <v>0</v>
      </c>
      <c r="V23" s="99" t="e">
        <f>$D23-$BF23</f>
        <v>#REF!</v>
      </c>
      <c r="W23" s="35">
        <f>+GETPIVOTDATA("XLL4",'langlon (2016)'!$A$3,"MA_HT","SKT","MA_QH","SKN")</f>
        <v>0</v>
      </c>
      <c r="X23" s="35">
        <f>+GETPIVOTDATA("XLL4",'langlon (2016)'!$A$3,"MA_HT","SKT","MA_QH","TMD")</f>
        <v>0</v>
      </c>
      <c r="Y23" s="35">
        <f>+GETPIVOTDATA("XLL4",'langlon (2016)'!$A$3,"MA_HT","SKT","MA_QH","SKC")</f>
        <v>0</v>
      </c>
      <c r="Z23" s="35">
        <f>+GETPIVOTDATA("XLL4",'langlon (2016)'!$A$3,"MA_HT","SKT","MA_QH","SKS")</f>
        <v>0</v>
      </c>
      <c r="AA23" s="64">
        <f t="shared" si="12"/>
        <v>0</v>
      </c>
      <c r="AB23" s="35">
        <f>+GETPIVOTDATA("XLL4",'langlon (2016)'!$A$3,"MA_HT","SKT","MA_QH","DGT")</f>
        <v>0</v>
      </c>
      <c r="AC23" s="35">
        <f>+GETPIVOTDATA("XLL4",'langlon (2016)'!$A$3,"MA_HT","SKT","MA_QH","DTL")</f>
        <v>0</v>
      </c>
      <c r="AD23" s="35">
        <f>+GETPIVOTDATA("XLL4",'langlon (2016)'!$A$3,"MA_HT","SKT","MA_QH","DNL")</f>
        <v>0</v>
      </c>
      <c r="AE23" s="35">
        <f>+GETPIVOTDATA("XLL4",'langlon (2016)'!$A$3,"MA_HT","SKT","MA_QH","DBV")</f>
        <v>0</v>
      </c>
      <c r="AF23" s="35">
        <f>+GETPIVOTDATA("XLL4",'langlon (2016)'!$A$3,"MA_HT","SKT","MA_QH","DVH")</f>
        <v>0</v>
      </c>
      <c r="AG23" s="35">
        <f>+GETPIVOTDATA("XLL4",'langlon (2016)'!$A$3,"MA_HT","SKT","MA_QH","DYT")</f>
        <v>0</v>
      </c>
      <c r="AH23" s="35">
        <f>+GETPIVOTDATA("XLL4",'langlon (2016)'!$A$3,"MA_HT","SKT","MA_QH","DGD")</f>
        <v>0</v>
      </c>
      <c r="AI23" s="35">
        <f>+GETPIVOTDATA("XLL4",'langlon (2016)'!$A$3,"MA_HT","SKT","MA_QH","DTT")</f>
        <v>0</v>
      </c>
      <c r="AJ23" s="35">
        <f>+GETPIVOTDATA("XLL4",'langlon (2016)'!$A$3,"MA_HT","SKT","MA_QH","NCK")</f>
        <v>0</v>
      </c>
      <c r="AK23" s="35">
        <f>+GETPIVOTDATA("XLL4",'langlon (2016)'!$A$3,"MA_HT","SKT","MA_QH","DXH")</f>
        <v>0</v>
      </c>
      <c r="AL23" s="35">
        <f>+GETPIVOTDATA("XLL4",'langlon (2016)'!$A$3,"MA_HT","SKT","MA_QH","DCH")</f>
        <v>0</v>
      </c>
      <c r="AM23" s="35">
        <f>+GETPIVOTDATA("XLL4",'langlon (2016)'!$A$3,"MA_HT","SKT","MA_QH","DKG")</f>
        <v>0</v>
      </c>
      <c r="AN23" s="35">
        <f>+GETPIVOTDATA("XLL4",'langlon (2016)'!$A$3,"MA_HT","SKT","MA_QH","DDT")</f>
        <v>0</v>
      </c>
      <c r="AO23" s="35">
        <f>+GETPIVOTDATA("XLL4",'langlon (2016)'!$A$3,"MA_HT","SKT","MA_QH","DDL")</f>
        <v>0</v>
      </c>
      <c r="AP23" s="35">
        <f>+GETPIVOTDATA("XLL4",'langlon (2016)'!$A$3,"MA_HT","SKT","MA_QH","DRA")</f>
        <v>0</v>
      </c>
      <c r="AQ23" s="35">
        <f>+GETPIVOTDATA("XLL4",'langlon (2016)'!$A$3,"MA_HT","SKT","MA_QH","ONT")</f>
        <v>0</v>
      </c>
      <c r="AR23" s="35">
        <f>+GETPIVOTDATA("XLL4",'langlon (2016)'!$A$3,"MA_HT","SKT","MA_QH","ODT")</f>
        <v>0</v>
      </c>
      <c r="AS23" s="35">
        <f>+GETPIVOTDATA("XLL4",'langlon (2016)'!$A$3,"MA_HT","SKT","MA_QH","TSC")</f>
        <v>0</v>
      </c>
      <c r="AT23" s="35">
        <f>+GETPIVOTDATA("XLL4",'langlon (2016)'!$A$3,"MA_HT","SKT","MA_QH","DTS")</f>
        <v>0</v>
      </c>
      <c r="AU23" s="35">
        <f>+GETPIVOTDATA("XLL4",'langlon (2016)'!$A$3,"MA_HT","SKT","MA_QH","DNG")</f>
        <v>0</v>
      </c>
      <c r="AV23" s="35">
        <f>+GETPIVOTDATA("XLL4",'langlon (2016)'!$A$3,"MA_HT","SKT","MA_QH","TON")</f>
        <v>0</v>
      </c>
      <c r="AW23" s="35">
        <f>+GETPIVOTDATA("XLL4",'langlon (2016)'!$A$3,"MA_HT","SKT","MA_QH","NTD")</f>
        <v>0</v>
      </c>
      <c r="AX23" s="35">
        <f>+GETPIVOTDATA("XLL4",'langlon (2016)'!$A$3,"MA_HT","SKT","MA_QH","SKX")</f>
        <v>0</v>
      </c>
      <c r="AY23" s="35">
        <f>+GETPIVOTDATA("XLL4",'langlon (2016)'!$A$3,"MA_HT","SKT","MA_QH","DSH")</f>
        <v>0</v>
      </c>
      <c r="AZ23" s="35">
        <f>+GETPIVOTDATA("XLL4",'langlon (2016)'!$A$3,"MA_HT","SKT","MA_QH","DKV")</f>
        <v>0</v>
      </c>
      <c r="BA23" s="140">
        <f>+GETPIVOTDATA("XLL4",'langlon (2016)'!$A$3,"MA_HT","SKT","MA_QH","TIN")</f>
        <v>0</v>
      </c>
      <c r="BB23" s="74">
        <f>+GETPIVOTDATA("XLL4",'langlon (2016)'!$A$3,"MA_HT","SKT","MA_QH","SON")</f>
        <v>0</v>
      </c>
      <c r="BC23" s="74">
        <f>+GETPIVOTDATA("XLL4",'langlon (2016)'!$A$3,"MA_HT","SKT","MA_QH","MNC")</f>
        <v>0</v>
      </c>
      <c r="BD23" s="35">
        <f>+GETPIVOTDATA("XLL4",'langlon (2016)'!$A$3,"MA_HT","SKT","MA_QH","PNK")</f>
        <v>0</v>
      </c>
      <c r="BE23" s="58">
        <f>+GETPIVOTDATA("XLL4",'langlon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+GETPIVOTDATA("XLL4",'langlon (2016)'!$A$3,"MA_HT","SKN","MA_QH","LUC")</f>
        <v>0</v>
      </c>
      <c r="H24" s="35">
        <f>+GETPIVOTDATA("XLL4",'langlon (2016)'!$A$3,"MA_HT","SKN","MA_QH","LUK")</f>
        <v>0</v>
      </c>
      <c r="I24" s="35">
        <f>+GETPIVOTDATA("XLL4",'langlon (2016)'!$A$3,"MA_HT","SKN","MA_QH","LUN")</f>
        <v>0</v>
      </c>
      <c r="J24" s="35">
        <f>+GETPIVOTDATA("XLL4",'langlon (2016)'!$A$3,"MA_HT","SKN","MA_QH","HNK")</f>
        <v>0</v>
      </c>
      <c r="K24" s="35">
        <f>+GETPIVOTDATA("XLL4",'langlon (2016)'!$A$3,"MA_HT","SKN","MA_QH","CLN")</f>
        <v>0</v>
      </c>
      <c r="L24" s="35">
        <f>+GETPIVOTDATA("XLL4",'langlon (2016)'!$A$3,"MA_HT","SKN","MA_QH","RSX")</f>
        <v>0</v>
      </c>
      <c r="M24" s="35">
        <f>+GETPIVOTDATA("XLL4",'langlon (2016)'!$A$3,"MA_HT","SKN","MA_QH","RPH")</f>
        <v>0</v>
      </c>
      <c r="N24" s="35">
        <f>+GETPIVOTDATA("XLL4",'langlon (2016)'!$A$3,"MA_HT","SKN","MA_QH","RDD")</f>
        <v>0</v>
      </c>
      <c r="O24" s="35">
        <f>+GETPIVOTDATA("XLL4",'langlon (2016)'!$A$3,"MA_HT","SKN","MA_QH","NTS")</f>
        <v>0</v>
      </c>
      <c r="P24" s="35">
        <f>+GETPIVOTDATA("XLL4",'langlon (2016)'!$A$3,"MA_HT","SKN","MA_QH","LMU")</f>
        <v>0</v>
      </c>
      <c r="Q24" s="35">
        <f>+GETPIVOTDATA("XLL4",'langlon (2016)'!$A$3,"MA_HT","SKN","MA_QH","NKH")</f>
        <v>0</v>
      </c>
      <c r="R24" s="63">
        <f>SUM(S24:V24,X24:AA24,AN24:BD24)</f>
        <v>0</v>
      </c>
      <c r="S24" s="35">
        <f>+GETPIVOTDATA("XLL4",'langlon (2016)'!$A$3,"MA_HT","SKN","MA_QH","CQP")</f>
        <v>0</v>
      </c>
      <c r="T24" s="35">
        <f>+GETPIVOTDATA("XLL4",'langlon (2016)'!$A$3,"MA_HT","SKN","MA_QH","CAN")</f>
        <v>0</v>
      </c>
      <c r="U24" s="35">
        <f>+GETPIVOTDATA("XLL4",'langlon (2016)'!$A$3,"MA_HT","SKN","MA_QH","SKK")</f>
        <v>0</v>
      </c>
      <c r="V24" s="35">
        <f>+GETPIVOTDATA("XLL4",'langlon (2016)'!$A$3,"MA_HT","SKN","MA_QH","SKT")</f>
        <v>0</v>
      </c>
      <c r="W24" s="99" t="e">
        <f>$D24-$BF24</f>
        <v>#REF!</v>
      </c>
      <c r="X24" s="35">
        <f>+GETPIVOTDATA("XLL4",'langlon (2016)'!$A$3,"MA_HT","SKN","MA_QH","TMD")</f>
        <v>0</v>
      </c>
      <c r="Y24" s="35">
        <f>+GETPIVOTDATA("XLL4",'langlon (2016)'!$A$3,"MA_HT","SKN","MA_QH","SKC")</f>
        <v>0</v>
      </c>
      <c r="Z24" s="35">
        <f>+GETPIVOTDATA("XLL4",'langlon (2016)'!$A$3,"MA_HT","SKN","MA_QH","SKS")</f>
        <v>0</v>
      </c>
      <c r="AA24" s="64">
        <f t="shared" si="12"/>
        <v>0</v>
      </c>
      <c r="AB24" s="35">
        <f>+GETPIVOTDATA("XLL4",'langlon (2016)'!$A$3,"MA_HT","SKN","MA_QH","DGT")</f>
        <v>0</v>
      </c>
      <c r="AC24" s="35">
        <f>+GETPIVOTDATA("XLL4",'langlon (2016)'!$A$3,"MA_HT","SKN","MA_QH","DTL")</f>
        <v>0</v>
      </c>
      <c r="AD24" s="35">
        <f>+GETPIVOTDATA("XLL4",'langlon (2016)'!$A$3,"MA_HT","SKN","MA_QH","DNL")</f>
        <v>0</v>
      </c>
      <c r="AE24" s="35">
        <f>+GETPIVOTDATA("XLL4",'langlon (2016)'!$A$3,"MA_HT","SKN","MA_QH","DBV")</f>
        <v>0</v>
      </c>
      <c r="AF24" s="35">
        <f>+GETPIVOTDATA("XLL4",'langlon (2016)'!$A$3,"MA_HT","SKN","MA_QH","DVH")</f>
        <v>0</v>
      </c>
      <c r="AG24" s="35">
        <f>+GETPIVOTDATA("XLL4",'langlon (2016)'!$A$3,"MA_HT","SKN","MA_QH","DYT")</f>
        <v>0</v>
      </c>
      <c r="AH24" s="35">
        <f>+GETPIVOTDATA("XLL4",'langlon (2016)'!$A$3,"MA_HT","SKN","MA_QH","DGD")</f>
        <v>0</v>
      </c>
      <c r="AI24" s="35">
        <f>+GETPIVOTDATA("XLL4",'langlon (2016)'!$A$3,"MA_HT","SKN","MA_QH","DTT")</f>
        <v>0</v>
      </c>
      <c r="AJ24" s="35">
        <f>+GETPIVOTDATA("XLL4",'langlon (2016)'!$A$3,"MA_HT","SKN","MA_QH","NCK")</f>
        <v>0</v>
      </c>
      <c r="AK24" s="35">
        <f>+GETPIVOTDATA("XLL4",'langlon (2016)'!$A$3,"MA_HT","SKN","MA_QH","DXH")</f>
        <v>0</v>
      </c>
      <c r="AL24" s="35">
        <f>+GETPIVOTDATA("XLL4",'langlon (2016)'!$A$3,"MA_HT","SKN","MA_QH","DCH")</f>
        <v>0</v>
      </c>
      <c r="AM24" s="35">
        <f>+GETPIVOTDATA("XLL4",'langlon (2016)'!$A$3,"MA_HT","SKN","MA_QH","DKG")</f>
        <v>0</v>
      </c>
      <c r="AN24" s="35">
        <f>+GETPIVOTDATA("XLL4",'langlon (2016)'!$A$3,"MA_HT","SKN","MA_QH","DDT")</f>
        <v>0</v>
      </c>
      <c r="AO24" s="35">
        <f>+GETPIVOTDATA("XLL4",'langlon (2016)'!$A$3,"MA_HT","SKN","MA_QH","DDL")</f>
        <v>0</v>
      </c>
      <c r="AP24" s="35">
        <f>+GETPIVOTDATA("XLL4",'langlon (2016)'!$A$3,"MA_HT","SKN","MA_QH","DRA")</f>
        <v>0</v>
      </c>
      <c r="AQ24" s="35">
        <f>+GETPIVOTDATA("XLL4",'langlon (2016)'!$A$3,"MA_HT","SKN","MA_QH","ONT")</f>
        <v>0</v>
      </c>
      <c r="AR24" s="35">
        <f>+GETPIVOTDATA("XLL4",'langlon (2016)'!$A$3,"MA_HT","SKN","MA_QH","ODT")</f>
        <v>0</v>
      </c>
      <c r="AS24" s="35">
        <f>+GETPIVOTDATA("XLL4",'langlon (2016)'!$A$3,"MA_HT","SKN","MA_QH","TSC")</f>
        <v>0</v>
      </c>
      <c r="AT24" s="35">
        <f>+GETPIVOTDATA("XLL4",'langlon (2016)'!$A$3,"MA_HT","SKN","MA_QH","DTS")</f>
        <v>0</v>
      </c>
      <c r="AU24" s="35">
        <f>+GETPIVOTDATA("XLL4",'langlon (2016)'!$A$3,"MA_HT","SKN","MA_QH","DNG")</f>
        <v>0</v>
      </c>
      <c r="AV24" s="35">
        <f>+GETPIVOTDATA("XLL4",'langlon (2016)'!$A$3,"MA_HT","SKN","MA_QH","TON")</f>
        <v>0</v>
      </c>
      <c r="AW24" s="35">
        <f>+GETPIVOTDATA("XLL4",'langlon (2016)'!$A$3,"MA_HT","SKN","MA_QH","NTD")</f>
        <v>0</v>
      </c>
      <c r="AX24" s="35">
        <f>+GETPIVOTDATA("XLL4",'langlon (2016)'!$A$3,"MA_HT","SKN","MA_QH","SKX")</f>
        <v>0</v>
      </c>
      <c r="AY24" s="35">
        <f>+GETPIVOTDATA("XLL4",'langlon (2016)'!$A$3,"MA_HT","SKN","MA_QH","DSH")</f>
        <v>0</v>
      </c>
      <c r="AZ24" s="35">
        <f>+GETPIVOTDATA("XLL4",'langlon (2016)'!$A$3,"MA_HT","SKN","MA_QH","DKV")</f>
        <v>0</v>
      </c>
      <c r="BA24" s="140">
        <f>+GETPIVOTDATA("XLL4",'langlon (2016)'!$A$3,"MA_HT","SKN","MA_QH","TIN")</f>
        <v>0</v>
      </c>
      <c r="BB24" s="74">
        <f>+GETPIVOTDATA("XLL4",'langlon (2016)'!$A$3,"MA_HT","SKN","MA_QH","SON")</f>
        <v>0</v>
      </c>
      <c r="BC24" s="74">
        <f>+GETPIVOTDATA("XLL4",'langlon (2016)'!$A$3,"MA_HT","SKN","MA_QH","MNC")</f>
        <v>0</v>
      </c>
      <c r="BD24" s="35">
        <f>+GETPIVOTDATA("XLL4",'langlon (2016)'!$A$3,"MA_HT","SKN","MA_QH","PNK")</f>
        <v>0</v>
      </c>
      <c r="BE24" s="58">
        <f>+GETPIVOTDATA("XLL4",'langlon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+GETPIVOTDATA("XLL4",'langlon (2016)'!$A$3,"MA_HT","TMD","MA_QH","LUC")</f>
        <v>0</v>
      </c>
      <c r="H25" s="35">
        <f>+GETPIVOTDATA("XLL4",'langlon (2016)'!$A$3,"MA_HT","TMD","MA_QH","LUK")</f>
        <v>0</v>
      </c>
      <c r="I25" s="35">
        <f>+GETPIVOTDATA("XLL4",'langlon (2016)'!$A$3,"MA_HT","TMD","MA_QH","LUN")</f>
        <v>0</v>
      </c>
      <c r="J25" s="35">
        <f>+GETPIVOTDATA("XLL4",'langlon (2016)'!$A$3,"MA_HT","TMD","MA_QH","HNK")</f>
        <v>0</v>
      </c>
      <c r="K25" s="35">
        <f>+GETPIVOTDATA("XLL4",'langlon (2016)'!$A$3,"MA_HT","TMD","MA_QH","CLN")</f>
        <v>0</v>
      </c>
      <c r="L25" s="35">
        <f>+GETPIVOTDATA("XLL4",'langlon (2016)'!$A$3,"MA_HT","TMD","MA_QH","RSX")</f>
        <v>0</v>
      </c>
      <c r="M25" s="35">
        <f>+GETPIVOTDATA("XLL4",'langlon (2016)'!$A$3,"MA_HT","TMD","MA_QH","RPH")</f>
        <v>0</v>
      </c>
      <c r="N25" s="35">
        <f>+GETPIVOTDATA("XLL4",'langlon (2016)'!$A$3,"MA_HT","TMD","MA_QH","RDD")</f>
        <v>0</v>
      </c>
      <c r="O25" s="35">
        <f>+GETPIVOTDATA("XLL4",'langlon (2016)'!$A$3,"MA_HT","TMD","MA_QH","NTS")</f>
        <v>0</v>
      </c>
      <c r="P25" s="35">
        <f>+GETPIVOTDATA("XLL4",'langlon (2016)'!$A$3,"MA_HT","TMD","MA_QH","LMU")</f>
        <v>0</v>
      </c>
      <c r="Q25" s="35">
        <f>+GETPIVOTDATA("XLL4",'langlon (2016)'!$A$3,"MA_HT","TMD","MA_QH","NKH")</f>
        <v>0</v>
      </c>
      <c r="R25" s="63">
        <f>SUM(S25:W25,Y25:AA25,AN25:BD25)</f>
        <v>0</v>
      </c>
      <c r="S25" s="35">
        <f>+GETPIVOTDATA("XLL4",'langlon (2016)'!$A$3,"MA_HT","TMD","MA_QH","CQP")</f>
        <v>0</v>
      </c>
      <c r="T25" s="35">
        <f>+GETPIVOTDATA("XLL4",'langlon (2016)'!$A$3,"MA_HT","TMD","MA_QH","CAN")</f>
        <v>0</v>
      </c>
      <c r="U25" s="35">
        <f>+GETPIVOTDATA("XLL4",'langlon (2016)'!$A$3,"MA_HT","TMD","MA_QH","SKK")</f>
        <v>0</v>
      </c>
      <c r="V25" s="35">
        <f>+GETPIVOTDATA("XLL4",'langlon (2016)'!$A$3,"MA_HT","TMD","MA_QH","SKT")</f>
        <v>0</v>
      </c>
      <c r="W25" s="35">
        <f>+GETPIVOTDATA("XLL4",'langlon (2016)'!$A$3,"MA_HT","TMD","MA_QH","SKN")</f>
        <v>0</v>
      </c>
      <c r="X25" s="99" t="e">
        <f>$D25-$BF25</f>
        <v>#REF!</v>
      </c>
      <c r="Y25" s="35">
        <f>+GETPIVOTDATA("XLL4",'langlon (2016)'!$A$3,"MA_HT","TMD","MA_QH","SKC")</f>
        <v>0</v>
      </c>
      <c r="Z25" s="35">
        <f>+GETPIVOTDATA("XLL4",'langlon (2016)'!$A$3,"MA_HT","TMD","MA_QH","SKS")</f>
        <v>0</v>
      </c>
      <c r="AA25" s="64">
        <f t="shared" si="12"/>
        <v>0</v>
      </c>
      <c r="AB25" s="35">
        <f>+GETPIVOTDATA("XLL4",'langlon (2016)'!$A$3,"MA_HT","TMD","MA_QH","DGT")</f>
        <v>0</v>
      </c>
      <c r="AC25" s="35">
        <f>+GETPIVOTDATA("XLL4",'langlon (2016)'!$A$3,"MA_HT","TMD","MA_QH","DTL")</f>
        <v>0</v>
      </c>
      <c r="AD25" s="35">
        <f>+GETPIVOTDATA("XLL4",'langlon (2016)'!$A$3,"MA_HT","TMD","MA_QH","DNL")</f>
        <v>0</v>
      </c>
      <c r="AE25" s="35">
        <f>+GETPIVOTDATA("XLL4",'langlon (2016)'!$A$3,"MA_HT","TMD","MA_QH","DBV")</f>
        <v>0</v>
      </c>
      <c r="AF25" s="35">
        <f>+GETPIVOTDATA("XLL4",'langlon (2016)'!$A$3,"MA_HT","TMD","MA_QH","DVH")</f>
        <v>0</v>
      </c>
      <c r="AG25" s="35">
        <f>+GETPIVOTDATA("XLL4",'langlon (2016)'!$A$3,"MA_HT","TMD","MA_QH","DYT")</f>
        <v>0</v>
      </c>
      <c r="AH25" s="35">
        <f>+GETPIVOTDATA("XLL4",'langlon (2016)'!$A$3,"MA_HT","TMD","MA_QH","DGD")</f>
        <v>0</v>
      </c>
      <c r="AI25" s="35">
        <f>+GETPIVOTDATA("XLL4",'langlon (2016)'!$A$3,"MA_HT","TMD","MA_QH","DTT")</f>
        <v>0</v>
      </c>
      <c r="AJ25" s="35">
        <f>+GETPIVOTDATA("XLL4",'langlon (2016)'!$A$3,"MA_HT","TMD","MA_QH","NCK")</f>
        <v>0</v>
      </c>
      <c r="AK25" s="35">
        <f>+GETPIVOTDATA("XLL4",'langlon (2016)'!$A$3,"MA_HT","TMD","MA_QH","DXH")</f>
        <v>0</v>
      </c>
      <c r="AL25" s="35">
        <f>+GETPIVOTDATA("XLL4",'langlon (2016)'!$A$3,"MA_HT","TMD","MA_QH","DCH")</f>
        <v>0</v>
      </c>
      <c r="AM25" s="35">
        <f>+GETPIVOTDATA("XLL4",'langlon (2016)'!$A$3,"MA_HT","TMD","MA_QH","DKG")</f>
        <v>0</v>
      </c>
      <c r="AN25" s="35">
        <f>+GETPIVOTDATA("XLL4",'langlon (2016)'!$A$3,"MA_HT","TMD","MA_QH","DDT")</f>
        <v>0</v>
      </c>
      <c r="AO25" s="35">
        <f>+GETPIVOTDATA("XLL4",'langlon (2016)'!$A$3,"MA_HT","TMD","MA_QH","DDL")</f>
        <v>0</v>
      </c>
      <c r="AP25" s="35">
        <f>+GETPIVOTDATA("XLL4",'langlon (2016)'!$A$3,"MA_HT","TMD","MA_QH","DRA")</f>
        <v>0</v>
      </c>
      <c r="AQ25" s="35">
        <f>+GETPIVOTDATA("XLL4",'langlon (2016)'!$A$3,"MA_HT","TMD","MA_QH","ONT")</f>
        <v>0</v>
      </c>
      <c r="AR25" s="35">
        <f>+GETPIVOTDATA("XLL4",'langlon (2016)'!$A$3,"MA_HT","TMD","MA_QH","ODT")</f>
        <v>0</v>
      </c>
      <c r="AS25" s="35">
        <f>+GETPIVOTDATA("XLL4",'langlon (2016)'!$A$3,"MA_HT","TMD","MA_QH","TSC")</f>
        <v>0</v>
      </c>
      <c r="AT25" s="35">
        <f>+GETPIVOTDATA("XLL4",'langlon (2016)'!$A$3,"MA_HT","TMD","MA_QH","DTS")</f>
        <v>0</v>
      </c>
      <c r="AU25" s="35">
        <f>+GETPIVOTDATA("XLL4",'langlon (2016)'!$A$3,"MA_HT","TMD","MA_QH","DNG")</f>
        <v>0</v>
      </c>
      <c r="AV25" s="35">
        <f>+GETPIVOTDATA("XLL4",'langlon (2016)'!$A$3,"MA_HT","TMD","MA_QH","TON")</f>
        <v>0</v>
      </c>
      <c r="AW25" s="35">
        <f>+GETPIVOTDATA("XLL4",'langlon (2016)'!$A$3,"MA_HT","TMD","MA_QH","NTD")</f>
        <v>0</v>
      </c>
      <c r="AX25" s="35">
        <f>+GETPIVOTDATA("XLL4",'langlon (2016)'!$A$3,"MA_HT","TMD","MA_QH","SKX")</f>
        <v>0</v>
      </c>
      <c r="AY25" s="35">
        <f>+GETPIVOTDATA("XLL4",'langlon (2016)'!$A$3,"MA_HT","TMD","MA_QH","DSH")</f>
        <v>0</v>
      </c>
      <c r="AZ25" s="35">
        <f>+GETPIVOTDATA("XLL4",'langlon (2016)'!$A$3,"MA_HT","TMD","MA_QH","DKV")</f>
        <v>0</v>
      </c>
      <c r="BA25" s="140">
        <f>+GETPIVOTDATA("XLL4",'langlon (2016)'!$A$3,"MA_HT","TMD","MA_QH","TIN")</f>
        <v>0</v>
      </c>
      <c r="BB25" s="74">
        <f>+GETPIVOTDATA("XLL4",'langlon (2016)'!$A$3,"MA_HT","TMD","MA_QH","SON")</f>
        <v>0</v>
      </c>
      <c r="BC25" s="74">
        <f>+GETPIVOTDATA("XLL4",'langlon (2016)'!$A$3,"MA_HT","TMD","MA_QH","MNC")</f>
        <v>0</v>
      </c>
      <c r="BD25" s="35">
        <f>+GETPIVOTDATA("XLL4",'langlon (2016)'!$A$3,"MA_HT","TMD","MA_QH","PNK")</f>
        <v>0</v>
      </c>
      <c r="BE25" s="58">
        <f>+GETPIVOTDATA("XLL4",'langlon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+GETPIVOTDATA("XLL4",'langlon (2016)'!$A$3,"MA_HT","SKC","MA_QH","LUC")</f>
        <v>0</v>
      </c>
      <c r="H26" s="35">
        <f>+GETPIVOTDATA("XLL4",'langlon (2016)'!$A$3,"MA_HT","SKC","MA_QH","LUK")</f>
        <v>0</v>
      </c>
      <c r="I26" s="35">
        <f>+GETPIVOTDATA("XLL4",'langlon (2016)'!$A$3,"MA_HT","SKC","MA_QH","LUN")</f>
        <v>0</v>
      </c>
      <c r="J26" s="35">
        <f>+GETPIVOTDATA("XLL4",'langlon (2016)'!$A$3,"MA_HT","SKC","MA_QH","HNK")</f>
        <v>0</v>
      </c>
      <c r="K26" s="35">
        <f>+GETPIVOTDATA("XLL4",'langlon (2016)'!$A$3,"MA_HT","SKC","MA_QH","CLN")</f>
        <v>0</v>
      </c>
      <c r="L26" s="35">
        <f>+GETPIVOTDATA("XLL4",'langlon (2016)'!$A$3,"MA_HT","SKC","MA_QH","RSX")</f>
        <v>0</v>
      </c>
      <c r="M26" s="35">
        <f>+GETPIVOTDATA("XLL4",'langlon (2016)'!$A$3,"MA_HT","SKC","MA_QH","RPH")</f>
        <v>0</v>
      </c>
      <c r="N26" s="35">
        <f>+GETPIVOTDATA("XLL4",'langlon (2016)'!$A$3,"MA_HT","SKC","MA_QH","RDD")</f>
        <v>0</v>
      </c>
      <c r="O26" s="35">
        <f>+GETPIVOTDATA("XLL4",'langlon (2016)'!$A$3,"MA_HT","SKC","MA_QH","NTS")</f>
        <v>0</v>
      </c>
      <c r="P26" s="35">
        <f>+GETPIVOTDATA("XLL4",'langlon (2016)'!$A$3,"MA_HT","SKC","MA_QH","LMU")</f>
        <v>0</v>
      </c>
      <c r="Q26" s="35">
        <f>+GETPIVOTDATA("XLL4",'langlon (2016)'!$A$3,"MA_HT","SKC","MA_QH","NKH")</f>
        <v>0</v>
      </c>
      <c r="R26" s="63">
        <f>SUM(S26:X26,Z26,AN26:BD26)</f>
        <v>0</v>
      </c>
      <c r="S26" s="35">
        <f>+GETPIVOTDATA("XLL4",'langlon (2016)'!$A$3,"MA_HT","SKC","MA_QH","CQP")</f>
        <v>0</v>
      </c>
      <c r="T26" s="35">
        <f>+GETPIVOTDATA("XLL4",'langlon (2016)'!$A$3,"MA_HT","SKC","MA_QH","CAN")</f>
        <v>0</v>
      </c>
      <c r="U26" s="35">
        <f>+GETPIVOTDATA("XLL4",'langlon (2016)'!$A$3,"MA_HT","SKC","MA_QH","SKK")</f>
        <v>0</v>
      </c>
      <c r="V26" s="35">
        <f>+GETPIVOTDATA("XLL4",'langlon (2016)'!$A$3,"MA_HT","SKC","MA_QH","SKT")</f>
        <v>0</v>
      </c>
      <c r="W26" s="35">
        <f>+GETPIVOTDATA("XLL4",'langlon (2016)'!$A$3,"MA_HT","SKC","MA_QH","SKN")</f>
        <v>0</v>
      </c>
      <c r="X26" s="35">
        <f>+GETPIVOTDATA("XLL4",'langlon (2016)'!$A$3,"MA_HT","SKC","MA_QH","TMD")</f>
        <v>0</v>
      </c>
      <c r="Y26" s="99" t="e">
        <f>$D26-$BF26</f>
        <v>#REF!</v>
      </c>
      <c r="Z26" s="35">
        <f>+GETPIVOTDATA("XLL4",'langlon (2016)'!$A$3,"MA_HT","SKC","MA_QH","SKS")</f>
        <v>0</v>
      </c>
      <c r="AA26" s="64">
        <f t="shared" si="12"/>
        <v>0</v>
      </c>
      <c r="AB26" s="35">
        <f>+GETPIVOTDATA("XLL4",'langlon (2016)'!$A$3,"MA_HT","SKC","MA_QH","DGT")</f>
        <v>0</v>
      </c>
      <c r="AC26" s="35">
        <f>+GETPIVOTDATA("XLL4",'langlon (2016)'!$A$3,"MA_HT","SKC","MA_QH","DTL")</f>
        <v>0</v>
      </c>
      <c r="AD26" s="35">
        <f>+GETPIVOTDATA("XLL4",'langlon (2016)'!$A$3,"MA_HT","SKC","MA_QH","DNL")</f>
        <v>0</v>
      </c>
      <c r="AE26" s="35">
        <f>+GETPIVOTDATA("XLL4",'langlon (2016)'!$A$3,"MA_HT","SKC","MA_QH","DBV")</f>
        <v>0</v>
      </c>
      <c r="AF26" s="35">
        <f>+GETPIVOTDATA("XLL4",'langlon (2016)'!$A$3,"MA_HT","SKC","MA_QH","DVH")</f>
        <v>0</v>
      </c>
      <c r="AG26" s="35">
        <f>+GETPIVOTDATA("XLL4",'langlon (2016)'!$A$3,"MA_HT","SKC","MA_QH","DYT")</f>
        <v>0</v>
      </c>
      <c r="AH26" s="35">
        <f>+GETPIVOTDATA("XLL4",'langlon (2016)'!$A$3,"MA_HT","SKC","MA_QH","DGD")</f>
        <v>0</v>
      </c>
      <c r="AI26" s="35">
        <f>+GETPIVOTDATA("XLL4",'langlon (2016)'!$A$3,"MA_HT","SKC","MA_QH","DTT")</f>
        <v>0</v>
      </c>
      <c r="AJ26" s="35">
        <f>+GETPIVOTDATA("XLL4",'langlon (2016)'!$A$3,"MA_HT","SKC","MA_QH","NCK")</f>
        <v>0</v>
      </c>
      <c r="AK26" s="35">
        <f>+GETPIVOTDATA("XLL4",'langlon (2016)'!$A$3,"MA_HT","SKC","MA_QH","DXH")</f>
        <v>0</v>
      </c>
      <c r="AL26" s="35">
        <f>+GETPIVOTDATA("XLL4",'langlon (2016)'!$A$3,"MA_HT","SKC","MA_QH","DCH")</f>
        <v>0</v>
      </c>
      <c r="AM26" s="35">
        <f>+GETPIVOTDATA("XLL4",'langlon (2016)'!$A$3,"MA_HT","SKC","MA_QH","DKG")</f>
        <v>0</v>
      </c>
      <c r="AN26" s="35">
        <f>+GETPIVOTDATA("XLL4",'langlon (2016)'!$A$3,"MA_HT","SKC","MA_QH","DDT")</f>
        <v>0</v>
      </c>
      <c r="AO26" s="35">
        <f>+GETPIVOTDATA("XLL4",'langlon (2016)'!$A$3,"MA_HT","SKC","MA_QH","DDL")</f>
        <v>0</v>
      </c>
      <c r="AP26" s="35">
        <f>+GETPIVOTDATA("XLL4",'langlon (2016)'!$A$3,"MA_HT","SKC","MA_QH","DRA")</f>
        <v>0</v>
      </c>
      <c r="AQ26" s="35">
        <f>+GETPIVOTDATA("XLL4",'langlon (2016)'!$A$3,"MA_HT","SKC","MA_QH","ONT")</f>
        <v>0</v>
      </c>
      <c r="AR26" s="35">
        <f>+GETPIVOTDATA("XLL4",'langlon (2016)'!$A$3,"MA_HT","SKC","MA_QH","ODT")</f>
        <v>0</v>
      </c>
      <c r="AS26" s="35">
        <f>+GETPIVOTDATA("XLL4",'langlon (2016)'!$A$3,"MA_HT","SKC","MA_QH","TSC")</f>
        <v>0</v>
      </c>
      <c r="AT26" s="35">
        <f>+GETPIVOTDATA("XLL4",'langlon (2016)'!$A$3,"MA_HT","SKC","MA_QH","DTS")</f>
        <v>0</v>
      </c>
      <c r="AU26" s="35">
        <f>+GETPIVOTDATA("XLL4",'langlon (2016)'!$A$3,"MA_HT","SKC","MA_QH","DNG")</f>
        <v>0</v>
      </c>
      <c r="AV26" s="35">
        <f>+GETPIVOTDATA("XLL4",'langlon (2016)'!$A$3,"MA_HT","SKC","MA_QH","TON")</f>
        <v>0</v>
      </c>
      <c r="AW26" s="35">
        <f>+GETPIVOTDATA("XLL4",'langlon (2016)'!$A$3,"MA_HT","SKC","MA_QH","NTD")</f>
        <v>0</v>
      </c>
      <c r="AX26" s="35">
        <f>+GETPIVOTDATA("XLL4",'langlon (2016)'!$A$3,"MA_HT","SKC","MA_QH","SKX")</f>
        <v>0</v>
      </c>
      <c r="AY26" s="35">
        <f>+GETPIVOTDATA("XLL4",'langlon (2016)'!$A$3,"MA_HT","SKC","MA_QH","DSH")</f>
        <v>0</v>
      </c>
      <c r="AZ26" s="35">
        <f>+GETPIVOTDATA("XLL4",'langlon (2016)'!$A$3,"MA_HT","SKC","MA_QH","DKV")</f>
        <v>0</v>
      </c>
      <c r="BA26" s="140">
        <f>+GETPIVOTDATA("XLL4",'langlon (2016)'!$A$3,"MA_HT","SKC","MA_QH","TIN")</f>
        <v>0</v>
      </c>
      <c r="BB26" s="74">
        <f>+GETPIVOTDATA("XLL4",'langlon (2016)'!$A$3,"MA_HT","SKC","MA_QH","SON")</f>
        <v>0</v>
      </c>
      <c r="BC26" s="74">
        <f>+GETPIVOTDATA("XLL4",'langlon (2016)'!$A$3,"MA_HT","SKC","MA_QH","MNC")</f>
        <v>0</v>
      </c>
      <c r="BD26" s="35">
        <f>+GETPIVOTDATA("XLL4",'langlon (2016)'!$A$3,"MA_HT","SKC","MA_QH","PNK")</f>
        <v>0</v>
      </c>
      <c r="BE26" s="58">
        <f>+GETPIVOTDATA("XLL4",'langlon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+GETPIVOTDATA("XLL4",'langlon (2016)'!$A$3,"MA_HT","SKS","MA_QH","LUC")</f>
        <v>0</v>
      </c>
      <c r="H27" s="35">
        <f>+GETPIVOTDATA("XLL4",'langlon (2016)'!$A$3,"MA_HT","SKS","MA_QH","LUK")</f>
        <v>0</v>
      </c>
      <c r="I27" s="35">
        <f>+GETPIVOTDATA("XLL4",'langlon (2016)'!$A$3,"MA_HT","SKS","MA_QH","LUN")</f>
        <v>0</v>
      </c>
      <c r="J27" s="35">
        <f>+GETPIVOTDATA("XLL4",'langlon (2016)'!$A$3,"MA_HT","SKS","MA_QH","HNK")</f>
        <v>0</v>
      </c>
      <c r="K27" s="35">
        <f>+GETPIVOTDATA("XLL4",'langlon (2016)'!$A$3,"MA_HT","SKS","MA_QH","CLN")</f>
        <v>0</v>
      </c>
      <c r="L27" s="35">
        <f>+GETPIVOTDATA("XLL4",'langlon (2016)'!$A$3,"MA_HT","SKS","MA_QH","RSX")</f>
        <v>0</v>
      </c>
      <c r="M27" s="35">
        <f>+GETPIVOTDATA("XLL4",'langlon (2016)'!$A$3,"MA_HT","SKS","MA_QH","RPH")</f>
        <v>0</v>
      </c>
      <c r="N27" s="35">
        <f>+GETPIVOTDATA("XLL4",'langlon (2016)'!$A$3,"MA_HT","SKS","MA_QH","RDD")</f>
        <v>0</v>
      </c>
      <c r="O27" s="35">
        <f>+GETPIVOTDATA("XLL4",'langlon (2016)'!$A$3,"MA_HT","SKS","MA_QH","NTS")</f>
        <v>0</v>
      </c>
      <c r="P27" s="35">
        <f>+GETPIVOTDATA("XLL4",'langlon (2016)'!$A$3,"MA_HT","SKS","MA_QH","LMU")</f>
        <v>0</v>
      </c>
      <c r="Q27" s="35">
        <f>+GETPIVOTDATA("XLL4",'langlon (2016)'!$A$3,"MA_HT","SKS","MA_QH","NKH")</f>
        <v>0</v>
      </c>
      <c r="R27" s="63">
        <f>SUM(S27:Y27,AA27,AN27:BD27)</f>
        <v>0</v>
      </c>
      <c r="S27" s="35">
        <f>+GETPIVOTDATA("XLL4",'langlon (2016)'!$A$3,"MA_HT","SKS","MA_QH","CQP")</f>
        <v>0</v>
      </c>
      <c r="T27" s="35">
        <f>+GETPIVOTDATA("XLL4",'langlon (2016)'!$A$3,"MA_HT","SKS","MA_QH","CAN")</f>
        <v>0</v>
      </c>
      <c r="U27" s="35">
        <f>+GETPIVOTDATA("XLL4",'langlon (2016)'!$A$3,"MA_HT","SKS","MA_QH","SKK")</f>
        <v>0</v>
      </c>
      <c r="V27" s="35">
        <f>+GETPIVOTDATA("XLL4",'langlon (2016)'!$A$3,"MA_HT","SKS","MA_QH","SKT")</f>
        <v>0</v>
      </c>
      <c r="W27" s="35">
        <f>+GETPIVOTDATA("XLL4",'langlon (2016)'!$A$3,"MA_HT","SKS","MA_QH","SKN")</f>
        <v>0</v>
      </c>
      <c r="X27" s="35">
        <f>+GETPIVOTDATA("XLL4",'langlon (2016)'!$A$3,"MA_HT","SKS","MA_QH","TMD")</f>
        <v>0</v>
      </c>
      <c r="Y27" s="35">
        <f>+GETPIVOTDATA("XLL4",'langlon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+GETPIVOTDATA("XLL4",'langlon (2016)'!$A$3,"MA_HT","SKS","MA_QH","DGT")</f>
        <v>0</v>
      </c>
      <c r="AC27" s="35">
        <f>+GETPIVOTDATA("XLL4",'langlon (2016)'!$A$3,"MA_HT","SKS","MA_QH","DTL")</f>
        <v>0</v>
      </c>
      <c r="AD27" s="35">
        <f>+GETPIVOTDATA("XLL4",'langlon (2016)'!$A$3,"MA_HT","SKS","MA_QH","DNL")</f>
        <v>0</v>
      </c>
      <c r="AE27" s="35">
        <f>+GETPIVOTDATA("XLL4",'langlon (2016)'!$A$3,"MA_HT","SKS","MA_QH","DBV")</f>
        <v>0</v>
      </c>
      <c r="AF27" s="35">
        <f>+GETPIVOTDATA("XLL4",'langlon (2016)'!$A$3,"MA_HT","SKS","MA_QH","DVH")</f>
        <v>0</v>
      </c>
      <c r="AG27" s="35">
        <f>+GETPIVOTDATA("XLL4",'langlon (2016)'!$A$3,"MA_HT","SKS","MA_QH","DYT")</f>
        <v>0</v>
      </c>
      <c r="AH27" s="35">
        <f>+GETPIVOTDATA("XLL4",'langlon (2016)'!$A$3,"MA_HT","SKS","MA_QH","DGD")</f>
        <v>0</v>
      </c>
      <c r="AI27" s="35">
        <f>+GETPIVOTDATA("XLL4",'langlon (2016)'!$A$3,"MA_HT","SKS","MA_QH","DTT")</f>
        <v>0</v>
      </c>
      <c r="AJ27" s="35">
        <f>+GETPIVOTDATA("XLL4",'langlon (2016)'!$A$3,"MA_HT","SKS","MA_QH","NCK")</f>
        <v>0</v>
      </c>
      <c r="AK27" s="35">
        <f>+GETPIVOTDATA("XLL4",'langlon (2016)'!$A$3,"MA_HT","SKS","MA_QH","DXH")</f>
        <v>0</v>
      </c>
      <c r="AL27" s="35">
        <f>+GETPIVOTDATA("XLL4",'langlon (2016)'!$A$3,"MA_HT","SKS","MA_QH","DCH")</f>
        <v>0</v>
      </c>
      <c r="AM27" s="35">
        <f>+GETPIVOTDATA("XLL4",'langlon (2016)'!$A$3,"MA_HT","SKS","MA_QH","DKG")</f>
        <v>0</v>
      </c>
      <c r="AN27" s="35">
        <f>+GETPIVOTDATA("XLL4",'langlon (2016)'!$A$3,"MA_HT","SKS","MA_QH","DDT")</f>
        <v>0</v>
      </c>
      <c r="AO27" s="35">
        <f>+GETPIVOTDATA("XLL4",'langlon (2016)'!$A$3,"MA_HT","SKS","MA_QH","DDL")</f>
        <v>0</v>
      </c>
      <c r="AP27" s="35">
        <f>+GETPIVOTDATA("XLL4",'langlon (2016)'!$A$3,"MA_HT","SKS","MA_QH","DRA")</f>
        <v>0</v>
      </c>
      <c r="AQ27" s="35">
        <f>+GETPIVOTDATA("XLL4",'langlon (2016)'!$A$3,"MA_HT","SKS","MA_QH","ONT")</f>
        <v>0</v>
      </c>
      <c r="AR27" s="35">
        <f>+GETPIVOTDATA("XLL4",'langlon (2016)'!$A$3,"MA_HT","SKS","MA_QH","ODT")</f>
        <v>0</v>
      </c>
      <c r="AS27" s="35">
        <f>+GETPIVOTDATA("XLL4",'langlon (2016)'!$A$3,"MA_HT","SKS","MA_QH","TSC")</f>
        <v>0</v>
      </c>
      <c r="AT27" s="35">
        <f>+GETPIVOTDATA("XLL4",'langlon (2016)'!$A$3,"MA_HT","SKS","MA_QH","DTS")</f>
        <v>0</v>
      </c>
      <c r="AU27" s="35">
        <f>+GETPIVOTDATA("XLL4",'langlon (2016)'!$A$3,"MA_HT","SKS","MA_QH","DNG")</f>
        <v>0</v>
      </c>
      <c r="AV27" s="35">
        <f>+GETPIVOTDATA("XLL4",'langlon (2016)'!$A$3,"MA_HT","SKS","MA_QH","TON")</f>
        <v>0</v>
      </c>
      <c r="AW27" s="35">
        <f>+GETPIVOTDATA("XLL4",'langlon (2016)'!$A$3,"MA_HT","SKS","MA_QH","NTD")</f>
        <v>0</v>
      </c>
      <c r="AX27" s="35">
        <f>+GETPIVOTDATA("XLL4",'langlon (2016)'!$A$3,"MA_HT","SKS","MA_QH","SKX")</f>
        <v>0</v>
      </c>
      <c r="AY27" s="35">
        <f>+GETPIVOTDATA("XLL4",'langlon (2016)'!$A$3,"MA_HT","SKS","MA_QH","DSH")</f>
        <v>0</v>
      </c>
      <c r="AZ27" s="35">
        <f>+GETPIVOTDATA("XLL4",'langlon (2016)'!$A$3,"MA_HT","SKS","MA_QH","DKV")</f>
        <v>0</v>
      </c>
      <c r="BA27" s="140">
        <f>+GETPIVOTDATA("XLL4",'langlon (2016)'!$A$3,"MA_HT","SKS","MA_QH","TIN")</f>
        <v>0</v>
      </c>
      <c r="BB27" s="74">
        <f>+GETPIVOTDATA("XLL4",'langlon (2016)'!$A$3,"MA_HT","SKS","MA_QH","SON")</f>
        <v>0</v>
      </c>
      <c r="BC27" s="74">
        <f>+GETPIVOTDATA("XLL4",'langlon (2016)'!$A$3,"MA_HT","SKS","MA_QH","MNC")</f>
        <v>0</v>
      </c>
      <c r="BD27" s="35">
        <f>+GETPIVOTDATA("XLL4",'langlon (2016)'!$A$3,"MA_HT","SKS","MA_QH","PNK")</f>
        <v>0</v>
      </c>
      <c r="BE27" s="58">
        <f>+GETPIVOTDATA("XLL4",'langlon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+GETPIVOTDATA("XLL4",'langlon (2016)'!$A$3,"MA_HT","DGT","MA_QH","LUC")</f>
        <v>0</v>
      </c>
      <c r="H29" s="74">
        <f>+GETPIVOTDATA("XLL4",'langlon (2016)'!$A$3,"MA_HT","DGT","MA_QH","LUK")</f>
        <v>0</v>
      </c>
      <c r="I29" s="74">
        <f>+GETPIVOTDATA("XLL4",'langlon (2016)'!$A$3,"MA_HT","DGT","MA_QH","LUN")</f>
        <v>0</v>
      </c>
      <c r="J29" s="74">
        <f>+GETPIVOTDATA("XLL4",'langlon (2016)'!$A$3,"MA_HT","DGT","MA_QH","HNK")</f>
        <v>0</v>
      </c>
      <c r="K29" s="74">
        <f>+GETPIVOTDATA("XLL4",'langlon (2016)'!$A$3,"MA_HT","DGT","MA_QH","CLN")</f>
        <v>0</v>
      </c>
      <c r="L29" s="74">
        <f>+GETPIVOTDATA("XLL4",'langlon (2016)'!$A$3,"MA_HT","DGT","MA_QH","RSX")</f>
        <v>0</v>
      </c>
      <c r="M29" s="74">
        <f>+GETPIVOTDATA("XLL4",'langlon (2016)'!$A$3,"MA_HT","DGT","MA_QH","RPH")</f>
        <v>0</v>
      </c>
      <c r="N29" s="74">
        <f>+GETPIVOTDATA("XLL4",'langlon (2016)'!$A$3,"MA_HT","DGT","MA_QH","RDD")</f>
        <v>0</v>
      </c>
      <c r="O29" s="74">
        <f>+GETPIVOTDATA("XLL4",'langlon (2016)'!$A$3,"MA_HT","DGT","MA_QH","NTS")</f>
        <v>0</v>
      </c>
      <c r="P29" s="74">
        <f>+GETPIVOTDATA("XLL4",'langlon (2016)'!$A$3,"MA_HT","DGT","MA_QH","LMU")</f>
        <v>0</v>
      </c>
      <c r="Q29" s="74">
        <f>+GETPIVOTDATA("XLL4",'langlon (2016)'!$A$3,"MA_HT","DGT","MA_QH","NKH")</f>
        <v>0</v>
      </c>
      <c r="R29" s="72">
        <f>SUM(S29:AA29,AN29:BD29)</f>
        <v>0</v>
      </c>
      <c r="S29" s="74">
        <f>+GETPIVOTDATA("XLL4",'langlon (2016)'!$A$3,"MA_HT","DGT","MA_QH","CQP")</f>
        <v>0</v>
      </c>
      <c r="T29" s="74">
        <f>+GETPIVOTDATA("XLL4",'langlon (2016)'!$A$3,"MA_HT","DGT","MA_QH","CAN")</f>
        <v>0</v>
      </c>
      <c r="U29" s="74">
        <f>+GETPIVOTDATA("XLL4",'langlon (2016)'!$A$3,"MA_HT","DGT","MA_QH","SKK")</f>
        <v>0</v>
      </c>
      <c r="V29" s="74">
        <f>+GETPIVOTDATA("XLL4",'langlon (2016)'!$A$3,"MA_HT","DGT","MA_QH","SKT")</f>
        <v>0</v>
      </c>
      <c r="W29" s="74">
        <f>+GETPIVOTDATA("XLL4",'langlon (2016)'!$A$3,"MA_HT","DGT","MA_QH","SKN")</f>
        <v>0</v>
      </c>
      <c r="X29" s="74">
        <f>+GETPIVOTDATA("XLL4",'langlon (2016)'!$A$3,"MA_HT","DGT","MA_QH","TMD")</f>
        <v>0</v>
      </c>
      <c r="Y29" s="74">
        <f>+GETPIVOTDATA("XLL4",'langlon (2016)'!$A$3,"MA_HT","DGT","MA_QH","SKC")</f>
        <v>0</v>
      </c>
      <c r="Z29" s="74">
        <f>+GETPIVOTDATA("XLL4",'langlon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+GETPIVOTDATA("XLL4",'langlon (2016)'!$A$3,"MA_HT","DGT","MA_QH","DTL")</f>
        <v>0</v>
      </c>
      <c r="AD29" s="74">
        <f>+GETPIVOTDATA("XLL4",'langlon (2016)'!$A$3,"MA_HT","DGT","MA_QH","DNL")</f>
        <v>0</v>
      </c>
      <c r="AE29" s="74">
        <f>+GETPIVOTDATA("XLL4",'langlon (2016)'!$A$3,"MA_HT","DGT","MA_QH","DBV")</f>
        <v>0</v>
      </c>
      <c r="AF29" s="74">
        <f>+GETPIVOTDATA("XLL4",'langlon (2016)'!$A$3,"MA_HT","DGT","MA_QH","DVH")</f>
        <v>0</v>
      </c>
      <c r="AG29" s="74">
        <f>+GETPIVOTDATA("XLL4",'langlon (2016)'!$A$3,"MA_HT","DGT","MA_QH","DYT")</f>
        <v>0</v>
      </c>
      <c r="AH29" s="74">
        <f>+GETPIVOTDATA("XLL4",'langlon (2016)'!$A$3,"MA_HT","DGT","MA_QH","DGD")</f>
        <v>0</v>
      </c>
      <c r="AI29" s="74">
        <f>+GETPIVOTDATA("XLL4",'langlon (2016)'!$A$3,"MA_HT","DGT","MA_QH","DTT")</f>
        <v>0</v>
      </c>
      <c r="AJ29" s="74">
        <f>+GETPIVOTDATA("XLL4",'langlon (2016)'!$A$3,"MA_HT","DGT","MA_QH","NCK")</f>
        <v>0</v>
      </c>
      <c r="AK29" s="74">
        <f>+GETPIVOTDATA("XLL4",'langlon (2016)'!$A$3,"MA_HT","DGT","MA_QH","DXH")</f>
        <v>0</v>
      </c>
      <c r="AL29" s="74">
        <f>+GETPIVOTDATA("XLL4",'langlon (2016)'!$A$3,"MA_HT","DGT","MA_QH","DCH")</f>
        <v>0</v>
      </c>
      <c r="AM29" s="74">
        <f>+GETPIVOTDATA("XLL4",'langlon (2016)'!$A$3,"MA_HT","DGT","MA_QH","DKG")</f>
        <v>0</v>
      </c>
      <c r="AN29" s="74">
        <f>+GETPIVOTDATA("XLL4",'langlon (2016)'!$A$3,"MA_HT","DGT","MA_QH","DDT")</f>
        <v>0</v>
      </c>
      <c r="AO29" s="74">
        <f>+GETPIVOTDATA("XLL4",'langlon (2016)'!$A$3,"MA_HT","DGT","MA_QH","DDL")</f>
        <v>0</v>
      </c>
      <c r="AP29" s="74">
        <f>+GETPIVOTDATA("XLL4",'langlon (2016)'!$A$3,"MA_HT","DGT","MA_QH","DRA")</f>
        <v>0</v>
      </c>
      <c r="AQ29" s="74">
        <f>+GETPIVOTDATA("XLL4",'langlon (2016)'!$A$3,"MA_HT","DGT","MA_QH","ONT")</f>
        <v>0</v>
      </c>
      <c r="AR29" s="74">
        <f>+GETPIVOTDATA("XLL4",'langlon (2016)'!$A$3,"MA_HT","DGT","MA_QH","ODT")</f>
        <v>0</v>
      </c>
      <c r="AS29" s="74">
        <f>+GETPIVOTDATA("XLL4",'langlon (2016)'!$A$3,"MA_HT","DGT","MA_QH","TSC")</f>
        <v>0</v>
      </c>
      <c r="AT29" s="74">
        <f>+GETPIVOTDATA("XLL4",'langlon (2016)'!$A$3,"MA_HT","DGT","MA_QH","DTS")</f>
        <v>0</v>
      </c>
      <c r="AU29" s="74">
        <f>+GETPIVOTDATA("XLL4",'langlon (2016)'!$A$3,"MA_HT","DGT","MA_QH","DNG")</f>
        <v>0</v>
      </c>
      <c r="AV29" s="74">
        <f>+GETPIVOTDATA("XLL4",'langlon (2016)'!$A$3,"MA_HT","DGT","MA_QH","TON")</f>
        <v>0</v>
      </c>
      <c r="AW29" s="74">
        <f>+GETPIVOTDATA("XLL4",'langlon (2016)'!$A$3,"MA_HT","DGT","MA_QH","NTD")</f>
        <v>0</v>
      </c>
      <c r="AX29" s="74">
        <f>+GETPIVOTDATA("XLL4",'langlon (2016)'!$A$3,"MA_HT","DGT","MA_QH","SKX")</f>
        <v>0</v>
      </c>
      <c r="AY29" s="74">
        <f>+GETPIVOTDATA("XLL4",'langlon (2016)'!$A$3,"MA_HT","DGT","MA_QH","DSH")</f>
        <v>0</v>
      </c>
      <c r="AZ29" s="74">
        <f>+GETPIVOTDATA("XLL4",'langlon (2016)'!$A$3,"MA_HT","DGT","MA_QH","DKV")</f>
        <v>0</v>
      </c>
      <c r="BA29" s="139">
        <f>+GETPIVOTDATA("XLL4",'langlon (2016)'!$A$3,"MA_HT","DGT","MA_QH","TIN")</f>
        <v>0</v>
      </c>
      <c r="BB29" s="74">
        <f>+GETPIVOTDATA("XLL4",'langlon (2016)'!$A$3,"MA_HT","DGT","MA_QH","SON")</f>
        <v>0</v>
      </c>
      <c r="BC29" s="74">
        <f>+GETPIVOTDATA("XLL4",'langlon (2016)'!$A$3,"MA_HT","DGT","MA_QH","MNC")</f>
        <v>0</v>
      </c>
      <c r="BD29" s="74">
        <f>+GETPIVOTDATA("XLL4",'langlon (2016)'!$A$3,"MA_HT","DGT","MA_QH","PNK")</f>
        <v>0</v>
      </c>
      <c r="BE29" s="102">
        <f>+GETPIVOTDATA("XLL4",'langlon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+GETPIVOTDATA("XLL4",'langlon (2016)'!$A$3,"MA_HT","DTL","MA_QH","LUC")</f>
        <v>0</v>
      </c>
      <c r="H30" s="74">
        <f>+GETPIVOTDATA("XLL4",'langlon (2016)'!$A$3,"MA_HT","DTL","MA_QH","LUK")</f>
        <v>0</v>
      </c>
      <c r="I30" s="74">
        <f>+GETPIVOTDATA("XLL4",'langlon (2016)'!$A$3,"MA_HT","DTL","MA_QH","LUN")</f>
        <v>0</v>
      </c>
      <c r="J30" s="74">
        <f>+GETPIVOTDATA("XLL4",'langlon (2016)'!$A$3,"MA_HT","DTL","MA_QH","HNK")</f>
        <v>0</v>
      </c>
      <c r="K30" s="74">
        <f>+GETPIVOTDATA("XLL4",'langlon (2016)'!$A$3,"MA_HT","DTL","MA_QH","CLN")</f>
        <v>0</v>
      </c>
      <c r="L30" s="74">
        <f>+GETPIVOTDATA("XLL4",'langlon (2016)'!$A$3,"MA_HT","DTL","MA_QH","RSX")</f>
        <v>0</v>
      </c>
      <c r="M30" s="74">
        <f>+GETPIVOTDATA("XLL4",'langlon (2016)'!$A$3,"MA_HT","DTL","MA_QH","RPH")</f>
        <v>0</v>
      </c>
      <c r="N30" s="74">
        <f>+GETPIVOTDATA("XLL4",'langlon (2016)'!$A$3,"MA_HT","DTL","MA_QH","RDD")</f>
        <v>0</v>
      </c>
      <c r="O30" s="74">
        <f>+GETPIVOTDATA("XLL4",'langlon (2016)'!$A$3,"MA_HT","DTL","MA_QH","NTS")</f>
        <v>0</v>
      </c>
      <c r="P30" s="74">
        <f>+GETPIVOTDATA("XLL4",'langlon (2016)'!$A$3,"MA_HT","DTL","MA_QH","LMU")</f>
        <v>0</v>
      </c>
      <c r="Q30" s="74">
        <f>+GETPIVOTDATA("XLL4",'langlon (2016)'!$A$3,"MA_HT","DTL","MA_QH","NKH")</f>
        <v>0</v>
      </c>
      <c r="R30" s="72">
        <f t="shared" ref="R30:R39" si="20">SUM(S30:AA30,AN30:BD30)</f>
        <v>0</v>
      </c>
      <c r="S30" s="74">
        <f>+GETPIVOTDATA("XLL4",'langlon (2016)'!$A$3,"MA_HT","DTL","MA_QH","CQP")</f>
        <v>0</v>
      </c>
      <c r="T30" s="74">
        <f>+GETPIVOTDATA("XLL4",'langlon (2016)'!$A$3,"MA_HT","DTL","MA_QH","CAN")</f>
        <v>0</v>
      </c>
      <c r="U30" s="74">
        <f>+GETPIVOTDATA("XLL4",'langlon (2016)'!$A$3,"MA_HT","DTL","MA_QH","SKK")</f>
        <v>0</v>
      </c>
      <c r="V30" s="74">
        <f>+GETPIVOTDATA("XLL4",'langlon (2016)'!$A$3,"MA_HT","DTL","MA_QH","SKT")</f>
        <v>0</v>
      </c>
      <c r="W30" s="74">
        <f>+GETPIVOTDATA("XLL4",'langlon (2016)'!$A$3,"MA_HT","DTL","MA_QH","SKN")</f>
        <v>0</v>
      </c>
      <c r="X30" s="74">
        <f>+GETPIVOTDATA("XLL4",'langlon (2016)'!$A$3,"MA_HT","DTL","MA_QH","TMD")</f>
        <v>0</v>
      </c>
      <c r="Y30" s="74">
        <f>+GETPIVOTDATA("XLL4",'langlon (2016)'!$A$3,"MA_HT","DTL","MA_QH","SKC")</f>
        <v>0</v>
      </c>
      <c r="Z30" s="74">
        <f>+GETPIVOTDATA("XLL4",'langlon (2016)'!$A$3,"MA_HT","DTL","MA_QH","SKS")</f>
        <v>0</v>
      </c>
      <c r="AA30" s="64">
        <f>+SUM(AB30,AD30:AM30)</f>
        <v>0</v>
      </c>
      <c r="AB30" s="74">
        <f>+GETPIVOTDATA("XLL4",'langlon (2016)'!$A$3,"MA_HT","DTL","MA_QH","DGT")</f>
        <v>0</v>
      </c>
      <c r="AC30" s="100" t="e">
        <f>$D30-$BF30</f>
        <v>#REF!</v>
      </c>
      <c r="AD30" s="74">
        <f>+GETPIVOTDATA("XLL4",'langlon (2016)'!$A$3,"MA_HT","DTL","MA_QH","DNL")</f>
        <v>0</v>
      </c>
      <c r="AE30" s="74">
        <f>+GETPIVOTDATA("XLL4",'langlon (2016)'!$A$3,"MA_HT","DTL","MA_QH","DBV")</f>
        <v>0</v>
      </c>
      <c r="AF30" s="74">
        <f>+GETPIVOTDATA("XLL4",'langlon (2016)'!$A$3,"MA_HT","DTL","MA_QH","DVH")</f>
        <v>0</v>
      </c>
      <c r="AG30" s="74">
        <f>+GETPIVOTDATA("XLL4",'langlon (2016)'!$A$3,"MA_HT","DTL","MA_QH","DYT")</f>
        <v>0</v>
      </c>
      <c r="AH30" s="74">
        <f>+GETPIVOTDATA("XLL4",'langlon (2016)'!$A$3,"MA_HT","DTL","MA_QH","DGD")</f>
        <v>0</v>
      </c>
      <c r="AI30" s="74">
        <f>+GETPIVOTDATA("XLL4",'langlon (2016)'!$A$3,"MA_HT","DTL","MA_QH","DTT")</f>
        <v>0</v>
      </c>
      <c r="AJ30" s="74">
        <f>+GETPIVOTDATA("XLL4",'langlon (2016)'!$A$3,"MA_HT","DTL","MA_QH","NCK")</f>
        <v>0</v>
      </c>
      <c r="AK30" s="74">
        <f>+GETPIVOTDATA("XLL4",'langlon (2016)'!$A$3,"MA_HT","DTL","MA_QH","DXH")</f>
        <v>0</v>
      </c>
      <c r="AL30" s="74">
        <f>+GETPIVOTDATA("XLL4",'langlon (2016)'!$A$3,"MA_HT","DTL","MA_QH","DCH")</f>
        <v>0</v>
      </c>
      <c r="AM30" s="74">
        <f>+GETPIVOTDATA("XLL4",'langlon (2016)'!$A$3,"MA_HT","DTL","MA_QH","DKG")</f>
        <v>0</v>
      </c>
      <c r="AN30" s="74">
        <f>+GETPIVOTDATA("XLL4",'langlon (2016)'!$A$3,"MA_HT","DTL","MA_QH","DDT")</f>
        <v>0</v>
      </c>
      <c r="AO30" s="74">
        <f>+GETPIVOTDATA("XLL4",'langlon (2016)'!$A$3,"MA_HT","DTL","MA_QH","DDL")</f>
        <v>0</v>
      </c>
      <c r="AP30" s="74">
        <f>+GETPIVOTDATA("XLL4",'langlon (2016)'!$A$3,"MA_HT","DTL","MA_QH","DRA")</f>
        <v>0</v>
      </c>
      <c r="AQ30" s="74">
        <f>+GETPIVOTDATA("XLL4",'langlon (2016)'!$A$3,"MA_HT","DTL","MA_QH","ONT")</f>
        <v>0</v>
      </c>
      <c r="AR30" s="74">
        <f>+GETPIVOTDATA("XLL4",'langlon (2016)'!$A$3,"MA_HT","DTL","MA_QH","ODT")</f>
        <v>0</v>
      </c>
      <c r="AS30" s="74">
        <f>+GETPIVOTDATA("XLL4",'langlon (2016)'!$A$3,"MA_HT","DTL","MA_QH","TSC")</f>
        <v>0</v>
      </c>
      <c r="AT30" s="74">
        <f>+GETPIVOTDATA("XLL4",'langlon (2016)'!$A$3,"MA_HT","DTL","MA_QH","DTS")</f>
        <v>0</v>
      </c>
      <c r="AU30" s="74">
        <f>+GETPIVOTDATA("XLL4",'langlon (2016)'!$A$3,"MA_HT","DTL","MA_QH","DNG")</f>
        <v>0</v>
      </c>
      <c r="AV30" s="74">
        <f>+GETPIVOTDATA("XLL4",'langlon (2016)'!$A$3,"MA_HT","DTL","MA_QH","TON")</f>
        <v>0</v>
      </c>
      <c r="AW30" s="74">
        <f>+GETPIVOTDATA("XLL4",'langlon (2016)'!$A$3,"MA_HT","DTL","MA_QH","NTD")</f>
        <v>0</v>
      </c>
      <c r="AX30" s="74">
        <f>+GETPIVOTDATA("XLL4",'langlon (2016)'!$A$3,"MA_HT","DTL","MA_QH","SKX")</f>
        <v>0</v>
      </c>
      <c r="AY30" s="74">
        <f>+GETPIVOTDATA("XLL4",'langlon (2016)'!$A$3,"MA_HT","DTL","MA_QH","DSH")</f>
        <v>0</v>
      </c>
      <c r="AZ30" s="74">
        <f>+GETPIVOTDATA("XLL4",'langlon (2016)'!$A$3,"MA_HT","DTL","MA_QH","DKV")</f>
        <v>0</v>
      </c>
      <c r="BA30" s="139">
        <f>+GETPIVOTDATA("XLL4",'langlon (2016)'!$A$3,"MA_HT","DTL","MA_QH","TIN")</f>
        <v>0</v>
      </c>
      <c r="BB30" s="74">
        <f>+GETPIVOTDATA("XLL4",'langlon (2016)'!$A$3,"MA_HT","DTL","MA_QH","SON")</f>
        <v>0</v>
      </c>
      <c r="BC30" s="74">
        <f>+GETPIVOTDATA("XLL4",'langlon (2016)'!$A$3,"MA_HT","DTL","MA_QH","MNC")</f>
        <v>0</v>
      </c>
      <c r="BD30" s="74">
        <f>+GETPIVOTDATA("XLL4",'langlon (2016)'!$A$3,"MA_HT","DTL","MA_QH","PNK")</f>
        <v>0</v>
      </c>
      <c r="BE30" s="102">
        <f>+GETPIVOTDATA("XLL4",'langlon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+GETPIVOTDATA("XLL4",'langlon (2016)'!$A$3,"MA_HT","DNL","MA_QH","LUC")</f>
        <v>0</v>
      </c>
      <c r="H31" s="74">
        <f>+GETPIVOTDATA("XLL4",'langlon (2016)'!$A$3,"MA_HT","DNL","MA_QH","LUK")</f>
        <v>0</v>
      </c>
      <c r="I31" s="74">
        <f>+GETPIVOTDATA("XLL4",'langlon (2016)'!$A$3,"MA_HT","DNL","MA_QH","LUN")</f>
        <v>0</v>
      </c>
      <c r="J31" s="74">
        <f>+GETPIVOTDATA("XLL4",'langlon (2016)'!$A$3,"MA_HT","DNL","MA_QH","HNK")</f>
        <v>0</v>
      </c>
      <c r="K31" s="74">
        <f>+GETPIVOTDATA("XLL4",'langlon (2016)'!$A$3,"MA_HT","DNL","MA_QH","CLN")</f>
        <v>0</v>
      </c>
      <c r="L31" s="74">
        <f>+GETPIVOTDATA("XLL4",'langlon (2016)'!$A$3,"MA_HT","DNL","MA_QH","RSX")</f>
        <v>0</v>
      </c>
      <c r="M31" s="74">
        <f>+GETPIVOTDATA("XLL4",'langlon (2016)'!$A$3,"MA_HT","DNL","MA_QH","RPH")</f>
        <v>0</v>
      </c>
      <c r="N31" s="74">
        <f>+GETPIVOTDATA("XLL4",'langlon (2016)'!$A$3,"MA_HT","DNL","MA_QH","RDD")</f>
        <v>0</v>
      </c>
      <c r="O31" s="74">
        <f>+GETPIVOTDATA("XLL4",'langlon (2016)'!$A$3,"MA_HT","DNL","MA_QH","NTS")</f>
        <v>0</v>
      </c>
      <c r="P31" s="74">
        <f>+GETPIVOTDATA("XLL4",'langlon (2016)'!$A$3,"MA_HT","DNL","MA_QH","LMU")</f>
        <v>0</v>
      </c>
      <c r="Q31" s="74">
        <f>+GETPIVOTDATA("XLL4",'langlon (2016)'!$A$3,"MA_HT","DNL","MA_QH","NKH")</f>
        <v>0</v>
      </c>
      <c r="R31" s="72">
        <f t="shared" si="20"/>
        <v>0</v>
      </c>
      <c r="S31" s="74">
        <f>+GETPIVOTDATA("XLL4",'langlon (2016)'!$A$3,"MA_HT","DNL","MA_QH","CQP")</f>
        <v>0</v>
      </c>
      <c r="T31" s="74">
        <f>+GETPIVOTDATA("XLL4",'langlon (2016)'!$A$3,"MA_HT","DNL","MA_QH","CAN")</f>
        <v>0</v>
      </c>
      <c r="U31" s="74">
        <f>+GETPIVOTDATA("XLL4",'langlon (2016)'!$A$3,"MA_HT","DNL","MA_QH","SKK")</f>
        <v>0</v>
      </c>
      <c r="V31" s="74">
        <f>+GETPIVOTDATA("XLL4",'langlon (2016)'!$A$3,"MA_HT","DNL","MA_QH","SKT")</f>
        <v>0</v>
      </c>
      <c r="W31" s="74">
        <f>+GETPIVOTDATA("XLL4",'langlon (2016)'!$A$3,"MA_HT","DNL","MA_QH","SKN")</f>
        <v>0</v>
      </c>
      <c r="X31" s="74">
        <f>+GETPIVOTDATA("XLL4",'langlon (2016)'!$A$3,"MA_HT","DNL","MA_QH","TMD")</f>
        <v>0</v>
      </c>
      <c r="Y31" s="74">
        <f>+GETPIVOTDATA("XLL4",'langlon (2016)'!$A$3,"MA_HT","DNL","MA_QH","SKC")</f>
        <v>0</v>
      </c>
      <c r="Z31" s="74">
        <f>+GETPIVOTDATA("XLL4",'langlon (2016)'!$A$3,"MA_HT","DNL","MA_QH","SKS")</f>
        <v>0</v>
      </c>
      <c r="AA31" s="64">
        <f>+SUM(AB31:AC31,AE31:AM31)</f>
        <v>0</v>
      </c>
      <c r="AB31" s="74">
        <f>+GETPIVOTDATA("XLL4",'langlon (2016)'!$A$3,"MA_HT","DNL","MA_QH","DGT")</f>
        <v>0</v>
      </c>
      <c r="AC31" s="74">
        <f>+GETPIVOTDATA("XLL4",'langlon (2016)'!$A$3,"MA_HT","DNL","MA_QH","DTL")</f>
        <v>0</v>
      </c>
      <c r="AD31" s="100" t="e">
        <f>$D31-$BF31</f>
        <v>#REF!</v>
      </c>
      <c r="AE31" s="74">
        <f>+GETPIVOTDATA("XLL4",'langlon (2016)'!$A$3,"MA_HT","DNL","MA_QH","DBV")</f>
        <v>0</v>
      </c>
      <c r="AF31" s="74">
        <f>+GETPIVOTDATA("XLL4",'langlon (2016)'!$A$3,"MA_HT","DNL","MA_QH","DVH")</f>
        <v>0</v>
      </c>
      <c r="AG31" s="74">
        <f>+GETPIVOTDATA("XLL4",'langlon (2016)'!$A$3,"MA_HT","DNL","MA_QH","DYT")</f>
        <v>0</v>
      </c>
      <c r="AH31" s="74">
        <f>+GETPIVOTDATA("XLL4",'langlon (2016)'!$A$3,"MA_HT","DNL","MA_QH","DGD")</f>
        <v>0</v>
      </c>
      <c r="AI31" s="74">
        <f>+GETPIVOTDATA("XLL4",'langlon (2016)'!$A$3,"MA_HT","DNL","MA_QH","DTT")</f>
        <v>0</v>
      </c>
      <c r="AJ31" s="74">
        <f>+GETPIVOTDATA("XLL4",'langlon (2016)'!$A$3,"MA_HT","DNL","MA_QH","NCK")</f>
        <v>0</v>
      </c>
      <c r="AK31" s="74">
        <f>+GETPIVOTDATA("XLL4",'langlon (2016)'!$A$3,"MA_HT","DNL","MA_QH","DXH")</f>
        <v>0</v>
      </c>
      <c r="AL31" s="74">
        <f>+GETPIVOTDATA("XLL4",'langlon (2016)'!$A$3,"MA_HT","DNL","MA_QH","DCH")</f>
        <v>0</v>
      </c>
      <c r="AM31" s="74">
        <f>+GETPIVOTDATA("XLL4",'langlon (2016)'!$A$3,"MA_HT","DNL","MA_QH","DKG")</f>
        <v>0</v>
      </c>
      <c r="AN31" s="74">
        <f>+GETPIVOTDATA("XLL4",'langlon (2016)'!$A$3,"MA_HT","DNL","MA_QH","DDT")</f>
        <v>0</v>
      </c>
      <c r="AO31" s="74">
        <f>+GETPIVOTDATA("XLL4",'langlon (2016)'!$A$3,"MA_HT","DNL","MA_QH","DDL")</f>
        <v>0</v>
      </c>
      <c r="AP31" s="74">
        <f>+GETPIVOTDATA("XLL4",'langlon (2016)'!$A$3,"MA_HT","DNL","MA_QH","DRA")</f>
        <v>0</v>
      </c>
      <c r="AQ31" s="74">
        <f>+GETPIVOTDATA("XLL4",'langlon (2016)'!$A$3,"MA_HT","DNL","MA_QH","ONT")</f>
        <v>0</v>
      </c>
      <c r="AR31" s="74">
        <f>+GETPIVOTDATA("XLL4",'langlon (2016)'!$A$3,"MA_HT","DNL","MA_QH","ODT")</f>
        <v>0</v>
      </c>
      <c r="AS31" s="74">
        <f>+GETPIVOTDATA("XLL4",'langlon (2016)'!$A$3,"MA_HT","DNL","MA_QH","TSC")</f>
        <v>0</v>
      </c>
      <c r="AT31" s="74">
        <f>+GETPIVOTDATA("XLL4",'langlon (2016)'!$A$3,"MA_HT","DNL","MA_QH","DTS")</f>
        <v>0</v>
      </c>
      <c r="AU31" s="74">
        <f>+GETPIVOTDATA("XLL4",'langlon (2016)'!$A$3,"MA_HT","DNL","MA_QH","DNG")</f>
        <v>0</v>
      </c>
      <c r="AV31" s="74">
        <f>+GETPIVOTDATA("XLL4",'langlon (2016)'!$A$3,"MA_HT","DNL","MA_QH","TON")</f>
        <v>0</v>
      </c>
      <c r="AW31" s="74">
        <f>+GETPIVOTDATA("XLL4",'langlon (2016)'!$A$3,"MA_HT","DNL","MA_QH","NTD")</f>
        <v>0</v>
      </c>
      <c r="AX31" s="74">
        <f>+GETPIVOTDATA("XLL4",'langlon (2016)'!$A$3,"MA_HT","DNL","MA_QH","SKX")</f>
        <v>0</v>
      </c>
      <c r="AY31" s="74">
        <f>+GETPIVOTDATA("XLL4",'langlon (2016)'!$A$3,"MA_HT","DNL","MA_QH","DSH")</f>
        <v>0</v>
      </c>
      <c r="AZ31" s="74">
        <f>+GETPIVOTDATA("XLL4",'langlon (2016)'!$A$3,"MA_HT","DNL","MA_QH","DKV")</f>
        <v>0</v>
      </c>
      <c r="BA31" s="139">
        <f>+GETPIVOTDATA("XLL4",'langlon (2016)'!$A$3,"MA_HT","DNL","MA_QH","TIN")</f>
        <v>0</v>
      </c>
      <c r="BB31" s="74">
        <f>+GETPIVOTDATA("XLL4",'langlon (2016)'!$A$3,"MA_HT","DNL","MA_QH","SON")</f>
        <v>0</v>
      </c>
      <c r="BC31" s="74">
        <f>+GETPIVOTDATA("XLL4",'langlon (2016)'!$A$3,"MA_HT","DNL","MA_QH","MNC")</f>
        <v>0</v>
      </c>
      <c r="BD31" s="74">
        <f>+GETPIVOTDATA("XLL4",'langlon (2016)'!$A$3,"MA_HT","DNL","MA_QH","PNK")</f>
        <v>0</v>
      </c>
      <c r="BE31" s="102">
        <f>+GETPIVOTDATA("XLL4",'langlon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+GETPIVOTDATA("XLL4",'langlon (2016)'!$A$3,"MA_HT","DBV","MA_QH","LUC")</f>
        <v>0</v>
      </c>
      <c r="H32" s="74">
        <f>+GETPIVOTDATA("XLL4",'langlon (2016)'!$A$3,"MA_HT","DBV","MA_QH","LUK")</f>
        <v>0</v>
      </c>
      <c r="I32" s="74">
        <f>+GETPIVOTDATA("XLL4",'langlon (2016)'!$A$3,"MA_HT","DBV","MA_QH","LUN")</f>
        <v>0</v>
      </c>
      <c r="J32" s="74">
        <f>+GETPIVOTDATA("XLL4",'langlon (2016)'!$A$3,"MA_HT","DBV","MA_QH","HNK")</f>
        <v>0</v>
      </c>
      <c r="K32" s="74">
        <f>+GETPIVOTDATA("XLL4",'langlon (2016)'!$A$3,"MA_HT","DBV","MA_QH","CLN")</f>
        <v>0</v>
      </c>
      <c r="L32" s="74">
        <f>+GETPIVOTDATA("XLL4",'langlon (2016)'!$A$3,"MA_HT","DBV","MA_QH","RSX")</f>
        <v>0</v>
      </c>
      <c r="M32" s="74">
        <f>+GETPIVOTDATA("XLL4",'langlon (2016)'!$A$3,"MA_HT","DBV","MA_QH","RPH")</f>
        <v>0</v>
      </c>
      <c r="N32" s="74">
        <f>+GETPIVOTDATA("XLL4",'langlon (2016)'!$A$3,"MA_HT","DBV","MA_QH","RDD")</f>
        <v>0</v>
      </c>
      <c r="O32" s="74">
        <f>+GETPIVOTDATA("XLL4",'langlon (2016)'!$A$3,"MA_HT","DBV","MA_QH","NTS")</f>
        <v>0</v>
      </c>
      <c r="P32" s="74">
        <f>+GETPIVOTDATA("XLL4",'langlon (2016)'!$A$3,"MA_HT","DBV","MA_QH","LMU")</f>
        <v>0</v>
      </c>
      <c r="Q32" s="74">
        <f>+GETPIVOTDATA("XLL4",'langlon (2016)'!$A$3,"MA_HT","DBV","MA_QH","NKH")</f>
        <v>0</v>
      </c>
      <c r="R32" s="72">
        <f t="shared" si="20"/>
        <v>0</v>
      </c>
      <c r="S32" s="74">
        <f>+GETPIVOTDATA("XLL4",'langlon (2016)'!$A$3,"MA_HT","DBV","MA_QH","CQP")</f>
        <v>0</v>
      </c>
      <c r="T32" s="74">
        <f>+GETPIVOTDATA("XLL4",'langlon (2016)'!$A$3,"MA_HT","DBV","MA_QH","CAN")</f>
        <v>0</v>
      </c>
      <c r="U32" s="74">
        <f>+GETPIVOTDATA("XLL4",'langlon (2016)'!$A$3,"MA_HT","DBV","MA_QH","SKK")</f>
        <v>0</v>
      </c>
      <c r="V32" s="74">
        <f>+GETPIVOTDATA("XLL4",'langlon (2016)'!$A$3,"MA_HT","DBV","MA_QH","SKT")</f>
        <v>0</v>
      </c>
      <c r="W32" s="74">
        <f>+GETPIVOTDATA("XLL4",'langlon (2016)'!$A$3,"MA_HT","DBV","MA_QH","SKN")</f>
        <v>0</v>
      </c>
      <c r="X32" s="74">
        <f>+GETPIVOTDATA("XLL4",'langlon (2016)'!$A$3,"MA_HT","DBV","MA_QH","TMD")</f>
        <v>0</v>
      </c>
      <c r="Y32" s="74">
        <f>+GETPIVOTDATA("XLL4",'langlon (2016)'!$A$3,"MA_HT","DBV","MA_QH","SKC")</f>
        <v>0</v>
      </c>
      <c r="Z32" s="74">
        <f>+GETPIVOTDATA("XLL4",'langlon (2016)'!$A$3,"MA_HT","DBV","MA_QH","SKS")</f>
        <v>0</v>
      </c>
      <c r="AA32" s="64">
        <f>+SUM(AB32:AD32,AF32:AM32)</f>
        <v>0</v>
      </c>
      <c r="AB32" s="74">
        <f>+GETPIVOTDATA("XLL4",'langlon (2016)'!$A$3,"MA_HT","DBV","MA_QH","DGT")</f>
        <v>0</v>
      </c>
      <c r="AC32" s="74">
        <f>+GETPIVOTDATA("XLL4",'langlon (2016)'!$A$3,"MA_HT","DBV","MA_QH","DTL")</f>
        <v>0</v>
      </c>
      <c r="AD32" s="74">
        <f>+GETPIVOTDATA("XLL4",'langlon (2016)'!$A$3,"MA_HT","DBV","MA_QH","DNL")</f>
        <v>0</v>
      </c>
      <c r="AE32" s="100" t="e">
        <f>$D32-$BF32</f>
        <v>#REF!</v>
      </c>
      <c r="AF32" s="74">
        <f>+GETPIVOTDATA("XLL4",'langlon (2016)'!$A$3,"MA_HT","DBV","MA_QH","DVH")</f>
        <v>0</v>
      </c>
      <c r="AG32" s="74">
        <f>+GETPIVOTDATA("XLL4",'langlon (2016)'!$A$3,"MA_HT","DBV","MA_QH","DYT")</f>
        <v>0</v>
      </c>
      <c r="AH32" s="74">
        <f>+GETPIVOTDATA("XLL4",'langlon (2016)'!$A$3,"MA_HT","DBV","MA_QH","DGD")</f>
        <v>0</v>
      </c>
      <c r="AI32" s="74">
        <f>+GETPIVOTDATA("XLL4",'langlon (2016)'!$A$3,"MA_HT","DBV","MA_QH","DTT")</f>
        <v>0</v>
      </c>
      <c r="AJ32" s="74">
        <f>+GETPIVOTDATA("XLL4",'langlon (2016)'!$A$3,"MA_HT","DBV","MA_QH","NCK")</f>
        <v>0</v>
      </c>
      <c r="AK32" s="74">
        <f>+GETPIVOTDATA("XLL4",'langlon (2016)'!$A$3,"MA_HT","DBV","MA_QH","DXH")</f>
        <v>0</v>
      </c>
      <c r="AL32" s="74">
        <f>+GETPIVOTDATA("XLL4",'langlon (2016)'!$A$3,"MA_HT","DBV","MA_QH","DCH")</f>
        <v>0</v>
      </c>
      <c r="AM32" s="74">
        <f>+GETPIVOTDATA("XLL4",'langlon (2016)'!$A$3,"MA_HT","DBV","MA_QH","DKG")</f>
        <v>0</v>
      </c>
      <c r="AN32" s="74">
        <f>+GETPIVOTDATA("XLL4",'langlon (2016)'!$A$3,"MA_HT","DBV","MA_QH","DDT")</f>
        <v>0</v>
      </c>
      <c r="AO32" s="74">
        <f>+GETPIVOTDATA("XLL4",'langlon (2016)'!$A$3,"MA_HT","DBV","MA_QH","DDL")</f>
        <v>0</v>
      </c>
      <c r="AP32" s="74">
        <f>+GETPIVOTDATA("XLL4",'langlon (2016)'!$A$3,"MA_HT","DBV","MA_QH","DRA")</f>
        <v>0</v>
      </c>
      <c r="AQ32" s="74">
        <f>+GETPIVOTDATA("XLL4",'langlon (2016)'!$A$3,"MA_HT","DBV","MA_QH","ONT")</f>
        <v>0</v>
      </c>
      <c r="AR32" s="74">
        <f>+GETPIVOTDATA("XLL4",'langlon (2016)'!$A$3,"MA_HT","DBV","MA_QH","ODT")</f>
        <v>0</v>
      </c>
      <c r="AS32" s="74">
        <f>+GETPIVOTDATA("XLL4",'langlon (2016)'!$A$3,"MA_HT","DBV","MA_QH","TSC")</f>
        <v>0</v>
      </c>
      <c r="AT32" s="74">
        <f>+GETPIVOTDATA("XLL4",'langlon (2016)'!$A$3,"MA_HT","DBV","MA_QH","DTS")</f>
        <v>0</v>
      </c>
      <c r="AU32" s="74">
        <f>+GETPIVOTDATA("XLL4",'langlon (2016)'!$A$3,"MA_HT","DBV","MA_QH","DNG")</f>
        <v>0</v>
      </c>
      <c r="AV32" s="74">
        <f>+GETPIVOTDATA("XLL4",'langlon (2016)'!$A$3,"MA_HT","DBV","MA_QH","TON")</f>
        <v>0</v>
      </c>
      <c r="AW32" s="74">
        <f>+GETPIVOTDATA("XLL4",'langlon (2016)'!$A$3,"MA_HT","DBV","MA_QH","NTD")</f>
        <v>0</v>
      </c>
      <c r="AX32" s="74">
        <f>+GETPIVOTDATA("XLL4",'langlon (2016)'!$A$3,"MA_HT","DBV","MA_QH","SKX")</f>
        <v>0</v>
      </c>
      <c r="AY32" s="74">
        <f>+GETPIVOTDATA("XLL4",'langlon (2016)'!$A$3,"MA_HT","DBV","MA_QH","DSH")</f>
        <v>0</v>
      </c>
      <c r="AZ32" s="74">
        <f>+GETPIVOTDATA("XLL4",'langlon (2016)'!$A$3,"MA_HT","DBV","MA_QH","DKV")</f>
        <v>0</v>
      </c>
      <c r="BA32" s="139">
        <f>+GETPIVOTDATA("XLL4",'langlon (2016)'!$A$3,"MA_HT","DBV","MA_QH","TIN")</f>
        <v>0</v>
      </c>
      <c r="BB32" s="74">
        <f>+GETPIVOTDATA("XLL4",'langlon (2016)'!$A$3,"MA_HT","DBV","MA_QH","SON")</f>
        <v>0</v>
      </c>
      <c r="BC32" s="74">
        <f>+GETPIVOTDATA("XLL4",'langlon (2016)'!$A$3,"MA_HT","DBV","MA_QH","MNC")</f>
        <v>0</v>
      </c>
      <c r="BD32" s="74">
        <f>+GETPIVOTDATA("XLL4",'langlon (2016)'!$A$3,"MA_HT","DBV","MA_QH","PNK")</f>
        <v>0</v>
      </c>
      <c r="BE32" s="102">
        <f>+GETPIVOTDATA("XLL4",'langlon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+GETPIVOTDATA("XLL4",'langlon (2016)'!$A$3,"MA_HT","DVH","MA_QH","LUC")</f>
        <v>0</v>
      </c>
      <c r="H33" s="74">
        <f>+GETPIVOTDATA("XLL4",'langlon (2016)'!$A$3,"MA_HT","DVH","MA_QH","LUK")</f>
        <v>0</v>
      </c>
      <c r="I33" s="74">
        <f>+GETPIVOTDATA("XLL4",'langlon (2016)'!$A$3,"MA_HT","DVH","MA_QH","LUN")</f>
        <v>0</v>
      </c>
      <c r="J33" s="74">
        <f>+GETPIVOTDATA("XLL4",'langlon (2016)'!$A$3,"MA_HT","DVH","MA_QH","HNK")</f>
        <v>0</v>
      </c>
      <c r="K33" s="74">
        <f>+GETPIVOTDATA("XLL4",'langlon (2016)'!$A$3,"MA_HT","DVH","MA_QH","CLN")</f>
        <v>0</v>
      </c>
      <c r="L33" s="74">
        <f>+GETPIVOTDATA("XLL4",'langlon (2016)'!$A$3,"MA_HT","DVH","MA_QH","RSX")</f>
        <v>0</v>
      </c>
      <c r="M33" s="74">
        <f>+GETPIVOTDATA("XLL4",'langlon (2016)'!$A$3,"MA_HT","DVH","MA_QH","RPH")</f>
        <v>0</v>
      </c>
      <c r="N33" s="74">
        <f>+GETPIVOTDATA("XLL4",'langlon (2016)'!$A$3,"MA_HT","DVH","MA_QH","RDD")</f>
        <v>0</v>
      </c>
      <c r="O33" s="74">
        <f>+GETPIVOTDATA("XLL4",'langlon (2016)'!$A$3,"MA_HT","DVH","MA_QH","NTS")</f>
        <v>0</v>
      </c>
      <c r="P33" s="74">
        <f>+GETPIVOTDATA("XLL4",'langlon (2016)'!$A$3,"MA_HT","DVH","MA_QH","LMU")</f>
        <v>0</v>
      </c>
      <c r="Q33" s="74">
        <f>+GETPIVOTDATA("XLL4",'langlon (2016)'!$A$3,"MA_HT","DVH","MA_QH","NKH")</f>
        <v>0</v>
      </c>
      <c r="R33" s="72">
        <f t="shared" si="20"/>
        <v>0</v>
      </c>
      <c r="S33" s="74">
        <f>+GETPIVOTDATA("XLL4",'langlon (2016)'!$A$3,"MA_HT","DVH","MA_QH","CQP")</f>
        <v>0</v>
      </c>
      <c r="T33" s="74">
        <f>+GETPIVOTDATA("XLL4",'langlon (2016)'!$A$3,"MA_HT","DVH","MA_QH","CAN")</f>
        <v>0</v>
      </c>
      <c r="U33" s="74">
        <f>+GETPIVOTDATA("XLL4",'langlon (2016)'!$A$3,"MA_HT","DVH","MA_QH","SKK")</f>
        <v>0</v>
      </c>
      <c r="V33" s="74">
        <f>+GETPIVOTDATA("XLL4",'langlon (2016)'!$A$3,"MA_HT","DVH","MA_QH","SKT")</f>
        <v>0</v>
      </c>
      <c r="W33" s="74">
        <f>+GETPIVOTDATA("XLL4",'langlon (2016)'!$A$3,"MA_HT","DVH","MA_QH","SKN")</f>
        <v>0</v>
      </c>
      <c r="X33" s="74">
        <f>+GETPIVOTDATA("XLL4",'langlon (2016)'!$A$3,"MA_HT","DVH","MA_QH","TMD")</f>
        <v>0</v>
      </c>
      <c r="Y33" s="74">
        <f>+GETPIVOTDATA("XLL4",'langlon (2016)'!$A$3,"MA_HT","DVH","MA_QH","SKC")</f>
        <v>0</v>
      </c>
      <c r="Z33" s="74">
        <f>+GETPIVOTDATA("XLL4",'langlon (2016)'!$A$3,"MA_HT","DVH","MA_QH","SKS")</f>
        <v>0</v>
      </c>
      <c r="AA33" s="64">
        <f>+SUM(AB33:AE33,AG33:AM33)</f>
        <v>0</v>
      </c>
      <c r="AB33" s="74">
        <f>+GETPIVOTDATA("XLL4",'langlon (2016)'!$A$3,"MA_HT","DVH","MA_QH","DGT")</f>
        <v>0</v>
      </c>
      <c r="AC33" s="74">
        <f>+GETPIVOTDATA("XLL4",'langlon (2016)'!$A$3,"MA_HT","DVH","MA_QH","DTL")</f>
        <v>0</v>
      </c>
      <c r="AD33" s="74">
        <f>+GETPIVOTDATA("XLL4",'langlon (2016)'!$A$3,"MA_HT","DVH","MA_QH","DNL")</f>
        <v>0</v>
      </c>
      <c r="AE33" s="74">
        <f>+GETPIVOTDATA("XLL4",'langlon (2016)'!$A$3,"MA_HT","DVH","MA_QH","DBV")</f>
        <v>0</v>
      </c>
      <c r="AF33" s="100" t="e">
        <f>$D33-$BF33</f>
        <v>#REF!</v>
      </c>
      <c r="AG33" s="74">
        <f>+GETPIVOTDATA("XLL4",'langlon (2016)'!$A$3,"MA_HT","DVH","MA_QH","DYT")</f>
        <v>0</v>
      </c>
      <c r="AH33" s="74">
        <f>+GETPIVOTDATA("XLL4",'langlon (2016)'!$A$3,"MA_HT","DVH","MA_QH","DGD")</f>
        <v>0</v>
      </c>
      <c r="AI33" s="74">
        <f>+GETPIVOTDATA("XLL4",'langlon (2016)'!$A$3,"MA_HT","DVH","MA_QH","DTT")</f>
        <v>0</v>
      </c>
      <c r="AJ33" s="74">
        <f>+GETPIVOTDATA("XLL4",'langlon (2016)'!$A$3,"MA_HT","DVH","MA_QH","NCK")</f>
        <v>0</v>
      </c>
      <c r="AK33" s="74">
        <f>+GETPIVOTDATA("XLL4",'langlon (2016)'!$A$3,"MA_HT","DVH","MA_QH","DXH")</f>
        <v>0</v>
      </c>
      <c r="AL33" s="74">
        <f>+GETPIVOTDATA("XLL4",'langlon (2016)'!$A$3,"MA_HT","DVH","MA_QH","DCH")</f>
        <v>0</v>
      </c>
      <c r="AM33" s="74">
        <f>+GETPIVOTDATA("XLL4",'langlon (2016)'!$A$3,"MA_HT","DVH","MA_QH","DKG")</f>
        <v>0</v>
      </c>
      <c r="AN33" s="74">
        <f>+GETPIVOTDATA("XLL4",'langlon (2016)'!$A$3,"MA_HT","DVH","MA_QH","DDT")</f>
        <v>0</v>
      </c>
      <c r="AO33" s="74">
        <f>+GETPIVOTDATA("XLL4",'langlon (2016)'!$A$3,"MA_HT","DVH","MA_QH","DDL")</f>
        <v>0</v>
      </c>
      <c r="AP33" s="74">
        <f>+GETPIVOTDATA("XLL4",'langlon (2016)'!$A$3,"MA_HT","DVH","MA_QH","DRA")</f>
        <v>0</v>
      </c>
      <c r="AQ33" s="74">
        <f>+GETPIVOTDATA("XLL4",'langlon (2016)'!$A$3,"MA_HT","DVH","MA_QH","ONT")</f>
        <v>0</v>
      </c>
      <c r="AR33" s="74">
        <f>+GETPIVOTDATA("XLL4",'langlon (2016)'!$A$3,"MA_HT","DVH","MA_QH","ODT")</f>
        <v>0</v>
      </c>
      <c r="AS33" s="74">
        <f>+GETPIVOTDATA("XLL4",'langlon (2016)'!$A$3,"MA_HT","DVH","MA_QH","TSC")</f>
        <v>0</v>
      </c>
      <c r="AT33" s="74">
        <f>+GETPIVOTDATA("XLL4",'langlon (2016)'!$A$3,"MA_HT","DVH","MA_QH","DTS")</f>
        <v>0</v>
      </c>
      <c r="AU33" s="74">
        <f>+GETPIVOTDATA("XLL4",'langlon (2016)'!$A$3,"MA_HT","DVH","MA_QH","DNG")</f>
        <v>0</v>
      </c>
      <c r="AV33" s="74">
        <f>+GETPIVOTDATA("XLL4",'langlon (2016)'!$A$3,"MA_HT","DVH","MA_QH","TON")</f>
        <v>0</v>
      </c>
      <c r="AW33" s="74">
        <f>+GETPIVOTDATA("XLL4",'langlon (2016)'!$A$3,"MA_HT","DVH","MA_QH","NTD")</f>
        <v>0</v>
      </c>
      <c r="AX33" s="74">
        <f>+GETPIVOTDATA("XLL4",'langlon (2016)'!$A$3,"MA_HT","DVH","MA_QH","SKX")</f>
        <v>0</v>
      </c>
      <c r="AY33" s="74">
        <f>+GETPIVOTDATA("XLL4",'langlon (2016)'!$A$3,"MA_HT","DVH","MA_QH","DSH")</f>
        <v>0</v>
      </c>
      <c r="AZ33" s="74">
        <f>+GETPIVOTDATA("XLL4",'langlon (2016)'!$A$3,"MA_HT","DVH","MA_QH","DKV")</f>
        <v>0</v>
      </c>
      <c r="BA33" s="139">
        <f>+GETPIVOTDATA("XLL4",'langlon (2016)'!$A$3,"MA_HT","DVH","MA_QH","TIN")</f>
        <v>0</v>
      </c>
      <c r="BB33" s="74">
        <f>+GETPIVOTDATA("XLL4",'langlon (2016)'!$A$3,"MA_HT","DVH","MA_QH","SON")</f>
        <v>0</v>
      </c>
      <c r="BC33" s="74">
        <f>+GETPIVOTDATA("XLL4",'langlon (2016)'!$A$3,"MA_HT","DVH","MA_QH","MNC")</f>
        <v>0</v>
      </c>
      <c r="BD33" s="74">
        <f>+GETPIVOTDATA("XLL4",'langlon (2016)'!$A$3,"MA_HT","DVH","MA_QH","PNK")</f>
        <v>0</v>
      </c>
      <c r="BE33" s="102">
        <f>+GETPIVOTDATA("XLL4",'langlon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+GETPIVOTDATA("XLL4",'langlon (2016)'!$A$3,"MA_HT","DYT","MA_QH","LUC")</f>
        <v>0</v>
      </c>
      <c r="H34" s="74">
        <f>+GETPIVOTDATA("XLL4",'langlon (2016)'!$A$3,"MA_HT","DYT","MA_QH","LUK")</f>
        <v>0</v>
      </c>
      <c r="I34" s="74">
        <f>+GETPIVOTDATA("XLL4",'langlon (2016)'!$A$3,"MA_HT","DYT","MA_QH","LUN")</f>
        <v>0</v>
      </c>
      <c r="J34" s="74">
        <f>+GETPIVOTDATA("XLL4",'langlon (2016)'!$A$3,"MA_HT","DYT","MA_QH","HNK")</f>
        <v>0</v>
      </c>
      <c r="K34" s="74">
        <f>+GETPIVOTDATA("XLL4",'langlon (2016)'!$A$3,"MA_HT","DYT","MA_QH","CLN")</f>
        <v>0</v>
      </c>
      <c r="L34" s="74">
        <f>+GETPIVOTDATA("XLL4",'langlon (2016)'!$A$3,"MA_HT","DYT","MA_QH","RSX")</f>
        <v>0</v>
      </c>
      <c r="M34" s="74">
        <f>+GETPIVOTDATA("XLL4",'langlon (2016)'!$A$3,"MA_HT","DYT","MA_QH","RPH")</f>
        <v>0</v>
      </c>
      <c r="N34" s="74">
        <f>+GETPIVOTDATA("XLL4",'langlon (2016)'!$A$3,"MA_HT","DYT","MA_QH","RDD")</f>
        <v>0</v>
      </c>
      <c r="O34" s="74">
        <f>+GETPIVOTDATA("XLL4",'langlon (2016)'!$A$3,"MA_HT","DYT","MA_QH","NTS")</f>
        <v>0</v>
      </c>
      <c r="P34" s="74">
        <f>+GETPIVOTDATA("XLL4",'langlon (2016)'!$A$3,"MA_HT","DYT","MA_QH","LMU")</f>
        <v>0</v>
      </c>
      <c r="Q34" s="74">
        <f>+GETPIVOTDATA("XLL4",'langlon (2016)'!$A$3,"MA_HT","DYT","MA_QH","NKH")</f>
        <v>0</v>
      </c>
      <c r="R34" s="72">
        <f t="shared" si="20"/>
        <v>0</v>
      </c>
      <c r="S34" s="74">
        <f>+GETPIVOTDATA("XLL4",'langlon (2016)'!$A$3,"MA_HT","DYT","MA_QH","CQP")</f>
        <v>0</v>
      </c>
      <c r="T34" s="74">
        <f>+GETPIVOTDATA("XLL4",'langlon (2016)'!$A$3,"MA_HT","DYT","MA_QH","CAN")</f>
        <v>0</v>
      </c>
      <c r="U34" s="74">
        <f>+GETPIVOTDATA("XLL4",'langlon (2016)'!$A$3,"MA_HT","DYT","MA_QH","SKK")</f>
        <v>0</v>
      </c>
      <c r="V34" s="74">
        <f>+GETPIVOTDATA("XLL4",'langlon (2016)'!$A$3,"MA_HT","DYT","MA_QH","SKT")</f>
        <v>0</v>
      </c>
      <c r="W34" s="74">
        <f>+GETPIVOTDATA("XLL4",'langlon (2016)'!$A$3,"MA_HT","DYT","MA_QH","SKN")</f>
        <v>0</v>
      </c>
      <c r="X34" s="74">
        <f>+GETPIVOTDATA("XLL4",'langlon (2016)'!$A$3,"MA_HT","DYT","MA_QH","TMD")</f>
        <v>0</v>
      </c>
      <c r="Y34" s="74">
        <f>+GETPIVOTDATA("XLL4",'langlon (2016)'!$A$3,"MA_HT","DYT","MA_QH","SKC")</f>
        <v>0</v>
      </c>
      <c r="Z34" s="74">
        <f>+GETPIVOTDATA("XLL4",'langlon (2016)'!$A$3,"MA_HT","DYT","MA_QH","SKS")</f>
        <v>0</v>
      </c>
      <c r="AA34" s="64">
        <f>+SUM(AB34:AF34,AH34:AM34)</f>
        <v>0</v>
      </c>
      <c r="AB34" s="74">
        <f>+GETPIVOTDATA("XLL4",'langlon (2016)'!$A$3,"MA_HT","DYT","MA_QH","DGT")</f>
        <v>0</v>
      </c>
      <c r="AC34" s="74">
        <f>+GETPIVOTDATA("XLL4",'langlon (2016)'!$A$3,"MA_HT","DYT","MA_QH","DTL")</f>
        <v>0</v>
      </c>
      <c r="AD34" s="74">
        <f>+GETPIVOTDATA("XLL4",'langlon (2016)'!$A$3,"MA_HT","DYT","MA_QH","DNL")</f>
        <v>0</v>
      </c>
      <c r="AE34" s="74">
        <f>+GETPIVOTDATA("XLL4",'langlon (2016)'!$A$3,"MA_HT","DYT","MA_QH","DBV")</f>
        <v>0</v>
      </c>
      <c r="AF34" s="74">
        <f>+GETPIVOTDATA("XLL4",'langlon (2016)'!$A$3,"MA_HT","DYT","MA_QH","DVH")</f>
        <v>0</v>
      </c>
      <c r="AG34" s="100" t="e">
        <f>$D34-$BF34</f>
        <v>#REF!</v>
      </c>
      <c r="AH34" s="74">
        <f>+GETPIVOTDATA("XLL4",'langlon (2016)'!$A$3,"MA_HT","DYT","MA_QH","DGD")</f>
        <v>0</v>
      </c>
      <c r="AI34" s="74">
        <f>+GETPIVOTDATA("XLL4",'langlon (2016)'!$A$3,"MA_HT","DYT","MA_QH","DTT")</f>
        <v>0</v>
      </c>
      <c r="AJ34" s="74">
        <f>+GETPIVOTDATA("XLL4",'langlon (2016)'!$A$3,"MA_HT","DYT","MA_QH","NCK")</f>
        <v>0</v>
      </c>
      <c r="AK34" s="74">
        <f>+GETPIVOTDATA("XLL4",'langlon (2016)'!$A$3,"MA_HT","DYT","MA_QH","DXH")</f>
        <v>0</v>
      </c>
      <c r="AL34" s="74">
        <f>+GETPIVOTDATA("XLL4",'langlon (2016)'!$A$3,"MA_HT","DYT","MA_QH","DCH")</f>
        <v>0</v>
      </c>
      <c r="AM34" s="74">
        <f>+GETPIVOTDATA("XLL4",'langlon (2016)'!$A$3,"MA_HT","DYT","MA_QH","DKG")</f>
        <v>0</v>
      </c>
      <c r="AN34" s="74">
        <f>+GETPIVOTDATA("XLL4",'langlon (2016)'!$A$3,"MA_HT","DYT","MA_QH","DDT")</f>
        <v>0</v>
      </c>
      <c r="AO34" s="74">
        <f>+GETPIVOTDATA("XLL4",'langlon (2016)'!$A$3,"MA_HT","DYT","MA_QH","DDL")</f>
        <v>0</v>
      </c>
      <c r="AP34" s="74">
        <f>+GETPIVOTDATA("XLL4",'langlon (2016)'!$A$3,"MA_HT","DYT","MA_QH","DRA")</f>
        <v>0</v>
      </c>
      <c r="AQ34" s="74">
        <f>+GETPIVOTDATA("XLL4",'langlon (2016)'!$A$3,"MA_HT","DYT","MA_QH","ONT")</f>
        <v>0</v>
      </c>
      <c r="AR34" s="74">
        <f>+GETPIVOTDATA("XLL4",'langlon (2016)'!$A$3,"MA_HT","DYT","MA_QH","ODT")</f>
        <v>0</v>
      </c>
      <c r="AS34" s="74">
        <f>+GETPIVOTDATA("XLL4",'langlon (2016)'!$A$3,"MA_HT","DYT","MA_QH","TSC")</f>
        <v>0</v>
      </c>
      <c r="AT34" s="74">
        <f>+GETPIVOTDATA("XLL4",'langlon (2016)'!$A$3,"MA_HT","DYT","MA_QH","DTS")</f>
        <v>0</v>
      </c>
      <c r="AU34" s="74">
        <f>+GETPIVOTDATA("XLL4",'langlon (2016)'!$A$3,"MA_HT","DYT","MA_QH","DNG")</f>
        <v>0</v>
      </c>
      <c r="AV34" s="74">
        <f>+GETPIVOTDATA("XLL4",'langlon (2016)'!$A$3,"MA_HT","DYT","MA_QH","TON")</f>
        <v>0</v>
      </c>
      <c r="AW34" s="74">
        <f>+GETPIVOTDATA("XLL4",'langlon (2016)'!$A$3,"MA_HT","DYT","MA_QH","NTD")</f>
        <v>0</v>
      </c>
      <c r="AX34" s="74">
        <f>+GETPIVOTDATA("XLL4",'langlon (2016)'!$A$3,"MA_HT","DYT","MA_QH","SKX")</f>
        <v>0</v>
      </c>
      <c r="AY34" s="74">
        <f>+GETPIVOTDATA("XLL4",'langlon (2016)'!$A$3,"MA_HT","DYT","MA_QH","DSH")</f>
        <v>0</v>
      </c>
      <c r="AZ34" s="74">
        <f>+GETPIVOTDATA("XLL4",'langlon (2016)'!$A$3,"MA_HT","DYT","MA_QH","DKV")</f>
        <v>0</v>
      </c>
      <c r="BA34" s="139">
        <f>+GETPIVOTDATA("XLL4",'langlon (2016)'!$A$3,"MA_HT","DYT","MA_QH","TIN")</f>
        <v>0</v>
      </c>
      <c r="BB34" s="74">
        <f>+GETPIVOTDATA("XLL4",'langlon (2016)'!$A$3,"MA_HT","DYT","MA_QH","SON")</f>
        <v>0</v>
      </c>
      <c r="BC34" s="74">
        <f>+GETPIVOTDATA("XLL4",'langlon (2016)'!$A$3,"MA_HT","DYT","MA_QH","MNC")</f>
        <v>0</v>
      </c>
      <c r="BD34" s="74">
        <f>+GETPIVOTDATA("XLL4",'langlon (2016)'!$A$3,"MA_HT","DYT","MA_QH","PNK")</f>
        <v>0</v>
      </c>
      <c r="BE34" s="102">
        <f>+GETPIVOTDATA("XLL4",'langlon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+GETPIVOTDATA("XLL4",'langlon (2016)'!$A$3,"MA_HT","DGD","MA_QH","LUC")</f>
        <v>0</v>
      </c>
      <c r="H35" s="74">
        <f>+GETPIVOTDATA("XLL4",'langlon (2016)'!$A$3,"MA_HT","DGD","MA_QH","LUK")</f>
        <v>0</v>
      </c>
      <c r="I35" s="74">
        <f>+GETPIVOTDATA("XLL4",'langlon (2016)'!$A$3,"MA_HT","DGD","MA_QH","LUN")</f>
        <v>0</v>
      </c>
      <c r="J35" s="74">
        <f>+GETPIVOTDATA("XLL4",'langlon (2016)'!$A$3,"MA_HT","DGD","MA_QH","HNK")</f>
        <v>0</v>
      </c>
      <c r="K35" s="74">
        <f>+GETPIVOTDATA("XLL4",'langlon (2016)'!$A$3,"MA_HT","DGD","MA_QH","CLN")</f>
        <v>0</v>
      </c>
      <c r="L35" s="74">
        <f>+GETPIVOTDATA("XLL4",'langlon (2016)'!$A$3,"MA_HT","DGD","MA_QH","RSX")</f>
        <v>0</v>
      </c>
      <c r="M35" s="74">
        <f>+GETPIVOTDATA("XLL4",'langlon (2016)'!$A$3,"MA_HT","DGD","MA_QH","RPH")</f>
        <v>0</v>
      </c>
      <c r="N35" s="74">
        <f>+GETPIVOTDATA("XLL4",'langlon (2016)'!$A$3,"MA_HT","DGD","MA_QH","RDD")</f>
        <v>0</v>
      </c>
      <c r="O35" s="74">
        <f>+GETPIVOTDATA("XLL4",'langlon (2016)'!$A$3,"MA_HT","DGD","MA_QH","NTS")</f>
        <v>0</v>
      </c>
      <c r="P35" s="74">
        <f>+GETPIVOTDATA("XLL4",'langlon (2016)'!$A$3,"MA_HT","DGD","MA_QH","LMU")</f>
        <v>0</v>
      </c>
      <c r="Q35" s="74">
        <f>+GETPIVOTDATA("XLL4",'langlon (2016)'!$A$3,"MA_HT","DGD","MA_QH","NKH")</f>
        <v>0</v>
      </c>
      <c r="R35" s="72">
        <f t="shared" si="20"/>
        <v>0</v>
      </c>
      <c r="S35" s="74">
        <f>+GETPIVOTDATA("XLL4",'langlon (2016)'!$A$3,"MA_HT","DGD","MA_QH","CQP")</f>
        <v>0</v>
      </c>
      <c r="T35" s="74">
        <f>+GETPIVOTDATA("XLL4",'langlon (2016)'!$A$3,"MA_HT","DGD","MA_QH","CAN")</f>
        <v>0</v>
      </c>
      <c r="U35" s="74">
        <f>+GETPIVOTDATA("XLL4",'langlon (2016)'!$A$3,"MA_HT","DGD","MA_QH","SKK")</f>
        <v>0</v>
      </c>
      <c r="V35" s="74">
        <f>+GETPIVOTDATA("XLL4",'langlon (2016)'!$A$3,"MA_HT","DGD","MA_QH","SKT")</f>
        <v>0</v>
      </c>
      <c r="W35" s="74">
        <f>+GETPIVOTDATA("XLL4",'langlon (2016)'!$A$3,"MA_HT","DGD","MA_QH","SKN")</f>
        <v>0</v>
      </c>
      <c r="X35" s="74">
        <f>+GETPIVOTDATA("XLL4",'langlon (2016)'!$A$3,"MA_HT","DGD","MA_QH","TMD")</f>
        <v>0</v>
      </c>
      <c r="Y35" s="74">
        <f>+GETPIVOTDATA("XLL4",'langlon (2016)'!$A$3,"MA_HT","DGD","MA_QH","SKC")</f>
        <v>0</v>
      </c>
      <c r="Z35" s="74">
        <f>+GETPIVOTDATA("XLL4",'langlon (2016)'!$A$3,"MA_HT","DGD","MA_QH","SKS")</f>
        <v>0</v>
      </c>
      <c r="AA35" s="64">
        <f>+SUM(AB35:AG35,AI35:AM35)</f>
        <v>0</v>
      </c>
      <c r="AB35" s="74">
        <f>+GETPIVOTDATA("XLL4",'langlon (2016)'!$A$3,"MA_HT","DGD","MA_QH","DGT")</f>
        <v>0</v>
      </c>
      <c r="AC35" s="74">
        <f>+GETPIVOTDATA("XLL4",'langlon (2016)'!$A$3,"MA_HT","DGD","MA_QH","DTL")</f>
        <v>0</v>
      </c>
      <c r="AD35" s="74">
        <f>+GETPIVOTDATA("XLL4",'langlon (2016)'!$A$3,"MA_HT","DGD","MA_QH","DNL")</f>
        <v>0</v>
      </c>
      <c r="AE35" s="74">
        <f>+GETPIVOTDATA("XLL4",'langlon (2016)'!$A$3,"MA_HT","DGD","MA_QH","DBV")</f>
        <v>0</v>
      </c>
      <c r="AF35" s="74">
        <f>+GETPIVOTDATA("XLL4",'langlon (2016)'!$A$3,"MA_HT","DGD","MA_QH","DVH")</f>
        <v>0</v>
      </c>
      <c r="AG35" s="74">
        <f>+GETPIVOTDATA("XLL4",'langlon (2016)'!$A$3,"MA_HT","DGD","MA_QH","DYT")</f>
        <v>0</v>
      </c>
      <c r="AH35" s="100" t="e">
        <f>$D35-$BF35</f>
        <v>#REF!</v>
      </c>
      <c r="AI35" s="74">
        <f>+GETPIVOTDATA("XLL4",'langlon (2016)'!$A$3,"MA_HT","DGD","MA_QH","DTT")</f>
        <v>0</v>
      </c>
      <c r="AJ35" s="74">
        <f>+GETPIVOTDATA("XLL4",'langlon (2016)'!$A$3,"MA_HT","DGD","MA_QH","NCK")</f>
        <v>0</v>
      </c>
      <c r="AK35" s="74">
        <f>+GETPIVOTDATA("XLL4",'langlon (2016)'!$A$3,"MA_HT","DGD","MA_QH","DXH")</f>
        <v>0</v>
      </c>
      <c r="AL35" s="74">
        <f>+GETPIVOTDATA("XLL4",'langlon (2016)'!$A$3,"MA_HT","DGD","MA_QH","DCH")</f>
        <v>0</v>
      </c>
      <c r="AM35" s="74">
        <f>+GETPIVOTDATA("XLL4",'langlon (2016)'!$A$3,"MA_HT","DGD","MA_QH","DKG")</f>
        <v>0</v>
      </c>
      <c r="AN35" s="74">
        <f>+GETPIVOTDATA("XLL4",'langlon (2016)'!$A$3,"MA_HT","DGD","MA_QH","DDT")</f>
        <v>0</v>
      </c>
      <c r="AO35" s="74">
        <f>+GETPIVOTDATA("XLL4",'langlon (2016)'!$A$3,"MA_HT","DGD","MA_QH","DDL")</f>
        <v>0</v>
      </c>
      <c r="AP35" s="74">
        <f>+GETPIVOTDATA("XLL4",'langlon (2016)'!$A$3,"MA_HT","DGD","MA_QH","DRA")</f>
        <v>0</v>
      </c>
      <c r="AQ35" s="74">
        <f>+GETPIVOTDATA("XLL4",'langlon (2016)'!$A$3,"MA_HT","DGD","MA_QH","ONT")</f>
        <v>0</v>
      </c>
      <c r="AR35" s="74">
        <f>+GETPIVOTDATA("XLL4",'langlon (2016)'!$A$3,"MA_HT","DGD","MA_QH","ODT")</f>
        <v>0</v>
      </c>
      <c r="AS35" s="74">
        <f>+GETPIVOTDATA("XLL4",'langlon (2016)'!$A$3,"MA_HT","DGD","MA_QH","TSC")</f>
        <v>0</v>
      </c>
      <c r="AT35" s="74">
        <f>+GETPIVOTDATA("XLL4",'langlon (2016)'!$A$3,"MA_HT","DGD","MA_QH","DTS")</f>
        <v>0</v>
      </c>
      <c r="AU35" s="74">
        <f>+GETPIVOTDATA("XLL4",'langlon (2016)'!$A$3,"MA_HT","DGD","MA_QH","DNG")</f>
        <v>0</v>
      </c>
      <c r="AV35" s="74">
        <f>+GETPIVOTDATA("XLL4",'langlon (2016)'!$A$3,"MA_HT","DGD","MA_QH","TON")</f>
        <v>0</v>
      </c>
      <c r="AW35" s="74">
        <f>+GETPIVOTDATA("XLL4",'langlon (2016)'!$A$3,"MA_HT","DGD","MA_QH","NTD")</f>
        <v>0</v>
      </c>
      <c r="AX35" s="74">
        <f>+GETPIVOTDATA("XLL4",'langlon (2016)'!$A$3,"MA_HT","DGD","MA_QH","SKX")</f>
        <v>0</v>
      </c>
      <c r="AY35" s="74">
        <f>+GETPIVOTDATA("XLL4",'langlon (2016)'!$A$3,"MA_HT","DGD","MA_QH","DSH")</f>
        <v>0</v>
      </c>
      <c r="AZ35" s="74">
        <f>+GETPIVOTDATA("XLL4",'langlon (2016)'!$A$3,"MA_HT","DGD","MA_QH","DKV")</f>
        <v>0</v>
      </c>
      <c r="BA35" s="139">
        <f>+GETPIVOTDATA("XLL4",'langlon (2016)'!$A$3,"MA_HT","DGD","MA_QH","TIN")</f>
        <v>0</v>
      </c>
      <c r="BB35" s="74">
        <f>+GETPIVOTDATA("XLL4",'langlon (2016)'!$A$3,"MA_HT","DGD","MA_QH","SON")</f>
        <v>0</v>
      </c>
      <c r="BC35" s="74">
        <f>+GETPIVOTDATA("XLL4",'langlon (2016)'!$A$3,"MA_HT","DGD","MA_QH","MNC")</f>
        <v>0</v>
      </c>
      <c r="BD35" s="74">
        <f>+GETPIVOTDATA("XLL4",'langlon (2016)'!$A$3,"MA_HT","DGD","MA_QH","PNK")</f>
        <v>0</v>
      </c>
      <c r="BE35" s="102">
        <f>+GETPIVOTDATA("XLL4",'langlon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+GETPIVOTDATA("XLL4",'langlon (2016)'!$A$3,"MA_HT","DTT","MA_QH","LUC")</f>
        <v>0</v>
      </c>
      <c r="H36" s="74">
        <f>+GETPIVOTDATA("XLL4",'langlon (2016)'!$A$3,"MA_HT","DTT","MA_QH","LUK")</f>
        <v>0</v>
      </c>
      <c r="I36" s="74">
        <f>+GETPIVOTDATA("XLL4",'langlon (2016)'!$A$3,"MA_HT","DTT","MA_QH","LUN")</f>
        <v>0</v>
      </c>
      <c r="J36" s="74">
        <f>+GETPIVOTDATA("XLL4",'langlon (2016)'!$A$3,"MA_HT","DTT","MA_QH","HNK")</f>
        <v>0</v>
      </c>
      <c r="K36" s="74">
        <f>+GETPIVOTDATA("XLL4",'langlon (2016)'!$A$3,"MA_HT","DTT","MA_QH","CLN")</f>
        <v>0</v>
      </c>
      <c r="L36" s="74">
        <f>+GETPIVOTDATA("XLL4",'langlon (2016)'!$A$3,"MA_HT","DTT","MA_QH","RSX")</f>
        <v>0</v>
      </c>
      <c r="M36" s="74">
        <f>+GETPIVOTDATA("XLL4",'langlon (2016)'!$A$3,"MA_HT","DTT","MA_QH","RPH")</f>
        <v>0</v>
      </c>
      <c r="N36" s="74">
        <f>+GETPIVOTDATA("XLL4",'langlon (2016)'!$A$3,"MA_HT","DTT","MA_QH","RDD")</f>
        <v>0</v>
      </c>
      <c r="O36" s="74">
        <f>+GETPIVOTDATA("XLL4",'langlon (2016)'!$A$3,"MA_HT","DTT","MA_QH","NTS")</f>
        <v>0</v>
      </c>
      <c r="P36" s="74">
        <f>+GETPIVOTDATA("XLL4",'langlon (2016)'!$A$3,"MA_HT","DTT","MA_QH","LMU")</f>
        <v>0</v>
      </c>
      <c r="Q36" s="74">
        <f>+GETPIVOTDATA("XLL4",'langlon (2016)'!$A$3,"MA_HT","DTT","MA_QH","NKH")</f>
        <v>0</v>
      </c>
      <c r="R36" s="72">
        <f>SUM(S36:AA36,AN36:BD36)</f>
        <v>0</v>
      </c>
      <c r="S36" s="74">
        <f>+GETPIVOTDATA("XLL4",'langlon (2016)'!$A$3,"MA_HT","DTT","MA_QH","CQP")</f>
        <v>0</v>
      </c>
      <c r="T36" s="74">
        <f>+GETPIVOTDATA("XLL4",'langlon (2016)'!$A$3,"MA_HT","DTT","MA_QH","CAN")</f>
        <v>0</v>
      </c>
      <c r="U36" s="74">
        <f>+GETPIVOTDATA("XLL4",'langlon (2016)'!$A$3,"MA_HT","DTT","MA_QH","SKK")</f>
        <v>0</v>
      </c>
      <c r="V36" s="74">
        <f>+GETPIVOTDATA("XLL4",'langlon (2016)'!$A$3,"MA_HT","DTT","MA_QH","SKT")</f>
        <v>0</v>
      </c>
      <c r="W36" s="74">
        <f>+GETPIVOTDATA("XLL4",'langlon (2016)'!$A$3,"MA_HT","DTT","MA_QH","SKN")</f>
        <v>0</v>
      </c>
      <c r="X36" s="74">
        <f>+GETPIVOTDATA("XLL4",'langlon (2016)'!$A$3,"MA_HT","DTT","MA_QH","TMD")</f>
        <v>0</v>
      </c>
      <c r="Y36" s="74">
        <f>+GETPIVOTDATA("XLL4",'langlon (2016)'!$A$3,"MA_HT","DTT","MA_QH","SKC")</f>
        <v>0</v>
      </c>
      <c r="Z36" s="74">
        <f>+GETPIVOTDATA("XLL4",'langlon (2016)'!$A$3,"MA_HT","DTT","MA_QH","SKS")</f>
        <v>0</v>
      </c>
      <c r="AA36" s="64">
        <f>+SUM(AB36:AH36,AJ36:AM36)</f>
        <v>0</v>
      </c>
      <c r="AB36" s="74">
        <f>+GETPIVOTDATA("XLL4",'langlon (2016)'!$A$3,"MA_HT","DTT","MA_QH","DGT")</f>
        <v>0</v>
      </c>
      <c r="AC36" s="74">
        <f>+GETPIVOTDATA("XLL4",'langlon (2016)'!$A$3,"MA_HT","DTT","MA_QH","DTL")</f>
        <v>0</v>
      </c>
      <c r="AD36" s="74">
        <f>+GETPIVOTDATA("XLL4",'langlon (2016)'!$A$3,"MA_HT","DTT","MA_QH","DNL")</f>
        <v>0</v>
      </c>
      <c r="AE36" s="74">
        <f>+GETPIVOTDATA("XLL4",'langlon (2016)'!$A$3,"MA_HT","DTT","MA_QH","DBV")</f>
        <v>0</v>
      </c>
      <c r="AF36" s="74">
        <f>+GETPIVOTDATA("XLL4",'langlon (2016)'!$A$3,"MA_HT","DTT","MA_QH","DVH")</f>
        <v>0</v>
      </c>
      <c r="AG36" s="74">
        <f>+GETPIVOTDATA("XLL4",'langlon (2016)'!$A$3,"MA_HT","DTT","MA_QH","DYT")</f>
        <v>0</v>
      </c>
      <c r="AH36" s="74">
        <f>+GETPIVOTDATA("XLL4",'langlon (2016)'!$A$3,"MA_HT","DTT","MA_QH","DGD")</f>
        <v>0</v>
      </c>
      <c r="AI36" s="100" t="e">
        <f>$D36-$BF36</f>
        <v>#REF!</v>
      </c>
      <c r="AJ36" s="74">
        <f>+GETPIVOTDATA("XLL4",'langlon (2016)'!$A$3,"MA_HT","DTT","MA_QH","NCK")</f>
        <v>0</v>
      </c>
      <c r="AK36" s="74">
        <f>+GETPIVOTDATA("XLL4",'langlon (2016)'!$A$3,"MA_HT","DTT","MA_QH","DXH")</f>
        <v>0</v>
      </c>
      <c r="AL36" s="74">
        <f>+GETPIVOTDATA("XLL4",'langlon (2016)'!$A$3,"MA_HT","DTT","MA_QH","DCH")</f>
        <v>0</v>
      </c>
      <c r="AM36" s="74">
        <f>+GETPIVOTDATA("XLL4",'langlon (2016)'!$A$3,"MA_HT","DTT","MA_QH","DKG")</f>
        <v>0</v>
      </c>
      <c r="AN36" s="74">
        <f>+GETPIVOTDATA("XLL4",'langlon (2016)'!$A$3,"MA_HT","DTT","MA_QH","DDT")</f>
        <v>0</v>
      </c>
      <c r="AO36" s="74">
        <f>+GETPIVOTDATA("XLL4",'langlon (2016)'!$A$3,"MA_HT","DTT","MA_QH","DDL")</f>
        <v>0</v>
      </c>
      <c r="AP36" s="74">
        <f>+GETPIVOTDATA("XLL4",'langlon (2016)'!$A$3,"MA_HT","DTT","MA_QH","DRA")</f>
        <v>0</v>
      </c>
      <c r="AQ36" s="74">
        <f>+GETPIVOTDATA("XLL4",'langlon (2016)'!$A$3,"MA_HT","DTT","MA_QH","ONT")</f>
        <v>0</v>
      </c>
      <c r="AR36" s="74">
        <f>+GETPIVOTDATA("XLL4",'langlon (2016)'!$A$3,"MA_HT","DTT","MA_QH","ODT")</f>
        <v>0</v>
      </c>
      <c r="AS36" s="74">
        <f>+GETPIVOTDATA("XLL4",'langlon (2016)'!$A$3,"MA_HT","DTT","MA_QH","TSC")</f>
        <v>0</v>
      </c>
      <c r="AT36" s="74">
        <f>+GETPIVOTDATA("XLL4",'langlon (2016)'!$A$3,"MA_HT","DTT","MA_QH","DTS")</f>
        <v>0</v>
      </c>
      <c r="AU36" s="74">
        <f>+GETPIVOTDATA("XLL4",'langlon (2016)'!$A$3,"MA_HT","DTT","MA_QH","DNG")</f>
        <v>0</v>
      </c>
      <c r="AV36" s="74">
        <f>+GETPIVOTDATA("XLL4",'langlon (2016)'!$A$3,"MA_HT","DTT","MA_QH","TON")</f>
        <v>0</v>
      </c>
      <c r="AW36" s="74">
        <f>+GETPIVOTDATA("XLL4",'langlon (2016)'!$A$3,"MA_HT","DTT","MA_QH","NTD")</f>
        <v>0</v>
      </c>
      <c r="AX36" s="74">
        <f>+GETPIVOTDATA("XLL4",'langlon (2016)'!$A$3,"MA_HT","DTT","MA_QH","SKX")</f>
        <v>0</v>
      </c>
      <c r="AY36" s="74">
        <f>+GETPIVOTDATA("XLL4",'langlon (2016)'!$A$3,"MA_HT","DTT","MA_QH","DSH")</f>
        <v>0</v>
      </c>
      <c r="AZ36" s="74">
        <f>+GETPIVOTDATA("XLL4",'langlon (2016)'!$A$3,"MA_HT","DTT","MA_QH","DKV")</f>
        <v>0</v>
      </c>
      <c r="BA36" s="139">
        <f>+GETPIVOTDATA("XLL4",'langlon (2016)'!$A$3,"MA_HT","DTT","MA_QH","TIN")</f>
        <v>0</v>
      </c>
      <c r="BB36" s="74">
        <f>+GETPIVOTDATA("XLL4",'langlon (2016)'!$A$3,"MA_HT","DTT","MA_QH","SON")</f>
        <v>0</v>
      </c>
      <c r="BC36" s="74">
        <f>+GETPIVOTDATA("XLL4",'langlon (2016)'!$A$3,"MA_HT","DTT","MA_QH","MNC")</f>
        <v>0</v>
      </c>
      <c r="BD36" s="74">
        <f>+GETPIVOTDATA("XLL4",'langlon (2016)'!$A$3,"MA_HT","DTT","MA_QH","PNK")</f>
        <v>0</v>
      </c>
      <c r="BE36" s="102">
        <f>+GETPIVOTDATA("XLL4",'langlon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+GETPIVOTDATA("XLL4",'langlon (2016)'!$A$3,"MA_HT","NCK","MA_QH","LUC")</f>
        <v>0</v>
      </c>
      <c r="H37" s="74">
        <f>+GETPIVOTDATA("XLL4",'langlon (2016)'!$A$3,"MA_HT","NCK","MA_QH","LUK")</f>
        <v>0</v>
      </c>
      <c r="I37" s="74">
        <f>+GETPIVOTDATA("XLL4",'langlon (2016)'!$A$3,"MA_HT","NCK","MA_QH","LUN")</f>
        <v>0</v>
      </c>
      <c r="J37" s="74">
        <f>+GETPIVOTDATA("XLL4",'langlon (2016)'!$A$3,"MA_HT","NCK","MA_QH","HNK")</f>
        <v>0</v>
      </c>
      <c r="K37" s="74">
        <f>+GETPIVOTDATA("XLL4",'langlon (2016)'!$A$3,"MA_HT","NCK","MA_QH","CLN")</f>
        <v>0</v>
      </c>
      <c r="L37" s="74">
        <f>+GETPIVOTDATA("XLL4",'langlon (2016)'!$A$3,"MA_HT","NCK","MA_QH","RSX")</f>
        <v>0</v>
      </c>
      <c r="M37" s="74">
        <f>+GETPIVOTDATA("XLL4",'langlon (2016)'!$A$3,"MA_HT","NCK","MA_QH","RPH")</f>
        <v>0</v>
      </c>
      <c r="N37" s="74">
        <f>+GETPIVOTDATA("XLL4",'langlon (2016)'!$A$3,"MA_HT","NCK","MA_QH","RDD")</f>
        <v>0</v>
      </c>
      <c r="O37" s="74">
        <f>+GETPIVOTDATA("XLL4",'langlon (2016)'!$A$3,"MA_HT","NCK","MA_QH","NTS")</f>
        <v>0</v>
      </c>
      <c r="P37" s="74">
        <f>+GETPIVOTDATA("XLL4",'langlon (2016)'!$A$3,"MA_HT","NCK","MA_QH","LMU")</f>
        <v>0</v>
      </c>
      <c r="Q37" s="74">
        <f>+GETPIVOTDATA("XLL4",'langlon (2016)'!$A$3,"MA_HT","NCK","MA_QH","NKH")</f>
        <v>0</v>
      </c>
      <c r="R37" s="72">
        <f t="shared" si="20"/>
        <v>0</v>
      </c>
      <c r="S37" s="74">
        <f>+GETPIVOTDATA("XLL4",'langlon (2016)'!$A$3,"MA_HT","NCK","MA_QH","CQP")</f>
        <v>0</v>
      </c>
      <c r="T37" s="74">
        <f>+GETPIVOTDATA("XLL4",'langlon (2016)'!$A$3,"MA_HT","NCK","MA_QH","CAN")</f>
        <v>0</v>
      </c>
      <c r="U37" s="74">
        <f>+GETPIVOTDATA("XLL4",'langlon (2016)'!$A$3,"MA_HT","NCK","MA_QH","SKK")</f>
        <v>0</v>
      </c>
      <c r="V37" s="74">
        <f>+GETPIVOTDATA("XLL4",'langlon (2016)'!$A$3,"MA_HT","NCK","MA_QH","SKT")</f>
        <v>0</v>
      </c>
      <c r="W37" s="74">
        <f>+GETPIVOTDATA("XLL4",'langlon (2016)'!$A$3,"MA_HT","NCK","MA_QH","SKN")</f>
        <v>0</v>
      </c>
      <c r="X37" s="74">
        <f>+GETPIVOTDATA("XLL4",'langlon (2016)'!$A$3,"MA_HT","NCK","MA_QH","TMD")</f>
        <v>0</v>
      </c>
      <c r="Y37" s="74">
        <f>+GETPIVOTDATA("XLL4",'langlon (2016)'!$A$3,"MA_HT","NCK","MA_QH","SKC")</f>
        <v>0</v>
      </c>
      <c r="Z37" s="74">
        <f>+GETPIVOTDATA("XLL4",'langlon (2016)'!$A$3,"MA_HT","NCK","MA_QH","SKS")</f>
        <v>0</v>
      </c>
      <c r="AA37" s="64">
        <f>+SUM(AB37:AI37,AK37:AM37)</f>
        <v>0</v>
      </c>
      <c r="AB37" s="74">
        <f>+GETPIVOTDATA("XLL4",'langlon (2016)'!$A$3,"MA_HT","NCK","MA_QH","DGT")</f>
        <v>0</v>
      </c>
      <c r="AC37" s="74">
        <f>+GETPIVOTDATA("XLL4",'langlon (2016)'!$A$3,"MA_HT","NCK","MA_QH","DTL")</f>
        <v>0</v>
      </c>
      <c r="AD37" s="74">
        <f>+GETPIVOTDATA("XLL4",'langlon (2016)'!$A$3,"MA_HT","NCK","MA_QH","DNL")</f>
        <v>0</v>
      </c>
      <c r="AE37" s="74">
        <f>+GETPIVOTDATA("XLL4",'langlon (2016)'!$A$3,"MA_HT","NCK","MA_QH","DBV")</f>
        <v>0</v>
      </c>
      <c r="AF37" s="74">
        <f>+GETPIVOTDATA("XLL4",'langlon (2016)'!$A$3,"MA_HT","NCK","MA_QH","DVH")</f>
        <v>0</v>
      </c>
      <c r="AG37" s="74">
        <f>+GETPIVOTDATA("XLL4",'langlon (2016)'!$A$3,"MA_HT","NCK","MA_QH","DYT")</f>
        <v>0</v>
      </c>
      <c r="AH37" s="74">
        <f>+GETPIVOTDATA("XLL4",'langlon (2016)'!$A$3,"MA_HT","NCK","MA_QH","DGD")</f>
        <v>0</v>
      </c>
      <c r="AI37" s="74">
        <f>+GETPIVOTDATA("XLL4",'langlon (2016)'!$A$3,"MA_HT","NCK","MA_QH","DTT")</f>
        <v>0</v>
      </c>
      <c r="AJ37" s="100" t="e">
        <f>$D37-$BF37</f>
        <v>#REF!</v>
      </c>
      <c r="AK37" s="74">
        <f>+GETPIVOTDATA("XLL4",'langlon (2016)'!$A$3,"MA_HT","NCK","MA_QH","DXH")</f>
        <v>0</v>
      </c>
      <c r="AL37" s="74">
        <f>+GETPIVOTDATA("XLL4",'langlon (2016)'!$A$3,"MA_HT","NCK","MA_QH","DCH")</f>
        <v>0</v>
      </c>
      <c r="AM37" s="74">
        <f>+GETPIVOTDATA("XLL4",'langlon (2016)'!$A$3,"MA_HT","NCK","MA_QH","DKG")</f>
        <v>0</v>
      </c>
      <c r="AN37" s="74">
        <f>+GETPIVOTDATA("XLL4",'langlon (2016)'!$A$3,"MA_HT","NCK","MA_QH","DDT")</f>
        <v>0</v>
      </c>
      <c r="AO37" s="74">
        <f>+GETPIVOTDATA("XLL4",'langlon (2016)'!$A$3,"MA_HT","NCK","MA_QH","DDL")</f>
        <v>0</v>
      </c>
      <c r="AP37" s="74">
        <f>+GETPIVOTDATA("XLL4",'langlon (2016)'!$A$3,"MA_HT","NCK","MA_QH","DRA")</f>
        <v>0</v>
      </c>
      <c r="AQ37" s="74">
        <f>+GETPIVOTDATA("XLL4",'langlon (2016)'!$A$3,"MA_HT","NCK","MA_QH","ONT")</f>
        <v>0</v>
      </c>
      <c r="AR37" s="74">
        <f>+GETPIVOTDATA("XLL4",'langlon (2016)'!$A$3,"MA_HT","NCK","MA_QH","ODT")</f>
        <v>0</v>
      </c>
      <c r="AS37" s="74">
        <f>+GETPIVOTDATA("XLL4",'langlon (2016)'!$A$3,"MA_HT","NCK","MA_QH","TSC")</f>
        <v>0</v>
      </c>
      <c r="AT37" s="74">
        <f>+GETPIVOTDATA("XLL4",'langlon (2016)'!$A$3,"MA_HT","NCK","MA_QH","DTS")</f>
        <v>0</v>
      </c>
      <c r="AU37" s="74">
        <f>+GETPIVOTDATA("XLL4",'langlon (2016)'!$A$3,"MA_HT","NCK","MA_QH","DNG")</f>
        <v>0</v>
      </c>
      <c r="AV37" s="74">
        <f>+GETPIVOTDATA("XLL4",'langlon (2016)'!$A$3,"MA_HT","NCK","MA_QH","TON")</f>
        <v>0</v>
      </c>
      <c r="AW37" s="74">
        <f>+GETPIVOTDATA("XLL4",'langlon (2016)'!$A$3,"MA_HT","NCK","MA_QH","NTD")</f>
        <v>0</v>
      </c>
      <c r="AX37" s="74">
        <f>+GETPIVOTDATA("XLL4",'langlon (2016)'!$A$3,"MA_HT","NCK","MA_QH","SKX")</f>
        <v>0</v>
      </c>
      <c r="AY37" s="74">
        <f>+GETPIVOTDATA("XLL4",'langlon (2016)'!$A$3,"MA_HT","NCK","MA_QH","DSH")</f>
        <v>0</v>
      </c>
      <c r="AZ37" s="74">
        <f>+GETPIVOTDATA("XLL4",'langlon (2016)'!$A$3,"MA_HT","NCK","MA_QH","DKV")</f>
        <v>0</v>
      </c>
      <c r="BA37" s="139">
        <f>+GETPIVOTDATA("XLL4",'langlon (2016)'!$A$3,"MA_HT","NCK","MA_QH","TIN")</f>
        <v>0</v>
      </c>
      <c r="BB37" s="74">
        <f>+GETPIVOTDATA("XLL4",'langlon (2016)'!$A$3,"MA_HT","NCK","MA_QH","SON")</f>
        <v>0</v>
      </c>
      <c r="BC37" s="74">
        <f>+GETPIVOTDATA("XLL4",'langlon (2016)'!$A$3,"MA_HT","NCK","MA_QH","MNC")</f>
        <v>0</v>
      </c>
      <c r="BD37" s="74">
        <f>+GETPIVOTDATA("XLL4",'langlon (2016)'!$A$3,"MA_HT","NCK","MA_QH","PNK")</f>
        <v>0</v>
      </c>
      <c r="BE37" s="102">
        <f>+GETPIVOTDATA("XLL4",'langlon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+GETPIVOTDATA("XLL4",'langlon (2016)'!$A$3,"MA_HT","DXH","MA_QH","LUC")</f>
        <v>0</v>
      </c>
      <c r="H38" s="74">
        <f>+GETPIVOTDATA("XLL4",'langlon (2016)'!$A$3,"MA_HT","DXH","MA_QH","LUK")</f>
        <v>0</v>
      </c>
      <c r="I38" s="74">
        <f>+GETPIVOTDATA("XLL4",'langlon (2016)'!$A$3,"MA_HT","DXH","MA_QH","LUN")</f>
        <v>0</v>
      </c>
      <c r="J38" s="74">
        <f>+GETPIVOTDATA("XLL4",'langlon (2016)'!$A$3,"MA_HT","DXH","MA_QH","HNK")</f>
        <v>0</v>
      </c>
      <c r="K38" s="74">
        <f>+GETPIVOTDATA("XLL4",'langlon (2016)'!$A$3,"MA_HT","DXH","MA_QH","CLN")</f>
        <v>0</v>
      </c>
      <c r="L38" s="74">
        <f>+GETPIVOTDATA("XLL4",'langlon (2016)'!$A$3,"MA_HT","DXH","MA_QH","RSX")</f>
        <v>0</v>
      </c>
      <c r="M38" s="74">
        <f>+GETPIVOTDATA("XLL4",'langlon (2016)'!$A$3,"MA_HT","DXH","MA_QH","RPH")</f>
        <v>0</v>
      </c>
      <c r="N38" s="74">
        <f>+GETPIVOTDATA("XLL4",'langlon (2016)'!$A$3,"MA_HT","DXH","MA_QH","RDD")</f>
        <v>0</v>
      </c>
      <c r="O38" s="74">
        <f>+GETPIVOTDATA("XLL4",'langlon (2016)'!$A$3,"MA_HT","DXH","MA_QH","NTS")</f>
        <v>0</v>
      </c>
      <c r="P38" s="74">
        <f>+GETPIVOTDATA("XLL4",'langlon (2016)'!$A$3,"MA_HT","DXH","MA_QH","LMU")</f>
        <v>0</v>
      </c>
      <c r="Q38" s="74">
        <f>+GETPIVOTDATA("XLL4",'langlon (2016)'!$A$3,"MA_HT","DXH","MA_QH","NKH")</f>
        <v>0</v>
      </c>
      <c r="R38" s="72">
        <f t="shared" si="20"/>
        <v>0</v>
      </c>
      <c r="S38" s="74">
        <f>+GETPIVOTDATA("XLL4",'langlon (2016)'!$A$3,"MA_HT","DXH","MA_QH","CQP")</f>
        <v>0</v>
      </c>
      <c r="T38" s="74">
        <f>+GETPIVOTDATA("XLL4",'langlon (2016)'!$A$3,"MA_HT","DXH","MA_QH","CAN")</f>
        <v>0</v>
      </c>
      <c r="U38" s="74">
        <f>+GETPIVOTDATA("XLL4",'langlon (2016)'!$A$3,"MA_HT","DXH","MA_QH","SKK")</f>
        <v>0</v>
      </c>
      <c r="V38" s="74">
        <f>+GETPIVOTDATA("XLL4",'langlon (2016)'!$A$3,"MA_HT","DXH","MA_QH","SKT")</f>
        <v>0</v>
      </c>
      <c r="W38" s="74">
        <f>+GETPIVOTDATA("XLL4",'langlon (2016)'!$A$3,"MA_HT","DXH","MA_QH","SKN")</f>
        <v>0</v>
      </c>
      <c r="X38" s="74">
        <f>+GETPIVOTDATA("XLL4",'langlon (2016)'!$A$3,"MA_HT","DXH","MA_QH","TMD")</f>
        <v>0</v>
      </c>
      <c r="Y38" s="74">
        <f>+GETPIVOTDATA("XLL4",'langlon (2016)'!$A$3,"MA_HT","DXH","MA_QH","SKC")</f>
        <v>0</v>
      </c>
      <c r="Z38" s="74">
        <f>+GETPIVOTDATA("XLL4",'langlon (2016)'!$A$3,"MA_HT","DXH","MA_QH","SKS")</f>
        <v>0</v>
      </c>
      <c r="AA38" s="64">
        <f>+SUM(AB38:AJ38,AL38:AM38)</f>
        <v>0</v>
      </c>
      <c r="AB38" s="74">
        <f>+GETPIVOTDATA("XLL4",'langlon (2016)'!$A$3,"MA_HT","DXH","MA_QH","DGT")</f>
        <v>0</v>
      </c>
      <c r="AC38" s="74">
        <f>+GETPIVOTDATA("XLL4",'langlon (2016)'!$A$3,"MA_HT","DXH","MA_QH","DTL")</f>
        <v>0</v>
      </c>
      <c r="AD38" s="74">
        <f>+GETPIVOTDATA("XLL4",'langlon (2016)'!$A$3,"MA_HT","DXH","MA_QH","DNL")</f>
        <v>0</v>
      </c>
      <c r="AE38" s="74">
        <f>+GETPIVOTDATA("XLL4",'langlon (2016)'!$A$3,"MA_HT","DXH","MA_QH","DBV")</f>
        <v>0</v>
      </c>
      <c r="AF38" s="74">
        <f>+GETPIVOTDATA("XLL4",'langlon (2016)'!$A$3,"MA_HT","DXH","MA_QH","DVH")</f>
        <v>0</v>
      </c>
      <c r="AG38" s="74">
        <f>+GETPIVOTDATA("XLL4",'langlon (2016)'!$A$3,"MA_HT","DXH","MA_QH","DYT")</f>
        <v>0</v>
      </c>
      <c r="AH38" s="74">
        <f>+GETPIVOTDATA("XLL4",'langlon (2016)'!$A$3,"MA_HT","DXH","MA_QH","DGD")</f>
        <v>0</v>
      </c>
      <c r="AI38" s="74">
        <f>+GETPIVOTDATA("XLL4",'langlon (2016)'!$A$3,"MA_HT","DXH","MA_QH","DTT")</f>
        <v>0</v>
      </c>
      <c r="AJ38" s="74">
        <f>+GETPIVOTDATA("XLL4",'langlon (2016)'!$A$3,"MA_HT","DXH","MA_QH","NCK")</f>
        <v>0</v>
      </c>
      <c r="AK38" s="100" t="e">
        <f>$D38-$BF38</f>
        <v>#REF!</v>
      </c>
      <c r="AL38" s="74">
        <f>+GETPIVOTDATA("XLL4",'langlon (2016)'!$A$3,"MA_HT","DXH","MA_QH","DCH")</f>
        <v>0</v>
      </c>
      <c r="AM38" s="74">
        <f>+GETPIVOTDATA("XLL4",'langlon (2016)'!$A$3,"MA_HT","DXH","MA_QH","DKG")</f>
        <v>0</v>
      </c>
      <c r="AN38" s="74">
        <f>+GETPIVOTDATA("XLL4",'langlon (2016)'!$A$3,"MA_HT","DXH","MA_QH","DDT")</f>
        <v>0</v>
      </c>
      <c r="AO38" s="74">
        <f>+GETPIVOTDATA("XLL4",'langlon (2016)'!$A$3,"MA_HT","DXH","MA_QH","DDL")</f>
        <v>0</v>
      </c>
      <c r="AP38" s="74">
        <f>+GETPIVOTDATA("XLL4",'langlon (2016)'!$A$3,"MA_HT","DXH","MA_QH","DRA")</f>
        <v>0</v>
      </c>
      <c r="AQ38" s="74">
        <f>+GETPIVOTDATA("XLL4",'langlon (2016)'!$A$3,"MA_HT","DXH","MA_QH","ONT")</f>
        <v>0</v>
      </c>
      <c r="AR38" s="74">
        <f>+GETPIVOTDATA("XLL4",'langlon (2016)'!$A$3,"MA_HT","DXH","MA_QH","ODT")</f>
        <v>0</v>
      </c>
      <c r="AS38" s="74">
        <f>+GETPIVOTDATA("XLL4",'langlon (2016)'!$A$3,"MA_HT","DXH","MA_QH","TSC")</f>
        <v>0</v>
      </c>
      <c r="AT38" s="74">
        <f>+GETPIVOTDATA("XLL4",'langlon (2016)'!$A$3,"MA_HT","DXH","MA_QH","DTS")</f>
        <v>0</v>
      </c>
      <c r="AU38" s="74">
        <f>+GETPIVOTDATA("XLL4",'langlon (2016)'!$A$3,"MA_HT","DXH","MA_QH","DNG")</f>
        <v>0</v>
      </c>
      <c r="AV38" s="74">
        <f>+GETPIVOTDATA("XLL4",'langlon (2016)'!$A$3,"MA_HT","DXH","MA_QH","TON")</f>
        <v>0</v>
      </c>
      <c r="AW38" s="74">
        <f>+GETPIVOTDATA("XLL4",'langlon (2016)'!$A$3,"MA_HT","DXH","MA_QH","NTD")</f>
        <v>0</v>
      </c>
      <c r="AX38" s="74">
        <f>+GETPIVOTDATA("XLL4",'langlon (2016)'!$A$3,"MA_HT","DXH","MA_QH","SKX")</f>
        <v>0</v>
      </c>
      <c r="AY38" s="74">
        <f>+GETPIVOTDATA("XLL4",'langlon (2016)'!$A$3,"MA_HT","DXH","MA_QH","DSH")</f>
        <v>0</v>
      </c>
      <c r="AZ38" s="74">
        <f>+GETPIVOTDATA("XLL4",'langlon (2016)'!$A$3,"MA_HT","DXH","MA_QH","DKV")</f>
        <v>0</v>
      </c>
      <c r="BA38" s="139">
        <f>+GETPIVOTDATA("XLL4",'langlon (2016)'!$A$3,"MA_HT","DXH","MA_QH","TIN")</f>
        <v>0</v>
      </c>
      <c r="BB38" s="74">
        <f>+GETPIVOTDATA("XLL4",'langlon (2016)'!$A$3,"MA_HT","DXH","MA_QH","SON")</f>
        <v>0</v>
      </c>
      <c r="BC38" s="74">
        <f>+GETPIVOTDATA("XLL4",'langlon (2016)'!$A$3,"MA_HT","DXH","MA_QH","MNC")</f>
        <v>0</v>
      </c>
      <c r="BD38" s="74">
        <f>+GETPIVOTDATA("XLL4",'langlon (2016)'!$A$3,"MA_HT","DXH","MA_QH","PNK")</f>
        <v>0</v>
      </c>
      <c r="BE38" s="102">
        <f>+GETPIVOTDATA("XLL4",'langlon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+GETPIVOTDATA("XLL4",'langlon (2016)'!$A$3,"MA_HT","DCH","MA_QH","LUC")</f>
        <v>0</v>
      </c>
      <c r="H39" s="74">
        <f>+GETPIVOTDATA("XLL4",'langlon (2016)'!$A$3,"MA_HT","DCH","MA_QH","LUK")</f>
        <v>0</v>
      </c>
      <c r="I39" s="74">
        <f>+GETPIVOTDATA("XLL4",'langlon (2016)'!$A$3,"MA_HT","DCH","MA_QH","LUN")</f>
        <v>0</v>
      </c>
      <c r="J39" s="74">
        <f>+GETPIVOTDATA("XLL4",'langlon (2016)'!$A$3,"MA_HT","DCH","MA_QH","HNK")</f>
        <v>0</v>
      </c>
      <c r="K39" s="74">
        <f>+GETPIVOTDATA("XLL4",'langlon (2016)'!$A$3,"MA_HT","DCH","MA_QH","CLN")</f>
        <v>0</v>
      </c>
      <c r="L39" s="74">
        <f>+GETPIVOTDATA("XLL4",'langlon (2016)'!$A$3,"MA_HT","DCH","MA_QH","RSX")</f>
        <v>0</v>
      </c>
      <c r="M39" s="74">
        <f>+GETPIVOTDATA("XLL4",'langlon (2016)'!$A$3,"MA_HT","DCH","MA_QH","RPH")</f>
        <v>0</v>
      </c>
      <c r="N39" s="74">
        <f>+GETPIVOTDATA("XLL4",'langlon (2016)'!$A$3,"MA_HT","DCH","MA_QH","RDD")</f>
        <v>0</v>
      </c>
      <c r="O39" s="74">
        <f>+GETPIVOTDATA("XLL4",'langlon (2016)'!$A$3,"MA_HT","DCH","MA_QH","NTS")</f>
        <v>0</v>
      </c>
      <c r="P39" s="74">
        <f>+GETPIVOTDATA("XLL4",'langlon (2016)'!$A$3,"MA_HT","DCH","MA_QH","LMU")</f>
        <v>0</v>
      </c>
      <c r="Q39" s="74">
        <f>+GETPIVOTDATA("XLL4",'langlon (2016)'!$A$3,"MA_HT","DCH","MA_QH","NKH")</f>
        <v>0</v>
      </c>
      <c r="R39" s="72">
        <f t="shared" si="20"/>
        <v>0</v>
      </c>
      <c r="S39" s="74">
        <f>+GETPIVOTDATA("XLL4",'langlon (2016)'!$A$3,"MA_HT","DCH","MA_QH","CQP")</f>
        <v>0</v>
      </c>
      <c r="T39" s="74">
        <f>+GETPIVOTDATA("XLL4",'langlon (2016)'!$A$3,"MA_HT","DCH","MA_QH","CAN")</f>
        <v>0</v>
      </c>
      <c r="U39" s="74">
        <f>+GETPIVOTDATA("XLL4",'langlon (2016)'!$A$3,"MA_HT","DCH","MA_QH","SKK")</f>
        <v>0</v>
      </c>
      <c r="V39" s="74">
        <f>+GETPIVOTDATA("XLL4",'langlon (2016)'!$A$3,"MA_HT","DCH","MA_QH","SKT")</f>
        <v>0</v>
      </c>
      <c r="W39" s="74">
        <f>+GETPIVOTDATA("XLL4",'langlon (2016)'!$A$3,"MA_HT","DCH","MA_QH","SKN")</f>
        <v>0</v>
      </c>
      <c r="X39" s="74">
        <f>+GETPIVOTDATA("XLL4",'langlon (2016)'!$A$3,"MA_HT","DCH","MA_QH","TMD")</f>
        <v>0</v>
      </c>
      <c r="Y39" s="74">
        <f>+GETPIVOTDATA("XLL4",'langlon (2016)'!$A$3,"MA_HT","DCH","MA_QH","SKC")</f>
        <v>0</v>
      </c>
      <c r="Z39" s="74">
        <f>+GETPIVOTDATA("XLL4",'langlon (2016)'!$A$3,"MA_HT","DCH","MA_QH","SKS")</f>
        <v>0</v>
      </c>
      <c r="AA39" s="64">
        <f>+SUM(AB39:AK39,AM39)</f>
        <v>0</v>
      </c>
      <c r="AB39" s="74">
        <f>+GETPIVOTDATA("XLL4",'langlon (2016)'!$A$3,"MA_HT","DCH","MA_QH","DGT")</f>
        <v>0</v>
      </c>
      <c r="AC39" s="74">
        <f>+GETPIVOTDATA("XLL4",'langlon (2016)'!$A$3,"MA_HT","DCH","MA_QH","DTL")</f>
        <v>0</v>
      </c>
      <c r="AD39" s="74">
        <f>+GETPIVOTDATA("XLL4",'langlon (2016)'!$A$3,"MA_HT","DCH","MA_QH","DNL")</f>
        <v>0</v>
      </c>
      <c r="AE39" s="74">
        <f>+GETPIVOTDATA("XLL4",'langlon (2016)'!$A$3,"MA_HT","DCH","MA_QH","DBV")</f>
        <v>0</v>
      </c>
      <c r="AF39" s="74">
        <f>+GETPIVOTDATA("XLL4",'langlon (2016)'!$A$3,"MA_HT","DCH","MA_QH","DVH")</f>
        <v>0</v>
      </c>
      <c r="AG39" s="74">
        <f>+GETPIVOTDATA("XLL4",'langlon (2016)'!$A$3,"MA_HT","DCH","MA_QH","DYT")</f>
        <v>0</v>
      </c>
      <c r="AH39" s="74">
        <f>+GETPIVOTDATA("XLL4",'langlon (2016)'!$A$3,"MA_HT","DCH","MA_QH","DGD")</f>
        <v>0</v>
      </c>
      <c r="AI39" s="74">
        <f>+GETPIVOTDATA("XLL4",'langlon (2016)'!$A$3,"MA_HT","DCH","MA_QH","DTT")</f>
        <v>0</v>
      </c>
      <c r="AJ39" s="74">
        <f>+GETPIVOTDATA("XLL4",'langlon (2016)'!$A$3,"MA_HT","DCH","MA_QH","NCK")</f>
        <v>0</v>
      </c>
      <c r="AK39" s="74">
        <f>+GETPIVOTDATA("XLL4",'langlon (2016)'!$A$3,"MA_HT","DCH","MA_QH","DXH")</f>
        <v>0</v>
      </c>
      <c r="AL39" s="100" t="e">
        <f>$D39-$BF39</f>
        <v>#REF!</v>
      </c>
      <c r="AM39" s="74">
        <f>+GETPIVOTDATA("XLL4",'langlon (2016)'!$A$3,"MA_HT","DXH","MA_QH","DKG")</f>
        <v>0</v>
      </c>
      <c r="AN39" s="74">
        <f>+GETPIVOTDATA("XLL4",'langlon (2016)'!$A$3,"MA_HT","DCH","MA_QH","DDT")</f>
        <v>0</v>
      </c>
      <c r="AO39" s="74">
        <f>+GETPIVOTDATA("XLL4",'langlon (2016)'!$A$3,"MA_HT","DCH","MA_QH","DDL")</f>
        <v>0</v>
      </c>
      <c r="AP39" s="74">
        <f>+GETPIVOTDATA("XLL4",'langlon (2016)'!$A$3,"MA_HT","DCH","MA_QH","DRA")</f>
        <v>0</v>
      </c>
      <c r="AQ39" s="74">
        <f>+GETPIVOTDATA("XLL4",'langlon (2016)'!$A$3,"MA_HT","DCH","MA_QH","ONT")</f>
        <v>0</v>
      </c>
      <c r="AR39" s="74">
        <f>+GETPIVOTDATA("XLL4",'langlon (2016)'!$A$3,"MA_HT","DCH","MA_QH","ODT")</f>
        <v>0</v>
      </c>
      <c r="AS39" s="74">
        <f>+GETPIVOTDATA("XLL4",'langlon (2016)'!$A$3,"MA_HT","DCH","MA_QH","TSC")</f>
        <v>0</v>
      </c>
      <c r="AT39" s="74">
        <f>+GETPIVOTDATA("XLL4",'langlon (2016)'!$A$3,"MA_HT","DCH","MA_QH","DTS")</f>
        <v>0</v>
      </c>
      <c r="AU39" s="74">
        <f>+GETPIVOTDATA("XLL4",'langlon (2016)'!$A$3,"MA_HT","DCH","MA_QH","DNG")</f>
        <v>0</v>
      </c>
      <c r="AV39" s="74">
        <f>+GETPIVOTDATA("XLL4",'langlon (2016)'!$A$3,"MA_HT","DCH","MA_QH","TON")</f>
        <v>0</v>
      </c>
      <c r="AW39" s="74">
        <f>+GETPIVOTDATA("XLL4",'langlon (2016)'!$A$3,"MA_HT","DCH","MA_QH","NTD")</f>
        <v>0</v>
      </c>
      <c r="AX39" s="74">
        <f>+GETPIVOTDATA("XLL4",'langlon (2016)'!$A$3,"MA_HT","DCH","MA_QH","SKX")</f>
        <v>0</v>
      </c>
      <c r="AY39" s="74">
        <f>+GETPIVOTDATA("XLL4",'langlon (2016)'!$A$3,"MA_HT","DCH","MA_QH","DSH")</f>
        <v>0</v>
      </c>
      <c r="AZ39" s="74">
        <f>+GETPIVOTDATA("XLL4",'langlon (2016)'!$A$3,"MA_HT","DCH","MA_QH","DKV")</f>
        <v>0</v>
      </c>
      <c r="BA39" s="139">
        <f>+GETPIVOTDATA("XLL4",'langlon (2016)'!$A$3,"MA_HT","DCH","MA_QH","TIN")</f>
        <v>0</v>
      </c>
      <c r="BB39" s="74">
        <f>+GETPIVOTDATA("XLL4",'langlon (2016)'!$A$3,"MA_HT","DCH","MA_QH","SON")</f>
        <v>0</v>
      </c>
      <c r="BC39" s="74">
        <f>+GETPIVOTDATA("XLL4",'langlon (2016)'!$A$3,"MA_HT","DCH","MA_QH","MNC")</f>
        <v>0</v>
      </c>
      <c r="BD39" s="74">
        <f>+GETPIVOTDATA("XLL4",'langlon (2016)'!$A$3,"MA_HT","DCH","MA_QH","PNK")</f>
        <v>0</v>
      </c>
      <c r="BE39" s="102">
        <f>+GETPIVOTDATA("XLL4",'langlon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+GETPIVOTDATA("XLL4",'langlon (2016)'!$A$3,"MA_HT","DKG","MA_QH","LUC")</f>
        <v>0</v>
      </c>
      <c r="H40" s="74">
        <f>+GETPIVOTDATA("XLL4",'langlon (2016)'!$A$3,"MA_HT","DKG","MA_QH","LUK")</f>
        <v>0</v>
      </c>
      <c r="I40" s="74">
        <f>+GETPIVOTDATA("XLL4",'langlon (2016)'!$A$3,"MA_HT","DKG","MA_QH","LUN")</f>
        <v>0</v>
      </c>
      <c r="J40" s="74">
        <f>+GETPIVOTDATA("XLL4",'langlon (2016)'!$A$3,"MA_HT","DKG","MA_QH","HNK")</f>
        <v>0</v>
      </c>
      <c r="K40" s="74">
        <f>+GETPIVOTDATA("XLL4",'langlon (2016)'!$A$3,"MA_HT","DKG","MA_QH","CLN")</f>
        <v>0</v>
      </c>
      <c r="L40" s="74">
        <f>+GETPIVOTDATA("XLL4",'langlon (2016)'!$A$3,"MA_HT","DKG","MA_QH","RSX")</f>
        <v>0</v>
      </c>
      <c r="M40" s="74">
        <f>+GETPIVOTDATA("XLL4",'langlon (2016)'!$A$3,"MA_HT","DKG","MA_QH","RPH")</f>
        <v>0</v>
      </c>
      <c r="N40" s="74">
        <f>+GETPIVOTDATA("XLL4",'langlon (2016)'!$A$3,"MA_HT","DKG","MA_QH","RDD")</f>
        <v>0</v>
      </c>
      <c r="O40" s="74">
        <f>+GETPIVOTDATA("XLL4",'langlon (2016)'!$A$3,"MA_HT","DKG","MA_QH","NTS")</f>
        <v>0</v>
      </c>
      <c r="P40" s="74">
        <f>+GETPIVOTDATA("XLL4",'langlon (2016)'!$A$3,"MA_HT","DKG","MA_QH","LMU")</f>
        <v>0</v>
      </c>
      <c r="Q40" s="74">
        <f>+GETPIVOTDATA("XLL4",'langlon (2016)'!$A$3,"MA_HT","DKG","MA_QH","NKH")</f>
        <v>0</v>
      </c>
      <c r="R40" s="72">
        <f>SUM(S40:AA40,AN40:BD40)</f>
        <v>0</v>
      </c>
      <c r="S40" s="74">
        <f>+GETPIVOTDATA("XLL4",'langlon (2016)'!$A$3,"MA_HT","DKG","MA_QH","CQP")</f>
        <v>0</v>
      </c>
      <c r="T40" s="74">
        <f>+GETPIVOTDATA("XLL4",'langlon (2016)'!$A$3,"MA_HT","DKG","MA_QH","CAN")</f>
        <v>0</v>
      </c>
      <c r="U40" s="74">
        <f>+GETPIVOTDATA("XLL4",'langlon (2016)'!$A$3,"MA_HT","DKG","MA_QH","SKK")</f>
        <v>0</v>
      </c>
      <c r="V40" s="74">
        <f>+GETPIVOTDATA("XLL4",'langlon (2016)'!$A$3,"MA_HT","DKG","MA_QH","SKT")</f>
        <v>0</v>
      </c>
      <c r="W40" s="74">
        <f>+GETPIVOTDATA("XLL4",'langlon (2016)'!$A$3,"MA_HT","DKG","MA_QH","SKN")</f>
        <v>0</v>
      </c>
      <c r="X40" s="74">
        <f>+GETPIVOTDATA("XLL4",'langlon (2016)'!$A$3,"MA_HT","DKG","MA_QH","TMD")</f>
        <v>0</v>
      </c>
      <c r="Y40" s="74">
        <f>+GETPIVOTDATA("XLL4",'langlon (2016)'!$A$3,"MA_HT","DKG","MA_QH","SKC")</f>
        <v>0</v>
      </c>
      <c r="Z40" s="74">
        <f>+GETPIVOTDATA("XLL4",'langlon (2016)'!$A$3,"MA_HT","DKG","MA_QH","SKS")</f>
        <v>0</v>
      </c>
      <c r="AA40" s="64">
        <f>+SUM(AB40:AL40)</f>
        <v>0</v>
      </c>
      <c r="AB40" s="74">
        <f>+GETPIVOTDATA("XLL4",'langlon (2016)'!$A$3,"MA_HT","DKG","MA_QH","DGT")</f>
        <v>0</v>
      </c>
      <c r="AC40" s="74">
        <f>+GETPIVOTDATA("XLL4",'langlon (2016)'!$A$3,"MA_HT","DKG","MA_QH","DTL")</f>
        <v>0</v>
      </c>
      <c r="AD40" s="74">
        <f>+GETPIVOTDATA("XLL4",'langlon (2016)'!$A$3,"MA_HT","DKG","MA_QH","DNL")</f>
        <v>0</v>
      </c>
      <c r="AE40" s="74">
        <f>+GETPIVOTDATA("XLL4",'langlon (2016)'!$A$3,"MA_HT","DKG","MA_QH","DBV")</f>
        <v>0</v>
      </c>
      <c r="AF40" s="74">
        <f>+GETPIVOTDATA("XLL4",'langlon (2016)'!$A$3,"MA_HT","DKG","MA_QH","DVH")</f>
        <v>0</v>
      </c>
      <c r="AG40" s="74">
        <f>+GETPIVOTDATA("XLL4",'langlon (2016)'!$A$3,"MA_HT","DKG","MA_QH","DYT")</f>
        <v>0</v>
      </c>
      <c r="AH40" s="74">
        <f>+GETPIVOTDATA("XLL4",'langlon (2016)'!$A$3,"MA_HT","DKG","MA_QH","DGD")</f>
        <v>0</v>
      </c>
      <c r="AI40" s="74">
        <f>+GETPIVOTDATA("XLL4",'langlon (2016)'!$A$3,"MA_HT","DKG","MA_QH","DTT")</f>
        <v>0</v>
      </c>
      <c r="AJ40" s="74">
        <f>+GETPIVOTDATA("XLL4",'langlon (2016)'!$A$3,"MA_HT","DKG","MA_QH","NCK")</f>
        <v>0</v>
      </c>
      <c r="AK40" s="74">
        <f>+GETPIVOTDATA("XLL4",'langlon (2016)'!$A$3,"MA_HT","DKG","MA_QH","DXH")</f>
        <v>0</v>
      </c>
      <c r="AL40" s="122">
        <f>+GETPIVOTDATA("XLL4",'langlon (2016)'!$A$3,"MA_HT","DDT","MA_QH","DKG")</f>
        <v>0</v>
      </c>
      <c r="AM40" s="100" t="e">
        <f>$D40-$BF40</f>
        <v>#REF!</v>
      </c>
      <c r="AN40" s="74">
        <f>+GETPIVOTDATA("XLL4",'langlon (2016)'!$A$3,"MA_HT","DKG","MA_QH","DDT")</f>
        <v>0</v>
      </c>
      <c r="AO40" s="74">
        <f>+GETPIVOTDATA("XLL4",'langlon (2016)'!$A$3,"MA_HT","DKG","MA_QH","DDL")</f>
        <v>0</v>
      </c>
      <c r="AP40" s="74">
        <f>+GETPIVOTDATA("XLL4",'langlon (2016)'!$A$3,"MA_HT","DKG","MA_QH","DRA")</f>
        <v>0</v>
      </c>
      <c r="AQ40" s="74">
        <f>+GETPIVOTDATA("XLL4",'langlon (2016)'!$A$3,"MA_HT","DKG","MA_QH","ONT")</f>
        <v>0</v>
      </c>
      <c r="AR40" s="74">
        <f>+GETPIVOTDATA("XLL4",'langlon (2016)'!$A$3,"MA_HT","DKG","MA_QH","ODT")</f>
        <v>0</v>
      </c>
      <c r="AS40" s="74">
        <f>+GETPIVOTDATA("XLL4",'langlon (2016)'!$A$3,"MA_HT","DKG","MA_QH","TSC")</f>
        <v>0</v>
      </c>
      <c r="AT40" s="74">
        <f>+GETPIVOTDATA("XLL4",'langlon (2016)'!$A$3,"MA_HT","DKG","MA_QH","DTS")</f>
        <v>0</v>
      </c>
      <c r="AU40" s="74">
        <f>+GETPIVOTDATA("XLL4",'langlon (2016)'!$A$3,"MA_HT","DKG","MA_QH","DNG")</f>
        <v>0</v>
      </c>
      <c r="AV40" s="74">
        <f>+GETPIVOTDATA("XLL4",'langlon (2016)'!$A$3,"MA_HT","DKG","MA_QH","TON")</f>
        <v>0</v>
      </c>
      <c r="AW40" s="74">
        <f>+GETPIVOTDATA("XLL4",'langlon (2016)'!$A$3,"MA_HT","DKG","MA_QH","NTD")</f>
        <v>0</v>
      </c>
      <c r="AX40" s="74">
        <f>+GETPIVOTDATA("XLL4",'langlon (2016)'!$A$3,"MA_HT","DKG","MA_QH","SKX")</f>
        <v>0</v>
      </c>
      <c r="AY40" s="74">
        <f>+GETPIVOTDATA("XLL4",'langlon (2016)'!$A$3,"MA_HT","DKG","MA_QH","DSH")</f>
        <v>0</v>
      </c>
      <c r="AZ40" s="74">
        <f>+GETPIVOTDATA("XLL4",'langlon (2016)'!$A$3,"MA_HT","DKG","MA_QH","DKV")</f>
        <v>0</v>
      </c>
      <c r="BA40" s="139">
        <f>+GETPIVOTDATA("XLL4",'langlon (2016)'!$A$3,"MA_HT","DKG","MA_QH","TIN")</f>
        <v>0</v>
      </c>
      <c r="BB40" s="74">
        <f>+GETPIVOTDATA("XLL4",'langlon (2016)'!$A$3,"MA_HT","DKG","MA_QH","SON")</f>
        <v>0</v>
      </c>
      <c r="BC40" s="74">
        <f>+GETPIVOTDATA("XLL4",'langlon (2016)'!$A$3,"MA_HT","DKG","MA_QH","MNC")</f>
        <v>0</v>
      </c>
      <c r="BD40" s="74">
        <f>+GETPIVOTDATA("XLL4",'langlon (2016)'!$A$3,"MA_HT","DKG","MA_QH","PNK")</f>
        <v>0</v>
      </c>
      <c r="BE40" s="102">
        <f>+GETPIVOTDATA("XLL4",'langlon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+GETPIVOTDATA("XLL4",'langlon (2016)'!$A$3,"MA_HT","DDT","MA_QH","LUC")</f>
        <v>0</v>
      </c>
      <c r="H41" s="122">
        <f>+GETPIVOTDATA("XLL4",'langlon (2016)'!$A$3,"MA_HT","DDT","MA_QH","LUK")</f>
        <v>0</v>
      </c>
      <c r="I41" s="122">
        <f>+GETPIVOTDATA("XLL4",'langlon (2016)'!$A$3,"MA_HT","DDT","MA_QH","LUN")</f>
        <v>0</v>
      </c>
      <c r="J41" s="122">
        <f>+GETPIVOTDATA("XLL4",'langlon (2016)'!$A$3,"MA_HT","DDT","MA_QH","HNK")</f>
        <v>0</v>
      </c>
      <c r="K41" s="122">
        <f>+GETPIVOTDATA("XLL4",'langlon (2016)'!$A$3,"MA_HT","DDT","MA_QH","CLN")</f>
        <v>0</v>
      </c>
      <c r="L41" s="122">
        <f>+GETPIVOTDATA("XLL4",'langlon (2016)'!$A$3,"MA_HT","DDT","MA_QH","RSX")</f>
        <v>0</v>
      </c>
      <c r="M41" s="122">
        <f>+GETPIVOTDATA("XLL4",'langlon (2016)'!$A$3,"MA_HT","DDT","MA_QH","RPH")</f>
        <v>0</v>
      </c>
      <c r="N41" s="122">
        <f>+GETPIVOTDATA("XLL4",'langlon (2016)'!$A$3,"MA_HT","DDT","MA_QH","RDD")</f>
        <v>0</v>
      </c>
      <c r="O41" s="122">
        <f>+GETPIVOTDATA("XLL4",'langlon (2016)'!$A$3,"MA_HT","DDT","MA_QH","NTS")</f>
        <v>0</v>
      </c>
      <c r="P41" s="122">
        <f>+GETPIVOTDATA("XLL4",'langlon (2016)'!$A$3,"MA_HT","DDT","MA_QH","LMU")</f>
        <v>0</v>
      </c>
      <c r="Q41" s="122">
        <f>+GETPIVOTDATA("XLL4",'langlon (2016)'!$A$3,"MA_HT","DDT","MA_QH","NKH")</f>
        <v>0</v>
      </c>
      <c r="R41" s="123">
        <f>SUM(S41:AA41,AO41:BD41)</f>
        <v>0</v>
      </c>
      <c r="S41" s="122">
        <f>+GETPIVOTDATA("XLL4",'langlon (2016)'!$A$3,"MA_HT","DDT","MA_QH","CQP")</f>
        <v>0</v>
      </c>
      <c r="T41" s="122">
        <f>+GETPIVOTDATA("XLL4",'langlon (2016)'!$A$3,"MA_HT","DDT","MA_QH","CAN")</f>
        <v>0</v>
      </c>
      <c r="U41" s="122">
        <f>+GETPIVOTDATA("XLL4",'langlon (2016)'!$A$3,"MA_HT","DDT","MA_QH","SKK")</f>
        <v>0</v>
      </c>
      <c r="V41" s="122">
        <f>+GETPIVOTDATA("XLL4",'langlon (2016)'!$A$3,"MA_HT","DDT","MA_QH","SKT")</f>
        <v>0</v>
      </c>
      <c r="W41" s="122">
        <f>+GETPIVOTDATA("XLL4",'langlon (2016)'!$A$3,"MA_HT","DDT","MA_QH","SKN")</f>
        <v>0</v>
      </c>
      <c r="X41" s="122">
        <f>+GETPIVOTDATA("XLL4",'langlon (2016)'!$A$3,"MA_HT","DDT","MA_QH","TMD")</f>
        <v>0</v>
      </c>
      <c r="Y41" s="122">
        <f>+GETPIVOTDATA("XLL4",'langlon (2016)'!$A$3,"MA_HT","DDT","MA_QH","SKC")</f>
        <v>0</v>
      </c>
      <c r="Z41" s="122">
        <f>+GETPIVOTDATA("XLL4",'langlon (2016)'!$A$3,"MA_HT","DDT","MA_QH","SKS")</f>
        <v>0</v>
      </c>
      <c r="AA41" s="121">
        <f t="shared" ref="AA41:AA58" si="21">+SUM(AB41:AM41)</f>
        <v>0</v>
      </c>
      <c r="AB41" s="122">
        <f>+GETPIVOTDATA("XLL4",'langlon (2016)'!$A$3,"MA_HT","DDT","MA_QH","DGT")</f>
        <v>0</v>
      </c>
      <c r="AC41" s="122">
        <f>+GETPIVOTDATA("XLL4",'langlon (2016)'!$A$3,"MA_HT","DDT","MA_QH","DTL")</f>
        <v>0</v>
      </c>
      <c r="AD41" s="122">
        <f>+GETPIVOTDATA("XLL4",'langlon (2016)'!$A$3,"MA_HT","DDT","MA_QH","DNL")</f>
        <v>0</v>
      </c>
      <c r="AE41" s="122">
        <f>+GETPIVOTDATA("XLL4",'langlon (2016)'!$A$3,"MA_HT","DDT","MA_QH","DBV")</f>
        <v>0</v>
      </c>
      <c r="AF41" s="122">
        <f>+GETPIVOTDATA("XLL4",'langlon (2016)'!$A$3,"MA_HT","DDT","MA_QH","DVH")</f>
        <v>0</v>
      </c>
      <c r="AG41" s="122">
        <f>+GETPIVOTDATA("XLL4",'langlon (2016)'!$A$3,"MA_HT","DDT","MA_QH","DYT")</f>
        <v>0</v>
      </c>
      <c r="AH41" s="122">
        <f>+GETPIVOTDATA("XLL4",'langlon (2016)'!$A$3,"MA_HT","DDT","MA_QH","DGD")</f>
        <v>0</v>
      </c>
      <c r="AI41" s="122">
        <f>+GETPIVOTDATA("XLL4",'langlon (2016)'!$A$3,"MA_HT","DDT","MA_QH","DTT")</f>
        <v>0</v>
      </c>
      <c r="AJ41" s="122">
        <f>+GETPIVOTDATA("XLL4",'langlon (2016)'!$A$3,"MA_HT","DDT","MA_QH","NCK")</f>
        <v>0</v>
      </c>
      <c r="AK41" s="122">
        <f>+GETPIVOTDATA("XLL4",'langlon (2016)'!$A$3,"MA_HT","DDT","MA_QH","DXH")</f>
        <v>0</v>
      </c>
      <c r="AL41" s="122">
        <f>+GETPIVOTDATA("XLL4",'langlon (2016)'!$A$3,"MA_HT","DDT","MA_QH","DCH")</f>
        <v>0</v>
      </c>
      <c r="AM41" s="122">
        <f>+GETPIVOTDATA("XLL4",'langlon (2016)'!$A$3,"MA_HT","DDT","MA_QH","DKG")</f>
        <v>0</v>
      </c>
      <c r="AN41" s="124" t="e">
        <f>$D41-$BF41</f>
        <v>#REF!</v>
      </c>
      <c r="AO41" s="122">
        <f>+GETPIVOTDATA("XLL4",'langlon (2016)'!$A$3,"MA_HT","DDT","MA_QH","DDL")</f>
        <v>0</v>
      </c>
      <c r="AP41" s="122">
        <f>+GETPIVOTDATA("XLL4",'langlon (2016)'!$A$3,"MA_HT","DDT","MA_QH","DRA")</f>
        <v>0</v>
      </c>
      <c r="AQ41" s="122">
        <f>+GETPIVOTDATA("XLL4",'langlon (2016)'!$A$3,"MA_HT","DDT","MA_QH","ONT")</f>
        <v>0</v>
      </c>
      <c r="AR41" s="122">
        <f>+GETPIVOTDATA("XLL4",'langlon (2016)'!$A$3,"MA_HT","DDT","MA_QH","ODT")</f>
        <v>0</v>
      </c>
      <c r="AS41" s="122">
        <f>+GETPIVOTDATA("XLL4",'langlon (2016)'!$A$3,"MA_HT","DDT","MA_QH","TSC")</f>
        <v>0</v>
      </c>
      <c r="AT41" s="122">
        <f>+GETPIVOTDATA("XLL4",'langlon (2016)'!$A$3,"MA_HT","DDT","MA_QH","DTS")</f>
        <v>0</v>
      </c>
      <c r="AU41" s="122">
        <f>+GETPIVOTDATA("XLL4",'langlon (2016)'!$A$3,"MA_HT","DDT","MA_QH","DNG")</f>
        <v>0</v>
      </c>
      <c r="AV41" s="122">
        <f>+GETPIVOTDATA("XLL4",'langlon (2016)'!$A$3,"MA_HT","DDT","MA_QH","TON")</f>
        <v>0</v>
      </c>
      <c r="AW41" s="122">
        <f>+GETPIVOTDATA("XLL4",'langlon (2016)'!$A$3,"MA_HT","DDT","MA_QH","NTD")</f>
        <v>0</v>
      </c>
      <c r="AX41" s="122">
        <f>+GETPIVOTDATA("XLL4",'langlon (2016)'!$A$3,"MA_HT","DDT","MA_QH","SKX")</f>
        <v>0</v>
      </c>
      <c r="AY41" s="122">
        <f>+GETPIVOTDATA("XLL4",'langlon (2016)'!$A$3,"MA_HT","DDT","MA_QH","DSH")</f>
        <v>0</v>
      </c>
      <c r="AZ41" s="122">
        <f>+GETPIVOTDATA("XLL4",'langlon (2016)'!$A$3,"MA_HT","DDT","MA_QH","DKV")</f>
        <v>0</v>
      </c>
      <c r="BA41" s="141">
        <f>+GETPIVOTDATA("XLL4",'langlon (2016)'!$A$3,"MA_HT","DDT","MA_QH","TIN")</f>
        <v>0</v>
      </c>
      <c r="BB41" s="125">
        <f>+GETPIVOTDATA("XLL4",'langlon (2016)'!$A$3,"MA_HT","DDT","MA_QH","SON")</f>
        <v>0</v>
      </c>
      <c r="BC41" s="125">
        <f>+GETPIVOTDATA("XLL4",'langlon (2016)'!$A$3,"MA_HT","DDT","MA_QH","MNC")</f>
        <v>0</v>
      </c>
      <c r="BD41" s="122">
        <f>+GETPIVOTDATA("XLL4",'langlon (2016)'!$A$3,"MA_HT","DDT","MA_QH","PNK")</f>
        <v>0</v>
      </c>
      <c r="BE41" s="126">
        <f>+GETPIVOTDATA("XLL4",'langlon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+GETPIVOTDATA("XLL4",'langlon (2016)'!$A$3,"MA_HT","DDL","MA_QH","LUC")</f>
        <v>0</v>
      </c>
      <c r="H42" s="35">
        <f>+GETPIVOTDATA("XLL4",'langlon (2016)'!$A$3,"MA_HT","DDL","MA_QH","LUK")</f>
        <v>0</v>
      </c>
      <c r="I42" s="35">
        <f>+GETPIVOTDATA("XLL4",'langlon (2016)'!$A$3,"MA_HT","DDL","MA_QH","LUN")</f>
        <v>0</v>
      </c>
      <c r="J42" s="35">
        <f>+GETPIVOTDATA("XLL4",'langlon (2016)'!$A$3,"MA_HT","DDL","MA_QH","HNK")</f>
        <v>0</v>
      </c>
      <c r="K42" s="35">
        <f>+GETPIVOTDATA("XLL4",'langlon (2016)'!$A$3,"MA_HT","DDL","MA_QH","CLN")</f>
        <v>0</v>
      </c>
      <c r="L42" s="35">
        <f>+GETPIVOTDATA("XLL4",'langlon (2016)'!$A$3,"MA_HT","DDL","MA_QH","RSX")</f>
        <v>0</v>
      </c>
      <c r="M42" s="35">
        <f>+GETPIVOTDATA("XLL4",'langlon (2016)'!$A$3,"MA_HT","DDL","MA_QH","RPH")</f>
        <v>0</v>
      </c>
      <c r="N42" s="35">
        <f>+GETPIVOTDATA("XLL4",'langlon (2016)'!$A$3,"MA_HT","DDL","MA_QH","RDD")</f>
        <v>0</v>
      </c>
      <c r="O42" s="35">
        <f>+GETPIVOTDATA("XLL4",'langlon (2016)'!$A$3,"MA_HT","DDL","MA_QH","NTS")</f>
        <v>0</v>
      </c>
      <c r="P42" s="35">
        <f>+GETPIVOTDATA("XLL4",'langlon (2016)'!$A$3,"MA_HT","DDL","MA_QH","LMU")</f>
        <v>0</v>
      </c>
      <c r="Q42" s="35">
        <f>+GETPIVOTDATA("XLL4",'langlon (2016)'!$A$3,"MA_HT","DDL","MA_QH","NKH")</f>
        <v>0</v>
      </c>
      <c r="R42" s="106">
        <f>SUM(S42:AA42,AN42,AP42:BD42)</f>
        <v>0</v>
      </c>
      <c r="S42" s="35">
        <f>+GETPIVOTDATA("XLL4",'langlon (2016)'!$A$3,"MA_HT","DDL","MA_QH","CQP")</f>
        <v>0</v>
      </c>
      <c r="T42" s="35">
        <f>+GETPIVOTDATA("XLL4",'langlon (2016)'!$A$3,"MA_HT","DDL","MA_QH","CAN")</f>
        <v>0</v>
      </c>
      <c r="U42" s="35">
        <f>+GETPIVOTDATA("XLL4",'langlon (2016)'!$A$3,"MA_HT","DDL","MA_QH","SKK")</f>
        <v>0</v>
      </c>
      <c r="V42" s="35">
        <f>+GETPIVOTDATA("XLL4",'langlon (2016)'!$A$3,"MA_HT","DDL","MA_QH","SKT")</f>
        <v>0</v>
      </c>
      <c r="W42" s="35">
        <f>+GETPIVOTDATA("XLL4",'langlon (2016)'!$A$3,"MA_HT","DDL","MA_QH","SKN")</f>
        <v>0</v>
      </c>
      <c r="X42" s="35">
        <f>+GETPIVOTDATA("XLL4",'langlon (2016)'!$A$3,"MA_HT","DDL","MA_QH","TMD")</f>
        <v>0</v>
      </c>
      <c r="Y42" s="35">
        <f>+GETPIVOTDATA("XLL4",'langlon (2016)'!$A$3,"MA_HT","DDL","MA_QH","SKC")</f>
        <v>0</v>
      </c>
      <c r="Z42" s="35">
        <f>+GETPIVOTDATA("XLL4",'langlon (2016)'!$A$3,"MA_HT","DDL","MA_QH","SKS")</f>
        <v>0</v>
      </c>
      <c r="AA42" s="64">
        <f t="shared" si="21"/>
        <v>0</v>
      </c>
      <c r="AB42" s="35">
        <f>+GETPIVOTDATA("XLL4",'langlon (2016)'!$A$3,"MA_HT","DDL","MA_QH","DGT")</f>
        <v>0</v>
      </c>
      <c r="AC42" s="35">
        <f>+GETPIVOTDATA("XLL4",'langlon (2016)'!$A$3,"MA_HT","DDL","MA_QH","DTL")</f>
        <v>0</v>
      </c>
      <c r="AD42" s="35">
        <f>+GETPIVOTDATA("XLL4",'langlon (2016)'!$A$3,"MA_HT","DDL","MA_QH","DNL")</f>
        <v>0</v>
      </c>
      <c r="AE42" s="35">
        <f>+GETPIVOTDATA("XLL4",'langlon (2016)'!$A$3,"MA_HT","DDL","MA_QH","DBV")</f>
        <v>0</v>
      </c>
      <c r="AF42" s="35">
        <f>+GETPIVOTDATA("XLL4",'langlon (2016)'!$A$3,"MA_HT","DDL","MA_QH","DVH")</f>
        <v>0</v>
      </c>
      <c r="AG42" s="35">
        <f>+GETPIVOTDATA("XLL4",'langlon (2016)'!$A$3,"MA_HT","DDL","MA_QH","DYT")</f>
        <v>0</v>
      </c>
      <c r="AH42" s="35">
        <f>+GETPIVOTDATA("XLL4",'langlon (2016)'!$A$3,"MA_HT","DDL","MA_QH","DGD")</f>
        <v>0</v>
      </c>
      <c r="AI42" s="35">
        <f>+GETPIVOTDATA("XLL4",'langlon (2016)'!$A$3,"MA_HT","DDL","MA_QH","DTT")</f>
        <v>0</v>
      </c>
      <c r="AJ42" s="35">
        <f>+GETPIVOTDATA("XLL4",'langlon (2016)'!$A$3,"MA_HT","DDL","MA_QH","NCK")</f>
        <v>0</v>
      </c>
      <c r="AK42" s="35">
        <f>+GETPIVOTDATA("XLL4",'langlon (2016)'!$A$3,"MA_HT","DDL","MA_QH","DXH")</f>
        <v>0</v>
      </c>
      <c r="AL42" s="35">
        <f>+GETPIVOTDATA("XLL4",'langlon (2016)'!$A$3,"MA_HT","DDL","MA_QH","DCH")</f>
        <v>0</v>
      </c>
      <c r="AM42" s="35">
        <f>+GETPIVOTDATA("XLL4",'langlon (2016)'!$A$3,"MA_HT","DDL","MA_QH","DKG")</f>
        <v>0</v>
      </c>
      <c r="AN42" s="35">
        <f>+GETPIVOTDATA("XLL4",'langlon (2016)'!$A$3,"MA_HT","DDL","MA_QH","DDT")</f>
        <v>0</v>
      </c>
      <c r="AO42" s="99" t="e">
        <f>$D42-$BF42</f>
        <v>#REF!</v>
      </c>
      <c r="AP42" s="35">
        <f>+GETPIVOTDATA("XLL4",'langlon (2016)'!$A$3,"MA_HT","DDL","MA_QH","DRA")</f>
        <v>0</v>
      </c>
      <c r="AQ42" s="35">
        <f>+GETPIVOTDATA("XLL4",'langlon (2016)'!$A$3,"MA_HT","DDL","MA_QH","ONT")</f>
        <v>0</v>
      </c>
      <c r="AR42" s="35">
        <f>+GETPIVOTDATA("XLL4",'langlon (2016)'!$A$3,"MA_HT","DDL","MA_QH","ODT")</f>
        <v>0</v>
      </c>
      <c r="AS42" s="35">
        <f>+GETPIVOTDATA("XLL4",'langlon (2016)'!$A$3,"MA_HT","DDL","MA_QH","TSC")</f>
        <v>0</v>
      </c>
      <c r="AT42" s="35">
        <f>+GETPIVOTDATA("XLL4",'langlon (2016)'!$A$3,"MA_HT","DDL","MA_QH","DTS")</f>
        <v>0</v>
      </c>
      <c r="AU42" s="35">
        <f>+GETPIVOTDATA("XLL4",'langlon (2016)'!$A$3,"MA_HT","DDL","MA_QH","DNG")</f>
        <v>0</v>
      </c>
      <c r="AV42" s="35">
        <f>+GETPIVOTDATA("XLL4",'langlon (2016)'!$A$3,"MA_HT","DDL","MA_QH","TON")</f>
        <v>0</v>
      </c>
      <c r="AW42" s="35">
        <f>+GETPIVOTDATA("XLL4",'langlon (2016)'!$A$3,"MA_HT","DDL","MA_QH","NTD")</f>
        <v>0</v>
      </c>
      <c r="AX42" s="35">
        <f>+GETPIVOTDATA("XLL4",'langlon (2016)'!$A$3,"MA_HT","DDL","MA_QH","SKX")</f>
        <v>0</v>
      </c>
      <c r="AY42" s="35">
        <f>+GETPIVOTDATA("XLL4",'langlon (2016)'!$A$3,"MA_HT","DDL","MA_QH","DSH")</f>
        <v>0</v>
      </c>
      <c r="AZ42" s="35">
        <f>+GETPIVOTDATA("XLL4",'langlon (2016)'!$A$3,"MA_HT","DDL","MA_QH","DKV")</f>
        <v>0</v>
      </c>
      <c r="BA42" s="140">
        <f>+GETPIVOTDATA("XLL4",'langlon (2016)'!$A$3,"MA_HT","DDL","MA_QH","TIN")</f>
        <v>0</v>
      </c>
      <c r="BB42" s="74">
        <f>+GETPIVOTDATA("XLL4",'langlon (2016)'!$A$3,"MA_HT","DDL","MA_QH","SON")</f>
        <v>0</v>
      </c>
      <c r="BC42" s="74">
        <f>+GETPIVOTDATA("XLL4",'langlon (2016)'!$A$3,"MA_HT","DDL","MA_QH","MNC")</f>
        <v>0</v>
      </c>
      <c r="BD42" s="35">
        <f>+GETPIVOTDATA("XLL4",'langlon (2016)'!$A$3,"MA_HT","DDL","MA_QH","PNK")</f>
        <v>0</v>
      </c>
      <c r="BE42" s="58">
        <f>+GETPIVOTDATA("XLL4",'langlon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+GETPIVOTDATA("XLL4",'langlon (2016)'!$A$3,"MA_HT","DRA","MA_QH","LUC")</f>
        <v>0</v>
      </c>
      <c r="H43" s="35">
        <f>+GETPIVOTDATA("XLL4",'langlon (2016)'!$A$3,"MA_HT","DRA","MA_QH","LUK")</f>
        <v>0</v>
      </c>
      <c r="I43" s="35">
        <f>+GETPIVOTDATA("XLL4",'langlon (2016)'!$A$3,"MA_HT","DRA","MA_QH","LUN")</f>
        <v>0</v>
      </c>
      <c r="J43" s="35">
        <f>+GETPIVOTDATA("XLL4",'langlon (2016)'!$A$3,"MA_HT","DRA","MA_QH","HNK")</f>
        <v>0</v>
      </c>
      <c r="K43" s="35">
        <f>+GETPIVOTDATA("XLL4",'langlon (2016)'!$A$3,"MA_HT","DRA","MA_QH","CLN")</f>
        <v>0</v>
      </c>
      <c r="L43" s="35">
        <f>+GETPIVOTDATA("XLL4",'langlon (2016)'!$A$3,"MA_HT","DRA","MA_QH","RSX")</f>
        <v>0</v>
      </c>
      <c r="M43" s="35">
        <f>+GETPIVOTDATA("XLL4",'langlon (2016)'!$A$3,"MA_HT","DRA","MA_QH","RPH")</f>
        <v>0</v>
      </c>
      <c r="N43" s="35">
        <f>+GETPIVOTDATA("XLL4",'langlon (2016)'!$A$3,"MA_HT","DRA","MA_QH","RDD")</f>
        <v>0</v>
      </c>
      <c r="O43" s="35">
        <f>+GETPIVOTDATA("XLL4",'langlon (2016)'!$A$3,"MA_HT","DRA","MA_QH","NTS")</f>
        <v>0</v>
      </c>
      <c r="P43" s="35">
        <f>+GETPIVOTDATA("XLL4",'langlon (2016)'!$A$3,"MA_HT","DRA","MA_QH","LMU")</f>
        <v>0</v>
      </c>
      <c r="Q43" s="35">
        <f>+GETPIVOTDATA("XLL4",'langlon (2016)'!$A$3,"MA_HT","DRA","MA_QH","NKH")</f>
        <v>0</v>
      </c>
      <c r="R43" s="106">
        <f>SUM(S43:AA43,AN43:AO43,AQ43:BD43)</f>
        <v>0</v>
      </c>
      <c r="S43" s="35">
        <f>+GETPIVOTDATA("XLL4",'langlon (2016)'!$A$3,"MA_HT","DRA","MA_QH","CQP")</f>
        <v>0</v>
      </c>
      <c r="T43" s="35">
        <f>+GETPIVOTDATA("XLL4",'langlon (2016)'!$A$3,"MA_HT","DRA","MA_QH","CAN")</f>
        <v>0</v>
      </c>
      <c r="U43" s="35">
        <f>+GETPIVOTDATA("XLL4",'langlon (2016)'!$A$3,"MA_HT","DRA","MA_QH","SKK")</f>
        <v>0</v>
      </c>
      <c r="V43" s="35">
        <f>+GETPIVOTDATA("XLL4",'langlon (2016)'!$A$3,"MA_HT","DRA","MA_QH","SKT")</f>
        <v>0</v>
      </c>
      <c r="W43" s="35">
        <f>+GETPIVOTDATA("XLL4",'langlon (2016)'!$A$3,"MA_HT","DRA","MA_QH","SKN")</f>
        <v>0</v>
      </c>
      <c r="X43" s="35">
        <f>+GETPIVOTDATA("XLL4",'langlon (2016)'!$A$3,"MA_HT","DRA","MA_QH","TMD")</f>
        <v>0</v>
      </c>
      <c r="Y43" s="35">
        <f>+GETPIVOTDATA("XLL4",'langlon (2016)'!$A$3,"MA_HT","DRA","MA_QH","SKC")</f>
        <v>0</v>
      </c>
      <c r="Z43" s="35">
        <f>+GETPIVOTDATA("XLL4",'langlon (2016)'!$A$3,"MA_HT","DRA","MA_QH","SKS")</f>
        <v>0</v>
      </c>
      <c r="AA43" s="64">
        <f t="shared" si="21"/>
        <v>0</v>
      </c>
      <c r="AB43" s="35">
        <f>+GETPIVOTDATA("XLL4",'langlon (2016)'!$A$3,"MA_HT","DRA","MA_QH","DGT")</f>
        <v>0</v>
      </c>
      <c r="AC43" s="35">
        <f>+GETPIVOTDATA("XLL4",'langlon (2016)'!$A$3,"MA_HT","DRA","MA_QH","DTL")</f>
        <v>0</v>
      </c>
      <c r="AD43" s="35">
        <f>+GETPIVOTDATA("XLL4",'langlon (2016)'!$A$3,"MA_HT","DRA","MA_QH","DNL")</f>
        <v>0</v>
      </c>
      <c r="AE43" s="35">
        <f>+GETPIVOTDATA("XLL4",'langlon (2016)'!$A$3,"MA_HT","DRA","MA_QH","DBV")</f>
        <v>0</v>
      </c>
      <c r="AF43" s="35">
        <f>+GETPIVOTDATA("XLL4",'langlon (2016)'!$A$3,"MA_HT","DRA","MA_QH","DVH")</f>
        <v>0</v>
      </c>
      <c r="AG43" s="35">
        <f>+GETPIVOTDATA("XLL4",'langlon (2016)'!$A$3,"MA_HT","DRA","MA_QH","DYT")</f>
        <v>0</v>
      </c>
      <c r="AH43" s="35">
        <f>+GETPIVOTDATA("XLL4",'langlon (2016)'!$A$3,"MA_HT","DRA","MA_QH","DGD")</f>
        <v>0</v>
      </c>
      <c r="AI43" s="35">
        <f>+GETPIVOTDATA("XLL4",'langlon (2016)'!$A$3,"MA_HT","DRA","MA_QH","DTT")</f>
        <v>0</v>
      </c>
      <c r="AJ43" s="35">
        <f>+GETPIVOTDATA("XLL4",'langlon (2016)'!$A$3,"MA_HT","DRA","MA_QH","NCK")</f>
        <v>0</v>
      </c>
      <c r="AK43" s="35">
        <f>+GETPIVOTDATA("XLL4",'langlon (2016)'!$A$3,"MA_HT","DRA","MA_QH","DXH")</f>
        <v>0</v>
      </c>
      <c r="AL43" s="35">
        <f>+GETPIVOTDATA("XLL4",'langlon (2016)'!$A$3,"MA_HT","DRA","MA_QH","DCH")</f>
        <v>0</v>
      </c>
      <c r="AM43" s="35">
        <f>+GETPIVOTDATA("XLL4",'langlon (2016)'!$A$3,"MA_HT","DRA","MA_QH","DKG")</f>
        <v>0</v>
      </c>
      <c r="AN43" s="35">
        <f>+GETPIVOTDATA("XLL4",'langlon (2016)'!$A$3,"MA_HT","DRA","MA_QH","DDT")</f>
        <v>0</v>
      </c>
      <c r="AO43" s="35">
        <f>+GETPIVOTDATA("XLL4",'langlon (2016)'!$A$3,"MA_HT","DRA","MA_QH","DDL")</f>
        <v>0</v>
      </c>
      <c r="AP43" s="99" t="e">
        <f>$D43-$BF43</f>
        <v>#REF!</v>
      </c>
      <c r="AQ43" s="35">
        <f>+GETPIVOTDATA("XLL4",'langlon (2016)'!$A$3,"MA_HT","DRA","MA_QH","ONT")</f>
        <v>0</v>
      </c>
      <c r="AR43" s="35">
        <f>+GETPIVOTDATA("XLL4",'langlon (2016)'!$A$3,"MA_HT","DRA","MA_QH","ODT")</f>
        <v>0</v>
      </c>
      <c r="AS43" s="35">
        <f>+GETPIVOTDATA("XLL4",'langlon (2016)'!$A$3,"MA_HT","DRA","MA_QH","TSC")</f>
        <v>0</v>
      </c>
      <c r="AT43" s="35">
        <f>+GETPIVOTDATA("XLL4",'langlon (2016)'!$A$3,"MA_HT","DRA","MA_QH","DTS")</f>
        <v>0</v>
      </c>
      <c r="AU43" s="35">
        <f>+GETPIVOTDATA("XLL4",'langlon (2016)'!$A$3,"MA_HT","DRA","MA_QH","DNG")</f>
        <v>0</v>
      </c>
      <c r="AV43" s="35">
        <f>+GETPIVOTDATA("XLL4",'langlon (2016)'!$A$3,"MA_HT","DRA","MA_QH","TON")</f>
        <v>0</v>
      </c>
      <c r="AW43" s="35">
        <f>+GETPIVOTDATA("XLL4",'langlon (2016)'!$A$3,"MA_HT","DRA","MA_QH","NTD")</f>
        <v>0</v>
      </c>
      <c r="AX43" s="35">
        <f>+GETPIVOTDATA("XLL4",'langlon (2016)'!$A$3,"MA_HT","DRA","MA_QH","SKX")</f>
        <v>0</v>
      </c>
      <c r="AY43" s="35">
        <f>+GETPIVOTDATA("XLL4",'langlon (2016)'!$A$3,"MA_HT","DRA","MA_QH","DSH")</f>
        <v>0</v>
      </c>
      <c r="AZ43" s="35">
        <f>+GETPIVOTDATA("XLL4",'langlon (2016)'!$A$3,"MA_HT","DRA","MA_QH","DKV")</f>
        <v>0</v>
      </c>
      <c r="BA43" s="140">
        <f>+GETPIVOTDATA("XLL4",'langlon (2016)'!$A$3,"MA_HT","DRA","MA_QH","TIN")</f>
        <v>0</v>
      </c>
      <c r="BB43" s="74">
        <f>+GETPIVOTDATA("XLL4",'langlon (2016)'!$A$3,"MA_HT","DRA","MA_QH","SON")</f>
        <v>0</v>
      </c>
      <c r="BC43" s="74">
        <f>+GETPIVOTDATA("XLL4",'langlon (2016)'!$A$3,"MA_HT","DRA","MA_QH","MNC")</f>
        <v>0</v>
      </c>
      <c r="BD43" s="35">
        <f>+GETPIVOTDATA("XLL4",'langlon (2016)'!$A$3,"MA_HT","DRA","MA_QH","PNK")</f>
        <v>0</v>
      </c>
      <c r="BE43" s="58">
        <f>+GETPIVOTDATA("XLL4",'langlon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+GETPIVOTDATA("XLL4",'langlon (2016)'!$A$3,"MA_HT","ONT","MA_QH","LUC")</f>
        <v>0</v>
      </c>
      <c r="H44" s="35">
        <f>+GETPIVOTDATA("XLL4",'langlon (2016)'!$A$3,"MA_HT","ONT","MA_QH","LUK")</f>
        <v>0</v>
      </c>
      <c r="I44" s="35">
        <f>+GETPIVOTDATA("XLL4",'langlon (2016)'!$A$3,"MA_HT","ONT","MA_QH","LUN")</f>
        <v>0</v>
      </c>
      <c r="J44" s="35">
        <f>+GETPIVOTDATA("XLL4",'langlon (2016)'!$A$3,"MA_HT","ONT","MA_QH","HNK")</f>
        <v>0</v>
      </c>
      <c r="K44" s="35">
        <f>+GETPIVOTDATA("XLL4",'langlon (2016)'!$A$3,"MA_HT","ONT","MA_QH","CLN")</f>
        <v>0</v>
      </c>
      <c r="L44" s="35">
        <f>+GETPIVOTDATA("XLL4",'langlon (2016)'!$A$3,"MA_HT","ONT","MA_QH","RSX")</f>
        <v>0</v>
      </c>
      <c r="M44" s="35">
        <f>+GETPIVOTDATA("XLL4",'langlon (2016)'!$A$3,"MA_HT","ONT","MA_QH","RPH")</f>
        <v>0</v>
      </c>
      <c r="N44" s="35">
        <f>+GETPIVOTDATA("XLL4",'langlon (2016)'!$A$3,"MA_HT","ONT","MA_QH","RDD")</f>
        <v>0</v>
      </c>
      <c r="O44" s="35">
        <f>+GETPIVOTDATA("XLL4",'langlon (2016)'!$A$3,"MA_HT","ONT","MA_QH","NTS")</f>
        <v>0</v>
      </c>
      <c r="P44" s="35">
        <f>+GETPIVOTDATA("XLL4",'langlon (2016)'!$A$3,"MA_HT","ONT","MA_QH","LMU")</f>
        <v>0</v>
      </c>
      <c r="Q44" s="35">
        <f>+GETPIVOTDATA("XLL4",'langlon (2016)'!$A$3,"MA_HT","ONT","MA_QH","NKH")</f>
        <v>0</v>
      </c>
      <c r="R44" s="106">
        <f>SUM(S44:AA44,AN44:AP44,AR44:BD44)</f>
        <v>0</v>
      </c>
      <c r="S44" s="35">
        <f>+GETPIVOTDATA("XLL4",'langlon (2016)'!$A$3,"MA_HT","ONT","MA_QH","CQP")</f>
        <v>0</v>
      </c>
      <c r="T44" s="35">
        <f>+GETPIVOTDATA("XLL4",'langlon (2016)'!$A$3,"MA_HT","ONT","MA_QH","CAN")</f>
        <v>0</v>
      </c>
      <c r="U44" s="35">
        <f>+GETPIVOTDATA("XLL4",'langlon (2016)'!$A$3,"MA_HT","ONT","MA_QH","SKK")</f>
        <v>0</v>
      </c>
      <c r="V44" s="35">
        <f>+GETPIVOTDATA("XLL4",'langlon (2016)'!$A$3,"MA_HT","ONT","MA_QH","SKT")</f>
        <v>0</v>
      </c>
      <c r="W44" s="35">
        <f>+GETPIVOTDATA("XLL4",'langlon (2016)'!$A$3,"MA_HT","ONT","MA_QH","SKN")</f>
        <v>0</v>
      </c>
      <c r="X44" s="35">
        <f>+GETPIVOTDATA("XLL4",'langlon (2016)'!$A$3,"MA_HT","ONT","MA_QH","TMD")</f>
        <v>0</v>
      </c>
      <c r="Y44" s="35">
        <f>+GETPIVOTDATA("XLL4",'langlon (2016)'!$A$3,"MA_HT","ONT","MA_QH","SKC")</f>
        <v>0</v>
      </c>
      <c r="Z44" s="35">
        <f>+GETPIVOTDATA("XLL4",'langlon (2016)'!$A$3,"MA_HT","ONT","MA_QH","SKS")</f>
        <v>0</v>
      </c>
      <c r="AA44" s="64">
        <f t="shared" si="21"/>
        <v>0</v>
      </c>
      <c r="AB44" s="35">
        <f>+GETPIVOTDATA("XLL4",'langlon (2016)'!$A$3,"MA_HT","ONT","MA_QH","DGT")</f>
        <v>0</v>
      </c>
      <c r="AC44" s="35">
        <f>+GETPIVOTDATA("XLL4",'langlon (2016)'!$A$3,"MA_HT","ONT","MA_QH","DTL")</f>
        <v>0</v>
      </c>
      <c r="AD44" s="35">
        <f>+GETPIVOTDATA("XLL4",'langlon (2016)'!$A$3,"MA_HT","ONT","MA_QH","DNL")</f>
        <v>0</v>
      </c>
      <c r="AE44" s="35">
        <f>+GETPIVOTDATA("XLL4",'langlon (2016)'!$A$3,"MA_HT","ONT","MA_QH","DBV")</f>
        <v>0</v>
      </c>
      <c r="AF44" s="35">
        <f>+GETPIVOTDATA("XLL4",'langlon (2016)'!$A$3,"MA_HT","ONT","MA_QH","DVH")</f>
        <v>0</v>
      </c>
      <c r="AG44" s="35">
        <f>+GETPIVOTDATA("XLL4",'langlon (2016)'!$A$3,"MA_HT","ONT","MA_QH","DYT")</f>
        <v>0</v>
      </c>
      <c r="AH44" s="35">
        <f>+GETPIVOTDATA("XLL4",'langlon (2016)'!$A$3,"MA_HT","ONT","MA_QH","DGD")</f>
        <v>0</v>
      </c>
      <c r="AI44" s="35">
        <f>+GETPIVOTDATA("XLL4",'langlon (2016)'!$A$3,"MA_HT","ONT","MA_QH","DTT")</f>
        <v>0</v>
      </c>
      <c r="AJ44" s="35">
        <f>+GETPIVOTDATA("XLL4",'langlon (2016)'!$A$3,"MA_HT","ONT","MA_QH","NCK")</f>
        <v>0</v>
      </c>
      <c r="AK44" s="35">
        <f>+GETPIVOTDATA("XLL4",'langlon (2016)'!$A$3,"MA_HT","ONT","MA_QH","DXH")</f>
        <v>0</v>
      </c>
      <c r="AL44" s="35">
        <f>+GETPIVOTDATA("XLL4",'langlon (2016)'!$A$3,"MA_HT","ONT","MA_QH","DCH")</f>
        <v>0</v>
      </c>
      <c r="AM44" s="35">
        <f>+GETPIVOTDATA("XLL4",'langlon (2016)'!$A$3,"MA_HT","ONT","MA_QH","DKG")</f>
        <v>0</v>
      </c>
      <c r="AN44" s="35">
        <f>+GETPIVOTDATA("XLL4",'langlon (2016)'!$A$3,"MA_HT","ONT","MA_QH","DDT")</f>
        <v>0</v>
      </c>
      <c r="AO44" s="35">
        <f>+GETPIVOTDATA("XLL4",'langlon (2016)'!$A$3,"MA_HT","ONT","MA_QH","DDL")</f>
        <v>0</v>
      </c>
      <c r="AP44" s="35">
        <f>+GETPIVOTDATA("XLL4",'langlon (2016)'!$A$3,"MA_HT","ONT","MA_QH","DRA")</f>
        <v>0</v>
      </c>
      <c r="AQ44" s="99" t="e">
        <f>$D44-$BF44</f>
        <v>#REF!</v>
      </c>
      <c r="AR44" s="35">
        <f>+GETPIVOTDATA("XLL4",'langlon (2016)'!$A$3,"MA_HT","ONT","MA_QH","ODT")</f>
        <v>0</v>
      </c>
      <c r="AS44" s="35">
        <f>+GETPIVOTDATA("XLL4",'langlon (2016)'!$A$3,"MA_HT","ONT","MA_QH","TSC")</f>
        <v>0</v>
      </c>
      <c r="AT44" s="35">
        <f>+GETPIVOTDATA("XLL4",'langlon (2016)'!$A$3,"MA_HT","ONT","MA_QH","DTS")</f>
        <v>0</v>
      </c>
      <c r="AU44" s="35">
        <f>+GETPIVOTDATA("XLL4",'langlon (2016)'!$A$3,"MA_HT","ONT","MA_QH","DNG")</f>
        <v>0</v>
      </c>
      <c r="AV44" s="35">
        <f>+GETPIVOTDATA("XLL4",'langlon (2016)'!$A$3,"MA_HT","ONT","MA_QH","TON")</f>
        <v>0</v>
      </c>
      <c r="AW44" s="35">
        <f>+GETPIVOTDATA("XLL4",'langlon (2016)'!$A$3,"MA_HT","ONT","MA_QH","NTD")</f>
        <v>0</v>
      </c>
      <c r="AX44" s="35">
        <f>+GETPIVOTDATA("XLL4",'langlon (2016)'!$A$3,"MA_HT","ONT","MA_QH","SKX")</f>
        <v>0</v>
      </c>
      <c r="AY44" s="35">
        <f>+GETPIVOTDATA("XLL4",'langlon (2016)'!$A$3,"MA_HT","ONT","MA_QH","DSH")</f>
        <v>0</v>
      </c>
      <c r="AZ44" s="35">
        <f>+GETPIVOTDATA("XLL4",'langlon (2016)'!$A$3,"MA_HT","ONT","MA_QH","DKV")</f>
        <v>0</v>
      </c>
      <c r="BA44" s="140">
        <f>+GETPIVOTDATA("XLL4",'langlon (2016)'!$A$3,"MA_HT","ONT","MA_QH","TIN")</f>
        <v>0</v>
      </c>
      <c r="BB44" s="74">
        <f>+GETPIVOTDATA("XLL4",'langlon (2016)'!$A$3,"MA_HT","ONT","MA_QH","SON")</f>
        <v>0</v>
      </c>
      <c r="BC44" s="74">
        <f>+GETPIVOTDATA("XLL4",'langlon (2016)'!$A$3,"MA_HT","ONT","MA_QH","MNC")</f>
        <v>0</v>
      </c>
      <c r="BD44" s="35">
        <f>+GETPIVOTDATA("XLL4",'langlon (2016)'!$A$3,"MA_HT","ONT","MA_QH","PNK")</f>
        <v>0</v>
      </c>
      <c r="BE44" s="58">
        <f>+GETPIVOTDATA("XLL4",'langlon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+GETPIVOTDATA("XLL4",'langlon (2016)'!$A$3,"MA_HT","ODT","MA_QH","LUC")</f>
        <v>0</v>
      </c>
      <c r="H45" s="111">
        <f>+GETPIVOTDATA("XLL4",'langlon (2016)'!$A$3,"MA_HT","ODT","MA_QH","LUK")</f>
        <v>0</v>
      </c>
      <c r="I45" s="111">
        <f>+GETPIVOTDATA("XLL4",'langlon (2016)'!$A$3,"MA_HT","ODT","MA_QH","LUN")</f>
        <v>0</v>
      </c>
      <c r="J45" s="111">
        <f>+GETPIVOTDATA("XLL4",'langlon (2016)'!$A$3,"MA_HT","ODT","MA_QH","HNK")</f>
        <v>0</v>
      </c>
      <c r="K45" s="111">
        <f>+GETPIVOTDATA("XLL4",'langlon (2016)'!$A$3,"MA_HT","ODT","MA_QH","CLN")</f>
        <v>0</v>
      </c>
      <c r="L45" s="111">
        <f>+GETPIVOTDATA("XLL4",'langlon (2016)'!$A$3,"MA_HT","ODT","MA_QH","RSX")</f>
        <v>0</v>
      </c>
      <c r="M45" s="111">
        <f>+GETPIVOTDATA("XLL4",'langlon (2016)'!$A$3,"MA_HT","ODT","MA_QH","RPH")</f>
        <v>0</v>
      </c>
      <c r="N45" s="111">
        <f>+GETPIVOTDATA("XLL4",'langlon (2016)'!$A$3,"MA_HT","ODT","MA_QH","RDD")</f>
        <v>0</v>
      </c>
      <c r="O45" s="111">
        <f>+GETPIVOTDATA("XLL4",'langlon (2016)'!$A$3,"MA_HT","ODT","MA_QH","NTS")</f>
        <v>0</v>
      </c>
      <c r="P45" s="111">
        <f>+GETPIVOTDATA("XLL4",'langlon (2016)'!$A$3,"MA_HT","ODT","MA_QH","LMU")</f>
        <v>0</v>
      </c>
      <c r="Q45" s="111">
        <f>+GETPIVOTDATA("XLL4",'langlon (2016)'!$A$3,"MA_HT","ODT","MA_QH","NKH")</f>
        <v>0</v>
      </c>
      <c r="R45" s="106">
        <f>SUM(S45:AA45,AN45:AQ45,AS45:BD45)</f>
        <v>0</v>
      </c>
      <c r="S45" s="111">
        <f>+GETPIVOTDATA("XLL4",'langlon (2016)'!$A$3,"MA_HT","ODT","MA_QH","CQP")</f>
        <v>0</v>
      </c>
      <c r="T45" s="111">
        <f>+GETPIVOTDATA("XLL4",'langlon (2016)'!$A$3,"MA_HT","ODT","MA_QH","CAN")</f>
        <v>0</v>
      </c>
      <c r="U45" s="111">
        <f>+GETPIVOTDATA("XLL4",'langlon (2016)'!$A$3,"MA_HT","ODT","MA_QH","SKK")</f>
        <v>0</v>
      </c>
      <c r="V45" s="111">
        <f>+GETPIVOTDATA("XLL4",'langlon (2016)'!$A$3,"MA_HT","ODT","MA_QH","SKT")</f>
        <v>0</v>
      </c>
      <c r="W45" s="111">
        <f>+GETPIVOTDATA("XLL4",'langlon (2016)'!$A$3,"MA_HT","ODT","MA_QH","SKN")</f>
        <v>0</v>
      </c>
      <c r="X45" s="111">
        <f>+GETPIVOTDATA("XLL4",'langlon (2016)'!$A$3,"MA_HT","ODT","MA_QH","TMD")</f>
        <v>0</v>
      </c>
      <c r="Y45" s="111">
        <f>+GETPIVOTDATA("XLL4",'langlon (2016)'!$A$3,"MA_HT","ODT","MA_QH","SKC")</f>
        <v>0</v>
      </c>
      <c r="Z45" s="111">
        <f>+GETPIVOTDATA("XLL4",'langlon (2016)'!$A$3,"MA_HT","ODT","MA_QH","SKS")</f>
        <v>0</v>
      </c>
      <c r="AA45" s="104">
        <f t="shared" si="21"/>
        <v>0</v>
      </c>
      <c r="AB45" s="111">
        <f>+GETPIVOTDATA("XLL4",'langlon (2016)'!$A$3,"MA_HT","ODT","MA_QH","DGT")</f>
        <v>0</v>
      </c>
      <c r="AC45" s="111">
        <f>+GETPIVOTDATA("XLL4",'langlon (2016)'!$A$3,"MA_HT","ODT","MA_QH","DTL")</f>
        <v>0</v>
      </c>
      <c r="AD45" s="111">
        <f>+GETPIVOTDATA("XLL4",'langlon (2016)'!$A$3,"MA_HT","ODT","MA_QH","DNL")</f>
        <v>0</v>
      </c>
      <c r="AE45" s="111">
        <f>+GETPIVOTDATA("XLL4",'langlon (2016)'!$A$3,"MA_HT","ODT","MA_QH","DBV")</f>
        <v>0</v>
      </c>
      <c r="AF45" s="111">
        <f>+GETPIVOTDATA("XLL4",'langlon (2016)'!$A$3,"MA_HT","ODT","MA_QH","DVH")</f>
        <v>0</v>
      </c>
      <c r="AG45" s="111">
        <f>+GETPIVOTDATA("XLL4",'langlon (2016)'!$A$3,"MA_HT","ODT","MA_QH","DYT")</f>
        <v>0</v>
      </c>
      <c r="AH45" s="111">
        <f>+GETPIVOTDATA("XLL4",'langlon (2016)'!$A$3,"MA_HT","ODT","MA_QH","DGD")</f>
        <v>0</v>
      </c>
      <c r="AI45" s="111">
        <f>+GETPIVOTDATA("XLL4",'langlon (2016)'!$A$3,"MA_HT","ODT","MA_QH","DTT")</f>
        <v>0</v>
      </c>
      <c r="AJ45" s="111">
        <f>+GETPIVOTDATA("XLL4",'langlon (2016)'!$A$3,"MA_HT","ODT","MA_QH","NCK")</f>
        <v>0</v>
      </c>
      <c r="AK45" s="111">
        <f>+GETPIVOTDATA("XLL4",'langlon (2016)'!$A$3,"MA_HT","ODT","MA_QH","DXH")</f>
        <v>0</v>
      </c>
      <c r="AL45" s="111">
        <f>+GETPIVOTDATA("XLL4",'langlon (2016)'!$A$3,"MA_HT","ODT","MA_QH","DCH")</f>
        <v>0</v>
      </c>
      <c r="AM45" s="111">
        <f>+GETPIVOTDATA("XLL4",'langlon (2016)'!$A$3,"MA_HT","ODT","MA_QH","DKG")</f>
        <v>0</v>
      </c>
      <c r="AN45" s="111">
        <f>+GETPIVOTDATA("XLL4",'langlon (2016)'!$A$3,"MA_HT","ODT","MA_QH","DDT")</f>
        <v>0</v>
      </c>
      <c r="AO45" s="111">
        <f>+GETPIVOTDATA("XLL4",'langlon (2016)'!$A$3,"MA_HT","ODT","MA_QH","DDL")</f>
        <v>0</v>
      </c>
      <c r="AP45" s="111">
        <f>+GETPIVOTDATA("XLL4",'langlon (2016)'!$A$3,"MA_HT","ODT","MA_QH","DRA")</f>
        <v>0</v>
      </c>
      <c r="AQ45" s="111">
        <f>+GETPIVOTDATA("XLL4",'langlon (2016)'!$A$3,"MA_HT","ODT","MA_QH","ONT")</f>
        <v>0</v>
      </c>
      <c r="AR45" s="112" t="e">
        <f>$D45-$BF45</f>
        <v>#REF!</v>
      </c>
      <c r="AS45" s="111">
        <f>+GETPIVOTDATA("XLL4",'langlon (2016)'!$A$3,"MA_HT","ODT","MA_QH","TSC")</f>
        <v>0</v>
      </c>
      <c r="AT45" s="111">
        <f>+GETPIVOTDATA("XLL4",'langlon (2016)'!$A$3,"MA_HT","ODT","MA_QH","DTS")</f>
        <v>0</v>
      </c>
      <c r="AU45" s="111">
        <f>+GETPIVOTDATA("XLL4",'langlon (2016)'!$A$3,"MA_HT","ODT","MA_QH","DNG")</f>
        <v>0</v>
      </c>
      <c r="AV45" s="111">
        <f>+GETPIVOTDATA("XLL4",'langlon (2016)'!$A$3,"MA_HT","ODT","MA_QH","TON")</f>
        <v>0</v>
      </c>
      <c r="AW45" s="111">
        <f>+GETPIVOTDATA("XLL4",'langlon (2016)'!$A$3,"MA_HT","ODT","MA_QH","NTD")</f>
        <v>0</v>
      </c>
      <c r="AX45" s="111">
        <f>+GETPIVOTDATA("XLL4",'langlon (2016)'!$A$3,"MA_HT","ODT","MA_QH","SKX")</f>
        <v>0</v>
      </c>
      <c r="AY45" s="111">
        <f>+GETPIVOTDATA("XLL4",'langlon (2016)'!$A$3,"MA_HT","ODT","MA_QH","DSH")</f>
        <v>0</v>
      </c>
      <c r="AZ45" s="111">
        <f>+GETPIVOTDATA("XLL4",'langlon (2016)'!$A$3,"MA_HT","ODT","MA_QH","DKV")</f>
        <v>0</v>
      </c>
      <c r="BA45" s="142">
        <f>+GETPIVOTDATA("XLL4",'langlon (2016)'!$A$3,"MA_HT","ODT","MA_QH","TIN")</f>
        <v>0</v>
      </c>
      <c r="BB45" s="105">
        <f>+GETPIVOTDATA("XLL4",'langlon (2016)'!$A$3,"MA_HT","ODT","MA_QH","SON")</f>
        <v>0</v>
      </c>
      <c r="BC45" s="105">
        <f>+GETPIVOTDATA("XLL4",'langlon (2016)'!$A$3,"MA_HT","ODT","MA_QH","MNC")</f>
        <v>0</v>
      </c>
      <c r="BD45" s="111">
        <f>+GETPIVOTDATA("XLL4",'langlon (2016)'!$A$3,"MA_HT","ODT","MA_QH","PNK")</f>
        <v>0</v>
      </c>
      <c r="BE45" s="113">
        <f>+GETPIVOTDATA("XLL4",'langlon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+GETPIVOTDATA("XLL4",'langlon (2016)'!$A$3,"MA_HT","TSC","MA_QH","LUC")</f>
        <v>0</v>
      </c>
      <c r="H46" s="35">
        <f>+GETPIVOTDATA("XLL4",'langlon (2016)'!$A$3,"MA_HT","TSC","MA_QH","LUK")</f>
        <v>0</v>
      </c>
      <c r="I46" s="35">
        <f>+GETPIVOTDATA("XLL4",'langlon (2016)'!$A$3,"MA_HT","TSC","MA_QH","LUN")</f>
        <v>0</v>
      </c>
      <c r="J46" s="35">
        <f>+GETPIVOTDATA("XLL4",'langlon (2016)'!$A$3,"MA_HT","TSC","MA_QH","HNK")</f>
        <v>0</v>
      </c>
      <c r="K46" s="35">
        <f>+GETPIVOTDATA("XLL4",'langlon (2016)'!$A$3,"MA_HT","TSC","MA_QH","CLN")</f>
        <v>0</v>
      </c>
      <c r="L46" s="35">
        <f>+GETPIVOTDATA("XLL4",'langlon (2016)'!$A$3,"MA_HT","TSC","MA_QH","RSX")</f>
        <v>0</v>
      </c>
      <c r="M46" s="35">
        <f>+GETPIVOTDATA("XLL4",'langlon (2016)'!$A$3,"MA_HT","TSC","MA_QH","RPH")</f>
        <v>0</v>
      </c>
      <c r="N46" s="35">
        <f>+GETPIVOTDATA("XLL4",'langlon (2016)'!$A$3,"MA_HT","TSC","MA_QH","RDD")</f>
        <v>0</v>
      </c>
      <c r="O46" s="35">
        <f>+GETPIVOTDATA("XLL4",'langlon (2016)'!$A$3,"MA_HT","TSC","MA_QH","NTS")</f>
        <v>0</v>
      </c>
      <c r="P46" s="35">
        <f>+GETPIVOTDATA("XLL4",'langlon (2016)'!$A$3,"MA_HT","TSC","MA_QH","LMU")</f>
        <v>0</v>
      </c>
      <c r="Q46" s="35">
        <f>+GETPIVOTDATA("XLL4",'langlon (2016)'!$A$3,"MA_HT","TSC","MA_QH","NKH")</f>
        <v>0</v>
      </c>
      <c r="R46" s="72">
        <f>SUM(S46:AA46,AN46:AR46,AT46:BD46)</f>
        <v>0</v>
      </c>
      <c r="S46" s="35">
        <f>+GETPIVOTDATA("XLL4",'langlon (2016)'!$A$3,"MA_HT","TSC","MA_QH","CQP")</f>
        <v>0</v>
      </c>
      <c r="T46" s="35">
        <f>+GETPIVOTDATA("XLL4",'langlon (2016)'!$A$3,"MA_HT","TSC","MA_QH","CAN")</f>
        <v>0</v>
      </c>
      <c r="U46" s="35">
        <f>+GETPIVOTDATA("XLL4",'langlon (2016)'!$A$3,"MA_HT","TSC","MA_QH","SKK")</f>
        <v>0</v>
      </c>
      <c r="V46" s="35">
        <f>+GETPIVOTDATA("XLL4",'langlon (2016)'!$A$3,"MA_HT","TSC","MA_QH","SKT")</f>
        <v>0</v>
      </c>
      <c r="W46" s="35">
        <f>+GETPIVOTDATA("XLL4",'langlon (2016)'!$A$3,"MA_HT","TSC","MA_QH","SKN")</f>
        <v>0</v>
      </c>
      <c r="X46" s="35">
        <f>+GETPIVOTDATA("XLL4",'langlon (2016)'!$A$3,"MA_HT","TSC","MA_QH","TMD")</f>
        <v>0</v>
      </c>
      <c r="Y46" s="35">
        <f>+GETPIVOTDATA("XLL4",'langlon (2016)'!$A$3,"MA_HT","TSC","MA_QH","SKC")</f>
        <v>0</v>
      </c>
      <c r="Z46" s="35">
        <f>+GETPIVOTDATA("XLL4",'langlon (2016)'!$A$3,"MA_HT","TSC","MA_QH","SKS")</f>
        <v>0</v>
      </c>
      <c r="AA46" s="64">
        <f t="shared" si="21"/>
        <v>0</v>
      </c>
      <c r="AB46" s="35">
        <f>+GETPIVOTDATA("XLL4",'langlon (2016)'!$A$3,"MA_HT","TSC","MA_QH","DGT")</f>
        <v>0</v>
      </c>
      <c r="AC46" s="35">
        <f>+GETPIVOTDATA("XLL4",'langlon (2016)'!$A$3,"MA_HT","TSC","MA_QH","DTL")</f>
        <v>0</v>
      </c>
      <c r="AD46" s="35">
        <f>+GETPIVOTDATA("XLL4",'langlon (2016)'!$A$3,"MA_HT","TSC","MA_QH","DNL")</f>
        <v>0</v>
      </c>
      <c r="AE46" s="35">
        <f>+GETPIVOTDATA("XLL4",'langlon (2016)'!$A$3,"MA_HT","TSC","MA_QH","DBV")</f>
        <v>0</v>
      </c>
      <c r="AF46" s="35">
        <f>+GETPIVOTDATA("XLL4",'langlon (2016)'!$A$3,"MA_HT","TSC","MA_QH","DVH")</f>
        <v>0</v>
      </c>
      <c r="AG46" s="35">
        <f>+GETPIVOTDATA("XLL4",'langlon (2016)'!$A$3,"MA_HT","TSC","MA_QH","DYT")</f>
        <v>0</v>
      </c>
      <c r="AH46" s="35">
        <f>+GETPIVOTDATA("XLL4",'langlon (2016)'!$A$3,"MA_HT","TSC","MA_QH","DGD")</f>
        <v>0</v>
      </c>
      <c r="AI46" s="35">
        <f>+GETPIVOTDATA("XLL4",'langlon (2016)'!$A$3,"MA_HT","TSC","MA_QH","DTT")</f>
        <v>0</v>
      </c>
      <c r="AJ46" s="35">
        <f>+GETPIVOTDATA("XLL4",'langlon (2016)'!$A$3,"MA_HT","TSC","MA_QH","NCK")</f>
        <v>0</v>
      </c>
      <c r="AK46" s="35">
        <f>+GETPIVOTDATA("XLL4",'langlon (2016)'!$A$3,"MA_HT","TSC","MA_QH","DXH")</f>
        <v>0</v>
      </c>
      <c r="AL46" s="35">
        <f>+GETPIVOTDATA("XLL4",'langlon (2016)'!$A$3,"MA_HT","TSC","MA_QH","DCH")</f>
        <v>0</v>
      </c>
      <c r="AM46" s="35">
        <f>+GETPIVOTDATA("XLL4",'langlon (2016)'!$A$3,"MA_HT","TSC","MA_QH","DKG")</f>
        <v>0</v>
      </c>
      <c r="AN46" s="35">
        <f>+GETPIVOTDATA("XLL4",'langlon (2016)'!$A$3,"MA_HT","TSC","MA_QH","DDT")</f>
        <v>0</v>
      </c>
      <c r="AO46" s="35">
        <f>+GETPIVOTDATA("XLL4",'langlon (2016)'!$A$3,"MA_HT","TSC","MA_QH","DDL")</f>
        <v>0</v>
      </c>
      <c r="AP46" s="35">
        <f>+GETPIVOTDATA("XLL4",'langlon (2016)'!$A$3,"MA_HT","TSC","MA_QH","DRA")</f>
        <v>0</v>
      </c>
      <c r="AQ46" s="35">
        <f>+GETPIVOTDATA("XLL4",'langlon (2016)'!$A$3,"MA_HT","TSC","MA_QH","ONT")</f>
        <v>0</v>
      </c>
      <c r="AR46" s="35">
        <f>+GETPIVOTDATA("XLL4",'langlon (2016)'!$A$3,"MA_HT","TSC","MA_QH","ODT")</f>
        <v>0</v>
      </c>
      <c r="AS46" s="99" t="e">
        <f>$D46-$BF46</f>
        <v>#REF!</v>
      </c>
      <c r="AT46" s="35">
        <f>+GETPIVOTDATA("XLL4",'langlon (2016)'!$A$3,"MA_HT","TSC","MA_QH","DTS")</f>
        <v>0</v>
      </c>
      <c r="AU46" s="35">
        <f>+GETPIVOTDATA("XLL4",'langlon (2016)'!$A$3,"MA_HT","TSC","MA_QH","DNG")</f>
        <v>0</v>
      </c>
      <c r="AV46" s="35">
        <f>+GETPIVOTDATA("XLL4",'langlon (2016)'!$A$3,"MA_HT","TSC","MA_QH","TON")</f>
        <v>0</v>
      </c>
      <c r="AW46" s="35">
        <f>+GETPIVOTDATA("XLL4",'langlon (2016)'!$A$3,"MA_HT","TSC","MA_QH","NTD")</f>
        <v>0</v>
      </c>
      <c r="AX46" s="35">
        <f>+GETPIVOTDATA("XLL4",'langlon (2016)'!$A$3,"MA_HT","TSC","MA_QH","SKX")</f>
        <v>0</v>
      </c>
      <c r="AY46" s="35">
        <f>+GETPIVOTDATA("XLL4",'langlon (2016)'!$A$3,"MA_HT","TSC","MA_QH","DSH")</f>
        <v>0</v>
      </c>
      <c r="AZ46" s="35">
        <f>+GETPIVOTDATA("XLL4",'langlon (2016)'!$A$3,"MA_HT","TSC","MA_QH","DKV")</f>
        <v>0</v>
      </c>
      <c r="BA46" s="140">
        <f>+GETPIVOTDATA("XLL4",'langlon (2016)'!$A$3,"MA_HT","TSC","MA_QH","TIN")</f>
        <v>0</v>
      </c>
      <c r="BB46" s="74">
        <f>+GETPIVOTDATA("XLL4",'langlon (2016)'!$A$3,"MA_HT","TSC","MA_QH","SON")</f>
        <v>0</v>
      </c>
      <c r="BC46" s="74">
        <f>+GETPIVOTDATA("XLL4",'langlon (2016)'!$A$3,"MA_HT","TSC","MA_QH","MNC")</f>
        <v>0</v>
      </c>
      <c r="BD46" s="35">
        <f>+GETPIVOTDATA("XLL4",'langlon (2016)'!$A$3,"MA_HT","TSC","MA_QH","PNK")</f>
        <v>0</v>
      </c>
      <c r="BE46" s="58">
        <f>+GETPIVOTDATA("XLL4",'langlon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+GETPIVOTDATA("XLL4",'langlon (2016)'!$A$3,"MA_HT","DTS","MA_QH","LUC")</f>
        <v>0</v>
      </c>
      <c r="H47" s="122">
        <f>+GETPIVOTDATA("XLL4",'langlon (2016)'!$A$3,"MA_HT","DTS","MA_QH","LUK")</f>
        <v>0</v>
      </c>
      <c r="I47" s="122">
        <f>+GETPIVOTDATA("XLL4",'langlon (2016)'!$A$3,"MA_HT","DTS","MA_QH","LUN")</f>
        <v>0</v>
      </c>
      <c r="J47" s="122">
        <f>+GETPIVOTDATA("XLL4",'langlon (2016)'!$A$3,"MA_HT","DTS","MA_QH","HNK")</f>
        <v>0</v>
      </c>
      <c r="K47" s="122">
        <f>+GETPIVOTDATA("XLL4",'langlon (2016)'!$A$3,"MA_HT","DTS","MA_QH","CLN")</f>
        <v>0</v>
      </c>
      <c r="L47" s="122">
        <f>+GETPIVOTDATA("XLL4",'langlon (2016)'!$A$3,"MA_HT","DTS","MA_QH","RSX")</f>
        <v>0</v>
      </c>
      <c r="M47" s="122">
        <f>+GETPIVOTDATA("XLL4",'langlon (2016)'!$A$3,"MA_HT","DTS","MA_QH","RPH")</f>
        <v>0</v>
      </c>
      <c r="N47" s="122">
        <f>+GETPIVOTDATA("XLL4",'langlon (2016)'!$A$3,"MA_HT","DTS","MA_QH","RDD")</f>
        <v>0</v>
      </c>
      <c r="O47" s="122">
        <f>+GETPIVOTDATA("XLL4",'langlon (2016)'!$A$3,"MA_HT","DTS","MA_QH","NTS")</f>
        <v>0</v>
      </c>
      <c r="P47" s="122">
        <f>+GETPIVOTDATA("XLL4",'langlon (2016)'!$A$3,"MA_HT","DTS","MA_QH","LMU")</f>
        <v>0</v>
      </c>
      <c r="Q47" s="122">
        <f>+GETPIVOTDATA("XLL4",'langlon (2016)'!$A$3,"MA_HT","DTS","MA_QH","NKH")</f>
        <v>0</v>
      </c>
      <c r="R47" s="123">
        <f>SUM(S47:AA47,AN47:AS47,AU47:BD47)</f>
        <v>0</v>
      </c>
      <c r="S47" s="122">
        <f>+GETPIVOTDATA("XLL4",'langlon (2016)'!$A$3,"MA_HT","DTS","MA_QH","CQP")</f>
        <v>0</v>
      </c>
      <c r="T47" s="122">
        <f>+GETPIVOTDATA("XLL4",'langlon (2016)'!$A$3,"MA_HT","DTS","MA_QH","CAN")</f>
        <v>0</v>
      </c>
      <c r="U47" s="122">
        <f>+GETPIVOTDATA("XLL4",'langlon (2016)'!$A$3,"MA_HT","DTS","MA_QH","SKK")</f>
        <v>0</v>
      </c>
      <c r="V47" s="122">
        <f>+GETPIVOTDATA("XLL4",'langlon (2016)'!$A$3,"MA_HT","DTS","MA_QH","SKT")</f>
        <v>0</v>
      </c>
      <c r="W47" s="122">
        <f>+GETPIVOTDATA("XLL4",'langlon (2016)'!$A$3,"MA_HT","DTS","MA_QH","SKN")</f>
        <v>0</v>
      </c>
      <c r="X47" s="122">
        <f>+GETPIVOTDATA("XLL4",'langlon (2016)'!$A$3,"MA_HT","DTS","MA_QH","TMD")</f>
        <v>0</v>
      </c>
      <c r="Y47" s="122">
        <f>+GETPIVOTDATA("XLL4",'langlon (2016)'!$A$3,"MA_HT","DTS","MA_QH","SKC")</f>
        <v>0</v>
      </c>
      <c r="Z47" s="122">
        <f>+GETPIVOTDATA("XLL4",'langlon (2016)'!$A$3,"MA_HT","DTS","MA_QH","SKS")</f>
        <v>0</v>
      </c>
      <c r="AA47" s="121">
        <f t="shared" si="21"/>
        <v>0</v>
      </c>
      <c r="AB47" s="122">
        <f>+GETPIVOTDATA("XLL4",'langlon (2016)'!$A$3,"MA_HT","DTS","MA_QH","DGT")</f>
        <v>0</v>
      </c>
      <c r="AC47" s="122">
        <f>+GETPIVOTDATA("XLL4",'langlon (2016)'!$A$3,"MA_HT","DTS","MA_QH","DTL")</f>
        <v>0</v>
      </c>
      <c r="AD47" s="122">
        <f>+GETPIVOTDATA("XLL4",'langlon (2016)'!$A$3,"MA_HT","DTS","MA_QH","DNL")</f>
        <v>0</v>
      </c>
      <c r="AE47" s="122">
        <f>+GETPIVOTDATA("XLL4",'langlon (2016)'!$A$3,"MA_HT","DTS","MA_QH","DBV")</f>
        <v>0</v>
      </c>
      <c r="AF47" s="122">
        <f>+GETPIVOTDATA("XLL4",'langlon (2016)'!$A$3,"MA_HT","DTS","MA_QH","DVH")</f>
        <v>0</v>
      </c>
      <c r="AG47" s="122">
        <f>+GETPIVOTDATA("XLL4",'langlon (2016)'!$A$3,"MA_HT","DTS","MA_QH","DYT")</f>
        <v>0</v>
      </c>
      <c r="AH47" s="122">
        <f>+GETPIVOTDATA("XLL4",'langlon (2016)'!$A$3,"MA_HT","DTS","MA_QH","DGD")</f>
        <v>0</v>
      </c>
      <c r="AI47" s="122">
        <f>+GETPIVOTDATA("XLL4",'langlon (2016)'!$A$3,"MA_HT","DTS","MA_QH","DTT")</f>
        <v>0</v>
      </c>
      <c r="AJ47" s="122">
        <f>+GETPIVOTDATA("XLL4",'langlon (2016)'!$A$3,"MA_HT","DTS","MA_QH","NCK")</f>
        <v>0</v>
      </c>
      <c r="AK47" s="122">
        <f>+GETPIVOTDATA("XLL4",'langlon (2016)'!$A$3,"MA_HT","DTS","MA_QH","DXH")</f>
        <v>0</v>
      </c>
      <c r="AL47" s="122">
        <f>+GETPIVOTDATA("XLL4",'langlon (2016)'!$A$3,"MA_HT","DTS","MA_QH","DCH")</f>
        <v>0</v>
      </c>
      <c r="AM47" s="122">
        <f>+GETPIVOTDATA("XLL4",'langlon (2016)'!$A$3,"MA_HT","DTS","MA_QH","DKG")</f>
        <v>0</v>
      </c>
      <c r="AN47" s="122">
        <f>+GETPIVOTDATA("XLL4",'langlon (2016)'!$A$3,"MA_HT","DTS","MA_QH","DDT")</f>
        <v>0</v>
      </c>
      <c r="AO47" s="122">
        <f>+GETPIVOTDATA("XLL4",'langlon (2016)'!$A$3,"MA_HT","DTS","MA_QH","DDL")</f>
        <v>0</v>
      </c>
      <c r="AP47" s="122">
        <f>+GETPIVOTDATA("XLL4",'langlon (2016)'!$A$3,"MA_HT","DTS","MA_QH","DRA")</f>
        <v>0</v>
      </c>
      <c r="AQ47" s="122">
        <f>+GETPIVOTDATA("XLL4",'langlon (2016)'!$A$3,"MA_HT","DTS","MA_QH","ONT")</f>
        <v>0</v>
      </c>
      <c r="AR47" s="122">
        <f>+GETPIVOTDATA("XLL4",'langlon (2016)'!$A$3,"MA_HT","DTS","MA_QH","ODT")</f>
        <v>0</v>
      </c>
      <c r="AS47" s="122">
        <f>+GETPIVOTDATA("XLL4",'langlon (2016)'!$A$3,"MA_HT","DTS","MA_QH","TSC")</f>
        <v>0</v>
      </c>
      <c r="AT47" s="124" t="e">
        <f>$D47-$BF47</f>
        <v>#REF!</v>
      </c>
      <c r="AU47" s="122">
        <f>+GETPIVOTDATA("XLL4",'langlon (2016)'!$A$3,"MA_HT","DTS","MA_QH","DNG")</f>
        <v>0</v>
      </c>
      <c r="AV47" s="122">
        <f>+GETPIVOTDATA("XLL4",'langlon (2016)'!$A$3,"MA_HT","DTS","MA_QH","TON")</f>
        <v>0</v>
      </c>
      <c r="AW47" s="122">
        <f>+GETPIVOTDATA("XLL4",'langlon (2016)'!$A$3,"MA_HT","DTS","MA_QH","NTD")</f>
        <v>0</v>
      </c>
      <c r="AX47" s="122">
        <f>+GETPIVOTDATA("XLL4",'langlon (2016)'!$A$3,"MA_HT","DTS","MA_QH","SKX")</f>
        <v>0</v>
      </c>
      <c r="AY47" s="122">
        <f>+GETPIVOTDATA("XLL4",'langlon (2016)'!$A$3,"MA_HT","DTS","MA_QH","DSH")</f>
        <v>0</v>
      </c>
      <c r="AZ47" s="122">
        <f>+GETPIVOTDATA("XLL4",'langlon (2016)'!$A$3,"MA_HT","DTS","MA_QH","DKV")</f>
        <v>0</v>
      </c>
      <c r="BA47" s="141">
        <f>+GETPIVOTDATA("XLL4",'langlon (2016)'!$A$3,"MA_HT","DTS","MA_QH","TIN")</f>
        <v>0</v>
      </c>
      <c r="BB47" s="125">
        <f>+GETPIVOTDATA("XLL4",'langlon (2016)'!$A$3,"MA_HT","DTS","MA_QH","SON")</f>
        <v>0</v>
      </c>
      <c r="BC47" s="125">
        <f>+GETPIVOTDATA("XLL4",'langlon (2016)'!$A$3,"MA_HT","DTS","MA_QH","MNC")</f>
        <v>0</v>
      </c>
      <c r="BD47" s="122">
        <f>+GETPIVOTDATA("XLL4",'langlon (2016)'!$A$3,"MA_HT","DTS","MA_QH","PNK")</f>
        <v>0</v>
      </c>
      <c r="BE47" s="126">
        <f>+GETPIVOTDATA("XLL4",'langlon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+GETPIVOTDATA("XLL4",'langlon (2016)'!$A$3,"MA_HT","DNG","MA_QH","LUC")</f>
        <v>0</v>
      </c>
      <c r="H48" s="35">
        <f>+GETPIVOTDATA("XLL4",'langlon (2016)'!$A$3,"MA_HT","DNG","MA_QH","LUK")</f>
        <v>0</v>
      </c>
      <c r="I48" s="35">
        <f>+GETPIVOTDATA("XLL4",'langlon (2016)'!$A$3,"MA_HT","DNG","MA_QH","LUN")</f>
        <v>0</v>
      </c>
      <c r="J48" s="35">
        <f>+GETPIVOTDATA("XLL4",'langlon (2016)'!$A$3,"MA_HT","DNG","MA_QH","HNK")</f>
        <v>0</v>
      </c>
      <c r="K48" s="35">
        <f>+GETPIVOTDATA("XLL4",'langlon (2016)'!$A$3,"MA_HT","DNG","MA_QH","CLN")</f>
        <v>0</v>
      </c>
      <c r="L48" s="35">
        <f>+GETPIVOTDATA("XLL4",'langlon (2016)'!$A$3,"MA_HT","DNG","MA_QH","RSX")</f>
        <v>0</v>
      </c>
      <c r="M48" s="35">
        <f>+GETPIVOTDATA("XLL4",'langlon (2016)'!$A$3,"MA_HT","DNG","MA_QH","RPH")</f>
        <v>0</v>
      </c>
      <c r="N48" s="35">
        <f>+GETPIVOTDATA("XLL4",'langlon (2016)'!$A$3,"MA_HT","DNG","MA_QH","RDD")</f>
        <v>0</v>
      </c>
      <c r="O48" s="35">
        <f>+GETPIVOTDATA("XLL4",'langlon (2016)'!$A$3,"MA_HT","DNG","MA_QH","NTS")</f>
        <v>0</v>
      </c>
      <c r="P48" s="35">
        <f>+GETPIVOTDATA("XLL4",'langlon (2016)'!$A$3,"MA_HT","DNG","MA_QH","LMU")</f>
        <v>0</v>
      </c>
      <c r="Q48" s="35">
        <f>+GETPIVOTDATA("XLL4",'langlon (2016)'!$A$3,"MA_HT","DNG","MA_QH","NKH")</f>
        <v>0</v>
      </c>
      <c r="R48" s="106">
        <f>SUM(S48:AA48,AN48:AT48,AV48:BD48)</f>
        <v>0</v>
      </c>
      <c r="S48" s="35">
        <f>+GETPIVOTDATA("XLL4",'langlon (2016)'!$A$3,"MA_HT","DNG","MA_QH","CQP")</f>
        <v>0</v>
      </c>
      <c r="T48" s="35">
        <f>+GETPIVOTDATA("XLL4",'langlon (2016)'!$A$3,"MA_HT","DNG","MA_QH","CAN")</f>
        <v>0</v>
      </c>
      <c r="U48" s="35">
        <f>+GETPIVOTDATA("XLL4",'langlon (2016)'!$A$3,"MA_HT","DNG","MA_QH","SKK")</f>
        <v>0</v>
      </c>
      <c r="V48" s="35">
        <f>+GETPIVOTDATA("XLL4",'langlon (2016)'!$A$3,"MA_HT","DNG","MA_QH","SKT")</f>
        <v>0</v>
      </c>
      <c r="W48" s="35">
        <f>+GETPIVOTDATA("XLL4",'langlon (2016)'!$A$3,"MA_HT","DNG","MA_QH","SKN")</f>
        <v>0</v>
      </c>
      <c r="X48" s="35">
        <f>+GETPIVOTDATA("XLL4",'langlon (2016)'!$A$3,"MA_HT","DNG","MA_QH","TMD")</f>
        <v>0</v>
      </c>
      <c r="Y48" s="35">
        <f>+GETPIVOTDATA("XLL4",'langlon (2016)'!$A$3,"MA_HT","DNG","MA_QH","SKC")</f>
        <v>0</v>
      </c>
      <c r="Z48" s="35">
        <f>+GETPIVOTDATA("XLL4",'langlon (2016)'!$A$3,"MA_HT","DNG","MA_QH","SKS")</f>
        <v>0</v>
      </c>
      <c r="AA48" s="64">
        <f t="shared" si="21"/>
        <v>0</v>
      </c>
      <c r="AB48" s="35">
        <f>+GETPIVOTDATA("XLL4",'langlon (2016)'!$A$3,"MA_HT","DNG","MA_QH","DGT")</f>
        <v>0</v>
      </c>
      <c r="AC48" s="35">
        <f>+GETPIVOTDATA("XLL4",'langlon (2016)'!$A$3,"MA_HT","DNG","MA_QH","DTL")</f>
        <v>0</v>
      </c>
      <c r="AD48" s="35">
        <f>+GETPIVOTDATA("XLL4",'langlon (2016)'!$A$3,"MA_HT","DNG","MA_QH","DNL")</f>
        <v>0</v>
      </c>
      <c r="AE48" s="35">
        <f>+GETPIVOTDATA("XLL4",'langlon (2016)'!$A$3,"MA_HT","DNG","MA_QH","DBV")</f>
        <v>0</v>
      </c>
      <c r="AF48" s="35">
        <f>+GETPIVOTDATA("XLL4",'langlon (2016)'!$A$3,"MA_HT","DNG","MA_QH","DVH")</f>
        <v>0</v>
      </c>
      <c r="AG48" s="35">
        <f>+GETPIVOTDATA("XLL4",'langlon (2016)'!$A$3,"MA_HT","DNG","MA_QH","DYT")</f>
        <v>0</v>
      </c>
      <c r="AH48" s="35">
        <f>+GETPIVOTDATA("XLL4",'langlon (2016)'!$A$3,"MA_HT","DNG","MA_QH","DGD")</f>
        <v>0</v>
      </c>
      <c r="AI48" s="35">
        <f>+GETPIVOTDATA("XLL4",'langlon (2016)'!$A$3,"MA_HT","DNG","MA_QH","DTT")</f>
        <v>0</v>
      </c>
      <c r="AJ48" s="35">
        <f>+GETPIVOTDATA("XLL4",'langlon (2016)'!$A$3,"MA_HT","DNG","MA_QH","NCK")</f>
        <v>0</v>
      </c>
      <c r="AK48" s="35">
        <f>+GETPIVOTDATA("XLL4",'langlon (2016)'!$A$3,"MA_HT","DNG","MA_QH","DXH")</f>
        <v>0</v>
      </c>
      <c r="AL48" s="35">
        <f>+GETPIVOTDATA("XLL4",'langlon (2016)'!$A$3,"MA_HT","DNG","MA_QH","DCH")</f>
        <v>0</v>
      </c>
      <c r="AM48" s="35">
        <f>+GETPIVOTDATA("XLL4",'langlon (2016)'!$A$3,"MA_HT","DNG","MA_QH","DKG")</f>
        <v>0</v>
      </c>
      <c r="AN48" s="35">
        <f>+GETPIVOTDATA("XLL4",'langlon (2016)'!$A$3,"MA_HT","DNG","MA_QH","DDT")</f>
        <v>0</v>
      </c>
      <c r="AO48" s="35">
        <f>+GETPIVOTDATA("XLL4",'langlon (2016)'!$A$3,"MA_HT","DNG","MA_QH","DDL")</f>
        <v>0</v>
      </c>
      <c r="AP48" s="35">
        <f>+GETPIVOTDATA("XLL4",'langlon (2016)'!$A$3,"MA_HT","DNG","MA_QH","DRA")</f>
        <v>0</v>
      </c>
      <c r="AQ48" s="35">
        <f>+GETPIVOTDATA("XLL4",'langlon (2016)'!$A$3,"MA_HT","DNG","MA_QH","ONT")</f>
        <v>0</v>
      </c>
      <c r="AR48" s="35">
        <f>+GETPIVOTDATA("XLL4",'langlon (2016)'!$A$3,"MA_HT","DNG","MA_QH","ODT")</f>
        <v>0</v>
      </c>
      <c r="AS48" s="35">
        <f>+GETPIVOTDATA("XLL4",'langlon (2016)'!$A$3,"MA_HT","DNG","MA_QH","TSC")</f>
        <v>0</v>
      </c>
      <c r="AT48" s="35">
        <f>+GETPIVOTDATA("XLL4",'langlon (2016)'!$A$3,"MA_HT","DNG","MA_QH","DTS")</f>
        <v>0</v>
      </c>
      <c r="AU48" s="99" t="e">
        <f>$D48-$BF48</f>
        <v>#REF!</v>
      </c>
      <c r="AV48" s="35">
        <f>+GETPIVOTDATA("XLL4",'langlon (2016)'!$A$3,"MA_HT","DNG","MA_QH","TON")</f>
        <v>0</v>
      </c>
      <c r="AW48" s="35">
        <f>+GETPIVOTDATA("XLL4",'langlon (2016)'!$A$3,"MA_HT","DNG","MA_QH","NTD")</f>
        <v>0</v>
      </c>
      <c r="AX48" s="35">
        <f>+GETPIVOTDATA("XLL4",'langlon (2016)'!$A$3,"MA_HT","DNG","MA_QH","SKX")</f>
        <v>0</v>
      </c>
      <c r="AY48" s="35">
        <f>+GETPIVOTDATA("XLL4",'langlon (2016)'!$A$3,"MA_HT","DNG","MA_QH","DSH")</f>
        <v>0</v>
      </c>
      <c r="AZ48" s="35">
        <f>+GETPIVOTDATA("XLL4",'langlon (2016)'!$A$3,"MA_HT","DNG","MA_QH","DKV")</f>
        <v>0</v>
      </c>
      <c r="BA48" s="140">
        <f>+GETPIVOTDATA("XLL4",'langlon (2016)'!$A$3,"MA_HT","DNG","MA_QH","TIN")</f>
        <v>0</v>
      </c>
      <c r="BB48" s="74">
        <f>+GETPIVOTDATA("XLL4",'langlon (2016)'!$A$3,"MA_HT","DNG","MA_QH","SON")</f>
        <v>0</v>
      </c>
      <c r="BC48" s="74">
        <f>+GETPIVOTDATA("XLL4",'langlon (2016)'!$A$3,"MA_HT","DNG","MA_QH","MNC")</f>
        <v>0</v>
      </c>
      <c r="BD48" s="35">
        <f>+GETPIVOTDATA("XLL4",'langlon (2016)'!$A$3,"MA_HT","DNG","MA_QH","PNK")</f>
        <v>0</v>
      </c>
      <c r="BE48" s="58">
        <f>+GETPIVOTDATA("XLL4",'langlon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+GETPIVOTDATA("XLL4",'langlon (2016)'!$A$3,"MA_HT","TON","MA_QH","LUC")</f>
        <v>0</v>
      </c>
      <c r="H49" s="35">
        <f>+GETPIVOTDATA("XLL4",'langlon (2016)'!$A$3,"MA_HT","TON","MA_QH","LUK")</f>
        <v>0</v>
      </c>
      <c r="I49" s="35">
        <f>+GETPIVOTDATA("XLL4",'langlon (2016)'!$A$3,"MA_HT","TON","MA_QH","LUN")</f>
        <v>0</v>
      </c>
      <c r="J49" s="35">
        <f>+GETPIVOTDATA("XLL4",'langlon (2016)'!$A$3,"MA_HT","TON","MA_QH","HNK")</f>
        <v>0</v>
      </c>
      <c r="K49" s="35">
        <f>+GETPIVOTDATA("XLL4",'langlon (2016)'!$A$3,"MA_HT","TON","MA_QH","CLN")</f>
        <v>0</v>
      </c>
      <c r="L49" s="35">
        <f>+GETPIVOTDATA("XLL4",'langlon (2016)'!$A$3,"MA_HT","TON","MA_QH","RSX")</f>
        <v>0</v>
      </c>
      <c r="M49" s="35">
        <f>+GETPIVOTDATA("XLL4",'langlon (2016)'!$A$3,"MA_HT","TON","MA_QH","RPH")</f>
        <v>0</v>
      </c>
      <c r="N49" s="35">
        <f>+GETPIVOTDATA("XLL4",'langlon (2016)'!$A$3,"MA_HT","TON","MA_QH","RDD")</f>
        <v>0</v>
      </c>
      <c r="O49" s="35">
        <f>+GETPIVOTDATA("XLL4",'langlon (2016)'!$A$3,"MA_HT","TON","MA_QH","NTS")</f>
        <v>0</v>
      </c>
      <c r="P49" s="35">
        <f>+GETPIVOTDATA("XLL4",'langlon (2016)'!$A$3,"MA_HT","TON","MA_QH","LMU")</f>
        <v>0</v>
      </c>
      <c r="Q49" s="35">
        <f>+GETPIVOTDATA("XLL4",'langlon (2016)'!$A$3,"MA_HT","TON","MA_QH","NKH")</f>
        <v>0</v>
      </c>
      <c r="R49" s="106">
        <f>SUM(S49:AA49,AN49:AU49,AW49:BD49)</f>
        <v>0</v>
      </c>
      <c r="S49" s="35">
        <f>+GETPIVOTDATA("XLL4",'langlon (2016)'!$A$3,"MA_HT","TON","MA_QH","CQP")</f>
        <v>0</v>
      </c>
      <c r="T49" s="35">
        <f>+GETPIVOTDATA("XLL4",'langlon (2016)'!$A$3,"MA_HT","TON","MA_QH","CAN")</f>
        <v>0</v>
      </c>
      <c r="U49" s="35">
        <f>+GETPIVOTDATA("XLL4",'langlon (2016)'!$A$3,"MA_HT","TON","MA_QH","SKK")</f>
        <v>0</v>
      </c>
      <c r="V49" s="35">
        <f>+GETPIVOTDATA("XLL4",'langlon (2016)'!$A$3,"MA_HT","TON","MA_QH","SKT")</f>
        <v>0</v>
      </c>
      <c r="W49" s="35">
        <f>+GETPIVOTDATA("XLL4",'langlon (2016)'!$A$3,"MA_HT","TON","MA_QH","SKN")</f>
        <v>0</v>
      </c>
      <c r="X49" s="35">
        <f>+GETPIVOTDATA("XLL4",'langlon (2016)'!$A$3,"MA_HT","TON","MA_QH","TMD")</f>
        <v>0</v>
      </c>
      <c r="Y49" s="35">
        <f>+GETPIVOTDATA("XLL4",'langlon (2016)'!$A$3,"MA_HT","TON","MA_QH","SKC")</f>
        <v>0</v>
      </c>
      <c r="Z49" s="35">
        <f>+GETPIVOTDATA("XLL4",'langlon (2016)'!$A$3,"MA_HT","TON","MA_QH","SKS")</f>
        <v>0</v>
      </c>
      <c r="AA49" s="64">
        <f t="shared" si="21"/>
        <v>0</v>
      </c>
      <c r="AB49" s="35">
        <f>+GETPIVOTDATA("XLL4",'langlon (2016)'!$A$3,"MA_HT","TON","MA_QH","DGT")</f>
        <v>0</v>
      </c>
      <c r="AC49" s="35">
        <f>+GETPIVOTDATA("XLL4",'langlon (2016)'!$A$3,"MA_HT","TON","MA_QH","DTL")</f>
        <v>0</v>
      </c>
      <c r="AD49" s="35">
        <f>+GETPIVOTDATA("XLL4",'langlon (2016)'!$A$3,"MA_HT","TON","MA_QH","DNL")</f>
        <v>0</v>
      </c>
      <c r="AE49" s="35">
        <f>+GETPIVOTDATA("XLL4",'langlon (2016)'!$A$3,"MA_HT","TON","MA_QH","DBV")</f>
        <v>0</v>
      </c>
      <c r="AF49" s="35">
        <f>+GETPIVOTDATA("XLL4",'langlon (2016)'!$A$3,"MA_HT","TON","MA_QH","DVH")</f>
        <v>0</v>
      </c>
      <c r="AG49" s="35">
        <f>+GETPIVOTDATA("XLL4",'langlon (2016)'!$A$3,"MA_HT","TON","MA_QH","DYT")</f>
        <v>0</v>
      </c>
      <c r="AH49" s="35">
        <f>+GETPIVOTDATA("XLL4",'langlon (2016)'!$A$3,"MA_HT","TON","MA_QH","DGD")</f>
        <v>0</v>
      </c>
      <c r="AI49" s="35">
        <f>+GETPIVOTDATA("XLL4",'langlon (2016)'!$A$3,"MA_HT","TON","MA_QH","DTT")</f>
        <v>0</v>
      </c>
      <c r="AJ49" s="35">
        <f>+GETPIVOTDATA("XLL4",'langlon (2016)'!$A$3,"MA_HT","TON","MA_QH","NCK")</f>
        <v>0</v>
      </c>
      <c r="AK49" s="35">
        <f>+GETPIVOTDATA("XLL4",'langlon (2016)'!$A$3,"MA_HT","TON","MA_QH","DXH")</f>
        <v>0</v>
      </c>
      <c r="AL49" s="35">
        <f>+GETPIVOTDATA("XLL4",'langlon (2016)'!$A$3,"MA_HT","TON","MA_QH","DCH")</f>
        <v>0</v>
      </c>
      <c r="AM49" s="35">
        <f>+GETPIVOTDATA("XLL4",'langlon (2016)'!$A$3,"MA_HT","TON","MA_QH","DKG")</f>
        <v>0</v>
      </c>
      <c r="AN49" s="35">
        <f>+GETPIVOTDATA("XLL4",'langlon (2016)'!$A$3,"MA_HT","TON","MA_QH","DDT")</f>
        <v>0</v>
      </c>
      <c r="AO49" s="35">
        <f>+GETPIVOTDATA("XLL4",'langlon (2016)'!$A$3,"MA_HT","TON","MA_QH","DDL")</f>
        <v>0</v>
      </c>
      <c r="AP49" s="35">
        <f>+GETPIVOTDATA("XLL4",'langlon (2016)'!$A$3,"MA_HT","TON","MA_QH","DRA")</f>
        <v>0</v>
      </c>
      <c r="AQ49" s="35">
        <f>+GETPIVOTDATA("XLL4",'langlon (2016)'!$A$3,"MA_HT","TON","MA_QH","ONT")</f>
        <v>0</v>
      </c>
      <c r="AR49" s="35">
        <f>+GETPIVOTDATA("XLL4",'langlon (2016)'!$A$3,"MA_HT","TON","MA_QH","ODT")</f>
        <v>0</v>
      </c>
      <c r="AS49" s="35">
        <f>+GETPIVOTDATA("XLL4",'langlon (2016)'!$A$3,"MA_HT","TON","MA_QH","TSC")</f>
        <v>0</v>
      </c>
      <c r="AT49" s="35">
        <f>+GETPIVOTDATA("XLL4",'langlon (2016)'!$A$3,"MA_HT","TON","MA_QH","DTS")</f>
        <v>0</v>
      </c>
      <c r="AU49" s="35">
        <f>+GETPIVOTDATA("XLL4",'langlon (2016)'!$A$3,"MA_HT","TON","MA_QH","DNG")</f>
        <v>0</v>
      </c>
      <c r="AV49" s="99" t="e">
        <f>$D49-$BF49</f>
        <v>#REF!</v>
      </c>
      <c r="AW49" s="35">
        <f>+GETPIVOTDATA("XLL4",'langlon (2016)'!$A$3,"MA_HT","TON","MA_QH","NTD")</f>
        <v>0</v>
      </c>
      <c r="AX49" s="35">
        <f>+GETPIVOTDATA("XLL4",'langlon (2016)'!$A$3,"MA_HT","TON","MA_QH","SKX")</f>
        <v>0</v>
      </c>
      <c r="AY49" s="35">
        <f>+GETPIVOTDATA("XLL4",'langlon (2016)'!$A$3,"MA_HT","TON","MA_QH","DSH")</f>
        <v>0</v>
      </c>
      <c r="AZ49" s="35">
        <f>+GETPIVOTDATA("XLL4",'langlon (2016)'!$A$3,"MA_HT","TON","MA_QH","DKV")</f>
        <v>0</v>
      </c>
      <c r="BA49" s="140">
        <f>+GETPIVOTDATA("XLL4",'langlon (2016)'!$A$3,"MA_HT","TON","MA_QH","TIN")</f>
        <v>0</v>
      </c>
      <c r="BB49" s="74">
        <f>+GETPIVOTDATA("XLL4",'langlon (2016)'!$A$3,"MA_HT","TON","MA_QH","SON")</f>
        <v>0</v>
      </c>
      <c r="BC49" s="74">
        <f>+GETPIVOTDATA("XLL4",'langlon (2016)'!$A$3,"MA_HT","TON","MA_QH","MNC")</f>
        <v>0</v>
      </c>
      <c r="BD49" s="35">
        <f>+GETPIVOTDATA("XLL4",'langlon (2016)'!$A$3,"MA_HT","TON","MA_QH","PNK")</f>
        <v>0</v>
      </c>
      <c r="BE49" s="58">
        <f>+GETPIVOTDATA("XLL4",'langlon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+GETPIVOTDATA("XLL4",'langlon (2016)'!$A$3,"MA_HT","NTD","MA_QH","LUC")</f>
        <v>0</v>
      </c>
      <c r="H50" s="35">
        <f>+GETPIVOTDATA("XLL4",'langlon (2016)'!$A$3,"MA_HT","NTD","MA_QH","LUK")</f>
        <v>0</v>
      </c>
      <c r="I50" s="35">
        <f>+GETPIVOTDATA("XLL4",'langlon (2016)'!$A$3,"MA_HT","NTD","MA_QH","LUN")</f>
        <v>0</v>
      </c>
      <c r="J50" s="35">
        <f>+GETPIVOTDATA("XLL4",'langlon (2016)'!$A$3,"MA_HT","NTD","MA_QH","HNK")</f>
        <v>0</v>
      </c>
      <c r="K50" s="35">
        <f>+GETPIVOTDATA("XLL4",'langlon (2016)'!$A$3,"MA_HT","NTD","MA_QH","CLN")</f>
        <v>0</v>
      </c>
      <c r="L50" s="35">
        <f>+GETPIVOTDATA("XLL4",'langlon (2016)'!$A$3,"MA_HT","NTD","MA_QH","RSX")</f>
        <v>0</v>
      </c>
      <c r="M50" s="35">
        <f>+GETPIVOTDATA("XLL4",'langlon (2016)'!$A$3,"MA_HT","NTD","MA_QH","RPH")</f>
        <v>0</v>
      </c>
      <c r="N50" s="35">
        <f>+GETPIVOTDATA("XLL4",'langlon (2016)'!$A$3,"MA_HT","NTD","MA_QH","RDD")</f>
        <v>0</v>
      </c>
      <c r="O50" s="35">
        <f>+GETPIVOTDATA("XLL4",'langlon (2016)'!$A$3,"MA_HT","NTD","MA_QH","NTS")</f>
        <v>0</v>
      </c>
      <c r="P50" s="35">
        <f>+GETPIVOTDATA("XLL4",'langlon (2016)'!$A$3,"MA_HT","NTD","MA_QH","LMU")</f>
        <v>0</v>
      </c>
      <c r="Q50" s="35">
        <f>+GETPIVOTDATA("XLL4",'langlon (2016)'!$A$3,"MA_HT","NTD","MA_QH","NKH")</f>
        <v>0</v>
      </c>
      <c r="R50" s="106">
        <f>SUM(S50:AA50,AN50:AV50,AX50:BD50)</f>
        <v>0</v>
      </c>
      <c r="S50" s="35">
        <f>+GETPIVOTDATA("XLL4",'langlon (2016)'!$A$3,"MA_HT","NTD","MA_QH","CQP")</f>
        <v>0</v>
      </c>
      <c r="T50" s="35">
        <f>+GETPIVOTDATA("XLL4",'langlon (2016)'!$A$3,"MA_HT","NTD","MA_QH","CAN")</f>
        <v>0</v>
      </c>
      <c r="U50" s="35">
        <f>+GETPIVOTDATA("XLL4",'langlon (2016)'!$A$3,"MA_HT","NTD","MA_QH","SKK")</f>
        <v>0</v>
      </c>
      <c r="V50" s="35">
        <f>+GETPIVOTDATA("XLL4",'langlon (2016)'!$A$3,"MA_HT","NTD","MA_QH","SKT")</f>
        <v>0</v>
      </c>
      <c r="W50" s="35">
        <f>+GETPIVOTDATA("XLL4",'langlon (2016)'!$A$3,"MA_HT","NTD","MA_QH","SKN")</f>
        <v>0</v>
      </c>
      <c r="X50" s="35">
        <f>+GETPIVOTDATA("XLL4",'langlon (2016)'!$A$3,"MA_HT","NTD","MA_QH","TMD")</f>
        <v>0</v>
      </c>
      <c r="Y50" s="35">
        <f>+GETPIVOTDATA("XLL4",'langlon (2016)'!$A$3,"MA_HT","NTD","MA_QH","SKC")</f>
        <v>0</v>
      </c>
      <c r="Z50" s="35">
        <f>+GETPIVOTDATA("XLL4",'langlon (2016)'!$A$3,"MA_HT","NTD","MA_QH","SKS")</f>
        <v>0</v>
      </c>
      <c r="AA50" s="64">
        <f t="shared" si="21"/>
        <v>0</v>
      </c>
      <c r="AB50" s="35">
        <f>+GETPIVOTDATA("XLL4",'langlon (2016)'!$A$3,"MA_HT","NTD","MA_QH","DGT")</f>
        <v>0</v>
      </c>
      <c r="AC50" s="35">
        <f>+GETPIVOTDATA("XLL4",'langlon (2016)'!$A$3,"MA_HT","NTD","MA_QH","DTL")</f>
        <v>0</v>
      </c>
      <c r="AD50" s="35">
        <f>+GETPIVOTDATA("XLL4",'langlon (2016)'!$A$3,"MA_HT","NTD","MA_QH","DNL")</f>
        <v>0</v>
      </c>
      <c r="AE50" s="35">
        <f>+GETPIVOTDATA("XLL4",'langlon (2016)'!$A$3,"MA_HT","NTD","MA_QH","DBV")</f>
        <v>0</v>
      </c>
      <c r="AF50" s="35">
        <f>+GETPIVOTDATA("XLL4",'langlon (2016)'!$A$3,"MA_HT","NTD","MA_QH","DVH")</f>
        <v>0</v>
      </c>
      <c r="AG50" s="35">
        <f>+GETPIVOTDATA("XLL4",'langlon (2016)'!$A$3,"MA_HT","NTD","MA_QH","DYT")</f>
        <v>0</v>
      </c>
      <c r="AH50" s="35">
        <f>+GETPIVOTDATA("XLL4",'langlon (2016)'!$A$3,"MA_HT","NTD","MA_QH","DGD")</f>
        <v>0</v>
      </c>
      <c r="AI50" s="35">
        <f>+GETPIVOTDATA("XLL4",'langlon (2016)'!$A$3,"MA_HT","NTD","MA_QH","DTT")</f>
        <v>0</v>
      </c>
      <c r="AJ50" s="35">
        <f>+GETPIVOTDATA("XLL4",'langlon (2016)'!$A$3,"MA_HT","NTD","MA_QH","NCK")</f>
        <v>0</v>
      </c>
      <c r="AK50" s="35">
        <f>+GETPIVOTDATA("XLL4",'langlon (2016)'!$A$3,"MA_HT","NTD","MA_QH","DXH")</f>
        <v>0</v>
      </c>
      <c r="AL50" s="35">
        <f>+GETPIVOTDATA("XLL4",'langlon (2016)'!$A$3,"MA_HT","NTD","MA_QH","DCH")</f>
        <v>0</v>
      </c>
      <c r="AM50" s="35">
        <f>+GETPIVOTDATA("XLL4",'langlon (2016)'!$A$3,"MA_HT","NTD","MA_QH","DKG")</f>
        <v>0</v>
      </c>
      <c r="AN50" s="35">
        <f>+GETPIVOTDATA("XLL4",'langlon (2016)'!$A$3,"MA_HT","NTD","MA_QH","DDT")</f>
        <v>0</v>
      </c>
      <c r="AO50" s="35">
        <f>+GETPIVOTDATA("XLL4",'langlon (2016)'!$A$3,"MA_HT","NTD","MA_QH","DDL")</f>
        <v>0</v>
      </c>
      <c r="AP50" s="35">
        <f>+GETPIVOTDATA("XLL4",'langlon (2016)'!$A$3,"MA_HT","NTD","MA_QH","DRA")</f>
        <v>0</v>
      </c>
      <c r="AQ50" s="35">
        <f>+GETPIVOTDATA("XLL4",'langlon (2016)'!$A$3,"MA_HT","NTD","MA_QH","ONT")</f>
        <v>0</v>
      </c>
      <c r="AR50" s="35">
        <f>+GETPIVOTDATA("XLL4",'langlon (2016)'!$A$3,"MA_HT","NTD","MA_QH","ODT")</f>
        <v>0</v>
      </c>
      <c r="AS50" s="35">
        <f>+GETPIVOTDATA("XLL4",'langlon (2016)'!$A$3,"MA_HT","NTD","MA_QH","TSC")</f>
        <v>0</v>
      </c>
      <c r="AT50" s="35">
        <f>+GETPIVOTDATA("XLL4",'langlon (2016)'!$A$3,"MA_HT","NTD","MA_QH","DTS")</f>
        <v>0</v>
      </c>
      <c r="AU50" s="35">
        <f>+GETPIVOTDATA("XLL4",'langlon (2016)'!$A$3,"MA_HT","NTD","MA_QH","DNG")</f>
        <v>0</v>
      </c>
      <c r="AV50" s="35">
        <f>+GETPIVOTDATA("XLL4",'langlon (2016)'!$A$3,"MA_HT","NTD","MA_QH","TON")</f>
        <v>0</v>
      </c>
      <c r="AW50" s="99" t="e">
        <f>$D50-$BF50</f>
        <v>#REF!</v>
      </c>
      <c r="AX50" s="35">
        <f>+GETPIVOTDATA("XLL4",'langlon (2016)'!$A$3,"MA_HT","NTD","MA_QH","SKX")</f>
        <v>0</v>
      </c>
      <c r="AY50" s="35">
        <f>+GETPIVOTDATA("XLL4",'langlon (2016)'!$A$3,"MA_HT","NTD","MA_QH","DSH")</f>
        <v>0</v>
      </c>
      <c r="AZ50" s="35">
        <f>+GETPIVOTDATA("XLL4",'langlon (2016)'!$A$3,"MA_HT","NTD","MA_QH","DKV")</f>
        <v>0</v>
      </c>
      <c r="BA50" s="140">
        <f>+GETPIVOTDATA("XLL4",'langlon (2016)'!$A$3,"MA_HT","NTD","MA_QH","TIN")</f>
        <v>0</v>
      </c>
      <c r="BB50" s="74">
        <f>+GETPIVOTDATA("XLL4",'langlon (2016)'!$A$3,"MA_HT","NTD","MA_QH","SON")</f>
        <v>0</v>
      </c>
      <c r="BC50" s="74">
        <f>+GETPIVOTDATA("XLL4",'langlon (2016)'!$A$3,"MA_HT","NTD","MA_QH","MNC")</f>
        <v>0</v>
      </c>
      <c r="BD50" s="35">
        <f>+GETPIVOTDATA("XLL4",'langlon (2016)'!$A$3,"MA_HT","NTD","MA_QH","PNK")</f>
        <v>0</v>
      </c>
      <c r="BE50" s="58">
        <f>+GETPIVOTDATA("XLL4",'langlon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+GETPIVOTDATA("XLL4",'langlon (2016)'!$A$3,"MA_HT","SKX","MA_QH","LUC")</f>
        <v>0</v>
      </c>
      <c r="H51" s="35">
        <f>+GETPIVOTDATA("XLL4",'langlon (2016)'!$A$3,"MA_HT","SKX","MA_QH","LUK")</f>
        <v>0</v>
      </c>
      <c r="I51" s="35">
        <f>+GETPIVOTDATA("XLL4",'langlon (2016)'!$A$3,"MA_HT","SKX","MA_QH","LUN")</f>
        <v>0</v>
      </c>
      <c r="J51" s="35">
        <f>+GETPIVOTDATA("XLL4",'langlon (2016)'!$A$3,"MA_HT","SKX","MA_QH","HNK")</f>
        <v>0</v>
      </c>
      <c r="K51" s="35">
        <f>+GETPIVOTDATA("XLL4",'langlon (2016)'!$A$3,"MA_HT","SKX","MA_QH","CLN")</f>
        <v>0</v>
      </c>
      <c r="L51" s="35">
        <f>+GETPIVOTDATA("XLL4",'langlon (2016)'!$A$3,"MA_HT","SKX","MA_QH","RSX")</f>
        <v>0</v>
      </c>
      <c r="M51" s="35">
        <f>+GETPIVOTDATA("XLL4",'langlon (2016)'!$A$3,"MA_HT","SKX","MA_QH","RPH")</f>
        <v>0</v>
      </c>
      <c r="N51" s="35">
        <f>+GETPIVOTDATA("XLL4",'langlon (2016)'!$A$3,"MA_HT","SKX","MA_QH","RDD")</f>
        <v>0</v>
      </c>
      <c r="O51" s="35">
        <f>+GETPIVOTDATA("XLL4",'langlon (2016)'!$A$3,"MA_HT","SKX","MA_QH","NTS")</f>
        <v>0</v>
      </c>
      <c r="P51" s="35">
        <f>+GETPIVOTDATA("XLL4",'langlon (2016)'!$A$3,"MA_HT","SKX","MA_QH","LMU")</f>
        <v>0</v>
      </c>
      <c r="Q51" s="35">
        <f>+GETPIVOTDATA("XLL4",'langlon (2016)'!$A$3,"MA_HT","SKX","MA_QH","NKH")</f>
        <v>0</v>
      </c>
      <c r="R51" s="106">
        <f>SUM(S51:AA51,AN51:AW51,AY51:BD51)</f>
        <v>0</v>
      </c>
      <c r="S51" s="35">
        <f>+GETPIVOTDATA("XLL4",'langlon (2016)'!$A$3,"MA_HT","SKX","MA_QH","CQP")</f>
        <v>0</v>
      </c>
      <c r="T51" s="35">
        <f>+GETPIVOTDATA("XLL4",'langlon (2016)'!$A$3,"MA_HT","SKX","MA_QH","CAN")</f>
        <v>0</v>
      </c>
      <c r="U51" s="35">
        <f>+GETPIVOTDATA("XLL4",'langlon (2016)'!$A$3,"MA_HT","SKX","MA_QH","SKK")</f>
        <v>0</v>
      </c>
      <c r="V51" s="35">
        <f>+GETPIVOTDATA("XLL4",'langlon (2016)'!$A$3,"MA_HT","SKX","MA_QH","SKT")</f>
        <v>0</v>
      </c>
      <c r="W51" s="35">
        <f>+GETPIVOTDATA("XLL4",'langlon (2016)'!$A$3,"MA_HT","SKX","MA_QH","SKN")</f>
        <v>0</v>
      </c>
      <c r="X51" s="35">
        <f>+GETPIVOTDATA("XLL4",'langlon (2016)'!$A$3,"MA_HT","SKX","MA_QH","TMD")</f>
        <v>0</v>
      </c>
      <c r="Y51" s="35">
        <f>+GETPIVOTDATA("XLL4",'langlon (2016)'!$A$3,"MA_HT","SKX","MA_QH","SKC")</f>
        <v>0</v>
      </c>
      <c r="Z51" s="35">
        <f>+GETPIVOTDATA("XLL4",'langlon (2016)'!$A$3,"MA_HT","SKX","MA_QH","SKS")</f>
        <v>0</v>
      </c>
      <c r="AA51" s="64">
        <f t="shared" si="21"/>
        <v>0</v>
      </c>
      <c r="AB51" s="35">
        <f>+GETPIVOTDATA("XLL4",'langlon (2016)'!$A$3,"MA_HT","SKX","MA_QH","DGT")</f>
        <v>0</v>
      </c>
      <c r="AC51" s="35">
        <f>+GETPIVOTDATA("XLL4",'langlon (2016)'!$A$3,"MA_HT","SKX","MA_QH","DTL")</f>
        <v>0</v>
      </c>
      <c r="AD51" s="35">
        <f>+GETPIVOTDATA("XLL4",'langlon (2016)'!$A$3,"MA_HT","SKX","MA_QH","DNL")</f>
        <v>0</v>
      </c>
      <c r="AE51" s="35">
        <f>+GETPIVOTDATA("XLL4",'langlon (2016)'!$A$3,"MA_HT","SKX","MA_QH","DBV")</f>
        <v>0</v>
      </c>
      <c r="AF51" s="35">
        <f>+GETPIVOTDATA("XLL4",'langlon (2016)'!$A$3,"MA_HT","SKX","MA_QH","DVH")</f>
        <v>0</v>
      </c>
      <c r="AG51" s="35">
        <f>+GETPIVOTDATA("XLL4",'langlon (2016)'!$A$3,"MA_HT","SKX","MA_QH","DYT")</f>
        <v>0</v>
      </c>
      <c r="AH51" s="35">
        <f>+GETPIVOTDATA("XLL4",'langlon (2016)'!$A$3,"MA_HT","SKX","MA_QH","DGD")</f>
        <v>0</v>
      </c>
      <c r="AI51" s="35">
        <f>+GETPIVOTDATA("XLL4",'langlon (2016)'!$A$3,"MA_HT","SKX","MA_QH","DTT")</f>
        <v>0</v>
      </c>
      <c r="AJ51" s="35">
        <f>+GETPIVOTDATA("XLL4",'langlon (2016)'!$A$3,"MA_HT","SKX","MA_QH","NCK")</f>
        <v>0</v>
      </c>
      <c r="AK51" s="35">
        <f>+GETPIVOTDATA("XLL4",'langlon (2016)'!$A$3,"MA_HT","SKX","MA_QH","DXH")</f>
        <v>0</v>
      </c>
      <c r="AL51" s="35">
        <f>+GETPIVOTDATA("XLL4",'langlon (2016)'!$A$3,"MA_HT","SKX","MA_QH","DCH")</f>
        <v>0</v>
      </c>
      <c r="AM51" s="35">
        <f>+GETPIVOTDATA("XLL4",'langlon (2016)'!$A$3,"MA_HT","SKX","MA_QH","DKG")</f>
        <v>0</v>
      </c>
      <c r="AN51" s="35">
        <f>+GETPIVOTDATA("XLL4",'langlon (2016)'!$A$3,"MA_HT","SKX","MA_QH","DDT")</f>
        <v>0</v>
      </c>
      <c r="AO51" s="35">
        <f>+GETPIVOTDATA("XLL4",'langlon (2016)'!$A$3,"MA_HT","SKX","MA_QH","DDL")</f>
        <v>0</v>
      </c>
      <c r="AP51" s="35">
        <f>+GETPIVOTDATA("XLL4",'langlon (2016)'!$A$3,"MA_HT","SKX","MA_QH","DRA")</f>
        <v>0</v>
      </c>
      <c r="AQ51" s="35">
        <f>+GETPIVOTDATA("XLL4",'langlon (2016)'!$A$3,"MA_HT","SKX","MA_QH","ONT")</f>
        <v>0</v>
      </c>
      <c r="AR51" s="35">
        <f>+GETPIVOTDATA("XLL4",'langlon (2016)'!$A$3,"MA_HT","SKX","MA_QH","ODT")</f>
        <v>0</v>
      </c>
      <c r="AS51" s="35">
        <f>+GETPIVOTDATA("XLL4",'langlon (2016)'!$A$3,"MA_HT","SKX","MA_QH","TSC")</f>
        <v>0</v>
      </c>
      <c r="AT51" s="35">
        <f>+GETPIVOTDATA("XLL4",'langlon (2016)'!$A$3,"MA_HT","SKX","MA_QH","DTS")</f>
        <v>0</v>
      </c>
      <c r="AU51" s="35">
        <f>+GETPIVOTDATA("XLL4",'langlon (2016)'!$A$3,"MA_HT","SKX","MA_QH","DNG")</f>
        <v>0</v>
      </c>
      <c r="AV51" s="35">
        <f>+GETPIVOTDATA("XLL4",'langlon (2016)'!$A$3,"MA_HT","SKX","MA_QH","TON")</f>
        <v>0</v>
      </c>
      <c r="AW51" s="35">
        <f>+GETPIVOTDATA("XLL4",'langlon (2016)'!$A$3,"MA_HT","SKX","MA_QH","NTD")</f>
        <v>0</v>
      </c>
      <c r="AX51" s="99" t="e">
        <f>$D51-$BF51</f>
        <v>#REF!</v>
      </c>
      <c r="AY51" s="35">
        <f>+GETPIVOTDATA("XLL4",'langlon (2016)'!$A$3,"MA_HT","SKX","MA_QH","DSH")</f>
        <v>0</v>
      </c>
      <c r="AZ51" s="35">
        <f>+GETPIVOTDATA("XLL4",'langlon (2016)'!$A$3,"MA_HT","SKX","MA_QH","DKV")</f>
        <v>0</v>
      </c>
      <c r="BA51" s="140">
        <f>+GETPIVOTDATA("XLL4",'langlon (2016)'!$A$3,"MA_HT","SKX","MA_QH","TIN")</f>
        <v>0</v>
      </c>
      <c r="BB51" s="74">
        <f>+GETPIVOTDATA("XLL4",'langlon (2016)'!$A$3,"MA_HT","SKX","MA_QH","SON")</f>
        <v>0</v>
      </c>
      <c r="BC51" s="74">
        <f>+GETPIVOTDATA("XLL4",'langlon (2016)'!$A$3,"MA_HT","SKX","MA_QH","MNC")</f>
        <v>0</v>
      </c>
      <c r="BD51" s="35">
        <f>+GETPIVOTDATA("XLL4",'langlon (2016)'!$A$3,"MA_HT","SKX","MA_QH","PNK")</f>
        <v>0</v>
      </c>
      <c r="BE51" s="58">
        <f>+GETPIVOTDATA("XLL4",'langlon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+GETPIVOTDATA("XLL4",'langlon (2016)'!$A$3,"MA_HT","DSH","MA_QH","LUC")</f>
        <v>0</v>
      </c>
      <c r="H52" s="35">
        <f>+GETPIVOTDATA("XLL4",'langlon (2016)'!$A$3,"MA_HT","DSH","MA_QH","LUK")</f>
        <v>0</v>
      </c>
      <c r="I52" s="35">
        <f>+GETPIVOTDATA("XLL4",'langlon (2016)'!$A$3,"MA_HT","DSH","MA_QH","LUN")</f>
        <v>0</v>
      </c>
      <c r="J52" s="35">
        <f>+GETPIVOTDATA("XLL4",'langlon (2016)'!$A$3,"MA_HT","DSH","MA_QH","HNK")</f>
        <v>0</v>
      </c>
      <c r="K52" s="35">
        <f>+GETPIVOTDATA("XLL4",'langlon (2016)'!$A$3,"MA_HT","DSH","MA_QH","CLN")</f>
        <v>0</v>
      </c>
      <c r="L52" s="35">
        <f>+GETPIVOTDATA("XLL4",'langlon (2016)'!$A$3,"MA_HT","DSH","MA_QH","RSX")</f>
        <v>0</v>
      </c>
      <c r="M52" s="35">
        <f>+GETPIVOTDATA("XLL4",'langlon (2016)'!$A$3,"MA_HT","DSH","MA_QH","RPH")</f>
        <v>0</v>
      </c>
      <c r="N52" s="35">
        <f>+GETPIVOTDATA("XLL4",'langlon (2016)'!$A$3,"MA_HT","DSH","MA_QH","RDD")</f>
        <v>0</v>
      </c>
      <c r="O52" s="35">
        <f>+GETPIVOTDATA("XLL4",'langlon (2016)'!$A$3,"MA_HT","DSH","MA_QH","NTS")</f>
        <v>0</v>
      </c>
      <c r="P52" s="35">
        <f>+GETPIVOTDATA("XLL4",'langlon (2016)'!$A$3,"MA_HT","DSH","MA_QH","LMU")</f>
        <v>0</v>
      </c>
      <c r="Q52" s="35">
        <f>+GETPIVOTDATA("XLL4",'langlon (2016)'!$A$3,"MA_HT","DSH","MA_QH","NKH")</f>
        <v>0</v>
      </c>
      <c r="R52" s="106">
        <f>SUM(S52:AA52,AN52:AX52,AZ52:BD52)</f>
        <v>0</v>
      </c>
      <c r="S52" s="35">
        <f>+GETPIVOTDATA("XLL4",'langlon (2016)'!$A$3,"MA_HT","DSH","MA_QH","CQP")</f>
        <v>0</v>
      </c>
      <c r="T52" s="35">
        <f>+GETPIVOTDATA("XLL4",'langlon (2016)'!$A$3,"MA_HT","DSH","MA_QH","CAN")</f>
        <v>0</v>
      </c>
      <c r="U52" s="35">
        <f>+GETPIVOTDATA("XLL4",'langlon (2016)'!$A$3,"MA_HT","DSH","MA_QH","SKK")</f>
        <v>0</v>
      </c>
      <c r="V52" s="35">
        <f>+GETPIVOTDATA("XLL4",'langlon (2016)'!$A$3,"MA_HT","DSH","MA_QH","SKT")</f>
        <v>0</v>
      </c>
      <c r="W52" s="35">
        <f>+GETPIVOTDATA("XLL4",'langlon (2016)'!$A$3,"MA_HT","DSH","MA_QH","SKN")</f>
        <v>0</v>
      </c>
      <c r="X52" s="35">
        <f>+GETPIVOTDATA("XLL4",'langlon (2016)'!$A$3,"MA_HT","DSH","MA_QH","TMD")</f>
        <v>0</v>
      </c>
      <c r="Y52" s="35">
        <f>+GETPIVOTDATA("XLL4",'langlon (2016)'!$A$3,"MA_HT","DSH","MA_QH","SKC")</f>
        <v>0</v>
      </c>
      <c r="Z52" s="35">
        <f>+GETPIVOTDATA("XLL4",'langlon (2016)'!$A$3,"MA_HT","DSH","MA_QH","SKS")</f>
        <v>0</v>
      </c>
      <c r="AA52" s="64">
        <f t="shared" si="21"/>
        <v>0</v>
      </c>
      <c r="AB52" s="35">
        <f>+GETPIVOTDATA("XLL4",'langlon (2016)'!$A$3,"MA_HT","DSH","MA_QH","DGT")</f>
        <v>0</v>
      </c>
      <c r="AC52" s="35">
        <f>+GETPIVOTDATA("XLL4",'langlon (2016)'!$A$3,"MA_HT","DSH","MA_QH","DTL")</f>
        <v>0</v>
      </c>
      <c r="AD52" s="35">
        <f>+GETPIVOTDATA("XLL4",'langlon (2016)'!$A$3,"MA_HT","DSH","MA_QH","DNL")</f>
        <v>0</v>
      </c>
      <c r="AE52" s="35">
        <f>+GETPIVOTDATA("XLL4",'langlon (2016)'!$A$3,"MA_HT","DSH","MA_QH","DBV")</f>
        <v>0</v>
      </c>
      <c r="AF52" s="35">
        <f>+GETPIVOTDATA("XLL4",'langlon (2016)'!$A$3,"MA_HT","DSH","MA_QH","DVH")</f>
        <v>0</v>
      </c>
      <c r="AG52" s="35">
        <f>+GETPIVOTDATA("XLL4",'langlon (2016)'!$A$3,"MA_HT","DSH","MA_QH","DYT")</f>
        <v>0</v>
      </c>
      <c r="AH52" s="35">
        <f>+GETPIVOTDATA("XLL4",'langlon (2016)'!$A$3,"MA_HT","DSH","MA_QH","DGD")</f>
        <v>0</v>
      </c>
      <c r="AI52" s="35">
        <f>+GETPIVOTDATA("XLL4",'langlon (2016)'!$A$3,"MA_HT","DSH","MA_QH","DTT")</f>
        <v>0</v>
      </c>
      <c r="AJ52" s="35">
        <f>+GETPIVOTDATA("XLL4",'langlon (2016)'!$A$3,"MA_HT","DSH","MA_QH","NCK")</f>
        <v>0</v>
      </c>
      <c r="AK52" s="35">
        <f>+GETPIVOTDATA("XLL4",'langlon (2016)'!$A$3,"MA_HT","DSH","MA_QH","DXH")</f>
        <v>0</v>
      </c>
      <c r="AL52" s="35">
        <f>+GETPIVOTDATA("XLL4",'langlon (2016)'!$A$3,"MA_HT","DSH","MA_QH","DCH")</f>
        <v>0</v>
      </c>
      <c r="AM52" s="35">
        <f>+GETPIVOTDATA("XLL4",'langlon (2016)'!$A$3,"MA_HT","DSH","MA_QH","DKG")</f>
        <v>0</v>
      </c>
      <c r="AN52" s="35">
        <f>+GETPIVOTDATA("XLL4",'langlon (2016)'!$A$3,"MA_HT","DSH","MA_QH","DDT")</f>
        <v>0</v>
      </c>
      <c r="AO52" s="35">
        <f>+GETPIVOTDATA("XLL4",'langlon (2016)'!$A$3,"MA_HT","DSH","MA_QH","DDL")</f>
        <v>0</v>
      </c>
      <c r="AP52" s="35">
        <f>+GETPIVOTDATA("XLL4",'langlon (2016)'!$A$3,"MA_HT","DSH","MA_QH","DRA")</f>
        <v>0</v>
      </c>
      <c r="AQ52" s="35">
        <f>+GETPIVOTDATA("XLL4",'langlon (2016)'!$A$3,"MA_HT","DSH","MA_QH","ONT")</f>
        <v>0</v>
      </c>
      <c r="AR52" s="35">
        <f>+GETPIVOTDATA("XLL4",'langlon (2016)'!$A$3,"MA_HT","DSH","MA_QH","ODT")</f>
        <v>0</v>
      </c>
      <c r="AS52" s="35">
        <f>+GETPIVOTDATA("XLL4",'langlon (2016)'!$A$3,"MA_HT","DSH","MA_QH","TSC")</f>
        <v>0</v>
      </c>
      <c r="AT52" s="35">
        <f>+GETPIVOTDATA("XLL4",'langlon (2016)'!$A$3,"MA_HT","DSH","MA_QH","DTS")</f>
        <v>0</v>
      </c>
      <c r="AU52" s="35">
        <f>+GETPIVOTDATA("XLL4",'langlon (2016)'!$A$3,"MA_HT","DSH","MA_QH","DNG")</f>
        <v>0</v>
      </c>
      <c r="AV52" s="35">
        <f>+GETPIVOTDATA("XLL4",'langlon (2016)'!$A$3,"MA_HT","DSH","MA_QH","TON")</f>
        <v>0</v>
      </c>
      <c r="AW52" s="35">
        <f>+GETPIVOTDATA("XLL4",'langlon (2016)'!$A$3,"MA_HT","DSH","MA_QH","NTD")</f>
        <v>0</v>
      </c>
      <c r="AX52" s="35">
        <f>+GETPIVOTDATA("XLL4",'langlon (2016)'!$A$3,"MA_HT","DSH","MA_QH","SKX")</f>
        <v>0</v>
      </c>
      <c r="AY52" s="99" t="e">
        <f>$D52-$BF52</f>
        <v>#REF!</v>
      </c>
      <c r="AZ52" s="35">
        <f>+GETPIVOTDATA("XLL4",'langlon (2016)'!$A$3,"MA_HT","DSH","MA_QH","DKV")</f>
        <v>0</v>
      </c>
      <c r="BA52" s="140">
        <f>+GETPIVOTDATA("XLL4",'langlon (2016)'!$A$3,"MA_HT","DSH","MA_QH","TIN")</f>
        <v>0</v>
      </c>
      <c r="BB52" s="74">
        <f>+GETPIVOTDATA("XLL4",'langlon (2016)'!$A$3,"MA_HT","DSH","MA_QH","SON")</f>
        <v>0</v>
      </c>
      <c r="BC52" s="74">
        <f>+GETPIVOTDATA("XLL4",'langlon (2016)'!$A$3,"MA_HT","DSH","MA_QH","MNC")</f>
        <v>0</v>
      </c>
      <c r="BD52" s="35">
        <f>+GETPIVOTDATA("XLL4",'langlon (2016)'!$A$3,"MA_HT","DSH","MA_QH","PNK")</f>
        <v>0</v>
      </c>
      <c r="BE52" s="58">
        <f>+GETPIVOTDATA("XLL4",'langlon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+GETPIVOTDATA("XLL4",'langlon (2016)'!$A$3,"MA_HT","DKV","MA_QH","LUC")</f>
        <v>0</v>
      </c>
      <c r="H53" s="35">
        <f>+GETPIVOTDATA("XLL4",'langlon (2016)'!$A$3,"MA_HT","DKV","MA_QH","LUK")</f>
        <v>0</v>
      </c>
      <c r="I53" s="35">
        <f>+GETPIVOTDATA("XLL4",'langlon (2016)'!$A$3,"MA_HT","DKV","MA_QH","LUN")</f>
        <v>0</v>
      </c>
      <c r="J53" s="35">
        <f>+GETPIVOTDATA("XLL4",'langlon (2016)'!$A$3,"MA_HT","DKV","MA_QH","HNK")</f>
        <v>0</v>
      </c>
      <c r="K53" s="35">
        <f>+GETPIVOTDATA("XLL4",'langlon (2016)'!$A$3,"MA_HT","DKV","MA_QH","CLN")</f>
        <v>0</v>
      </c>
      <c r="L53" s="35">
        <f>+GETPIVOTDATA("XLL4",'langlon (2016)'!$A$3,"MA_HT","DKV","MA_QH","RSX")</f>
        <v>0</v>
      </c>
      <c r="M53" s="35">
        <f>+GETPIVOTDATA("XLL4",'langlon (2016)'!$A$3,"MA_HT","DKV","MA_QH","RPH")</f>
        <v>0</v>
      </c>
      <c r="N53" s="35">
        <f>+GETPIVOTDATA("XLL4",'langlon (2016)'!$A$3,"MA_HT","DKV","MA_QH","RDD")</f>
        <v>0</v>
      </c>
      <c r="O53" s="35">
        <f>+GETPIVOTDATA("XLL4",'langlon (2016)'!$A$3,"MA_HT","DKV","MA_QH","NTS")</f>
        <v>0</v>
      </c>
      <c r="P53" s="35">
        <f>+GETPIVOTDATA("XLL4",'langlon (2016)'!$A$3,"MA_HT","DKV","MA_QH","LMU")</f>
        <v>0</v>
      </c>
      <c r="Q53" s="35">
        <f>+GETPIVOTDATA("XLL4",'langlon (2016)'!$A$3,"MA_HT","DKV","MA_QH","NKH")</f>
        <v>0</v>
      </c>
      <c r="R53" s="106">
        <f>SUM(S53:AA53,AN53:AY53,BB53:BD53)</f>
        <v>0</v>
      </c>
      <c r="S53" s="35">
        <f>+GETPIVOTDATA("XLL4",'langlon (2016)'!$A$3,"MA_HT","DKV","MA_QH","CQP")</f>
        <v>0</v>
      </c>
      <c r="T53" s="35">
        <f>+GETPIVOTDATA("XLL4",'langlon (2016)'!$A$3,"MA_HT","DKV","MA_QH","CAN")</f>
        <v>0</v>
      </c>
      <c r="U53" s="35">
        <f>+GETPIVOTDATA("XLL4",'langlon (2016)'!$A$3,"MA_HT","DKV","MA_QH","SKK")</f>
        <v>0</v>
      </c>
      <c r="V53" s="35">
        <f>+GETPIVOTDATA("XLL4",'langlon (2016)'!$A$3,"MA_HT","DKV","MA_QH","SKT")</f>
        <v>0</v>
      </c>
      <c r="W53" s="35">
        <f>+GETPIVOTDATA("XLL4",'langlon (2016)'!$A$3,"MA_HT","DKV","MA_QH","SKN")</f>
        <v>0</v>
      </c>
      <c r="X53" s="35">
        <f>+GETPIVOTDATA("XLL4",'langlon (2016)'!$A$3,"MA_HT","DKV","MA_QH","TMD")</f>
        <v>0</v>
      </c>
      <c r="Y53" s="35">
        <f>+GETPIVOTDATA("XLL4",'langlon (2016)'!$A$3,"MA_HT","DKV","MA_QH","SKC")</f>
        <v>0</v>
      </c>
      <c r="Z53" s="35">
        <f>+GETPIVOTDATA("XLL4",'langlon (2016)'!$A$3,"MA_HT","DKV","MA_QH","SKS")</f>
        <v>0</v>
      </c>
      <c r="AA53" s="64">
        <f t="shared" si="21"/>
        <v>0</v>
      </c>
      <c r="AB53" s="35">
        <f>+GETPIVOTDATA("XLL4",'langlon (2016)'!$A$3,"MA_HT","DKV","MA_QH","DGT")</f>
        <v>0</v>
      </c>
      <c r="AC53" s="35">
        <f>+GETPIVOTDATA("XLL4",'langlon (2016)'!$A$3,"MA_HT","DKV","MA_QH","DTL")</f>
        <v>0</v>
      </c>
      <c r="AD53" s="35">
        <f>+GETPIVOTDATA("XLL4",'langlon (2016)'!$A$3,"MA_HT","DKV","MA_QH","DNL")</f>
        <v>0</v>
      </c>
      <c r="AE53" s="35">
        <f>+GETPIVOTDATA("XLL4",'langlon (2016)'!$A$3,"MA_HT","DKV","MA_QH","DBV")</f>
        <v>0</v>
      </c>
      <c r="AF53" s="35">
        <f>+GETPIVOTDATA("XLL4",'langlon (2016)'!$A$3,"MA_HT","DKV","MA_QH","DVH")</f>
        <v>0</v>
      </c>
      <c r="AG53" s="35">
        <f>+GETPIVOTDATA("XLL4",'langlon (2016)'!$A$3,"MA_HT","DKV","MA_QH","DYT")</f>
        <v>0</v>
      </c>
      <c r="AH53" s="35">
        <f>+GETPIVOTDATA("XLL4",'langlon (2016)'!$A$3,"MA_HT","DKV","MA_QH","DGD")</f>
        <v>0</v>
      </c>
      <c r="AI53" s="35">
        <f>+GETPIVOTDATA("XLL4",'langlon (2016)'!$A$3,"MA_HT","DKV","MA_QH","DTT")</f>
        <v>0</v>
      </c>
      <c r="AJ53" s="35">
        <f>+GETPIVOTDATA("XLL4",'langlon (2016)'!$A$3,"MA_HT","DKV","MA_QH","NCK")</f>
        <v>0</v>
      </c>
      <c r="AK53" s="35">
        <f>+GETPIVOTDATA("XLL4",'langlon (2016)'!$A$3,"MA_HT","DKV","MA_QH","DXH")</f>
        <v>0</v>
      </c>
      <c r="AL53" s="35">
        <f>+GETPIVOTDATA("XLL4",'langlon (2016)'!$A$3,"MA_HT","DKV","MA_QH","DCH")</f>
        <v>0</v>
      </c>
      <c r="AM53" s="35">
        <f>+GETPIVOTDATA("XLL4",'langlon (2016)'!$A$3,"MA_HT","DKV","MA_QH","DKG")</f>
        <v>0</v>
      </c>
      <c r="AN53" s="35">
        <f>+GETPIVOTDATA("XLL4",'langlon (2016)'!$A$3,"MA_HT","DKV","MA_QH","DDT")</f>
        <v>0</v>
      </c>
      <c r="AO53" s="35">
        <f>+GETPIVOTDATA("XLL4",'langlon (2016)'!$A$3,"MA_HT","DKV","MA_QH","DDL")</f>
        <v>0</v>
      </c>
      <c r="AP53" s="35">
        <f>+GETPIVOTDATA("XLL4",'langlon (2016)'!$A$3,"MA_HT","DKV","MA_QH","DRA")</f>
        <v>0</v>
      </c>
      <c r="AQ53" s="35">
        <f>+GETPIVOTDATA("XLL4",'langlon (2016)'!$A$3,"MA_HT","DKV","MA_QH","ONT")</f>
        <v>0</v>
      </c>
      <c r="AR53" s="35">
        <f>+GETPIVOTDATA("XLL4",'langlon (2016)'!$A$3,"MA_HT","DKV","MA_QH","ODT")</f>
        <v>0</v>
      </c>
      <c r="AS53" s="35">
        <f>+GETPIVOTDATA("XLL4",'langlon (2016)'!$A$3,"MA_HT","DKV","MA_QH","TSC")</f>
        <v>0</v>
      </c>
      <c r="AT53" s="35">
        <f>+GETPIVOTDATA("XLL4",'langlon (2016)'!$A$3,"MA_HT","DKV","MA_QH","DTS")</f>
        <v>0</v>
      </c>
      <c r="AU53" s="35">
        <f>+GETPIVOTDATA("XLL4",'langlon (2016)'!$A$3,"MA_HT","DKV","MA_QH","DNG")</f>
        <v>0</v>
      </c>
      <c r="AV53" s="35">
        <f>+GETPIVOTDATA("XLL4",'langlon (2016)'!$A$3,"MA_HT","DKV","MA_QH","TON")</f>
        <v>0</v>
      </c>
      <c r="AW53" s="35">
        <f>+GETPIVOTDATA("XLL4",'langlon (2016)'!$A$3,"MA_HT","DKV","MA_QH","NTD")</f>
        <v>0</v>
      </c>
      <c r="AX53" s="35">
        <f>+GETPIVOTDATA("XLL4",'langlon (2016)'!$A$3,"MA_HT","DKV","MA_QH","SKX")</f>
        <v>0</v>
      </c>
      <c r="AY53" s="35">
        <f>+GETPIVOTDATA("XLL4",'langlon (2016)'!$A$3,"MA_HT","DKV","MA_QH","DSH")</f>
        <v>0</v>
      </c>
      <c r="AZ53" s="99" t="e">
        <f>$D53-$BF53</f>
        <v>#REF!</v>
      </c>
      <c r="BA53" s="140">
        <f>+GETPIVOTDATA("XLL4",'langlon (2016)'!$A$3,"MA_HT","DKV","MA_QH","TIN")</f>
        <v>0</v>
      </c>
      <c r="BB53" s="74">
        <f>+GETPIVOTDATA("XLL4",'langlon (2016)'!$A$3,"MA_HT","DKV","MA_QH","SON")</f>
        <v>0</v>
      </c>
      <c r="BC53" s="74">
        <f>+GETPIVOTDATA("XLL4",'langlon (2016)'!$A$3,"MA_HT","DKV","MA_QH","MNC")</f>
        <v>0</v>
      </c>
      <c r="BD53" s="35">
        <f>+GETPIVOTDATA("XLL4",'langlon (2016)'!$A$3,"MA_HT","DKV","MA_QH","PNK")</f>
        <v>0</v>
      </c>
      <c r="BE53" s="58">
        <f>+GETPIVOTDATA("XLL4",'langlon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+GETPIVOTDATA("XLL4",'langlon (2016)'!$A$3,"MA_HT","TIN","MA_QH","LUC")</f>
        <v>0</v>
      </c>
      <c r="H54" s="35">
        <f>+GETPIVOTDATA("XLL4",'langlon (2016)'!$A$3,"MA_HT","TIN","MA_QH","LUK")</f>
        <v>0</v>
      </c>
      <c r="I54" s="35">
        <f>+GETPIVOTDATA("XLL4",'langlon (2016)'!$A$3,"MA_HT","TIN","MA_QH","LUN")</f>
        <v>0</v>
      </c>
      <c r="J54" s="35">
        <f>+GETPIVOTDATA("XLL4",'langlon (2016)'!$A$3,"MA_HT","TIN","MA_QH","HNK")</f>
        <v>0</v>
      </c>
      <c r="K54" s="35">
        <f>+GETPIVOTDATA("XLL4",'langlon (2016)'!$A$3,"MA_HT","TIN","MA_QH","CLN")</f>
        <v>0</v>
      </c>
      <c r="L54" s="35">
        <f>+GETPIVOTDATA("XLL4",'langlon (2016)'!$A$3,"MA_HT","TIN","MA_QH","RSX")</f>
        <v>0</v>
      </c>
      <c r="M54" s="35">
        <f>+GETPIVOTDATA("XLL4",'langlon (2016)'!$A$3,"MA_HT","TIN","MA_QH","RPH")</f>
        <v>0</v>
      </c>
      <c r="N54" s="35">
        <f>+GETPIVOTDATA("XLL4",'langlon (2016)'!$A$3,"MA_HT","TIN","MA_QH","RDD")</f>
        <v>0</v>
      </c>
      <c r="O54" s="35">
        <f>+GETPIVOTDATA("XLL4",'langlon (2016)'!$A$3,"MA_HT","TIN","MA_QH","NTS")</f>
        <v>0</v>
      </c>
      <c r="P54" s="35">
        <f>+GETPIVOTDATA("XLL4",'langlon (2016)'!$A$3,"MA_HT","TIN","MA_QH","LMU")</f>
        <v>0</v>
      </c>
      <c r="Q54" s="35">
        <f>+GETPIVOTDATA("XLL4",'langlon (2016)'!$A$3,"MA_HT","TIN","MA_QH","NKH")</f>
        <v>0</v>
      </c>
      <c r="R54" s="106">
        <f>SUM(S54:AA54,AN54:AZ54,BB54:BD54)</f>
        <v>0</v>
      </c>
      <c r="S54" s="35">
        <f>+GETPIVOTDATA("XLL4",'langlon (2016)'!$A$3,"MA_HT","TIN","MA_QH","CQP")</f>
        <v>0</v>
      </c>
      <c r="T54" s="35">
        <f>+GETPIVOTDATA("XLL4",'langlon (2016)'!$A$3,"MA_HT","TIN","MA_QH","CAN")</f>
        <v>0</v>
      </c>
      <c r="U54" s="35">
        <f>+GETPIVOTDATA("XLL4",'langlon (2016)'!$A$3,"MA_HT","TIN","MA_QH","SKK")</f>
        <v>0</v>
      </c>
      <c r="V54" s="35">
        <f>+GETPIVOTDATA("XLL4",'langlon (2016)'!$A$3,"MA_HT","TIN","MA_QH","SKT")</f>
        <v>0</v>
      </c>
      <c r="W54" s="35">
        <f>+GETPIVOTDATA("XLL4",'langlon (2016)'!$A$3,"MA_HT","TIN","MA_QH","SKN")</f>
        <v>0</v>
      </c>
      <c r="X54" s="35">
        <f>+GETPIVOTDATA("XLL4",'langlon (2016)'!$A$3,"MA_HT","TIN","MA_QH","TMD")</f>
        <v>0</v>
      </c>
      <c r="Y54" s="35">
        <f>+GETPIVOTDATA("XLL4",'langlon (2016)'!$A$3,"MA_HT","TIN","MA_QH","SKC")</f>
        <v>0</v>
      </c>
      <c r="Z54" s="35">
        <f>+GETPIVOTDATA("XLL4",'langlon (2016)'!$A$3,"MA_HT","TIN","MA_QH","SKS")</f>
        <v>0</v>
      </c>
      <c r="AA54" s="64">
        <f t="shared" si="21"/>
        <v>0</v>
      </c>
      <c r="AB54" s="35">
        <f>+GETPIVOTDATA("XLL4",'langlon (2016)'!$A$3,"MA_HT","TIN","MA_QH","DGT")</f>
        <v>0</v>
      </c>
      <c r="AC54" s="35">
        <f>+GETPIVOTDATA("XLL4",'langlon (2016)'!$A$3,"MA_HT","TIN","MA_QH","DTL")</f>
        <v>0</v>
      </c>
      <c r="AD54" s="35">
        <f>+GETPIVOTDATA("XLL4",'langlon (2016)'!$A$3,"MA_HT","TIN","MA_QH","DNL")</f>
        <v>0</v>
      </c>
      <c r="AE54" s="35">
        <f>+GETPIVOTDATA("XLL4",'langlon (2016)'!$A$3,"MA_HT","TIN","MA_QH","DBV")</f>
        <v>0</v>
      </c>
      <c r="AF54" s="35">
        <f>+GETPIVOTDATA("XLL4",'langlon (2016)'!$A$3,"MA_HT","TIN","MA_QH","DVH")</f>
        <v>0</v>
      </c>
      <c r="AG54" s="35">
        <f>+GETPIVOTDATA("XLL4",'langlon (2016)'!$A$3,"MA_HT","TIN","MA_QH","DYT")</f>
        <v>0</v>
      </c>
      <c r="AH54" s="35">
        <f>+GETPIVOTDATA("XLL4",'langlon (2016)'!$A$3,"MA_HT","TIN","MA_QH","DGD")</f>
        <v>0</v>
      </c>
      <c r="AI54" s="35">
        <f>+GETPIVOTDATA("XLL4",'langlon (2016)'!$A$3,"MA_HT","TIN","MA_QH","DTT")</f>
        <v>0</v>
      </c>
      <c r="AJ54" s="35">
        <f>+GETPIVOTDATA("XLL4",'langlon (2016)'!$A$3,"MA_HT","TIN","MA_QH","NCK")</f>
        <v>0</v>
      </c>
      <c r="AK54" s="35">
        <f>+GETPIVOTDATA("XLL4",'langlon (2016)'!$A$3,"MA_HT","TIN","MA_QH","DXH")</f>
        <v>0</v>
      </c>
      <c r="AL54" s="35">
        <f>+GETPIVOTDATA("XLL4",'langlon (2016)'!$A$3,"MA_HT","TIN","MA_QH","DCH")</f>
        <v>0</v>
      </c>
      <c r="AM54" s="35">
        <f>+GETPIVOTDATA("XLL4",'langlon (2016)'!$A$3,"MA_HT","TIN","MA_QH","DKG")</f>
        <v>0</v>
      </c>
      <c r="AN54" s="35">
        <f>+GETPIVOTDATA("XLL4",'langlon (2016)'!$A$3,"MA_HT","TIN","MA_QH","DDT")</f>
        <v>0</v>
      </c>
      <c r="AO54" s="35">
        <f>+GETPIVOTDATA("XLL4",'langlon (2016)'!$A$3,"MA_HT","TIN","MA_QH","DDL")</f>
        <v>0</v>
      </c>
      <c r="AP54" s="35">
        <f>+GETPIVOTDATA("XLL4",'langlon (2016)'!$A$3,"MA_HT","TIN","MA_QH","DRA")</f>
        <v>0</v>
      </c>
      <c r="AQ54" s="35">
        <f>+GETPIVOTDATA("XLL4",'langlon (2016)'!$A$3,"MA_HT","TIN","MA_QH","ONT")</f>
        <v>0</v>
      </c>
      <c r="AR54" s="35">
        <f>+GETPIVOTDATA("XLL4",'langlon (2016)'!$A$3,"MA_HT","TIN","MA_QH","ODT")</f>
        <v>0</v>
      </c>
      <c r="AS54" s="35">
        <f>+GETPIVOTDATA("XLL4",'langlon (2016)'!$A$3,"MA_HT","TIN","MA_QH","TSC")</f>
        <v>0</v>
      </c>
      <c r="AT54" s="35">
        <f>+GETPIVOTDATA("XLL4",'langlon (2016)'!$A$3,"MA_HT","TIN","MA_QH","DTS")</f>
        <v>0</v>
      </c>
      <c r="AU54" s="35">
        <f>+GETPIVOTDATA("XLL4",'langlon (2016)'!$A$3,"MA_HT","TIN","MA_QH","DNG")</f>
        <v>0</v>
      </c>
      <c r="AV54" s="35">
        <f>+GETPIVOTDATA("XLL4",'langlon (2016)'!$A$3,"MA_HT","TIN","MA_QH","TON")</f>
        <v>0</v>
      </c>
      <c r="AW54" s="35">
        <f>+GETPIVOTDATA("XLL4",'langlon (2016)'!$A$3,"MA_HT","TIN","MA_QH","NTD")</f>
        <v>0</v>
      </c>
      <c r="AX54" s="35">
        <f>+GETPIVOTDATA("XLL4",'langlon (2016)'!$A$3,"MA_HT","TIN","MA_QH","SKX")</f>
        <v>0</v>
      </c>
      <c r="AY54" s="35">
        <f>+GETPIVOTDATA("XLL4",'langlon (2016)'!$A$3,"MA_HT","TIN","MA_QH","DSH")</f>
        <v>0</v>
      </c>
      <c r="AZ54" s="35">
        <f>+GETPIVOTDATA("XLL4",'langlon (2016)'!$A$3,"MA_HT","TIN","MA_QH","DKV")</f>
        <v>0</v>
      </c>
      <c r="BA54" s="99" t="e">
        <f>$D54-$BF54</f>
        <v>#REF!</v>
      </c>
      <c r="BB54" s="35">
        <f>+GETPIVOTDATA("XLL4",'langlon (2016)'!$A$3,"MA_HT","TIN","MA_QH","SON")</f>
        <v>0</v>
      </c>
      <c r="BC54" s="35">
        <f>+GETPIVOTDATA("XLL4",'langlon (2016)'!$A$3,"MA_HT","TIN","MA_QH","MNC")</f>
        <v>0</v>
      </c>
      <c r="BD54" s="35">
        <f>+GETPIVOTDATA("XLL4",'langlon (2016)'!$A$3,"MA_HT","TIN","MA_QH","PNK")</f>
        <v>0</v>
      </c>
      <c r="BE54" s="58">
        <f>+GETPIVOTDATA("XLL4",'langlon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+GETPIVOTDATA("XLL4",'langlon (2016)'!$A$3,"MA_HT","SON","MA_QH","LUC")</f>
        <v>0</v>
      </c>
      <c r="H55" s="35">
        <f>+GETPIVOTDATA("XLL4",'langlon (2016)'!$A$3,"MA_HT","SON","MA_QH","LUK")</f>
        <v>0</v>
      </c>
      <c r="I55" s="35">
        <f>+GETPIVOTDATA("XLL4",'langlon (2016)'!$A$3,"MA_HT","SON","MA_QH","LUN")</f>
        <v>0</v>
      </c>
      <c r="J55" s="35">
        <f>+GETPIVOTDATA("XLL4",'langlon (2016)'!$A$3,"MA_HT","SON","MA_QH","HNK")</f>
        <v>0</v>
      </c>
      <c r="K55" s="35">
        <f>+GETPIVOTDATA("XLL4",'langlon (2016)'!$A$3,"MA_HT","SON","MA_QH","CLN")</f>
        <v>0</v>
      </c>
      <c r="L55" s="35">
        <f>+GETPIVOTDATA("XLL4",'langlon (2016)'!$A$3,"MA_HT","SON","MA_QH","RSX")</f>
        <v>0</v>
      </c>
      <c r="M55" s="35">
        <f>+GETPIVOTDATA("XLL4",'langlon (2016)'!$A$3,"MA_HT","SON","MA_QH","RPH")</f>
        <v>0</v>
      </c>
      <c r="N55" s="35">
        <f>+GETPIVOTDATA("XLL4",'langlon (2016)'!$A$3,"MA_HT","SON","MA_QH","RDD")</f>
        <v>0</v>
      </c>
      <c r="O55" s="35">
        <f>+GETPIVOTDATA("XLL4",'langlon (2016)'!$A$3,"MA_HT","SON","MA_QH","NTS")</f>
        <v>0</v>
      </c>
      <c r="P55" s="35">
        <f>+GETPIVOTDATA("XLL4",'langlon (2016)'!$A$3,"MA_HT","SON","MA_QH","LMU")</f>
        <v>0</v>
      </c>
      <c r="Q55" s="35">
        <f>+GETPIVOTDATA("XLL4",'langlon (2016)'!$A$3,"MA_HT","SON","MA_QH","NKH")</f>
        <v>0</v>
      </c>
      <c r="R55" s="106">
        <f>SUM(S55:AA55,AN55:AZ55,BC55:BD55)</f>
        <v>0</v>
      </c>
      <c r="S55" s="35">
        <f>+GETPIVOTDATA("XLL4",'langlon (2016)'!$A$3,"MA_HT","SON","MA_QH","CQP")</f>
        <v>0</v>
      </c>
      <c r="T55" s="35">
        <f>+GETPIVOTDATA("XLL4",'langlon (2016)'!$A$3,"MA_HT","SON","MA_QH","CAN")</f>
        <v>0</v>
      </c>
      <c r="U55" s="35">
        <f>+GETPIVOTDATA("XLL4",'langlon (2016)'!$A$3,"MA_HT","SON","MA_QH","SKK")</f>
        <v>0</v>
      </c>
      <c r="V55" s="35">
        <f>+GETPIVOTDATA("XLL4",'langlon (2016)'!$A$3,"MA_HT","SON","MA_QH","SKT")</f>
        <v>0</v>
      </c>
      <c r="W55" s="35">
        <f>+GETPIVOTDATA("XLL4",'langlon (2016)'!$A$3,"MA_HT","SON","MA_QH","SKN")</f>
        <v>0</v>
      </c>
      <c r="X55" s="35">
        <f>+GETPIVOTDATA("XLL4",'langlon (2016)'!$A$3,"MA_HT","SON","MA_QH","TMD")</f>
        <v>0</v>
      </c>
      <c r="Y55" s="35">
        <f>+GETPIVOTDATA("XLL4",'langlon (2016)'!$A$3,"MA_HT","SON","MA_QH","SKC")</f>
        <v>0</v>
      </c>
      <c r="Z55" s="35">
        <f>+GETPIVOTDATA("XLL4",'langlon (2016)'!$A$3,"MA_HT","SON","MA_QH","SKS")</f>
        <v>0</v>
      </c>
      <c r="AA55" s="64">
        <f t="shared" si="21"/>
        <v>0</v>
      </c>
      <c r="AB55" s="35">
        <f>+GETPIVOTDATA("XLL4",'langlon (2016)'!$A$3,"MA_HT","SON","MA_QH","DGT")</f>
        <v>0</v>
      </c>
      <c r="AC55" s="35">
        <f>+GETPIVOTDATA("XLL4",'langlon (2016)'!$A$3,"MA_HT","SON","MA_QH","DTL")</f>
        <v>0</v>
      </c>
      <c r="AD55" s="35">
        <f>+GETPIVOTDATA("XLL4",'langlon (2016)'!$A$3,"MA_HT","SON","MA_QH","DNL")</f>
        <v>0</v>
      </c>
      <c r="AE55" s="35">
        <f>+GETPIVOTDATA("XLL4",'langlon (2016)'!$A$3,"MA_HT","SON","MA_QH","DBV")</f>
        <v>0</v>
      </c>
      <c r="AF55" s="35">
        <f>+GETPIVOTDATA("XLL4",'langlon (2016)'!$A$3,"MA_HT","SON","MA_QH","DVH")</f>
        <v>0</v>
      </c>
      <c r="AG55" s="35">
        <f>+GETPIVOTDATA("XLL4",'langlon (2016)'!$A$3,"MA_HT","SON","MA_QH","DYT")</f>
        <v>0</v>
      </c>
      <c r="AH55" s="35">
        <f>+GETPIVOTDATA("XLL4",'langlon (2016)'!$A$3,"MA_HT","SON","MA_QH","DGD")</f>
        <v>0</v>
      </c>
      <c r="AI55" s="35">
        <f>+GETPIVOTDATA("XLL4",'langlon (2016)'!$A$3,"MA_HT","SON","MA_QH","DTT")</f>
        <v>0</v>
      </c>
      <c r="AJ55" s="35">
        <f>+GETPIVOTDATA("XLL4",'langlon (2016)'!$A$3,"MA_HT","SON","MA_QH","NCK")</f>
        <v>0</v>
      </c>
      <c r="AK55" s="35">
        <f>+GETPIVOTDATA("XLL4",'langlon (2016)'!$A$3,"MA_HT","SON","MA_QH","DXH")</f>
        <v>0</v>
      </c>
      <c r="AL55" s="35">
        <f>+GETPIVOTDATA("XLL4",'langlon (2016)'!$A$3,"MA_HT","SON","MA_QH","DCH")</f>
        <v>0</v>
      </c>
      <c r="AM55" s="35">
        <f>+GETPIVOTDATA("XLL4",'langlon (2016)'!$A$3,"MA_HT","SON","MA_QH","DKG")</f>
        <v>0</v>
      </c>
      <c r="AN55" s="35">
        <f>+GETPIVOTDATA("XLL4",'langlon (2016)'!$A$3,"MA_HT","SON","MA_QH","DDT")</f>
        <v>0</v>
      </c>
      <c r="AO55" s="35">
        <f>+GETPIVOTDATA("XLL4",'langlon (2016)'!$A$3,"MA_HT","SON","MA_QH","DDL")</f>
        <v>0</v>
      </c>
      <c r="AP55" s="35">
        <f>+GETPIVOTDATA("XLL4",'langlon (2016)'!$A$3,"MA_HT","SON","MA_QH","DRA")</f>
        <v>0</v>
      </c>
      <c r="AQ55" s="35">
        <f>+GETPIVOTDATA("XLL4",'langlon (2016)'!$A$3,"MA_HT","SON","MA_QH","ONT")</f>
        <v>0</v>
      </c>
      <c r="AR55" s="35">
        <f>+GETPIVOTDATA("XLL4",'langlon (2016)'!$A$3,"MA_HT","SON","MA_QH","ODT")</f>
        <v>0</v>
      </c>
      <c r="AS55" s="35">
        <f>+GETPIVOTDATA("XLL4",'langlon (2016)'!$A$3,"MA_HT","SON","MA_QH","TSC")</f>
        <v>0</v>
      </c>
      <c r="AT55" s="35">
        <f>+GETPIVOTDATA("XLL4",'langlon (2016)'!$A$3,"MA_HT","SON","MA_QH","DTS")</f>
        <v>0</v>
      </c>
      <c r="AU55" s="35">
        <f>+GETPIVOTDATA("XLL4",'langlon (2016)'!$A$3,"MA_HT","SON","MA_QH","DNG")</f>
        <v>0</v>
      </c>
      <c r="AV55" s="35">
        <f>+GETPIVOTDATA("XLL4",'langlon (2016)'!$A$3,"MA_HT","SON","MA_QH","TON")</f>
        <v>0</v>
      </c>
      <c r="AW55" s="35">
        <f>+GETPIVOTDATA("XLL4",'langlon (2016)'!$A$3,"MA_HT","SON","MA_QH","NTD")</f>
        <v>0</v>
      </c>
      <c r="AX55" s="35">
        <f>+GETPIVOTDATA("XLL4",'langlon (2016)'!$A$3,"MA_HT","SON","MA_QH","SKX")</f>
        <v>0</v>
      </c>
      <c r="AY55" s="35">
        <f>+GETPIVOTDATA("XLL4",'langlon (2016)'!$A$3,"MA_HT","SON","MA_QH","DSH")</f>
        <v>0</v>
      </c>
      <c r="AZ55" s="35">
        <f>+GETPIVOTDATA("XLL4",'langlon (2016)'!$A$3,"MA_HT","SON","MA_QH","DKV")</f>
        <v>0</v>
      </c>
      <c r="BA55" s="140">
        <f>+GETPIVOTDATA("XLL4",'langlon (2016)'!$A$3,"MA_HT","SON","MA_QH","TIN")</f>
        <v>0</v>
      </c>
      <c r="BB55" s="99" t="e">
        <f>$D55-$BF55</f>
        <v>#REF!</v>
      </c>
      <c r="BC55" s="74">
        <f>+GETPIVOTDATA("XLL4",'langlon (2016)'!$A$3,"MA_HT","SON","MA_QH","MNC")</f>
        <v>0</v>
      </c>
      <c r="BD55" s="35">
        <f>+GETPIVOTDATA("XLL4",'langlon (2016)'!$A$3,"MA_HT","SON","MA_QH","PNK")</f>
        <v>0</v>
      </c>
      <c r="BE55" s="58">
        <f>+GETPIVOTDATA("XLL4",'langlon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+GETPIVOTDATA("XLL4",'langlon (2016)'!$A$3,"MA_HT","MNC","MA_QH","LUC")</f>
        <v>0</v>
      </c>
      <c r="H56" s="35">
        <f>+GETPIVOTDATA("XLL4",'langlon (2016)'!$A$3,"MA_HT","MNC","MA_QH","LUK")</f>
        <v>0</v>
      </c>
      <c r="I56" s="35">
        <f>+GETPIVOTDATA("XLL4",'langlon (2016)'!$A$3,"MA_HT","MNC","MA_QH","LUN")</f>
        <v>0</v>
      </c>
      <c r="J56" s="35">
        <f>+GETPIVOTDATA("XLL4",'langlon (2016)'!$A$3,"MA_HT","MNC","MA_QH","HNK")</f>
        <v>0</v>
      </c>
      <c r="K56" s="35">
        <f>+GETPIVOTDATA("XLL4",'langlon (2016)'!$A$3,"MA_HT","MNC","MA_QH","CLN")</f>
        <v>0</v>
      </c>
      <c r="L56" s="35">
        <f>+GETPIVOTDATA("XLL4",'langlon (2016)'!$A$3,"MA_HT","MNC","MA_QH","RSX")</f>
        <v>0</v>
      </c>
      <c r="M56" s="35">
        <f>+GETPIVOTDATA("XLL4",'langlon (2016)'!$A$3,"MA_HT","MNC","MA_QH","RPH")</f>
        <v>0</v>
      </c>
      <c r="N56" s="35">
        <f>+GETPIVOTDATA("XLL4",'langlon (2016)'!$A$3,"MA_HT","MNC","MA_QH","RDD")</f>
        <v>0</v>
      </c>
      <c r="O56" s="35">
        <f>+GETPIVOTDATA("XLL4",'langlon (2016)'!$A$3,"MA_HT","MNC","MA_QH","NTS")</f>
        <v>0</v>
      </c>
      <c r="P56" s="35">
        <f>+GETPIVOTDATA("XLL4",'langlon (2016)'!$A$3,"MA_HT","MNC","MA_QH","LMU")</f>
        <v>0</v>
      </c>
      <c r="Q56" s="35">
        <f>+GETPIVOTDATA("XLL4",'langlon (2016)'!$A$3,"MA_HT","MNC","MA_QH","NKH")</f>
        <v>0</v>
      </c>
      <c r="R56" s="106">
        <f>SUM(S56:AA56,AN56:BB56,BD56)</f>
        <v>0</v>
      </c>
      <c r="S56" s="35">
        <f>+GETPIVOTDATA("XLL4",'langlon (2016)'!$A$3,"MA_HT","MNC","MA_QH","CQP")</f>
        <v>0</v>
      </c>
      <c r="T56" s="35">
        <f>+GETPIVOTDATA("XLL4",'langlon (2016)'!$A$3,"MA_HT","MNC","MA_QH","CAN")</f>
        <v>0</v>
      </c>
      <c r="U56" s="35">
        <f>+GETPIVOTDATA("XLL4",'langlon (2016)'!$A$3,"MA_HT","MNC","MA_QH","SKK")</f>
        <v>0</v>
      </c>
      <c r="V56" s="35">
        <f>+GETPIVOTDATA("XLL4",'langlon (2016)'!$A$3,"MA_HT","MNC","MA_QH","SKT")</f>
        <v>0</v>
      </c>
      <c r="W56" s="35">
        <f>+GETPIVOTDATA("XLL4",'langlon (2016)'!$A$3,"MA_HT","MNC","MA_QH","SKN")</f>
        <v>0</v>
      </c>
      <c r="X56" s="35">
        <f>+GETPIVOTDATA("XLL4",'langlon (2016)'!$A$3,"MA_HT","MNC","MA_QH","TMD")</f>
        <v>0</v>
      </c>
      <c r="Y56" s="35">
        <f>+GETPIVOTDATA("XLL4",'langlon (2016)'!$A$3,"MA_HT","MNC","MA_QH","SKC")</f>
        <v>0</v>
      </c>
      <c r="Z56" s="35">
        <f>+GETPIVOTDATA("XLL4",'langlon (2016)'!$A$3,"MA_HT","MNC","MA_QH","SKS")</f>
        <v>0</v>
      </c>
      <c r="AA56" s="64">
        <f t="shared" si="21"/>
        <v>0</v>
      </c>
      <c r="AB56" s="35">
        <f>+GETPIVOTDATA("XLL4",'langlon (2016)'!$A$3,"MA_HT","MNC","MA_QH","DGT")</f>
        <v>0</v>
      </c>
      <c r="AC56" s="35">
        <f>+GETPIVOTDATA("XLL4",'langlon (2016)'!$A$3,"MA_HT","MNC","MA_QH","DTL")</f>
        <v>0</v>
      </c>
      <c r="AD56" s="35">
        <f>+GETPIVOTDATA("XLL4",'langlon (2016)'!$A$3,"MA_HT","MNC","MA_QH","DNL")</f>
        <v>0</v>
      </c>
      <c r="AE56" s="35">
        <f>+GETPIVOTDATA("XLL4",'langlon (2016)'!$A$3,"MA_HT","MNC","MA_QH","DBV")</f>
        <v>0</v>
      </c>
      <c r="AF56" s="35">
        <f>+GETPIVOTDATA("XLL4",'langlon (2016)'!$A$3,"MA_HT","MNC","MA_QH","DVH")</f>
        <v>0</v>
      </c>
      <c r="AG56" s="35">
        <f>+GETPIVOTDATA("XLL4",'langlon (2016)'!$A$3,"MA_HT","MNC","MA_QH","DYT")</f>
        <v>0</v>
      </c>
      <c r="AH56" s="35">
        <f>+GETPIVOTDATA("XLL4",'langlon (2016)'!$A$3,"MA_HT","MNC","MA_QH","DGD")</f>
        <v>0</v>
      </c>
      <c r="AI56" s="35">
        <f>+GETPIVOTDATA("XLL4",'langlon (2016)'!$A$3,"MA_HT","MNC","MA_QH","DTT")</f>
        <v>0</v>
      </c>
      <c r="AJ56" s="35">
        <f>+GETPIVOTDATA("XLL4",'langlon (2016)'!$A$3,"MA_HT","MNC","MA_QH","NCK")</f>
        <v>0</v>
      </c>
      <c r="AK56" s="35">
        <f>+GETPIVOTDATA("XLL4",'langlon (2016)'!$A$3,"MA_HT","MNC","MA_QH","DXH")</f>
        <v>0</v>
      </c>
      <c r="AL56" s="35">
        <f>+GETPIVOTDATA("XLL4",'langlon (2016)'!$A$3,"MA_HT","MNC","MA_QH","DCH")</f>
        <v>0</v>
      </c>
      <c r="AM56" s="35">
        <f>+GETPIVOTDATA("XLL4",'langlon (2016)'!$A$3,"MA_HT","MNC","MA_QH","DKG")</f>
        <v>0</v>
      </c>
      <c r="AN56" s="35">
        <f>+GETPIVOTDATA("XLL4",'langlon (2016)'!$A$3,"MA_HT","MNC","MA_QH","DDT")</f>
        <v>0</v>
      </c>
      <c r="AO56" s="35">
        <f>+GETPIVOTDATA("XLL4",'langlon (2016)'!$A$3,"MA_HT","MNC","MA_QH","DDL")</f>
        <v>0</v>
      </c>
      <c r="AP56" s="35">
        <f>+GETPIVOTDATA("XLL4",'langlon (2016)'!$A$3,"MA_HT","MNC","MA_QH","DRA")</f>
        <v>0</v>
      </c>
      <c r="AQ56" s="35">
        <f>+GETPIVOTDATA("XLL4",'langlon (2016)'!$A$3,"MA_HT","MNC","MA_QH","ONT")</f>
        <v>0</v>
      </c>
      <c r="AR56" s="35">
        <f>+GETPIVOTDATA("XLL4",'langlon (2016)'!$A$3,"MA_HT","MNC","MA_QH","ODT")</f>
        <v>0</v>
      </c>
      <c r="AS56" s="35">
        <f>+GETPIVOTDATA("XLL4",'langlon (2016)'!$A$3,"MA_HT","MNC","MA_QH","TSC")</f>
        <v>0</v>
      </c>
      <c r="AT56" s="35">
        <f>+GETPIVOTDATA("XLL4",'langlon (2016)'!$A$3,"MA_HT","MNC","MA_QH","DTS")</f>
        <v>0</v>
      </c>
      <c r="AU56" s="35">
        <f>+GETPIVOTDATA("XLL4",'langlon (2016)'!$A$3,"MA_HT","MNC","MA_QH","DNG")</f>
        <v>0</v>
      </c>
      <c r="AV56" s="35">
        <f>+GETPIVOTDATA("XLL4",'langlon (2016)'!$A$3,"MA_HT","MNC","MA_QH","TON")</f>
        <v>0</v>
      </c>
      <c r="AW56" s="35">
        <f>+GETPIVOTDATA("XLL4",'langlon (2016)'!$A$3,"MA_HT","MNC","MA_QH","NTD")</f>
        <v>0</v>
      </c>
      <c r="AX56" s="35">
        <f>+GETPIVOTDATA("XLL4",'langlon (2016)'!$A$3,"MA_HT","MNC","MA_QH","SKX")</f>
        <v>0</v>
      </c>
      <c r="AY56" s="35">
        <f>+GETPIVOTDATA("XLL4",'langlon (2016)'!$A$3,"MA_HT","MNC","MA_QH","DSH")</f>
        <v>0</v>
      </c>
      <c r="AZ56" s="35">
        <f>+GETPIVOTDATA("XLL4",'langlon (2016)'!$A$3,"MA_HT","MNC","MA_QH","DKV")</f>
        <v>0</v>
      </c>
      <c r="BA56" s="140">
        <f>+GETPIVOTDATA("XLL4",'langlon (2016)'!$A$3,"MA_HT","MNC","MA_QH","TIN")</f>
        <v>0</v>
      </c>
      <c r="BB56" s="74">
        <f>+GETPIVOTDATA("XLL4",'langlon (2016)'!$A$3,"MA_HT","MNC","MA_QH","SON")</f>
        <v>0</v>
      </c>
      <c r="BC56" s="99" t="e">
        <f>$D56-$BF56</f>
        <v>#REF!</v>
      </c>
      <c r="BD56" s="35">
        <f>+GETPIVOTDATA("XLL4",'langlon (2016)'!$A$3,"MA_HT","MNC","MA_QH","PNK")</f>
        <v>0</v>
      </c>
      <c r="BE56" s="58">
        <f>+GETPIVOTDATA("XLL4",'langlon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+GETPIVOTDATA("XLL4",'langlon (2016)'!$A$3,"MA_HT","PNK","MA_QH","LUC")</f>
        <v>0</v>
      </c>
      <c r="H57" s="35">
        <f>+GETPIVOTDATA("XLL4",'langlon (2016)'!$A$3,"MA_HT","PNK","MA_QH","LUK")</f>
        <v>0</v>
      </c>
      <c r="I57" s="35">
        <f>+GETPIVOTDATA("XLL4",'langlon (2016)'!$A$3,"MA_HT","PNK","MA_QH","LUN")</f>
        <v>0</v>
      </c>
      <c r="J57" s="35">
        <f>+GETPIVOTDATA("XLL4",'langlon (2016)'!$A$3,"MA_HT","PNK","MA_QH","HNK")</f>
        <v>0</v>
      </c>
      <c r="K57" s="35">
        <f>+GETPIVOTDATA("XLL4",'langlon (2016)'!$A$3,"MA_HT","PNK","MA_QH","CLN")</f>
        <v>0</v>
      </c>
      <c r="L57" s="35">
        <f>+GETPIVOTDATA("XLL4",'langlon (2016)'!$A$3,"MA_HT","PNK","MA_QH","RSX")</f>
        <v>0</v>
      </c>
      <c r="M57" s="35">
        <f>+GETPIVOTDATA("XLL4",'langlon (2016)'!$A$3,"MA_HT","PNK","MA_QH","RPH")</f>
        <v>0</v>
      </c>
      <c r="N57" s="35">
        <f>+GETPIVOTDATA("XLL4",'langlon (2016)'!$A$3,"MA_HT","PNK","MA_QH","RDD")</f>
        <v>0</v>
      </c>
      <c r="O57" s="35">
        <f>+GETPIVOTDATA("XLL4",'langlon (2016)'!$A$3,"MA_HT","PNK","MA_QH","NTS")</f>
        <v>0</v>
      </c>
      <c r="P57" s="35">
        <f>+GETPIVOTDATA("XLL4",'langlon (2016)'!$A$3,"MA_HT","PNK","MA_QH","LMU")</f>
        <v>0</v>
      </c>
      <c r="Q57" s="35">
        <f>+GETPIVOTDATA("XLL4",'langlon (2016)'!$A$3,"MA_HT","PNK","MA_QH","NKH")</f>
        <v>0</v>
      </c>
      <c r="R57" s="106">
        <f>SUM(S57:AA57,AN57:BC57)</f>
        <v>0</v>
      </c>
      <c r="S57" s="35">
        <f>+GETPIVOTDATA("XLL4",'langlon (2016)'!$A$3,"MA_HT","PNK","MA_QH","CQP")</f>
        <v>0</v>
      </c>
      <c r="T57" s="35">
        <f>+GETPIVOTDATA("XLL4",'langlon (2016)'!$A$3,"MA_HT","PNK","MA_QH","CAN")</f>
        <v>0</v>
      </c>
      <c r="U57" s="35">
        <f>+GETPIVOTDATA("XLL4",'langlon (2016)'!$A$3,"MA_HT","PNK","MA_QH","SKK")</f>
        <v>0</v>
      </c>
      <c r="V57" s="35">
        <f>+GETPIVOTDATA("XLL4",'langlon (2016)'!$A$3,"MA_HT","PNK","MA_QH","SKT")</f>
        <v>0</v>
      </c>
      <c r="W57" s="35">
        <f>+GETPIVOTDATA("XLL4",'langlon (2016)'!$A$3,"MA_HT","PNK","MA_QH","SKN")</f>
        <v>0</v>
      </c>
      <c r="X57" s="35">
        <f>+GETPIVOTDATA("XLL4",'langlon (2016)'!$A$3,"MA_HT","PNK","MA_QH","TMD")</f>
        <v>0</v>
      </c>
      <c r="Y57" s="35">
        <f>+GETPIVOTDATA("XLL4",'langlon (2016)'!$A$3,"MA_HT","PNK","MA_QH","SKC")</f>
        <v>0</v>
      </c>
      <c r="Z57" s="35">
        <f>+GETPIVOTDATA("XLL4",'langlon (2016)'!$A$3,"MA_HT","PNK","MA_QH","SKS")</f>
        <v>0</v>
      </c>
      <c r="AA57" s="64">
        <f t="shared" si="21"/>
        <v>0</v>
      </c>
      <c r="AB57" s="35">
        <f>+GETPIVOTDATA("XLL4",'langlon (2016)'!$A$3,"MA_HT","PNK","MA_QH","DGT")</f>
        <v>0</v>
      </c>
      <c r="AC57" s="35">
        <f>+GETPIVOTDATA("XLL4",'langlon (2016)'!$A$3,"MA_HT","PNK","MA_QH","DTL")</f>
        <v>0</v>
      </c>
      <c r="AD57" s="35">
        <f>+GETPIVOTDATA("XLL4",'langlon (2016)'!$A$3,"MA_HT","PNK","MA_QH","DNL")</f>
        <v>0</v>
      </c>
      <c r="AE57" s="35">
        <f>+GETPIVOTDATA("XLL4",'langlon (2016)'!$A$3,"MA_HT","PNK","MA_QH","DBV")</f>
        <v>0</v>
      </c>
      <c r="AF57" s="35">
        <f>+GETPIVOTDATA("XLL4",'langlon (2016)'!$A$3,"MA_HT","PNK","MA_QH","DVH")</f>
        <v>0</v>
      </c>
      <c r="AG57" s="35">
        <f>+GETPIVOTDATA("XLL4",'langlon (2016)'!$A$3,"MA_HT","PNK","MA_QH","DYT")</f>
        <v>0</v>
      </c>
      <c r="AH57" s="35">
        <f>+GETPIVOTDATA("XLL4",'langlon (2016)'!$A$3,"MA_HT","PNK","MA_QH","DGD")</f>
        <v>0</v>
      </c>
      <c r="AI57" s="35">
        <f>+GETPIVOTDATA("XLL4",'langlon (2016)'!$A$3,"MA_HT","PNK","MA_QH","DTT")</f>
        <v>0</v>
      </c>
      <c r="AJ57" s="35">
        <f>+GETPIVOTDATA("XLL4",'langlon (2016)'!$A$3,"MA_HT","PNK","MA_QH","NCK")</f>
        <v>0</v>
      </c>
      <c r="AK57" s="35">
        <f>+GETPIVOTDATA("XLL4",'langlon (2016)'!$A$3,"MA_HT","PNK","MA_QH","DXH")</f>
        <v>0</v>
      </c>
      <c r="AL57" s="35">
        <f>+GETPIVOTDATA("XLL4",'langlon (2016)'!$A$3,"MA_HT","PNK","MA_QH","DCH")</f>
        <v>0</v>
      </c>
      <c r="AM57" s="35">
        <f>+GETPIVOTDATA("XLL4",'langlon (2016)'!$A$3,"MA_HT","PNK","MA_QH","DKG")</f>
        <v>0</v>
      </c>
      <c r="AN57" s="35">
        <f>+GETPIVOTDATA("XLL4",'langlon (2016)'!$A$3,"MA_HT","PNK","MA_QH","DDT")</f>
        <v>0</v>
      </c>
      <c r="AO57" s="35">
        <f>+GETPIVOTDATA("XLL4",'langlon (2016)'!$A$3,"MA_HT","PNK","MA_QH","DDL")</f>
        <v>0</v>
      </c>
      <c r="AP57" s="35">
        <f>+GETPIVOTDATA("XLL4",'langlon (2016)'!$A$3,"MA_HT","PNK","MA_QH","DRA")</f>
        <v>0</v>
      </c>
      <c r="AQ57" s="35">
        <f>+GETPIVOTDATA("XLL4",'langlon (2016)'!$A$3,"MA_HT","PNK","MA_QH","ONT")</f>
        <v>0</v>
      </c>
      <c r="AR57" s="35">
        <f>+GETPIVOTDATA("XLL4",'langlon (2016)'!$A$3,"MA_HT","PNK","MA_QH","ODT")</f>
        <v>0</v>
      </c>
      <c r="AS57" s="35">
        <f>+GETPIVOTDATA("XLL4",'langlon (2016)'!$A$3,"MA_HT","PNK","MA_QH","TSC")</f>
        <v>0</v>
      </c>
      <c r="AT57" s="35">
        <f>+GETPIVOTDATA("XLL4",'langlon (2016)'!$A$3,"MA_HT","PNK","MA_QH","DTS")</f>
        <v>0</v>
      </c>
      <c r="AU57" s="35">
        <f>+GETPIVOTDATA("XLL4",'langlon (2016)'!$A$3,"MA_HT","PNK","MA_QH","DNG")</f>
        <v>0</v>
      </c>
      <c r="AV57" s="35">
        <f>+GETPIVOTDATA("XLL4",'langlon (2016)'!$A$3,"MA_HT","PNK","MA_QH","TON")</f>
        <v>0</v>
      </c>
      <c r="AW57" s="35">
        <f>+GETPIVOTDATA("XLL4",'langlon (2016)'!$A$3,"MA_HT","PNK","MA_QH","NTD")</f>
        <v>0</v>
      </c>
      <c r="AX57" s="35">
        <f>+GETPIVOTDATA("XLL4",'langlon (2016)'!$A$3,"MA_HT","PNK","MA_QH","SKX")</f>
        <v>0</v>
      </c>
      <c r="AY57" s="35">
        <f>+GETPIVOTDATA("XLL4",'langlon (2016)'!$A$3,"MA_HT","PNK","MA_QH","DSH")</f>
        <v>0</v>
      </c>
      <c r="AZ57" s="35">
        <f>+GETPIVOTDATA("XLL4",'langlon (2016)'!$A$3,"MA_HT","PNK","MA_QH","DKV")</f>
        <v>0</v>
      </c>
      <c r="BA57" s="140">
        <f>+GETPIVOTDATA("XLL4",'langlon (2016)'!$A$3,"MA_HT","PNK","MA_QH","TIN")</f>
        <v>0</v>
      </c>
      <c r="BB57" s="74">
        <f>+GETPIVOTDATA("XLL4",'langlon (2016)'!$A$3,"MA_HT","PNK","MA_QH","SON")</f>
        <v>0</v>
      </c>
      <c r="BC57" s="74">
        <f>+GETPIVOTDATA("XLL4",'langlon (2016)'!$A$3,"MA_HT","PNK","MA_QH","MNC")</f>
        <v>0</v>
      </c>
      <c r="BD57" s="99" t="e">
        <f>$D57-$BF57</f>
        <v>#REF!</v>
      </c>
      <c r="BE57" s="58">
        <f>+GETPIVOTDATA("XLL4",'langlon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+GETPIVOTDATA("XLL4",'langlon (2016)'!$A$3,"MA_HT","CSD","MA_QH","LUC")</f>
        <v>0</v>
      </c>
      <c r="H58" s="58">
        <f>+GETPIVOTDATA("XLL4",'langlon (2016)'!$A$3,"MA_HT","CSD","MA_QH","LUK")</f>
        <v>0</v>
      </c>
      <c r="I58" s="58">
        <f>+GETPIVOTDATA("XLL4",'langlon (2016)'!$A$3,"MA_HT","CSD","MA_QH","LUN")</f>
        <v>0</v>
      </c>
      <c r="J58" s="58">
        <f>+GETPIVOTDATA("XLL4",'langlon (2016)'!$A$3,"MA_HT","CSD","MA_QH","HNK")</f>
        <v>0</v>
      </c>
      <c r="K58" s="58">
        <f>+GETPIVOTDATA("XLL4",'langlon (2016)'!$A$3,"MA_HT","CSD","MA_QH","CLN")</f>
        <v>0</v>
      </c>
      <c r="L58" s="58">
        <f>+GETPIVOTDATA("XLL4",'langlon (2016)'!$A$3,"MA_HT","CSD","MA_QH","RSX")</f>
        <v>0</v>
      </c>
      <c r="M58" s="58">
        <f>+GETPIVOTDATA("XLL4",'langlon (2016)'!$A$3,"MA_HT","CSD","MA_QH","RPH")</f>
        <v>0</v>
      </c>
      <c r="N58" s="58">
        <f>+GETPIVOTDATA("XLL4",'langlon (2016)'!$A$3,"MA_HT","CSD","MA_QH","RDD")</f>
        <v>0</v>
      </c>
      <c r="O58" s="58">
        <f>+GETPIVOTDATA("XLL4",'langlon (2016)'!$A$3,"MA_HT","CSD","MA_QH","NTS")</f>
        <v>0</v>
      </c>
      <c r="P58" s="58">
        <f>+GETPIVOTDATA("XLL4",'langlon (2016)'!$A$3,"MA_HT","CSD","MA_QH","LMU")</f>
        <v>0</v>
      </c>
      <c r="Q58" s="58">
        <f>+GETPIVOTDATA("XLL4",'langlon (2016)'!$A$3,"MA_HT","CSD","MA_QH","NKH")</f>
        <v>0</v>
      </c>
      <c r="R58" s="106">
        <f>SUM(S58:AA58,AN58:BD58)</f>
        <v>0</v>
      </c>
      <c r="S58" s="102">
        <f>+GETPIVOTDATA("XLL4",'langlon (2016)'!$A$3,"MA_HT","CSD","MA_QH","CQP")</f>
        <v>0</v>
      </c>
      <c r="T58" s="102">
        <f>+GETPIVOTDATA("XLL4",'langlon (2016)'!$A$3,"MA_HT","CSD","MA_QH","CAN")</f>
        <v>0</v>
      </c>
      <c r="U58" s="58">
        <f>+GETPIVOTDATA("XLL4",'langlon (2016)'!$A$3,"MA_HT","CSD","MA_QH","SKK")</f>
        <v>0</v>
      </c>
      <c r="V58" s="58">
        <f>+GETPIVOTDATA("XLL4",'langlon (2016)'!$A$3,"MA_HT","CSD","MA_QH","SKT")</f>
        <v>0</v>
      </c>
      <c r="W58" s="58">
        <f>+GETPIVOTDATA("XLL4",'langlon (2016)'!$A$3,"MA_HT","CSD","MA_QH","SKN")</f>
        <v>0</v>
      </c>
      <c r="X58" s="58">
        <f>+GETPIVOTDATA("XLL4",'langlon (2016)'!$A$3,"MA_HT","CSD","MA_QH","TMD")</f>
        <v>0</v>
      </c>
      <c r="Y58" s="58">
        <f>+GETPIVOTDATA("XLL4",'langlon (2016)'!$A$3,"MA_HT","CSD","MA_QH","SKC")</f>
        <v>0</v>
      </c>
      <c r="Z58" s="58">
        <f>+GETPIVOTDATA("XLL4",'langlon (2016)'!$A$3,"MA_HT","CSD","MA_QH","SKS")</f>
        <v>0</v>
      </c>
      <c r="AA58" s="64">
        <f t="shared" si="21"/>
        <v>0</v>
      </c>
      <c r="AB58" s="102">
        <f>+GETPIVOTDATA("XLL4",'langlon (2016)'!$A$3,"MA_HT","CSD","MA_QH","DGT")</f>
        <v>0</v>
      </c>
      <c r="AC58" s="102">
        <f>+GETPIVOTDATA("XLL4",'langlon (2016)'!$A$3,"MA_HT","CSD","MA_QH","DTL")</f>
        <v>0</v>
      </c>
      <c r="AD58" s="102">
        <f>+GETPIVOTDATA("XLL4",'langlon (2016)'!$A$3,"MA_HT","CSD","MA_QH","DNL")</f>
        <v>0</v>
      </c>
      <c r="AE58" s="102">
        <f>+GETPIVOTDATA("XLL4",'langlon (2016)'!$A$3,"MA_HT","CSD","MA_QH","DBV")</f>
        <v>0</v>
      </c>
      <c r="AF58" s="102">
        <f>+GETPIVOTDATA("XLL4",'langlon (2016)'!$A$3,"MA_HT","CSD","MA_QH","DVH")</f>
        <v>0</v>
      </c>
      <c r="AG58" s="102">
        <f>+GETPIVOTDATA("XLL4",'langlon (2016)'!$A$3,"MA_HT","CSD","MA_QH","DYT")</f>
        <v>0</v>
      </c>
      <c r="AH58" s="102">
        <f>+GETPIVOTDATA("XLL4",'langlon (2016)'!$A$3,"MA_HT","CSD","MA_QH","DGD")</f>
        <v>0</v>
      </c>
      <c r="AI58" s="102">
        <f>+GETPIVOTDATA("XLL4",'langlon (2016)'!$A$3,"MA_HT","CSD","MA_QH","DTT")</f>
        <v>0</v>
      </c>
      <c r="AJ58" s="102">
        <f>+GETPIVOTDATA("XLL4",'langlon (2016)'!$A$3,"MA_HT","CSD","MA_QH","NCK")</f>
        <v>0</v>
      </c>
      <c r="AK58" s="102">
        <f>+GETPIVOTDATA("XLL4",'langlon (2016)'!$A$3,"MA_HT","CSD","MA_QH","DXH")</f>
        <v>0</v>
      </c>
      <c r="AL58" s="102">
        <f>+GETPIVOTDATA("XLL4",'langlon (2016)'!$A$3,"MA_HT","CSD","MA_QH","DCH")</f>
        <v>0</v>
      </c>
      <c r="AM58" s="102">
        <f>+GETPIVOTDATA("XLL4",'langlon (2016)'!$A$3,"MA_HT","CSD","MA_QH","DKG")</f>
        <v>0</v>
      </c>
      <c r="AN58" s="58">
        <f>+GETPIVOTDATA("XLL4",'langlon (2016)'!$A$3,"MA_HT","CSD","MA_QH","DDT")</f>
        <v>0</v>
      </c>
      <c r="AO58" s="58">
        <f>+GETPIVOTDATA("XLL4",'langlon (2016)'!$A$3,"MA_HT","CSD","MA_QH","DDL")</f>
        <v>0</v>
      </c>
      <c r="AP58" s="58">
        <f>+GETPIVOTDATA("XLL4",'langlon (2016)'!$A$3,"MA_HT","CSD","MA_QH","DRA")</f>
        <v>0</v>
      </c>
      <c r="AQ58" s="58">
        <f>+GETPIVOTDATA("XLL4",'langlon (2016)'!$A$3,"MA_HT","CSD","MA_QH","ONT")</f>
        <v>0</v>
      </c>
      <c r="AR58" s="58">
        <f>+GETPIVOTDATA("XLL4",'langlon (2016)'!$A$3,"MA_HT","CSD","MA_QH","ODT")</f>
        <v>0</v>
      </c>
      <c r="AS58" s="58">
        <f>+GETPIVOTDATA("XLL4",'langlon (2016)'!$A$3,"MA_HT","CSD","MA_QH","TSC")</f>
        <v>0</v>
      </c>
      <c r="AT58" s="58">
        <f>+GETPIVOTDATA("XLL4",'langlon (2016)'!$A$3,"MA_HT","CSD","MA_QH","DTS")</f>
        <v>0</v>
      </c>
      <c r="AU58" s="58">
        <f>+GETPIVOTDATA("XLL4",'langlon (2016)'!$A$3,"MA_HT","CSD","MA_QH","DNG")</f>
        <v>0</v>
      </c>
      <c r="AV58" s="58">
        <f>+GETPIVOTDATA("XLL4",'langlon (2016)'!$A$3,"MA_HT","CSD","MA_QH","TON")</f>
        <v>0</v>
      </c>
      <c r="AW58" s="58">
        <f>+GETPIVOTDATA("XLL4",'langlon (2016)'!$A$3,"MA_HT","CSD","MA_QH","NTD")</f>
        <v>0</v>
      </c>
      <c r="AX58" s="58">
        <f>+GETPIVOTDATA("XLL4",'langlon (2016)'!$A$3,"MA_HT","CSD","MA_QH","SKX")</f>
        <v>0</v>
      </c>
      <c r="AY58" s="58">
        <f>+GETPIVOTDATA("XLL4",'langlon (2016)'!$A$3,"MA_HT","CSD","MA_QH","DSH")</f>
        <v>0</v>
      </c>
      <c r="AZ58" s="58">
        <f>+GETPIVOTDATA("XLL4",'langlon (2016)'!$A$3,"MA_HT","CSD","MA_QH","DKV")</f>
        <v>0</v>
      </c>
      <c r="BA58" s="140">
        <f>+GETPIVOTDATA("XLL4",'langlon (2016)'!$A$3,"MA_HT","CSD","MA_QH","TIN")</f>
        <v>0</v>
      </c>
      <c r="BB58" s="102">
        <f>+GETPIVOTDATA("XLL4",'langlon (2016)'!$A$3,"MA_HT","CSD","MA_QH","SON")</f>
        <v>0</v>
      </c>
      <c r="BC58" s="102">
        <f>+GETPIVOTDATA("XLL4",'langlon (2016)'!$A$3,"MA_HT","CSD","MA_QH","MNC")</f>
        <v>0</v>
      </c>
      <c r="BD58" s="58">
        <f>+GETPIVOTDATA("XLL4",'langlon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8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+GETPIVOTDATA("XNT4",'nghiathanh (2016)'!$A$3,"MA_HT","LUC","MA_QH","LUK")</f>
        <v>0</v>
      </c>
      <c r="I8" s="74">
        <f>+GETPIVOTDATA("XNT4",'nghiathanh (2016)'!$A$3,"MA_HT","LUC","MA_QH","LUN")</f>
        <v>0</v>
      </c>
      <c r="J8" s="74">
        <f>+GETPIVOTDATA("XNT4",'nghiathanh (2016)'!$A$3,"MA_HT","LUC","MA_QH","HNK")</f>
        <v>0</v>
      </c>
      <c r="K8" s="74">
        <f>+GETPIVOTDATA("XNT4",'nghiathanh (2016)'!$A$3,"MA_HT","LUC","MA_QH","CLN")</f>
        <v>0</v>
      </c>
      <c r="L8" s="74">
        <f>+GETPIVOTDATA("XNT4",'nghiathanh (2016)'!$A$3,"MA_HT","LUC","MA_QH","RSX")</f>
        <v>0</v>
      </c>
      <c r="M8" s="74">
        <f>+GETPIVOTDATA("XNT4",'nghiathanh (2016)'!$A$3,"MA_HT","LUC","MA_QH","RPH")</f>
        <v>0</v>
      </c>
      <c r="N8" s="74">
        <f>+GETPIVOTDATA("XNT4",'nghiathanh (2016)'!$A$3,"MA_HT","LUC","MA_QH","RDD")</f>
        <v>0</v>
      </c>
      <c r="O8" s="74">
        <f>+GETPIVOTDATA("XNT4",'nghiathanh (2016)'!$A$3,"MA_HT","LUC","MA_QH","NTS")</f>
        <v>0</v>
      </c>
      <c r="P8" s="74">
        <f>+GETPIVOTDATA("XNT4",'nghiathanh (2016)'!$A$3,"MA_HT","LUC","MA_QH","LMU")</f>
        <v>0</v>
      </c>
      <c r="Q8" s="74">
        <f>+GETPIVOTDATA("XNT4",'nghiathanh (2016)'!$A$3,"MA_HT","LUC","MA_QH","NKH")</f>
        <v>0</v>
      </c>
      <c r="R8" s="72">
        <f>SUM(S8:AA8,AN8:BD8)</f>
        <v>0</v>
      </c>
      <c r="S8" s="74">
        <f>+GETPIVOTDATA("XNT4",'nghiathanh (2016)'!$A$3,"MA_HT","LUC","MA_QH","CQP")</f>
        <v>0</v>
      </c>
      <c r="T8" s="74">
        <f>+GETPIVOTDATA("XNT4",'nghiathanh (2016)'!$A$3,"MA_HT","LUC","MA_QH","CAN")</f>
        <v>0</v>
      </c>
      <c r="U8" s="74">
        <f>+GETPIVOTDATA("XNT4",'nghiathanh (2016)'!$A$3,"MA_HT","LUC","MA_QH","SKK")</f>
        <v>0</v>
      </c>
      <c r="V8" s="74">
        <f>+GETPIVOTDATA("XNT4",'nghiathanh (2016)'!$A$3,"MA_HT","LUC","MA_QH","SKT")</f>
        <v>0</v>
      </c>
      <c r="W8" s="74">
        <f>+GETPIVOTDATA("XNT4",'nghiathanh (2016)'!$A$3,"MA_HT","LUC","MA_QH","SKN")</f>
        <v>0</v>
      </c>
      <c r="X8" s="74">
        <f>+GETPIVOTDATA("XNT4",'nghiathanh (2016)'!$A$3,"MA_HT","LUC","MA_QH","TMD")</f>
        <v>0</v>
      </c>
      <c r="Y8" s="74">
        <f>+GETPIVOTDATA("XNT4",'nghiathanh (2016)'!$A$3,"MA_HT","LUC","MA_QH","SKC")</f>
        <v>0</v>
      </c>
      <c r="Z8" s="74">
        <f>+GETPIVOTDATA("XNT4",'nghiathanh (2016)'!$A$3,"MA_HT","LUC","MA_QH","SKS")</f>
        <v>0</v>
      </c>
      <c r="AA8" s="64">
        <f t="shared" si="4"/>
        <v>0</v>
      </c>
      <c r="AB8" s="74">
        <f>+GETPIVOTDATA("XNT4",'nghiathanh (2016)'!$A$3,"MA_HT","LUC","MA_QH","DGT")</f>
        <v>0</v>
      </c>
      <c r="AC8" s="74">
        <f>+GETPIVOTDATA("XNT4",'nghiathanh (2016)'!$A$3,"MA_HT","LUC","MA_QH","DTL")</f>
        <v>0</v>
      </c>
      <c r="AD8" s="74">
        <f>+GETPIVOTDATA("XNT4",'nghiathanh (2016)'!$A$3,"MA_HT","LUC","MA_QH","DNL")</f>
        <v>0</v>
      </c>
      <c r="AE8" s="74">
        <f>+GETPIVOTDATA("XNT4",'nghiathanh (2016)'!$A$3,"MA_HT","LUC","MA_QH","DBV")</f>
        <v>0</v>
      </c>
      <c r="AF8" s="74">
        <f>+GETPIVOTDATA("XNT4",'nghiathanh (2016)'!$A$3,"MA_HT","LUC","MA_QH","DVH")</f>
        <v>0</v>
      </c>
      <c r="AG8" s="74">
        <f>+GETPIVOTDATA("XNT4",'nghiathanh (2016)'!$A$3,"MA_HT","LUC","MA_QH","DYT")</f>
        <v>0</v>
      </c>
      <c r="AH8" s="74">
        <f>+GETPIVOTDATA("XNT4",'nghiathanh (2016)'!$A$3,"MA_HT","LUC","MA_QH","DGD")</f>
        <v>0</v>
      </c>
      <c r="AI8" s="74">
        <f>+GETPIVOTDATA("XNT4",'nghiathanh (2016)'!$A$3,"MA_HT","LUC","MA_QH","DTT")</f>
        <v>0</v>
      </c>
      <c r="AJ8" s="74">
        <f>+GETPIVOTDATA("XNT4",'nghiathanh (2016)'!$A$3,"MA_HT","LUC","MA_QH","NCK")</f>
        <v>0</v>
      </c>
      <c r="AK8" s="74">
        <f>+GETPIVOTDATA("XNT4",'nghiathanh (2016)'!$A$3,"MA_HT","LUC","MA_QH","DXH")</f>
        <v>0</v>
      </c>
      <c r="AL8" s="74">
        <f>+GETPIVOTDATA("XNT4",'nghiathanh (2016)'!$A$3,"MA_HT","LUC","MA_QH","DCH")</f>
        <v>0</v>
      </c>
      <c r="AM8" s="74">
        <f>+GETPIVOTDATA("XNT4",'nghiathanh (2016)'!$A$3,"MA_HT","LUC","MA_QH","DKG")</f>
        <v>0</v>
      </c>
      <c r="AN8" s="74">
        <f>+GETPIVOTDATA("XNT4",'nghiathanh (2016)'!$A$3,"MA_HT","LUC","MA_QH","DDT")</f>
        <v>0</v>
      </c>
      <c r="AO8" s="74">
        <f>+GETPIVOTDATA("XNT4",'nghiathanh (2016)'!$A$3,"MA_HT","LUC","MA_QH","DDL")</f>
        <v>0</v>
      </c>
      <c r="AP8" s="74">
        <f>+GETPIVOTDATA("XNT4",'nghiathanh (2016)'!$A$3,"MA_HT","LUC","MA_QH","DRA")</f>
        <v>0</v>
      </c>
      <c r="AQ8" s="74">
        <f>+GETPIVOTDATA("XNT4",'nghiathanh (2016)'!$A$3,"MA_HT","LUC","MA_QH","ONT")</f>
        <v>0</v>
      </c>
      <c r="AR8" s="74">
        <f>+GETPIVOTDATA("XNT4",'nghiathanh (2016)'!$A$3,"MA_HT","LUC","MA_QH","ODT")</f>
        <v>0</v>
      </c>
      <c r="AS8" s="74">
        <f>+GETPIVOTDATA("XNT4",'nghiathanh (2016)'!$A$3,"MA_HT","LUC","MA_QH","TSC")</f>
        <v>0</v>
      </c>
      <c r="AT8" s="74">
        <f>+GETPIVOTDATA("XNT4",'nghiathanh (2016)'!$A$3,"MA_HT","LUC","MA_QH","DTS")</f>
        <v>0</v>
      </c>
      <c r="AU8" s="74">
        <f>+GETPIVOTDATA("XNT4",'nghiathanh (2016)'!$A$3,"MA_HT","LUC","MA_QH","DNG")</f>
        <v>0</v>
      </c>
      <c r="AV8" s="74">
        <f>+GETPIVOTDATA("XNT4",'nghiathanh (2016)'!$A$3,"MA_HT","LUC","MA_QH","TON")</f>
        <v>0</v>
      </c>
      <c r="AW8" s="74">
        <f>+GETPIVOTDATA("XNT4",'nghiathanh (2016)'!$A$3,"MA_HT","LUC","MA_QH","NTD")</f>
        <v>0</v>
      </c>
      <c r="AX8" s="74">
        <f>+GETPIVOTDATA("XNT4",'nghiathanh (2016)'!$A$3,"MA_HT","LUC","MA_QH","SKX")</f>
        <v>0</v>
      </c>
      <c r="AY8" s="74">
        <f>+GETPIVOTDATA("XNT4",'nghiathanh (2016)'!$A$3,"MA_HT","LUC","MA_QH","DSH")</f>
        <v>0</v>
      </c>
      <c r="AZ8" s="74">
        <f>+GETPIVOTDATA("XNT4",'nghiathanh (2016)'!$A$3,"MA_HT","LUC","MA_QH","DKV")</f>
        <v>0</v>
      </c>
      <c r="BA8" s="139">
        <f>+GETPIVOTDATA("XNT4",'nghiathanh (2016)'!$A$3,"MA_HT","LUC","MA_QH","TIN")</f>
        <v>0</v>
      </c>
      <c r="BB8" s="74">
        <f>+GETPIVOTDATA("XNT4",'nghiathanh (2016)'!$A$3,"MA_HT","LUC","MA_QH","SON")</f>
        <v>0</v>
      </c>
      <c r="BC8" s="74">
        <f>+GETPIVOTDATA("XNT4",'nghiathanh (2016)'!$A$3,"MA_HT","LUC","MA_QH","MNC")</f>
        <v>0</v>
      </c>
      <c r="BD8" s="74">
        <f>+GETPIVOTDATA("XNT4",'nghiathanh (2016)'!$A$3,"MA_HT","LUC","MA_QH","PNK")</f>
        <v>0</v>
      </c>
      <c r="BE8" s="102">
        <f>+GETPIVOTDATA("XNT4",'nghiathanh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+GETPIVOTDATA("XNT4",'nghiathanh (2016)'!$A$3,"MA_HT","LUK","MA_QH","LUC")</f>
        <v>0</v>
      </c>
      <c r="H9" s="100" t="e">
        <f>$D9-$BF9</f>
        <v>#REF!</v>
      </c>
      <c r="I9" s="74">
        <f>+GETPIVOTDATA("XNT4",'nghiathanh (2016)'!$A$3,"MA_HT","LUK","MA_QH","LUN")</f>
        <v>0</v>
      </c>
      <c r="J9" s="74">
        <f>+GETPIVOTDATA("XNT4",'nghiathanh (2016)'!$A$3,"MA_HT","LUK","MA_QH","HNK")</f>
        <v>0</v>
      </c>
      <c r="K9" s="74">
        <f>+GETPIVOTDATA("XNT4",'nghiathanh (2016)'!$A$3,"MA_HT","LUK","MA_QH","CLN")</f>
        <v>0</v>
      </c>
      <c r="L9" s="74">
        <f>+GETPIVOTDATA("XNT4",'nghiathanh (2016)'!$A$3,"MA_HT","LUK","MA_QH","RSX")</f>
        <v>0</v>
      </c>
      <c r="M9" s="74">
        <f>+GETPIVOTDATA("XNT4",'nghiathanh (2016)'!$A$3,"MA_HT","LUK","MA_QH","RPH")</f>
        <v>0</v>
      </c>
      <c r="N9" s="74">
        <f>+GETPIVOTDATA("XNT4",'nghiathanh (2016)'!$A$3,"MA_HT","LUK","MA_QH","RDD")</f>
        <v>0</v>
      </c>
      <c r="O9" s="74">
        <f>+GETPIVOTDATA("XNT4",'nghiathanh (2016)'!$A$3,"MA_HT","LUK","MA_QH","NTS")</f>
        <v>0</v>
      </c>
      <c r="P9" s="74">
        <f>+GETPIVOTDATA("XNT4",'nghiathanh (2016)'!$A$3,"MA_HT","LUK","MA_QH","LMU")</f>
        <v>0</v>
      </c>
      <c r="Q9" s="74">
        <f>+GETPIVOTDATA("XNT4",'nghiathanh (2016)'!$A$3,"MA_HT","LUK","MA_QH","NKH")</f>
        <v>0</v>
      </c>
      <c r="R9" s="72">
        <f t="shared" si="2"/>
        <v>0</v>
      </c>
      <c r="S9" s="74">
        <f>+GETPIVOTDATA("XNT4",'nghiathanh (2016)'!$A$3,"MA_HT","LUK","MA_QH","CQP")</f>
        <v>0</v>
      </c>
      <c r="T9" s="74">
        <f>+GETPIVOTDATA("XNT4",'nghiathanh (2016)'!$A$3,"MA_HT","LUK","MA_QH","CAN")</f>
        <v>0</v>
      </c>
      <c r="U9" s="74">
        <f>+GETPIVOTDATA("XNT4",'nghiathanh (2016)'!$A$3,"MA_HT","LUK","MA_QH","SKK")</f>
        <v>0</v>
      </c>
      <c r="V9" s="74">
        <f>+GETPIVOTDATA("XNT4",'nghiathanh (2016)'!$A$3,"MA_HT","LUK","MA_QH","SKT")</f>
        <v>0</v>
      </c>
      <c r="W9" s="74">
        <f>+GETPIVOTDATA("XNT4",'nghiathanh (2016)'!$A$3,"MA_HT","LUK","MA_QH","SKN")</f>
        <v>0</v>
      </c>
      <c r="X9" s="74">
        <f>+GETPIVOTDATA("XNT4",'nghiathanh (2016)'!$A$3,"MA_HT","LUK","MA_QH","TMD")</f>
        <v>0</v>
      </c>
      <c r="Y9" s="74">
        <f>+GETPIVOTDATA("XNT4",'nghiathanh (2016)'!$A$3,"MA_HT","LUK","MA_QH","SKC")</f>
        <v>0</v>
      </c>
      <c r="Z9" s="74">
        <f>+GETPIVOTDATA("XNT4",'nghiathanh (2016)'!$A$3,"MA_HT","LUK","MA_QH","SKS")</f>
        <v>0</v>
      </c>
      <c r="AA9" s="64">
        <f t="shared" si="4"/>
        <v>0</v>
      </c>
      <c r="AB9" s="74">
        <f>+GETPIVOTDATA("XNT4",'nghiathanh (2016)'!$A$3,"MA_HT","LUK","MA_QH","DGT")</f>
        <v>0</v>
      </c>
      <c r="AC9" s="74">
        <f>+GETPIVOTDATA("XNT4",'nghiathanh (2016)'!$A$3,"MA_HT","LUK","MA_QH","DTL")</f>
        <v>0</v>
      </c>
      <c r="AD9" s="74">
        <f>+GETPIVOTDATA("XNT4",'nghiathanh (2016)'!$A$3,"MA_HT","LUK","MA_QH","DNL")</f>
        <v>0</v>
      </c>
      <c r="AE9" s="74">
        <f>+GETPIVOTDATA("XNT4",'nghiathanh (2016)'!$A$3,"MA_HT","LUK","MA_QH","DBV")</f>
        <v>0</v>
      </c>
      <c r="AF9" s="74">
        <f>+GETPIVOTDATA("XNT4",'nghiathanh (2016)'!$A$3,"MA_HT","LUK","MA_QH","DVH")</f>
        <v>0</v>
      </c>
      <c r="AG9" s="74">
        <f>+GETPIVOTDATA("XNT4",'nghiathanh (2016)'!$A$3,"MA_HT","LUK","MA_QH","DYT")</f>
        <v>0</v>
      </c>
      <c r="AH9" s="74">
        <f>+GETPIVOTDATA("XNT4",'nghiathanh (2016)'!$A$3,"MA_HT","LUK","MA_QH","DGD")</f>
        <v>0</v>
      </c>
      <c r="AI9" s="74">
        <f>+GETPIVOTDATA("XNT4",'nghiathanh (2016)'!$A$3,"MA_HT","LUK","MA_QH","DTT")</f>
        <v>0</v>
      </c>
      <c r="AJ9" s="74">
        <f>+GETPIVOTDATA("XNT4",'nghiathanh (2016)'!$A$3,"MA_HT","LUK","MA_QH","NCK")</f>
        <v>0</v>
      </c>
      <c r="AK9" s="74">
        <f>+GETPIVOTDATA("XNT4",'nghiathanh (2016)'!$A$3,"MA_HT","LUK","MA_QH","DXH")</f>
        <v>0</v>
      </c>
      <c r="AL9" s="74">
        <f>+GETPIVOTDATA("XNT4",'nghiathanh (2016)'!$A$3,"MA_HT","LUK","MA_QH","DCH")</f>
        <v>0</v>
      </c>
      <c r="AM9" s="74">
        <f>+GETPIVOTDATA("XNT4",'nghiathanh (2016)'!$A$3,"MA_HT","LUK","MA_QH","DKG")</f>
        <v>0</v>
      </c>
      <c r="AN9" s="74">
        <f>+GETPIVOTDATA("XNT4",'nghiathanh (2016)'!$A$3,"MA_HT","LUK","MA_QH","DDT")</f>
        <v>0</v>
      </c>
      <c r="AO9" s="74">
        <f>+GETPIVOTDATA("XNT4",'nghiathanh (2016)'!$A$3,"MA_HT","LUK","MA_QH","DDL")</f>
        <v>0</v>
      </c>
      <c r="AP9" s="74">
        <f>+GETPIVOTDATA("XNT4",'nghiathanh (2016)'!$A$3,"MA_HT","LUK","MA_QH","DRA")</f>
        <v>0</v>
      </c>
      <c r="AQ9" s="74">
        <f>+GETPIVOTDATA("XNT4",'nghiathanh (2016)'!$A$3,"MA_HT","LUK","MA_QH","ONT")</f>
        <v>0</v>
      </c>
      <c r="AR9" s="74">
        <f>+GETPIVOTDATA("XNT4",'nghiathanh (2016)'!$A$3,"MA_HT","LUK","MA_QH","ODT")</f>
        <v>0</v>
      </c>
      <c r="AS9" s="74">
        <f>+GETPIVOTDATA("XNT4",'nghiathanh (2016)'!$A$3,"MA_HT","LUK","MA_QH","TSC")</f>
        <v>0</v>
      </c>
      <c r="AT9" s="74">
        <f>+GETPIVOTDATA("XNT4",'nghiathanh (2016)'!$A$3,"MA_HT","LUK","MA_QH","DTS")</f>
        <v>0</v>
      </c>
      <c r="AU9" s="74">
        <f>+GETPIVOTDATA("XNT4",'nghiathanh (2016)'!$A$3,"MA_HT","LUK","MA_QH","DNG")</f>
        <v>0</v>
      </c>
      <c r="AV9" s="74">
        <f>+GETPIVOTDATA("XNT4",'nghiathanh (2016)'!$A$3,"MA_HT","LUK","MA_QH","TON")</f>
        <v>0</v>
      </c>
      <c r="AW9" s="74">
        <f>+GETPIVOTDATA("XNT4",'nghiathanh (2016)'!$A$3,"MA_HT","LUK","MA_QH","NTD")</f>
        <v>0</v>
      </c>
      <c r="AX9" s="74">
        <f>+GETPIVOTDATA("XNT4",'nghiathanh (2016)'!$A$3,"MA_HT","LUK","MA_QH","SKX")</f>
        <v>0</v>
      </c>
      <c r="AY9" s="74">
        <f>+GETPIVOTDATA("XNT4",'nghiathanh (2016)'!$A$3,"MA_HT","LUK","MA_QH","DSH")</f>
        <v>0</v>
      </c>
      <c r="AZ9" s="74">
        <f>+GETPIVOTDATA("XNT4",'nghiathanh (2016)'!$A$3,"MA_HT","LUK","MA_QH","DKV")</f>
        <v>0</v>
      </c>
      <c r="BA9" s="139">
        <f>+GETPIVOTDATA("XNT4",'nghiathanh (2016)'!$A$3,"MA_HT","LUK","MA_QH","TIN")</f>
        <v>0</v>
      </c>
      <c r="BB9" s="74">
        <f>+GETPIVOTDATA("XNT4",'nghiathanh (2016)'!$A$3,"MA_HT","LUK","MA_QH","SON")</f>
        <v>0</v>
      </c>
      <c r="BC9" s="74">
        <f>+GETPIVOTDATA("XNT4",'nghiathanh (2016)'!$A$3,"MA_HT","LUK","MA_QH","MNC")</f>
        <v>0</v>
      </c>
      <c r="BD9" s="74">
        <f>+GETPIVOTDATA("XNT4",'nghiathanh (2016)'!$A$3,"MA_HT","LUK","MA_QH","PNK")</f>
        <v>0</v>
      </c>
      <c r="BE9" s="102">
        <f>+GETPIVOTDATA("XNT4",'nghiathanh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+GETPIVOTDATA("XNT4",'nghiathanh (2016)'!$A$3,"MA_HT","LUN","MA_QH","LUC")</f>
        <v>0</v>
      </c>
      <c r="H10" s="74">
        <f>+GETPIVOTDATA("XNT4",'nghiathanh (2016)'!$A$3,"MA_HT","LUN","MA_QH","LUK")</f>
        <v>0</v>
      </c>
      <c r="I10" s="100" t="e">
        <f>$D10-$BF10</f>
        <v>#REF!</v>
      </c>
      <c r="J10" s="74">
        <f>+GETPIVOTDATA("XNT4",'nghiathanh (2016)'!$A$3,"MA_HT","LUN","MA_QH","HNK")</f>
        <v>0</v>
      </c>
      <c r="K10" s="74">
        <f>+GETPIVOTDATA("XNT4",'nghiathanh (2016)'!$A$3,"MA_HT","LUN","MA_QH","CLN")</f>
        <v>0</v>
      </c>
      <c r="L10" s="74">
        <f>+GETPIVOTDATA("XNT4",'nghiathanh (2016)'!$A$3,"MA_HT","LUN","MA_QH","RSX")</f>
        <v>0</v>
      </c>
      <c r="M10" s="74">
        <f>+GETPIVOTDATA("XNT4",'nghiathanh (2016)'!$A$3,"MA_HT","LUN","MA_QH","RPH")</f>
        <v>0</v>
      </c>
      <c r="N10" s="74">
        <f>+GETPIVOTDATA("XNT4",'nghiathanh (2016)'!$A$3,"MA_HT","LUN","MA_QH","RDD")</f>
        <v>0</v>
      </c>
      <c r="O10" s="74">
        <f>+GETPIVOTDATA("XNT4",'nghiathanh (2016)'!$A$3,"MA_HT","LUN","MA_QH","NTS")</f>
        <v>0</v>
      </c>
      <c r="P10" s="74">
        <f>+GETPIVOTDATA("XNT4",'nghiathanh (2016)'!$A$3,"MA_HT","LUN","MA_QH","LMU")</f>
        <v>0</v>
      </c>
      <c r="Q10" s="74">
        <f>+GETPIVOTDATA("XNT4",'nghiathanh (2016)'!$A$3,"MA_HT","LUN","MA_QH","NKH")</f>
        <v>0</v>
      </c>
      <c r="R10" s="72">
        <f t="shared" si="2"/>
        <v>0</v>
      </c>
      <c r="S10" s="74">
        <f>+GETPIVOTDATA("XNT4",'nghiathanh (2016)'!$A$3,"MA_HT","LUN","MA_QH","CQP")</f>
        <v>0</v>
      </c>
      <c r="T10" s="74">
        <f>+GETPIVOTDATA("XNT4",'nghiathanh (2016)'!$A$3,"MA_HT","LUN","MA_QH","CAN")</f>
        <v>0</v>
      </c>
      <c r="U10" s="74">
        <f>+GETPIVOTDATA("XNT4",'nghiathanh (2016)'!$A$3,"MA_HT","LUN","MA_QH","SKK")</f>
        <v>0</v>
      </c>
      <c r="V10" s="74">
        <f>+GETPIVOTDATA("XNT4",'nghiathanh (2016)'!$A$3,"MA_HT","LUN","MA_QH","SKT")</f>
        <v>0</v>
      </c>
      <c r="W10" s="74">
        <f>+GETPIVOTDATA("XNT4",'nghiathanh (2016)'!$A$3,"MA_HT","LUN","MA_QH","SKN")</f>
        <v>0</v>
      </c>
      <c r="X10" s="74">
        <f>+GETPIVOTDATA("XNT4",'nghiathanh (2016)'!$A$3,"MA_HT","LUN","MA_QH","TMD")</f>
        <v>0</v>
      </c>
      <c r="Y10" s="74">
        <f>+GETPIVOTDATA("XNT4",'nghiathanh (2016)'!$A$3,"MA_HT","LUN","MA_QH","SKC")</f>
        <v>0</v>
      </c>
      <c r="Z10" s="74">
        <f>+GETPIVOTDATA("XNT4",'nghiathanh (2016)'!$A$3,"MA_HT","LUN","MA_QH","SKS")</f>
        <v>0</v>
      </c>
      <c r="AA10" s="64">
        <f t="shared" si="4"/>
        <v>0</v>
      </c>
      <c r="AB10" s="74">
        <f>+GETPIVOTDATA("XNT4",'nghiathanh (2016)'!$A$3,"MA_HT","LUN","MA_QH","DGT")</f>
        <v>0</v>
      </c>
      <c r="AC10" s="74">
        <f>+GETPIVOTDATA("XNT4",'nghiathanh (2016)'!$A$3,"MA_HT","LUN","MA_QH","DTL")</f>
        <v>0</v>
      </c>
      <c r="AD10" s="74">
        <f>+GETPIVOTDATA("XNT4",'nghiathanh (2016)'!$A$3,"MA_HT","LUN","MA_QH","DNL")</f>
        <v>0</v>
      </c>
      <c r="AE10" s="74">
        <f>+GETPIVOTDATA("XNT4",'nghiathanh (2016)'!$A$3,"MA_HT","LUN","MA_QH","DBV")</f>
        <v>0</v>
      </c>
      <c r="AF10" s="74">
        <f>+GETPIVOTDATA("XNT4",'nghiathanh (2016)'!$A$3,"MA_HT","LUN","MA_QH","DVH")</f>
        <v>0</v>
      </c>
      <c r="AG10" s="74">
        <f>+GETPIVOTDATA("XNT4",'nghiathanh (2016)'!$A$3,"MA_HT","LUN","MA_QH","DYT")</f>
        <v>0</v>
      </c>
      <c r="AH10" s="74">
        <f>+GETPIVOTDATA("XNT4",'nghiathanh (2016)'!$A$3,"MA_HT","LUN","MA_QH","DGD")</f>
        <v>0</v>
      </c>
      <c r="AI10" s="74">
        <f>+GETPIVOTDATA("XNT4",'nghiathanh (2016)'!$A$3,"MA_HT","LUN","MA_QH","DTT")</f>
        <v>0</v>
      </c>
      <c r="AJ10" s="74">
        <f>+GETPIVOTDATA("XNT4",'nghiathanh (2016)'!$A$3,"MA_HT","LUN","MA_QH","NCK")</f>
        <v>0</v>
      </c>
      <c r="AK10" s="74">
        <f>+GETPIVOTDATA("XNT4",'nghiathanh (2016)'!$A$3,"MA_HT","LUN","MA_QH","DXH")</f>
        <v>0</v>
      </c>
      <c r="AL10" s="74">
        <f>+GETPIVOTDATA("XNT4",'nghiathanh (2016)'!$A$3,"MA_HT","LUN","MA_QH","DCH")</f>
        <v>0</v>
      </c>
      <c r="AM10" s="74">
        <f>+GETPIVOTDATA("XNT4",'nghiathanh (2016)'!$A$3,"MA_HT","LUN","MA_QH","DKG")</f>
        <v>0</v>
      </c>
      <c r="AN10" s="74">
        <f>+GETPIVOTDATA("XNT4",'nghiathanh (2016)'!$A$3,"MA_HT","LUN","MA_QH","DDT")</f>
        <v>0</v>
      </c>
      <c r="AO10" s="74">
        <f>+GETPIVOTDATA("XNT4",'nghiathanh (2016)'!$A$3,"MA_HT","LUN","MA_QH","DDL")</f>
        <v>0</v>
      </c>
      <c r="AP10" s="74">
        <f>+GETPIVOTDATA("XNT4",'nghiathanh (2016)'!$A$3,"MA_HT","LUN","MA_QH","DRA")</f>
        <v>0</v>
      </c>
      <c r="AQ10" s="74">
        <f>+GETPIVOTDATA("XNT4",'nghiathanh (2016)'!$A$3,"MA_HT","LUN","MA_QH","ONT")</f>
        <v>0</v>
      </c>
      <c r="AR10" s="74">
        <f>+GETPIVOTDATA("XNT4",'nghiathanh (2016)'!$A$3,"MA_HT","LUN","MA_QH","ODT")</f>
        <v>0</v>
      </c>
      <c r="AS10" s="74">
        <f>+GETPIVOTDATA("XNT4",'nghiathanh (2016)'!$A$3,"MA_HT","LUN","MA_QH","TSC")</f>
        <v>0</v>
      </c>
      <c r="AT10" s="74">
        <f>+GETPIVOTDATA("XNT4",'nghiathanh (2016)'!$A$3,"MA_HT","LUN","MA_QH","DTS")</f>
        <v>0</v>
      </c>
      <c r="AU10" s="74">
        <f>+GETPIVOTDATA("XNT4",'nghiathanh (2016)'!$A$3,"MA_HT","LUN","MA_QH","DNG")</f>
        <v>0</v>
      </c>
      <c r="AV10" s="74">
        <f>+GETPIVOTDATA("XNT4",'nghiathanh (2016)'!$A$3,"MA_HT","LUN","MA_QH","TON")</f>
        <v>0</v>
      </c>
      <c r="AW10" s="74">
        <f>+GETPIVOTDATA("XNT4",'nghiathanh (2016)'!$A$3,"MA_HT","LUN","MA_QH","NTD")</f>
        <v>0</v>
      </c>
      <c r="AX10" s="74">
        <f>+GETPIVOTDATA("XNT4",'nghiathanh (2016)'!$A$3,"MA_HT","LUN","MA_QH","SKX")</f>
        <v>0</v>
      </c>
      <c r="AY10" s="74">
        <f>+GETPIVOTDATA("XNT4",'nghiathanh (2016)'!$A$3,"MA_HT","LUN","MA_QH","DSH")</f>
        <v>0</v>
      </c>
      <c r="AZ10" s="74">
        <f>+GETPIVOTDATA("XNT4",'nghiathanh (2016)'!$A$3,"MA_HT","LUN","MA_QH","DKV")</f>
        <v>0</v>
      </c>
      <c r="BA10" s="139">
        <f>+GETPIVOTDATA("XNT4",'nghiathanh (2016)'!$A$3,"MA_HT","LUN","MA_QH","TIN")</f>
        <v>0</v>
      </c>
      <c r="BB10" s="74">
        <f>+GETPIVOTDATA("XNT4",'nghiathanh (2016)'!$A$3,"MA_HT","LUN","MA_QH","SON")</f>
        <v>0</v>
      </c>
      <c r="BC10" s="74">
        <f>+GETPIVOTDATA("XNT4",'nghiathanh (2016)'!$A$3,"MA_HT","LUN","MA_QH","MNC")</f>
        <v>0</v>
      </c>
      <c r="BD10" s="74">
        <f>+GETPIVOTDATA("XNT4",'nghiathanh (2016)'!$A$3,"MA_HT","LUN","MA_QH","PNK")</f>
        <v>0</v>
      </c>
      <c r="BE10" s="102">
        <f>+GETPIVOTDATA("XNT4",'nghiathanh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+GETPIVOTDATA("XNT4",'nghiathanh (2016)'!$A$3,"MA_HT","HNK","MA_QH","LUC")</f>
        <v>0</v>
      </c>
      <c r="H11" s="35">
        <f>+GETPIVOTDATA("XNT4",'nghiathanh (2016)'!$A$3,"MA_HT","HNK","MA_QH","LUK")</f>
        <v>0</v>
      </c>
      <c r="I11" s="35">
        <f>+GETPIVOTDATA("XNT4",'nghiathanh (2016)'!$A$3,"MA_HT","HNK","MA_QH","LUN")</f>
        <v>0</v>
      </c>
      <c r="J11" s="99" t="e">
        <f>$D11-$BF11</f>
        <v>#REF!</v>
      </c>
      <c r="K11" s="35">
        <f>+GETPIVOTDATA("XNT4",'nghiathanh (2016)'!$A$3,"MA_HT","HNK","MA_QH","CLN")</f>
        <v>0</v>
      </c>
      <c r="L11" s="35">
        <f>+GETPIVOTDATA("XNT4",'nghiathanh (2016)'!$A$3,"MA_HT","HNK","MA_QH","RSX")</f>
        <v>0</v>
      </c>
      <c r="M11" s="35">
        <f>+GETPIVOTDATA("XNT4",'nghiathanh (2016)'!$A$3,"MA_HT","HNK","MA_QH","RPH")</f>
        <v>0</v>
      </c>
      <c r="N11" s="35">
        <f>+GETPIVOTDATA("XNT4",'nghiathanh (2016)'!$A$3,"MA_HT","HNK","MA_QH","RDD")</f>
        <v>0</v>
      </c>
      <c r="O11" s="35">
        <f>+GETPIVOTDATA("XNT4",'nghiathanh (2016)'!$A$3,"MA_HT","HNK","MA_QH","NTS")</f>
        <v>0</v>
      </c>
      <c r="P11" s="35">
        <f>+GETPIVOTDATA("XNT4",'nghiathanh (2016)'!$A$3,"MA_HT","HNK","MA_QH","LMU")</f>
        <v>0</v>
      </c>
      <c r="Q11" s="35">
        <f>+GETPIVOTDATA("XNT4",'nghiathanh (2016)'!$A$3,"MA_HT","HNK","MA_QH","NKH")</f>
        <v>0</v>
      </c>
      <c r="R11" s="63">
        <f t="shared" si="2"/>
        <v>0</v>
      </c>
      <c r="S11" s="35">
        <f>+GETPIVOTDATA("XNT4",'nghiathanh (2016)'!$A$3,"MA_HT","HNK","MA_QH","CQP")</f>
        <v>0</v>
      </c>
      <c r="T11" s="35">
        <f>+GETPIVOTDATA("XNT4",'nghiathanh (2016)'!$A$3,"MA_HT","HNK","MA_QH","CAN")</f>
        <v>0</v>
      </c>
      <c r="U11" s="35">
        <f>+GETPIVOTDATA("XNT4",'nghiathanh (2016)'!$A$3,"MA_HT","HNK","MA_QH","SKK")</f>
        <v>0</v>
      </c>
      <c r="V11" s="35">
        <f>+GETPIVOTDATA("XNT4",'nghiathanh (2016)'!$A$3,"MA_HT","HNK","MA_QH","SKT")</f>
        <v>0</v>
      </c>
      <c r="W11" s="35">
        <f>+GETPIVOTDATA("XNT4",'nghiathanh (2016)'!$A$3,"MA_HT","HNK","MA_QH","SKN")</f>
        <v>0</v>
      </c>
      <c r="X11" s="35">
        <f>+GETPIVOTDATA("XNT4",'nghiathanh (2016)'!$A$3,"MA_HT","HNK","MA_QH","TMD")</f>
        <v>0</v>
      </c>
      <c r="Y11" s="35">
        <f>+GETPIVOTDATA("XNT4",'nghiathanh (2016)'!$A$3,"MA_HT","HNK","MA_QH","SKC")</f>
        <v>0</v>
      </c>
      <c r="Z11" s="35">
        <f>+GETPIVOTDATA("XNT4",'nghiathanh (2016)'!$A$3,"MA_HT","HNK","MA_QH","SKS")</f>
        <v>0</v>
      </c>
      <c r="AA11" s="64">
        <f t="shared" si="4"/>
        <v>0</v>
      </c>
      <c r="AB11" s="35">
        <f>+GETPIVOTDATA("XNT4",'nghiathanh (2016)'!$A$3,"MA_HT","HNK","MA_QH","DGT")</f>
        <v>0</v>
      </c>
      <c r="AC11" s="35">
        <f>+GETPIVOTDATA("XNT4",'nghiathanh (2016)'!$A$3,"MA_HT","HNK","MA_QH","DTL")</f>
        <v>0</v>
      </c>
      <c r="AD11" s="35">
        <f>+GETPIVOTDATA("XNT4",'nghiathanh (2016)'!$A$3,"MA_HT","HNK","MA_QH","DNL")</f>
        <v>0</v>
      </c>
      <c r="AE11" s="35">
        <f>+GETPIVOTDATA("XNT4",'nghiathanh (2016)'!$A$3,"MA_HT","HNK","MA_QH","DBV")</f>
        <v>0</v>
      </c>
      <c r="AF11" s="35">
        <f>+GETPIVOTDATA("XNT4",'nghiathanh (2016)'!$A$3,"MA_HT","HNK","MA_QH","DVH")</f>
        <v>0</v>
      </c>
      <c r="AG11" s="35">
        <f>+GETPIVOTDATA("XNT4",'nghiathanh (2016)'!$A$3,"MA_HT","HNK","MA_QH","DYT")</f>
        <v>0</v>
      </c>
      <c r="AH11" s="35">
        <f>+GETPIVOTDATA("XNT4",'nghiathanh (2016)'!$A$3,"MA_HT","HNK","MA_QH","DGD")</f>
        <v>0</v>
      </c>
      <c r="AI11" s="35">
        <f>+GETPIVOTDATA("XNT4",'nghiathanh (2016)'!$A$3,"MA_HT","HNK","MA_QH","DTT")</f>
        <v>0</v>
      </c>
      <c r="AJ11" s="35">
        <f>+GETPIVOTDATA("XNT4",'nghiathanh (2016)'!$A$3,"MA_HT","HNK","MA_QH","NCK")</f>
        <v>0</v>
      </c>
      <c r="AK11" s="35">
        <f>+GETPIVOTDATA("XNT4",'nghiathanh (2016)'!$A$3,"MA_HT","HNK","MA_QH","DXH")</f>
        <v>0</v>
      </c>
      <c r="AL11" s="35">
        <f>+GETPIVOTDATA("XNT4",'nghiathanh (2016)'!$A$3,"MA_HT","HNK","MA_QH","DCH")</f>
        <v>0</v>
      </c>
      <c r="AM11" s="35">
        <f>+GETPIVOTDATA("XNT4",'nghiathanh (2016)'!$A$3,"MA_HT","HNK","MA_QH","DKG")</f>
        <v>0</v>
      </c>
      <c r="AN11" s="35">
        <f>+GETPIVOTDATA("XNT4",'nghiathanh (2016)'!$A$3,"MA_HT","HNK","MA_QH","DDT")</f>
        <v>0</v>
      </c>
      <c r="AO11" s="35">
        <f>+GETPIVOTDATA("XNT4",'nghiathanh (2016)'!$A$3,"MA_HT","HNK","MA_QH","DDL")</f>
        <v>0</v>
      </c>
      <c r="AP11" s="35">
        <f>+GETPIVOTDATA("XNT4",'nghiathanh (2016)'!$A$3,"MA_HT","HNK","MA_QH","DRA")</f>
        <v>0</v>
      </c>
      <c r="AQ11" s="35">
        <f>+GETPIVOTDATA("XNT4",'nghiathanh (2016)'!$A$3,"MA_HT","HNK","MA_QH","ONT")</f>
        <v>0</v>
      </c>
      <c r="AR11" s="35">
        <f>+GETPIVOTDATA("XNT4",'nghiathanh (2016)'!$A$3,"MA_HT","HNK","MA_QH","ODT")</f>
        <v>0</v>
      </c>
      <c r="AS11" s="35">
        <f>+GETPIVOTDATA("XNT4",'nghiathanh (2016)'!$A$3,"MA_HT","HNK","MA_QH","TSC")</f>
        <v>0</v>
      </c>
      <c r="AT11" s="35">
        <f>+GETPIVOTDATA("XNT4",'nghiathanh (2016)'!$A$3,"MA_HT","HNK","MA_QH","DTS")</f>
        <v>0</v>
      </c>
      <c r="AU11" s="35">
        <f>+GETPIVOTDATA("XNT4",'nghiathanh (2016)'!$A$3,"MA_HT","HNK","MA_QH","DNG")</f>
        <v>0</v>
      </c>
      <c r="AV11" s="35">
        <f>+GETPIVOTDATA("XNT4",'nghiathanh (2016)'!$A$3,"MA_HT","HNK","MA_QH","TON")</f>
        <v>0</v>
      </c>
      <c r="AW11" s="35">
        <f>+GETPIVOTDATA("XNT4",'nghiathanh (2016)'!$A$3,"MA_HT","HNK","MA_QH","NTD")</f>
        <v>0</v>
      </c>
      <c r="AX11" s="35">
        <f>+GETPIVOTDATA("XNT4",'nghiathanh (2016)'!$A$3,"MA_HT","HNK","MA_QH","SKX")</f>
        <v>0</v>
      </c>
      <c r="AY11" s="35">
        <f>+GETPIVOTDATA("XNT4",'nghiathanh (2016)'!$A$3,"MA_HT","HNK","MA_QH","DSH")</f>
        <v>0</v>
      </c>
      <c r="AZ11" s="35">
        <f>+GETPIVOTDATA("XNT4",'nghiathanh (2016)'!$A$3,"MA_HT","HNK","MA_QH","DKV")</f>
        <v>0</v>
      </c>
      <c r="BA11" s="140">
        <f>+GETPIVOTDATA("XNT4",'nghiathanh (2016)'!$A$3,"MA_HT","HNK","MA_QH","TIN")</f>
        <v>0</v>
      </c>
      <c r="BB11" s="74">
        <f>+GETPIVOTDATA("XNT4",'nghiathanh (2016)'!$A$3,"MA_HT","HNK","MA_QH","SON")</f>
        <v>0</v>
      </c>
      <c r="BC11" s="74">
        <f>+GETPIVOTDATA("XNT4",'nghiathanh (2016)'!$A$3,"MA_HT","HNK","MA_QH","MNC")</f>
        <v>0</v>
      </c>
      <c r="BD11" s="35">
        <f>+GETPIVOTDATA("XNT4",'nghiathanh (2016)'!$A$3,"MA_HT","HNK","MA_QH","PNK")</f>
        <v>0</v>
      </c>
      <c r="BE11" s="58">
        <f>+GETPIVOTDATA("XNT4",'nghiathanh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+GETPIVOTDATA("XNT4",'nghiathanh (2016)'!$A$3,"MA_HT","CLN","MA_QH","LUC")</f>
        <v>0</v>
      </c>
      <c r="H12" s="35">
        <f>+GETPIVOTDATA("XNT4",'nghiathanh (2016)'!$A$3,"MA_HT","CLN","MA_QH","LUK")</f>
        <v>0</v>
      </c>
      <c r="I12" s="35">
        <f>+GETPIVOTDATA("XNT4",'nghiathanh (2016)'!$A$3,"MA_HT","CLN","MA_QH","LUN")</f>
        <v>0</v>
      </c>
      <c r="J12" s="35">
        <f>+GETPIVOTDATA("XNT4",'nghiathanh (2016)'!$A$3,"MA_HT","CLN","MA_QH","HNK")</f>
        <v>0</v>
      </c>
      <c r="K12" s="99" t="e">
        <f>$D12-$BF12</f>
        <v>#REF!</v>
      </c>
      <c r="L12" s="35">
        <f>+GETPIVOTDATA("XNT4",'nghiathanh (2016)'!$A$3,"MA_HT","CLN","MA_QH","RSX")</f>
        <v>0</v>
      </c>
      <c r="M12" s="35">
        <f>+GETPIVOTDATA("XNT4",'nghiathanh (2016)'!$A$3,"MA_HT","CLN","MA_QH","RPH")</f>
        <v>0</v>
      </c>
      <c r="N12" s="35">
        <f>+GETPIVOTDATA("XNT4",'nghiathanh (2016)'!$A$3,"MA_HT","CLN","MA_QH","RDD")</f>
        <v>0</v>
      </c>
      <c r="O12" s="35">
        <f>+GETPIVOTDATA("XNT4",'nghiathanh (2016)'!$A$3,"MA_HT","CLN","MA_QH","NTS")</f>
        <v>0</v>
      </c>
      <c r="P12" s="35">
        <f>+GETPIVOTDATA("XNT4",'nghiathanh (2016)'!$A$3,"MA_HT","CLN","MA_QH","LMU")</f>
        <v>0</v>
      </c>
      <c r="Q12" s="35">
        <f>+GETPIVOTDATA("XNT4",'nghiathanh (2016)'!$A$3,"MA_HT","CLN","MA_QH","NKH")</f>
        <v>0</v>
      </c>
      <c r="R12" s="63">
        <f t="shared" si="2"/>
        <v>0</v>
      </c>
      <c r="S12" s="35">
        <f>+GETPIVOTDATA("XNT4",'nghiathanh (2016)'!$A$3,"MA_HT","CLN","MA_QH","CQP")</f>
        <v>0</v>
      </c>
      <c r="T12" s="35">
        <f>+GETPIVOTDATA("XNT4",'nghiathanh (2016)'!$A$3,"MA_HT","CLN","MA_QH","CAN")</f>
        <v>0</v>
      </c>
      <c r="U12" s="35">
        <f>+GETPIVOTDATA("XNT4",'nghiathanh (2016)'!$A$3,"MA_HT","CLN","MA_QH","SKK")</f>
        <v>0</v>
      </c>
      <c r="V12" s="35">
        <f>+GETPIVOTDATA("XNT4",'nghiathanh (2016)'!$A$3,"MA_HT","CLN","MA_QH","SKT")</f>
        <v>0</v>
      </c>
      <c r="W12" s="35">
        <f>+GETPIVOTDATA("XNT4",'nghiathanh (2016)'!$A$3,"MA_HT","CLN","MA_QH","SKN")</f>
        <v>0</v>
      </c>
      <c r="X12" s="35">
        <f>+GETPIVOTDATA("XNT4",'nghiathanh (2016)'!$A$3,"MA_HT","CLN","MA_QH","TMD")</f>
        <v>0</v>
      </c>
      <c r="Y12" s="35">
        <f>+GETPIVOTDATA("XNT4",'nghiathanh (2016)'!$A$3,"MA_HT","CLN","MA_QH","SKC")</f>
        <v>0</v>
      </c>
      <c r="Z12" s="35">
        <f>+GETPIVOTDATA("XNT4",'nghiathanh (2016)'!$A$3,"MA_HT","CLN","MA_QH","SKS")</f>
        <v>0</v>
      </c>
      <c r="AA12" s="64">
        <f t="shared" si="4"/>
        <v>0</v>
      </c>
      <c r="AB12" s="35">
        <f>+GETPIVOTDATA("XNT4",'nghiathanh (2016)'!$A$3,"MA_HT","CLN","MA_QH","DGT")</f>
        <v>0</v>
      </c>
      <c r="AC12" s="35">
        <f>+GETPIVOTDATA("XNT4",'nghiathanh (2016)'!$A$3,"MA_HT","CLN","MA_QH","DTL")</f>
        <v>0</v>
      </c>
      <c r="AD12" s="35">
        <f>+GETPIVOTDATA("XNT4",'nghiathanh (2016)'!$A$3,"MA_HT","CLN","MA_QH","DNL")</f>
        <v>0</v>
      </c>
      <c r="AE12" s="35">
        <f>+GETPIVOTDATA("XNT4",'nghiathanh (2016)'!$A$3,"MA_HT","CLN","MA_QH","DBV")</f>
        <v>0</v>
      </c>
      <c r="AF12" s="35">
        <f>+GETPIVOTDATA("XNT4",'nghiathanh (2016)'!$A$3,"MA_HT","CLN","MA_QH","DVH")</f>
        <v>0</v>
      </c>
      <c r="AG12" s="35">
        <f>+GETPIVOTDATA("XNT4",'nghiathanh (2016)'!$A$3,"MA_HT","CLN","MA_QH","DYT")</f>
        <v>0</v>
      </c>
      <c r="AH12" s="35">
        <f>+GETPIVOTDATA("XNT4",'nghiathanh (2016)'!$A$3,"MA_HT","CLN","MA_QH","DGD")</f>
        <v>0</v>
      </c>
      <c r="AI12" s="35">
        <f>+GETPIVOTDATA("XNT4",'nghiathanh (2016)'!$A$3,"MA_HT","CLN","MA_QH","DTT")</f>
        <v>0</v>
      </c>
      <c r="AJ12" s="35">
        <f>+GETPIVOTDATA("XNT4",'nghiathanh (2016)'!$A$3,"MA_HT","CLN","MA_QH","NCK")</f>
        <v>0</v>
      </c>
      <c r="AK12" s="35">
        <f>+GETPIVOTDATA("XNT4",'nghiathanh (2016)'!$A$3,"MA_HT","CLN","MA_QH","DXH")</f>
        <v>0</v>
      </c>
      <c r="AL12" s="35">
        <f>+GETPIVOTDATA("XNT4",'nghiathanh (2016)'!$A$3,"MA_HT","CLN","MA_QH","DCH")</f>
        <v>0</v>
      </c>
      <c r="AM12" s="35">
        <f>+GETPIVOTDATA("XNT4",'nghiathanh (2016)'!$A$3,"MA_HT","CLN","MA_QH","DKG")</f>
        <v>0</v>
      </c>
      <c r="AN12" s="35">
        <f>+GETPIVOTDATA("XNT4",'nghiathanh (2016)'!$A$3,"MA_HT","CLN","MA_QH","DDT")</f>
        <v>0</v>
      </c>
      <c r="AO12" s="35">
        <f>+GETPIVOTDATA("XNT4",'nghiathanh (2016)'!$A$3,"MA_HT","CLN","MA_QH","DDL")</f>
        <v>0</v>
      </c>
      <c r="AP12" s="35">
        <f>+GETPIVOTDATA("XNT4",'nghiathanh (2016)'!$A$3,"MA_HT","CLN","MA_QH","DRA")</f>
        <v>0</v>
      </c>
      <c r="AQ12" s="35">
        <f>+GETPIVOTDATA("XNT4",'nghiathanh (2016)'!$A$3,"MA_HT","CLN","MA_QH","ONT")</f>
        <v>0</v>
      </c>
      <c r="AR12" s="35">
        <f>+GETPIVOTDATA("XNT4",'nghiathanh (2016)'!$A$3,"MA_HT","CLN","MA_QH","ODT")</f>
        <v>0</v>
      </c>
      <c r="AS12" s="35">
        <f>+GETPIVOTDATA("XNT4",'nghiathanh (2016)'!$A$3,"MA_HT","CLN","MA_QH","TSC")</f>
        <v>0</v>
      </c>
      <c r="AT12" s="35">
        <f>+GETPIVOTDATA("XNT4",'nghiathanh (2016)'!$A$3,"MA_HT","CLN","MA_QH","DTS")</f>
        <v>0</v>
      </c>
      <c r="AU12" s="35">
        <f>+GETPIVOTDATA("XNT4",'nghiathanh (2016)'!$A$3,"MA_HT","CLN","MA_QH","DNG")</f>
        <v>0</v>
      </c>
      <c r="AV12" s="35">
        <f>+GETPIVOTDATA("XNT4",'nghiathanh (2016)'!$A$3,"MA_HT","CLN","MA_QH","TON")</f>
        <v>0</v>
      </c>
      <c r="AW12" s="35">
        <f>+GETPIVOTDATA("XNT4",'nghiathanh (2016)'!$A$3,"MA_HT","CLN","MA_QH","NTD")</f>
        <v>0</v>
      </c>
      <c r="AX12" s="35">
        <f>+GETPIVOTDATA("XNT4",'nghiathanh (2016)'!$A$3,"MA_HT","CLN","MA_QH","SKX")</f>
        <v>0</v>
      </c>
      <c r="AY12" s="35">
        <f>+GETPIVOTDATA("XNT4",'nghiathanh (2016)'!$A$3,"MA_HT","CLN","MA_QH","DSH")</f>
        <v>0</v>
      </c>
      <c r="AZ12" s="35">
        <f>+GETPIVOTDATA("XNT4",'nghiathanh (2016)'!$A$3,"MA_HT","CLN","MA_QH","DKV")</f>
        <v>0</v>
      </c>
      <c r="BA12" s="140">
        <f>+GETPIVOTDATA("XNT4",'nghiathanh (2016)'!$A$3,"MA_HT","CLN","MA_QH","TIN")</f>
        <v>0</v>
      </c>
      <c r="BB12" s="74">
        <f>+GETPIVOTDATA("XNT4",'nghiathanh (2016)'!$A$3,"MA_HT","CLN","MA_QH","SON")</f>
        <v>0</v>
      </c>
      <c r="BC12" s="74">
        <f>+GETPIVOTDATA("XNT4",'nghiathanh (2016)'!$A$3,"MA_HT","CLN","MA_QH","MNC")</f>
        <v>0</v>
      </c>
      <c r="BD12" s="35">
        <f>+GETPIVOTDATA("XNT4",'nghiathanh (2016)'!$A$3,"MA_HT","CLN","MA_QH","PNK")</f>
        <v>0</v>
      </c>
      <c r="BE12" s="58">
        <f>+GETPIVOTDATA("XNT4",'nghiathanh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+GETPIVOTDATA("XNT4",'nghiathanh (2016)'!$A$3,"MA_HT","RSX","MA_QH","LUC")</f>
        <v>0</v>
      </c>
      <c r="H13" s="35">
        <f>+GETPIVOTDATA("XNT4",'nghiathanh (2016)'!$A$3,"MA_HT","RSX","MA_QH","LUK")</f>
        <v>0</v>
      </c>
      <c r="I13" s="35">
        <f>+GETPIVOTDATA("XNT4",'nghiathanh (2016)'!$A$3,"MA_HT","RSX","MA_QH","LUN")</f>
        <v>0</v>
      </c>
      <c r="J13" s="35">
        <f>+GETPIVOTDATA("XNT4",'nghiathanh (2016)'!$A$3,"MA_HT","RSX","MA_QH","HNK")</f>
        <v>0</v>
      </c>
      <c r="K13" s="35">
        <f>+GETPIVOTDATA("XNT4",'nghiathanh (2016)'!$A$3,"MA_HT","RSX","MA_QH","CLN")</f>
        <v>0</v>
      </c>
      <c r="L13" s="99" t="e">
        <f>$D13-$BF13</f>
        <v>#REF!</v>
      </c>
      <c r="M13" s="35">
        <f>+GETPIVOTDATA("XNT4",'nghiathanh (2016)'!$A$3,"MA_HT","RSX","MA_QH","RPH")</f>
        <v>0</v>
      </c>
      <c r="N13" s="35">
        <f>+GETPIVOTDATA("XNT4",'nghiathanh (2016)'!$A$3,"MA_HT","RSX","MA_QH","RDD")</f>
        <v>0</v>
      </c>
      <c r="O13" s="35">
        <f>+GETPIVOTDATA("XNT4",'nghiathanh (2016)'!$A$3,"MA_HT","RSX","MA_QH","NTS")</f>
        <v>0</v>
      </c>
      <c r="P13" s="35">
        <f>+GETPIVOTDATA("XNT4",'nghiathanh (2016)'!$A$3,"MA_HT","RSX","MA_QH","LMU")</f>
        <v>0</v>
      </c>
      <c r="Q13" s="35">
        <f>+GETPIVOTDATA("XNT4",'nghiathanh (2016)'!$A$3,"MA_HT","RSX","MA_QH","NKH")</f>
        <v>0</v>
      </c>
      <c r="R13" s="63">
        <f t="shared" si="2"/>
        <v>0</v>
      </c>
      <c r="S13" s="35">
        <f>+GETPIVOTDATA("XNT4",'nghiathanh (2016)'!$A$3,"MA_HT","RSX","MA_QH","CQP")</f>
        <v>0</v>
      </c>
      <c r="T13" s="35">
        <f>+GETPIVOTDATA("XNT4",'nghiathanh (2016)'!$A$3,"MA_HT","RSX","MA_QH","CAN")</f>
        <v>0</v>
      </c>
      <c r="U13" s="35">
        <f>+GETPIVOTDATA("XNT4",'nghiathanh (2016)'!$A$3,"MA_HT","RSX","MA_QH","SKK")</f>
        <v>0</v>
      </c>
      <c r="V13" s="35">
        <f>+GETPIVOTDATA("XNT4",'nghiathanh (2016)'!$A$3,"MA_HT","RSX","MA_QH","SKT")</f>
        <v>0</v>
      </c>
      <c r="W13" s="35">
        <f>+GETPIVOTDATA("XNT4",'nghiathanh (2016)'!$A$3,"MA_HT","RSX","MA_QH","SKN")</f>
        <v>0</v>
      </c>
      <c r="X13" s="35">
        <f>+GETPIVOTDATA("XNT4",'nghiathanh (2016)'!$A$3,"MA_HT","RSX","MA_QH","TMD")</f>
        <v>0</v>
      </c>
      <c r="Y13" s="35">
        <f>+GETPIVOTDATA("XNT4",'nghiathanh (2016)'!$A$3,"MA_HT","RSX","MA_QH","SKC")</f>
        <v>0</v>
      </c>
      <c r="Z13" s="35">
        <f>+GETPIVOTDATA("XNT4",'nghiathanh (2016)'!$A$3,"MA_HT","RSX","MA_QH","SKS")</f>
        <v>0</v>
      </c>
      <c r="AA13" s="64">
        <f t="shared" si="4"/>
        <v>0</v>
      </c>
      <c r="AB13" s="35">
        <f>+GETPIVOTDATA("XNT4",'nghiathanh (2016)'!$A$3,"MA_HT","RSX","MA_QH","DGT")</f>
        <v>0</v>
      </c>
      <c r="AC13" s="35">
        <f>+GETPIVOTDATA("XNT4",'nghiathanh (2016)'!$A$3,"MA_HT","RSX","MA_QH","DTL")</f>
        <v>0</v>
      </c>
      <c r="AD13" s="35">
        <f>+GETPIVOTDATA("XNT4",'nghiathanh (2016)'!$A$3,"MA_HT","RSX","MA_QH","DNL")</f>
        <v>0</v>
      </c>
      <c r="AE13" s="35">
        <f>+GETPIVOTDATA("XNT4",'nghiathanh (2016)'!$A$3,"MA_HT","RSX","MA_QH","DBV")</f>
        <v>0</v>
      </c>
      <c r="AF13" s="35">
        <f>+GETPIVOTDATA("XNT4",'nghiathanh (2016)'!$A$3,"MA_HT","RSX","MA_QH","DVH")</f>
        <v>0</v>
      </c>
      <c r="AG13" s="35">
        <f>+GETPIVOTDATA("XNT4",'nghiathanh (2016)'!$A$3,"MA_HT","RSX","MA_QH","DYT")</f>
        <v>0</v>
      </c>
      <c r="AH13" s="35">
        <f>+GETPIVOTDATA("XNT4",'nghiathanh (2016)'!$A$3,"MA_HT","RSX","MA_QH","DGD")</f>
        <v>0</v>
      </c>
      <c r="AI13" s="35">
        <f>+GETPIVOTDATA("XNT4",'nghiathanh (2016)'!$A$3,"MA_HT","RSX","MA_QH","DTT")</f>
        <v>0</v>
      </c>
      <c r="AJ13" s="35">
        <f>+GETPIVOTDATA("XNT4",'nghiathanh (2016)'!$A$3,"MA_HT","RSX","MA_QH","NCK")</f>
        <v>0</v>
      </c>
      <c r="AK13" s="35">
        <f>+GETPIVOTDATA("XNT4",'nghiathanh (2016)'!$A$3,"MA_HT","RSX","MA_QH","DXH")</f>
        <v>0</v>
      </c>
      <c r="AL13" s="35">
        <f>+GETPIVOTDATA("XNT4",'nghiathanh (2016)'!$A$3,"MA_HT","RSX","MA_QH","DCH")</f>
        <v>0</v>
      </c>
      <c r="AM13" s="35">
        <f>+GETPIVOTDATA("XNT4",'nghiathanh (2016)'!$A$3,"MA_HT","RSX","MA_QH","DKG")</f>
        <v>0</v>
      </c>
      <c r="AN13" s="35">
        <f>+GETPIVOTDATA("XNT4",'nghiathanh (2016)'!$A$3,"MA_HT","RSX","MA_QH","DDT")</f>
        <v>0</v>
      </c>
      <c r="AO13" s="35">
        <f>+GETPIVOTDATA("XNT4",'nghiathanh (2016)'!$A$3,"MA_HT","RSX","MA_QH","DDL")</f>
        <v>0</v>
      </c>
      <c r="AP13" s="35">
        <f>+GETPIVOTDATA("XNT4",'nghiathanh (2016)'!$A$3,"MA_HT","RSX","MA_QH","DRA")</f>
        <v>0</v>
      </c>
      <c r="AQ13" s="35">
        <f>+GETPIVOTDATA("XNT4",'nghiathanh (2016)'!$A$3,"MA_HT","RSX","MA_QH","ONT")</f>
        <v>0</v>
      </c>
      <c r="AR13" s="35">
        <f>+GETPIVOTDATA("XNT4",'nghiathanh (2016)'!$A$3,"MA_HT","RSX","MA_QH","ODT")</f>
        <v>0</v>
      </c>
      <c r="AS13" s="35">
        <f>+GETPIVOTDATA("XNT4",'nghiathanh (2016)'!$A$3,"MA_HT","RSX","MA_QH","TSC")</f>
        <v>0</v>
      </c>
      <c r="AT13" s="35">
        <f>+GETPIVOTDATA("XNT4",'nghiathanh (2016)'!$A$3,"MA_HT","RSX","MA_QH","DTS")</f>
        <v>0</v>
      </c>
      <c r="AU13" s="35">
        <f>+GETPIVOTDATA("XNT4",'nghiathanh (2016)'!$A$3,"MA_HT","RSX","MA_QH","DNG")</f>
        <v>0</v>
      </c>
      <c r="AV13" s="35">
        <f>+GETPIVOTDATA("XNT4",'nghiathanh (2016)'!$A$3,"MA_HT","RSX","MA_QH","TON")</f>
        <v>0</v>
      </c>
      <c r="AW13" s="35">
        <f>+GETPIVOTDATA("XNT4",'nghiathanh (2016)'!$A$3,"MA_HT","RSX","MA_QH","NTD")</f>
        <v>0</v>
      </c>
      <c r="AX13" s="35">
        <f>+GETPIVOTDATA("XNT4",'nghiathanh (2016)'!$A$3,"MA_HT","RSX","MA_QH","SKX")</f>
        <v>0</v>
      </c>
      <c r="AY13" s="35">
        <f>+GETPIVOTDATA("XNT4",'nghiathanh (2016)'!$A$3,"MA_HT","RSX","MA_QH","DSH")</f>
        <v>0</v>
      </c>
      <c r="AZ13" s="35">
        <f>+GETPIVOTDATA("XNT4",'nghiathanh (2016)'!$A$3,"MA_HT","RSX","MA_QH","DKV")</f>
        <v>0</v>
      </c>
      <c r="BA13" s="140">
        <f>+GETPIVOTDATA("XNT4",'nghiathanh (2016)'!$A$3,"MA_HT","RSX","MA_QH","TIN")</f>
        <v>0</v>
      </c>
      <c r="BB13" s="74">
        <f>+GETPIVOTDATA("XNT4",'nghiathanh (2016)'!$A$3,"MA_HT","RSX","MA_QH","SON")</f>
        <v>0</v>
      </c>
      <c r="BC13" s="74">
        <f>+GETPIVOTDATA("XNT4",'nghiathanh (2016)'!$A$3,"MA_HT","RSX","MA_QH","MNC")</f>
        <v>0</v>
      </c>
      <c r="BD13" s="35">
        <f>+GETPIVOTDATA("XNT4",'nghiathanh (2016)'!$A$3,"MA_HT","RSX","MA_QH","PNK")</f>
        <v>0</v>
      </c>
      <c r="BE13" s="58">
        <f>+GETPIVOTDATA("XNT4",'nghiathanh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+GETPIVOTDATA("XNT4",'nghiathanh (2016)'!$A$3,"MA_HT","RPH","MA_QH","LUC")</f>
        <v>0</v>
      </c>
      <c r="H14" s="35">
        <f>+GETPIVOTDATA("XNT4",'nghiathanh (2016)'!$A$3,"MA_HT","RPH","MA_QH","LUK")</f>
        <v>0</v>
      </c>
      <c r="I14" s="35">
        <f>+GETPIVOTDATA("XNT4",'nghiathanh (2016)'!$A$3,"MA_HT","RPH","MA_QH","LUN")</f>
        <v>0</v>
      </c>
      <c r="J14" s="35">
        <f>+GETPIVOTDATA("XNT4",'nghiathanh (2016)'!$A$3,"MA_HT","RPH","MA_QH","HNK")</f>
        <v>0</v>
      </c>
      <c r="K14" s="35">
        <f>+GETPIVOTDATA("XNT4",'nghiathanh (2016)'!$A$3,"MA_HT","RPH","MA_QH","CLN")</f>
        <v>0</v>
      </c>
      <c r="L14" s="35">
        <f>+GETPIVOTDATA("XNT4",'nghiathanh (2016)'!$A$3,"MA_HT","RPH","MA_QH","RSX")</f>
        <v>0</v>
      </c>
      <c r="M14" s="99" t="e">
        <f>$D14-$BF14</f>
        <v>#REF!</v>
      </c>
      <c r="N14" s="35">
        <f>+GETPIVOTDATA("XNT4",'nghiathanh (2016)'!$A$3,"MA_HT","RPH","MA_QH","RDD")</f>
        <v>0</v>
      </c>
      <c r="O14" s="35">
        <f>+GETPIVOTDATA("XNT4",'nghiathanh (2016)'!$A$3,"MA_HT","RPH","MA_QH","NTS")</f>
        <v>0</v>
      </c>
      <c r="P14" s="35">
        <f>+GETPIVOTDATA("XNT4",'nghiathanh (2016)'!$A$3,"MA_HT","RPH","MA_QH","LMU")</f>
        <v>0</v>
      </c>
      <c r="Q14" s="35">
        <f>+GETPIVOTDATA("XNT4",'nghiathanh (2016)'!$A$3,"MA_HT","RPH","MA_QH","NKH")</f>
        <v>0</v>
      </c>
      <c r="R14" s="63">
        <f t="shared" si="2"/>
        <v>0</v>
      </c>
      <c r="S14" s="35">
        <f>+GETPIVOTDATA("XNT4",'nghiathanh (2016)'!$A$3,"MA_HT","RPH","MA_QH","CQP")</f>
        <v>0</v>
      </c>
      <c r="T14" s="35">
        <f>+GETPIVOTDATA("XNT4",'nghiathanh (2016)'!$A$3,"MA_HT","RPH","MA_QH","CAN")</f>
        <v>0</v>
      </c>
      <c r="U14" s="35">
        <f>+GETPIVOTDATA("XNT4",'nghiathanh (2016)'!$A$3,"MA_HT","RPH","MA_QH","SKK")</f>
        <v>0</v>
      </c>
      <c r="V14" s="35">
        <f>+GETPIVOTDATA("XNT4",'nghiathanh (2016)'!$A$3,"MA_HT","RPH","MA_QH","SKT")</f>
        <v>0</v>
      </c>
      <c r="W14" s="35">
        <f>+GETPIVOTDATA("XNT4",'nghiathanh (2016)'!$A$3,"MA_HT","RPH","MA_QH","SKN")</f>
        <v>0</v>
      </c>
      <c r="X14" s="35">
        <f>+GETPIVOTDATA("XNT4",'nghiathanh (2016)'!$A$3,"MA_HT","RPH","MA_QH","TMD")</f>
        <v>0</v>
      </c>
      <c r="Y14" s="35">
        <f>+GETPIVOTDATA("XNT4",'nghiathanh (2016)'!$A$3,"MA_HT","RPH","MA_QH","SKC")</f>
        <v>0</v>
      </c>
      <c r="Z14" s="35">
        <f>+GETPIVOTDATA("XNT4",'nghiathanh (2016)'!$A$3,"MA_HT","RPH","MA_QH","SKS")</f>
        <v>0</v>
      </c>
      <c r="AA14" s="64">
        <f t="shared" si="4"/>
        <v>0</v>
      </c>
      <c r="AB14" s="35">
        <f>+GETPIVOTDATA("XNT4",'nghiathanh (2016)'!$A$3,"MA_HT","RPH","MA_QH","DGT")</f>
        <v>0</v>
      </c>
      <c r="AC14" s="35">
        <f>+GETPIVOTDATA("XNT4",'nghiathanh (2016)'!$A$3,"MA_HT","RPH","MA_QH","DTL")</f>
        <v>0</v>
      </c>
      <c r="AD14" s="35">
        <f>+GETPIVOTDATA("XNT4",'nghiathanh (2016)'!$A$3,"MA_HT","RPH","MA_QH","DNL")</f>
        <v>0</v>
      </c>
      <c r="AE14" s="35">
        <f>+GETPIVOTDATA("XNT4",'nghiathanh (2016)'!$A$3,"MA_HT","RPH","MA_QH","DBV")</f>
        <v>0</v>
      </c>
      <c r="AF14" s="35">
        <f>+GETPIVOTDATA("XNT4",'nghiathanh (2016)'!$A$3,"MA_HT","RPH","MA_QH","DVH")</f>
        <v>0</v>
      </c>
      <c r="AG14" s="35">
        <f>+GETPIVOTDATA("XNT4",'nghiathanh (2016)'!$A$3,"MA_HT","RPH","MA_QH","DYT")</f>
        <v>0</v>
      </c>
      <c r="AH14" s="35">
        <f>+GETPIVOTDATA("XNT4",'nghiathanh (2016)'!$A$3,"MA_HT","RPH","MA_QH","DGD")</f>
        <v>0</v>
      </c>
      <c r="AI14" s="35">
        <f>+GETPIVOTDATA("XNT4",'nghiathanh (2016)'!$A$3,"MA_HT","RPH","MA_QH","DTT")</f>
        <v>0</v>
      </c>
      <c r="AJ14" s="35">
        <f>+GETPIVOTDATA("XNT4",'nghiathanh (2016)'!$A$3,"MA_HT","RPH","MA_QH","NCK")</f>
        <v>0</v>
      </c>
      <c r="AK14" s="35">
        <f>+GETPIVOTDATA("XNT4",'nghiathanh (2016)'!$A$3,"MA_HT","RPH","MA_QH","DXH")</f>
        <v>0</v>
      </c>
      <c r="AL14" s="35">
        <f>+GETPIVOTDATA("XNT4",'nghiathanh (2016)'!$A$3,"MA_HT","RPH","MA_QH","DCH")</f>
        <v>0</v>
      </c>
      <c r="AM14" s="35">
        <f>+GETPIVOTDATA("XNT4",'nghiathanh (2016)'!$A$3,"MA_HT","RPH","MA_QH","DKG")</f>
        <v>0</v>
      </c>
      <c r="AN14" s="35">
        <f>+GETPIVOTDATA("XNT4",'nghiathanh (2016)'!$A$3,"MA_HT","RPH","MA_QH","DDT")</f>
        <v>0</v>
      </c>
      <c r="AO14" s="35">
        <f>+GETPIVOTDATA("XNT4",'nghiathanh (2016)'!$A$3,"MA_HT","RPH","MA_QH","DDL")</f>
        <v>0</v>
      </c>
      <c r="AP14" s="35">
        <f>+GETPIVOTDATA("XNT4",'nghiathanh (2016)'!$A$3,"MA_HT","RPH","MA_QH","DRA")</f>
        <v>0</v>
      </c>
      <c r="AQ14" s="35">
        <f>+GETPIVOTDATA("XNT4",'nghiathanh (2016)'!$A$3,"MA_HT","RPH","MA_QH","ONT")</f>
        <v>0</v>
      </c>
      <c r="AR14" s="35">
        <f>+GETPIVOTDATA("XNT4",'nghiathanh (2016)'!$A$3,"MA_HT","RPH","MA_QH","ODT")</f>
        <v>0</v>
      </c>
      <c r="AS14" s="35">
        <f>+GETPIVOTDATA("XNT4",'nghiathanh (2016)'!$A$3,"MA_HT","RPH","MA_QH","TSC")</f>
        <v>0</v>
      </c>
      <c r="AT14" s="35">
        <f>+GETPIVOTDATA("XNT4",'nghiathanh (2016)'!$A$3,"MA_HT","RPH","MA_QH","DTS")</f>
        <v>0</v>
      </c>
      <c r="AU14" s="35">
        <f>+GETPIVOTDATA("XNT4",'nghiathanh (2016)'!$A$3,"MA_HT","RPH","MA_QH","DNG")</f>
        <v>0</v>
      </c>
      <c r="AV14" s="35">
        <f>+GETPIVOTDATA("XNT4",'nghiathanh (2016)'!$A$3,"MA_HT","RPH","MA_QH","TON")</f>
        <v>0</v>
      </c>
      <c r="AW14" s="35">
        <f>+GETPIVOTDATA("XNT4",'nghiathanh (2016)'!$A$3,"MA_HT","RPH","MA_QH","NTD")</f>
        <v>0</v>
      </c>
      <c r="AX14" s="35">
        <f>+GETPIVOTDATA("XNT4",'nghiathanh (2016)'!$A$3,"MA_HT","RPH","MA_QH","SKX")</f>
        <v>0</v>
      </c>
      <c r="AY14" s="35">
        <f>+GETPIVOTDATA("XNT4",'nghiathanh (2016)'!$A$3,"MA_HT","RPH","MA_QH","DSH")</f>
        <v>0</v>
      </c>
      <c r="AZ14" s="35">
        <f>+GETPIVOTDATA("XNT4",'nghiathanh (2016)'!$A$3,"MA_HT","RPH","MA_QH","DKV")</f>
        <v>0</v>
      </c>
      <c r="BA14" s="140">
        <f>+GETPIVOTDATA("XNT4",'nghiathanh (2016)'!$A$3,"MA_HT","RPH","MA_QH","TIN")</f>
        <v>0</v>
      </c>
      <c r="BB14" s="74">
        <f>+GETPIVOTDATA("XNT4",'nghiathanh (2016)'!$A$3,"MA_HT","RPH","MA_QH","SON")</f>
        <v>0</v>
      </c>
      <c r="BC14" s="74">
        <f>+GETPIVOTDATA("XNT4",'nghiathanh (2016)'!$A$3,"MA_HT","RPH","MA_QH","MNC")</f>
        <v>0</v>
      </c>
      <c r="BD14" s="35">
        <f>+GETPIVOTDATA("XNT4",'nghiathanh (2016)'!$A$3,"MA_HT","RPH","MA_QH","PNK")</f>
        <v>0</v>
      </c>
      <c r="BE14" s="58">
        <f>+GETPIVOTDATA("XNT4",'nghiathanh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+GETPIVOTDATA("XNT4",'nghiathanh (2016)'!$A$3,"MA_HT","RDD","MA_QH","LUC")</f>
        <v>0</v>
      </c>
      <c r="H15" s="35">
        <f>+GETPIVOTDATA("XNT4",'nghiathanh (2016)'!$A$3,"MA_HT","RDD","MA_QH","LUK")</f>
        <v>0</v>
      </c>
      <c r="I15" s="35">
        <f>+GETPIVOTDATA("XNT4",'nghiathanh (2016)'!$A$3,"MA_HT","RDD","MA_QH","LUN")</f>
        <v>0</v>
      </c>
      <c r="J15" s="35">
        <f>+GETPIVOTDATA("XNT4",'nghiathanh (2016)'!$A$3,"MA_HT","RDD","MA_QH","HNK")</f>
        <v>0</v>
      </c>
      <c r="K15" s="35">
        <f>+GETPIVOTDATA("XNT4",'nghiathanh (2016)'!$A$3,"MA_HT","RDD","MA_QH","CLN")</f>
        <v>0</v>
      </c>
      <c r="L15" s="35">
        <f>+GETPIVOTDATA("XNT4",'nghiathanh (2016)'!$A$3,"MA_HT","RDD","MA_QH","RSX")</f>
        <v>0</v>
      </c>
      <c r="M15" s="35">
        <f>+GETPIVOTDATA("XNT4",'nghiathanh (2016)'!$A$3,"MA_HT","RDD","MA_QH","RPH")</f>
        <v>0</v>
      </c>
      <c r="N15" s="99" t="e">
        <f>$D15-$BF15</f>
        <v>#REF!</v>
      </c>
      <c r="O15" s="35">
        <f>+GETPIVOTDATA("XNT4",'nghiathanh (2016)'!$A$3,"MA_HT","RDD","MA_QH","NTS")</f>
        <v>0</v>
      </c>
      <c r="P15" s="35">
        <f>+GETPIVOTDATA("XNT4",'nghiathanh (2016)'!$A$3,"MA_HT","RDD","MA_QH","LMU")</f>
        <v>0</v>
      </c>
      <c r="Q15" s="35">
        <f>+GETPIVOTDATA("XNT4",'nghiathanh (2016)'!$A$3,"MA_HT","RDD","MA_QH","NKH")</f>
        <v>0</v>
      </c>
      <c r="R15" s="63">
        <f t="shared" si="2"/>
        <v>0</v>
      </c>
      <c r="S15" s="35">
        <f>+GETPIVOTDATA("XNT4",'nghiathanh (2016)'!$A$3,"MA_HT","RDD","MA_QH","CQP")</f>
        <v>0</v>
      </c>
      <c r="T15" s="35">
        <f>+GETPIVOTDATA("XNT4",'nghiathanh (2016)'!$A$3,"MA_HT","RDD","MA_QH","CAN")</f>
        <v>0</v>
      </c>
      <c r="U15" s="35">
        <f>+GETPIVOTDATA("XNT4",'nghiathanh (2016)'!$A$3,"MA_HT","RDD","MA_QH","SKK")</f>
        <v>0</v>
      </c>
      <c r="V15" s="35">
        <f>+GETPIVOTDATA("XNT4",'nghiathanh (2016)'!$A$3,"MA_HT","RDD","MA_QH","SKT")</f>
        <v>0</v>
      </c>
      <c r="W15" s="35">
        <f>+GETPIVOTDATA("XNT4",'nghiathanh (2016)'!$A$3,"MA_HT","RDD","MA_QH","SKN")</f>
        <v>0</v>
      </c>
      <c r="X15" s="35">
        <f>+GETPIVOTDATA("XNT4",'nghiathanh (2016)'!$A$3,"MA_HT","RDD","MA_QH","TMD")</f>
        <v>0</v>
      </c>
      <c r="Y15" s="35">
        <f>+GETPIVOTDATA("XNT4",'nghiathanh (2016)'!$A$3,"MA_HT","RDD","MA_QH","SKC")</f>
        <v>0</v>
      </c>
      <c r="Z15" s="35">
        <f>+GETPIVOTDATA("XNT4",'nghiathanh (2016)'!$A$3,"MA_HT","RDD","MA_QH","SKS")</f>
        <v>0</v>
      </c>
      <c r="AA15" s="64">
        <f t="shared" si="4"/>
        <v>0</v>
      </c>
      <c r="AB15" s="35">
        <f>+GETPIVOTDATA("XNT4",'nghiathanh (2016)'!$A$3,"MA_HT","RDD","MA_QH","DGT")</f>
        <v>0</v>
      </c>
      <c r="AC15" s="35">
        <f>+GETPIVOTDATA("XNT4",'nghiathanh (2016)'!$A$3,"MA_HT","RDD","MA_QH","DTL")</f>
        <v>0</v>
      </c>
      <c r="AD15" s="35">
        <f>+GETPIVOTDATA("XNT4",'nghiathanh (2016)'!$A$3,"MA_HT","RDD","MA_QH","DNL")</f>
        <v>0</v>
      </c>
      <c r="AE15" s="35">
        <f>+GETPIVOTDATA("XNT4",'nghiathanh (2016)'!$A$3,"MA_HT","RDD","MA_QH","DBV")</f>
        <v>0</v>
      </c>
      <c r="AF15" s="35">
        <f>+GETPIVOTDATA("XNT4",'nghiathanh (2016)'!$A$3,"MA_HT","RDD","MA_QH","DVH")</f>
        <v>0</v>
      </c>
      <c r="AG15" s="35">
        <f>+GETPIVOTDATA("XNT4",'nghiathanh (2016)'!$A$3,"MA_HT","RDD","MA_QH","DYT")</f>
        <v>0</v>
      </c>
      <c r="AH15" s="35">
        <f>+GETPIVOTDATA("XNT4",'nghiathanh (2016)'!$A$3,"MA_HT","RDD","MA_QH","DGD")</f>
        <v>0</v>
      </c>
      <c r="AI15" s="35">
        <f>+GETPIVOTDATA("XNT4",'nghiathanh (2016)'!$A$3,"MA_HT","RDD","MA_QH","DTT")</f>
        <v>0</v>
      </c>
      <c r="AJ15" s="35">
        <f>+GETPIVOTDATA("XNT4",'nghiathanh (2016)'!$A$3,"MA_HT","RDD","MA_QH","NCK")</f>
        <v>0</v>
      </c>
      <c r="AK15" s="35">
        <f>+GETPIVOTDATA("XNT4",'nghiathanh (2016)'!$A$3,"MA_HT","RDD","MA_QH","DXH")</f>
        <v>0</v>
      </c>
      <c r="AL15" s="35">
        <f>+GETPIVOTDATA("XNT4",'nghiathanh (2016)'!$A$3,"MA_HT","RDD","MA_QH","DCH")</f>
        <v>0</v>
      </c>
      <c r="AM15" s="35">
        <f>+GETPIVOTDATA("XNT4",'nghiathanh (2016)'!$A$3,"MA_HT","RDD","MA_QH","DKG")</f>
        <v>0</v>
      </c>
      <c r="AN15" s="35">
        <f>+GETPIVOTDATA("XNT4",'nghiathanh (2016)'!$A$3,"MA_HT","RDD","MA_QH","DDT")</f>
        <v>0</v>
      </c>
      <c r="AO15" s="35">
        <f>+GETPIVOTDATA("XNT4",'nghiathanh (2016)'!$A$3,"MA_HT","RDD","MA_QH","DDL")</f>
        <v>0</v>
      </c>
      <c r="AP15" s="35">
        <f>+GETPIVOTDATA("XNT4",'nghiathanh (2016)'!$A$3,"MA_HT","RDD","MA_QH","DRA")</f>
        <v>0</v>
      </c>
      <c r="AQ15" s="35">
        <f>+GETPIVOTDATA("XNT4",'nghiathanh (2016)'!$A$3,"MA_HT","RDD","MA_QH","ONT")</f>
        <v>0</v>
      </c>
      <c r="AR15" s="35">
        <f>+GETPIVOTDATA("XNT4",'nghiathanh (2016)'!$A$3,"MA_HT","RDD","MA_QH","ODT")</f>
        <v>0</v>
      </c>
      <c r="AS15" s="35">
        <f>+GETPIVOTDATA("XNT4",'nghiathanh (2016)'!$A$3,"MA_HT","RDD","MA_QH","TSC")</f>
        <v>0</v>
      </c>
      <c r="AT15" s="35">
        <f>+GETPIVOTDATA("XNT4",'nghiathanh (2016)'!$A$3,"MA_HT","RDD","MA_QH","DTS")</f>
        <v>0</v>
      </c>
      <c r="AU15" s="35">
        <f>+GETPIVOTDATA("XNT4",'nghiathanh (2016)'!$A$3,"MA_HT","RDD","MA_QH","DNG")</f>
        <v>0</v>
      </c>
      <c r="AV15" s="35">
        <f>+GETPIVOTDATA("XNT4",'nghiathanh (2016)'!$A$3,"MA_HT","RDD","MA_QH","TON")</f>
        <v>0</v>
      </c>
      <c r="AW15" s="35">
        <f>+GETPIVOTDATA("XNT4",'nghiathanh (2016)'!$A$3,"MA_HT","RDD","MA_QH","NTD")</f>
        <v>0</v>
      </c>
      <c r="AX15" s="35">
        <f>+GETPIVOTDATA("XNT4",'nghiathanh (2016)'!$A$3,"MA_HT","RDD","MA_QH","SKX")</f>
        <v>0</v>
      </c>
      <c r="AY15" s="35">
        <f>+GETPIVOTDATA("XNT4",'nghiathanh (2016)'!$A$3,"MA_HT","RDD","MA_QH","DSH")</f>
        <v>0</v>
      </c>
      <c r="AZ15" s="35">
        <f>+GETPIVOTDATA("XNT4",'nghiathanh (2016)'!$A$3,"MA_HT","RDD","MA_QH","DKV")</f>
        <v>0</v>
      </c>
      <c r="BA15" s="140">
        <f>+GETPIVOTDATA("XNT4",'nghiathanh (2016)'!$A$3,"MA_HT","RDD","MA_QH","TIN")</f>
        <v>0</v>
      </c>
      <c r="BB15" s="74">
        <f>+GETPIVOTDATA("XNT4",'nghiathanh (2016)'!$A$3,"MA_HT","RDD","MA_QH","SON")</f>
        <v>0</v>
      </c>
      <c r="BC15" s="74">
        <f>+GETPIVOTDATA("XNT4",'nghiathanh (2016)'!$A$3,"MA_HT","RDD","MA_QH","MNC")</f>
        <v>0</v>
      </c>
      <c r="BD15" s="35">
        <f>+GETPIVOTDATA("XNT4",'nghiathanh (2016)'!$A$3,"MA_HT","RDD","MA_QH","PNK")</f>
        <v>0</v>
      </c>
      <c r="BE15" s="58">
        <f>+GETPIVOTDATA("XNT4",'nghiathanh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+GETPIVOTDATA("XNT4",'nghiathanh (2016)'!$A$3,"MA_HT","NTS","MA_QH","LUC")</f>
        <v>0</v>
      </c>
      <c r="H16" s="35">
        <f>+GETPIVOTDATA("XNT4",'nghiathanh (2016)'!$A$3,"MA_HT","NTS","MA_QH","LUK")</f>
        <v>0</v>
      </c>
      <c r="I16" s="35">
        <f>+GETPIVOTDATA("XNT4",'nghiathanh (2016)'!$A$3,"MA_HT","NTS","MA_QH","LUN")</f>
        <v>0</v>
      </c>
      <c r="J16" s="35">
        <f>+GETPIVOTDATA("XNT4",'nghiathanh (2016)'!$A$3,"MA_HT","NTS","MA_QH","HNK")</f>
        <v>0</v>
      </c>
      <c r="K16" s="35">
        <f>+GETPIVOTDATA("XNT4",'nghiathanh (2016)'!$A$3,"MA_HT","NTS","MA_QH","CLN")</f>
        <v>0</v>
      </c>
      <c r="L16" s="35">
        <f>+GETPIVOTDATA("XNT4",'nghiathanh (2016)'!$A$3,"MA_HT","NTS","MA_QH","RSX")</f>
        <v>0</v>
      </c>
      <c r="M16" s="35">
        <f>+GETPIVOTDATA("XNT4",'nghiathanh (2016)'!$A$3,"MA_HT","NTS","MA_QH","RPH")</f>
        <v>0</v>
      </c>
      <c r="N16" s="35">
        <f>+GETPIVOTDATA("XNT4",'nghiathanh (2016)'!$A$3,"MA_HT","NTS","MA_QH","RDD")</f>
        <v>0</v>
      </c>
      <c r="O16" s="99" t="e">
        <f>$D16-$BF16</f>
        <v>#REF!</v>
      </c>
      <c r="P16" s="35">
        <f>+GETPIVOTDATA("XNT4",'nghiathanh (2016)'!$A$3,"MA_HT","NTS","MA_QH","LMU")</f>
        <v>0</v>
      </c>
      <c r="Q16" s="35">
        <f>+GETPIVOTDATA("XNT4",'nghiathanh (2016)'!$A$3,"MA_HT","NTS","MA_QH","NKH")</f>
        <v>0</v>
      </c>
      <c r="R16" s="63">
        <f t="shared" si="2"/>
        <v>0</v>
      </c>
      <c r="S16" s="35">
        <f>+GETPIVOTDATA("XNT4",'nghiathanh (2016)'!$A$3,"MA_HT","NTS","MA_QH","CQP")</f>
        <v>0</v>
      </c>
      <c r="T16" s="35">
        <f>+GETPIVOTDATA("XNT4",'nghiathanh (2016)'!$A$3,"MA_HT","NTS","MA_QH","CAN")</f>
        <v>0</v>
      </c>
      <c r="U16" s="35">
        <f>+GETPIVOTDATA("XNT4",'nghiathanh (2016)'!$A$3,"MA_HT","NTS","MA_QH","SKK")</f>
        <v>0</v>
      </c>
      <c r="V16" s="35">
        <f>+GETPIVOTDATA("XNT4",'nghiathanh (2016)'!$A$3,"MA_HT","NTS","MA_QH","SKT")</f>
        <v>0</v>
      </c>
      <c r="W16" s="35">
        <f>+GETPIVOTDATA("XNT4",'nghiathanh (2016)'!$A$3,"MA_HT","NTS","MA_QH","SKN")</f>
        <v>0</v>
      </c>
      <c r="X16" s="35">
        <f>+GETPIVOTDATA("XNT4",'nghiathanh (2016)'!$A$3,"MA_HT","NTS","MA_QH","TMD")</f>
        <v>0</v>
      </c>
      <c r="Y16" s="35">
        <f>+GETPIVOTDATA("XNT4",'nghiathanh (2016)'!$A$3,"MA_HT","NTS","MA_QH","SKC")</f>
        <v>0</v>
      </c>
      <c r="Z16" s="35">
        <f>+GETPIVOTDATA("XNT4",'nghiathanh (2016)'!$A$3,"MA_HT","NTS","MA_QH","SKS")</f>
        <v>0</v>
      </c>
      <c r="AA16" s="64">
        <f t="shared" si="4"/>
        <v>0</v>
      </c>
      <c r="AB16" s="35">
        <f>+GETPIVOTDATA("XNT4",'nghiathanh (2016)'!$A$3,"MA_HT","NTS","MA_QH","DGT")</f>
        <v>0</v>
      </c>
      <c r="AC16" s="35">
        <f>+GETPIVOTDATA("XNT4",'nghiathanh (2016)'!$A$3,"MA_HT","NTS","MA_QH","DTL")</f>
        <v>0</v>
      </c>
      <c r="AD16" s="35">
        <f>+GETPIVOTDATA("XNT4",'nghiathanh (2016)'!$A$3,"MA_HT","NTS","MA_QH","DNL")</f>
        <v>0</v>
      </c>
      <c r="AE16" s="35">
        <f>+GETPIVOTDATA("XNT4",'nghiathanh (2016)'!$A$3,"MA_HT","NTS","MA_QH","DBV")</f>
        <v>0</v>
      </c>
      <c r="AF16" s="35">
        <f>+GETPIVOTDATA("XNT4",'nghiathanh (2016)'!$A$3,"MA_HT","NTS","MA_QH","DVH")</f>
        <v>0</v>
      </c>
      <c r="AG16" s="35">
        <f>+GETPIVOTDATA("XNT4",'nghiathanh (2016)'!$A$3,"MA_HT","NTS","MA_QH","DYT")</f>
        <v>0</v>
      </c>
      <c r="AH16" s="35">
        <f>+GETPIVOTDATA("XNT4",'nghiathanh (2016)'!$A$3,"MA_HT","NTS","MA_QH","DGD")</f>
        <v>0</v>
      </c>
      <c r="AI16" s="35">
        <f>+GETPIVOTDATA("XNT4",'nghiathanh (2016)'!$A$3,"MA_HT","NTS","MA_QH","DTT")</f>
        <v>0</v>
      </c>
      <c r="AJ16" s="35">
        <f>+GETPIVOTDATA("XNT4",'nghiathanh (2016)'!$A$3,"MA_HT","NTS","MA_QH","NCK")</f>
        <v>0</v>
      </c>
      <c r="AK16" s="35">
        <f>+GETPIVOTDATA("XNT4",'nghiathanh (2016)'!$A$3,"MA_HT","NTS","MA_QH","DXH")</f>
        <v>0</v>
      </c>
      <c r="AL16" s="35">
        <f>+GETPIVOTDATA("XNT4",'nghiathanh (2016)'!$A$3,"MA_HT","NTS","MA_QH","DCH")</f>
        <v>0</v>
      </c>
      <c r="AM16" s="35">
        <f>+GETPIVOTDATA("XNT4",'nghiathanh (2016)'!$A$3,"MA_HT","NTS","MA_QH","DKG")</f>
        <v>0</v>
      </c>
      <c r="AN16" s="35">
        <f>+GETPIVOTDATA("XNT4",'nghiathanh (2016)'!$A$3,"MA_HT","NTS","MA_QH","DDT")</f>
        <v>0</v>
      </c>
      <c r="AO16" s="35">
        <f>+GETPIVOTDATA("XNT4",'nghiathanh (2016)'!$A$3,"MA_HT","NTS","MA_QH","DDL")</f>
        <v>0</v>
      </c>
      <c r="AP16" s="35">
        <f>+GETPIVOTDATA("XNT4",'nghiathanh (2016)'!$A$3,"MA_HT","NTS","MA_QH","DRA")</f>
        <v>0</v>
      </c>
      <c r="AQ16" s="35">
        <f>+GETPIVOTDATA("XNT4",'nghiathanh (2016)'!$A$3,"MA_HT","NTS","MA_QH","ONT")</f>
        <v>0</v>
      </c>
      <c r="AR16" s="35">
        <f>+GETPIVOTDATA("XNT4",'nghiathanh (2016)'!$A$3,"MA_HT","NTS","MA_QH","ODT")</f>
        <v>0</v>
      </c>
      <c r="AS16" s="35">
        <f>+GETPIVOTDATA("XNT4",'nghiathanh (2016)'!$A$3,"MA_HT","NTS","MA_QH","TSC")</f>
        <v>0</v>
      </c>
      <c r="AT16" s="35">
        <f>+GETPIVOTDATA("XNT4",'nghiathanh (2016)'!$A$3,"MA_HT","NTS","MA_QH","DTS")</f>
        <v>0</v>
      </c>
      <c r="AU16" s="35">
        <f>+GETPIVOTDATA("XNT4",'nghiathanh (2016)'!$A$3,"MA_HT","NTS","MA_QH","DNG")</f>
        <v>0</v>
      </c>
      <c r="AV16" s="35">
        <f>+GETPIVOTDATA("XNT4",'nghiathanh (2016)'!$A$3,"MA_HT","NTS","MA_QH","TON")</f>
        <v>0</v>
      </c>
      <c r="AW16" s="35">
        <f>+GETPIVOTDATA("XNT4",'nghiathanh (2016)'!$A$3,"MA_HT","NTS","MA_QH","NTD")</f>
        <v>0</v>
      </c>
      <c r="AX16" s="35">
        <f>+GETPIVOTDATA("XNT4",'nghiathanh (2016)'!$A$3,"MA_HT","NTS","MA_QH","SKX")</f>
        <v>0</v>
      </c>
      <c r="AY16" s="35">
        <f>+GETPIVOTDATA("XNT4",'nghiathanh (2016)'!$A$3,"MA_HT","NTS","MA_QH","DSH")</f>
        <v>0</v>
      </c>
      <c r="AZ16" s="35">
        <f>+GETPIVOTDATA("XNT4",'nghiathanh (2016)'!$A$3,"MA_HT","NTS","MA_QH","DKV")</f>
        <v>0</v>
      </c>
      <c r="BA16" s="140">
        <f>+GETPIVOTDATA("XNT4",'nghiathanh (2016)'!$A$3,"MA_HT","NTS","MA_QH","TIN")</f>
        <v>0</v>
      </c>
      <c r="BB16" s="74">
        <f>+GETPIVOTDATA("XNT4",'nghiathanh (2016)'!$A$3,"MA_HT","NTS","MA_QH","SON")</f>
        <v>0</v>
      </c>
      <c r="BC16" s="74">
        <f>+GETPIVOTDATA("XNT4",'nghiathanh (2016)'!$A$3,"MA_HT","NTS","MA_QH","MNC")</f>
        <v>0</v>
      </c>
      <c r="BD16" s="35">
        <f>+GETPIVOTDATA("XNT4",'nghiathanh (2016)'!$A$3,"MA_HT","NTS","MA_QH","PNK")</f>
        <v>0</v>
      </c>
      <c r="BE16" s="58">
        <f>+GETPIVOTDATA("XNT4",'nghiathanh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+GETPIVOTDATA("XNT4",'nghiathanh (2016)'!$A$3,"MA_HT","LMU","MA_QH","LUC")</f>
        <v>0</v>
      </c>
      <c r="H17" s="35">
        <f>+GETPIVOTDATA("XNT4",'nghiathanh (2016)'!$A$3,"MA_HT","LMU","MA_QH","LUK")</f>
        <v>0</v>
      </c>
      <c r="I17" s="35">
        <f>+GETPIVOTDATA("XNT4",'nghiathanh (2016)'!$A$3,"MA_HT","LMU","MA_QH","LUN")</f>
        <v>0</v>
      </c>
      <c r="J17" s="35">
        <f>+GETPIVOTDATA("XNT4",'nghiathanh (2016)'!$A$3,"MA_HT","LMU","MA_QH","HNK")</f>
        <v>0</v>
      </c>
      <c r="K17" s="35">
        <f>+GETPIVOTDATA("XNT4",'nghiathanh (2016)'!$A$3,"MA_HT","LMU","MA_QH","CLN")</f>
        <v>0</v>
      </c>
      <c r="L17" s="35">
        <f>+GETPIVOTDATA("XNT4",'nghiathanh (2016)'!$A$3,"MA_HT","LMU","MA_QH","RSX")</f>
        <v>0</v>
      </c>
      <c r="M17" s="35">
        <f>+GETPIVOTDATA("XNT4",'nghiathanh (2016)'!$A$3,"MA_HT","LMU","MA_QH","RPH")</f>
        <v>0</v>
      </c>
      <c r="N17" s="35">
        <f>+GETPIVOTDATA("XNT4",'nghiathanh (2016)'!$A$3,"MA_HT","LMU","MA_QH","RDD")</f>
        <v>0</v>
      </c>
      <c r="O17" s="35">
        <f>+GETPIVOTDATA("XNT4",'nghiathanh (2016)'!$A$3,"MA_HT","LMU","MA_QH","NTS")</f>
        <v>0</v>
      </c>
      <c r="P17" s="99" t="e">
        <f>$D17-$BF17</f>
        <v>#REF!</v>
      </c>
      <c r="Q17" s="35">
        <f>+GETPIVOTDATA("XNT4",'nghiathanh (2016)'!$A$3,"MA_HT","LMU","MA_QH","NKH")</f>
        <v>0</v>
      </c>
      <c r="R17" s="63">
        <f t="shared" si="2"/>
        <v>0</v>
      </c>
      <c r="S17" s="35">
        <f>+GETPIVOTDATA("XNT4",'nghiathanh (2016)'!$A$3,"MA_HT","LMU","MA_QH","CQP")</f>
        <v>0</v>
      </c>
      <c r="T17" s="35">
        <f>+GETPIVOTDATA("XNT4",'nghiathanh (2016)'!$A$3,"MA_HT","LMU","MA_QH","CAN")</f>
        <v>0</v>
      </c>
      <c r="U17" s="35">
        <f>+GETPIVOTDATA("XNT4",'nghiathanh (2016)'!$A$3,"MA_HT","LMU","MA_QH","SKK")</f>
        <v>0</v>
      </c>
      <c r="V17" s="35">
        <f>+GETPIVOTDATA("XNT4",'nghiathanh (2016)'!$A$3,"MA_HT","LMU","MA_QH","SKT")</f>
        <v>0</v>
      </c>
      <c r="W17" s="35">
        <f>+GETPIVOTDATA("XNT4",'nghiathanh (2016)'!$A$3,"MA_HT","LMU","MA_QH","SKN")</f>
        <v>0</v>
      </c>
      <c r="X17" s="35">
        <f>+GETPIVOTDATA("XNT4",'nghiathanh (2016)'!$A$3,"MA_HT","LMU","MA_QH","TMD")</f>
        <v>0</v>
      </c>
      <c r="Y17" s="35">
        <f>+GETPIVOTDATA("XNT4",'nghiathanh (2016)'!$A$3,"MA_HT","LMU","MA_QH","SKC")</f>
        <v>0</v>
      </c>
      <c r="Z17" s="35">
        <f>+GETPIVOTDATA("XNT4",'nghiathanh (2016)'!$A$3,"MA_HT","LMU","MA_QH","SKS")</f>
        <v>0</v>
      </c>
      <c r="AA17" s="64">
        <f t="shared" si="4"/>
        <v>0</v>
      </c>
      <c r="AB17" s="35">
        <f>+GETPIVOTDATA("XNT4",'nghiathanh (2016)'!$A$3,"MA_HT","LMU","MA_QH","DGT")</f>
        <v>0</v>
      </c>
      <c r="AC17" s="35">
        <f>+GETPIVOTDATA("XNT4",'nghiathanh (2016)'!$A$3,"MA_HT","LMU","MA_QH","DTL")</f>
        <v>0</v>
      </c>
      <c r="AD17" s="35">
        <f>+GETPIVOTDATA("XNT4",'nghiathanh (2016)'!$A$3,"MA_HT","LMU","MA_QH","DNL")</f>
        <v>0</v>
      </c>
      <c r="AE17" s="35">
        <f>+GETPIVOTDATA("XNT4",'nghiathanh (2016)'!$A$3,"MA_HT","LMU","MA_QH","DBV")</f>
        <v>0</v>
      </c>
      <c r="AF17" s="35">
        <f>+GETPIVOTDATA("XNT4",'nghiathanh (2016)'!$A$3,"MA_HT","LMU","MA_QH","DVH")</f>
        <v>0</v>
      </c>
      <c r="AG17" s="35">
        <f>+GETPIVOTDATA("XNT4",'nghiathanh (2016)'!$A$3,"MA_HT","LMU","MA_QH","DYT")</f>
        <v>0</v>
      </c>
      <c r="AH17" s="35">
        <f>+GETPIVOTDATA("XNT4",'nghiathanh (2016)'!$A$3,"MA_HT","LMU","MA_QH","DGD")</f>
        <v>0</v>
      </c>
      <c r="AI17" s="35">
        <f>+GETPIVOTDATA("XNT4",'nghiathanh (2016)'!$A$3,"MA_HT","LMU","MA_QH","DTT")</f>
        <v>0</v>
      </c>
      <c r="AJ17" s="35">
        <f>+GETPIVOTDATA("XNT4",'nghiathanh (2016)'!$A$3,"MA_HT","LMU","MA_QH","NCK")</f>
        <v>0</v>
      </c>
      <c r="AK17" s="35">
        <f>+GETPIVOTDATA("XNT4",'nghiathanh (2016)'!$A$3,"MA_HT","LMU","MA_QH","DXH")</f>
        <v>0</v>
      </c>
      <c r="AL17" s="35">
        <f>+GETPIVOTDATA("XNT4",'nghiathanh (2016)'!$A$3,"MA_HT","LMU","MA_QH","DCH")</f>
        <v>0</v>
      </c>
      <c r="AM17" s="35">
        <f>+GETPIVOTDATA("XNT4",'nghiathanh (2016)'!$A$3,"MA_HT","LMU","MA_QH","DKG")</f>
        <v>0</v>
      </c>
      <c r="AN17" s="35">
        <f>+GETPIVOTDATA("XNT4",'nghiathanh (2016)'!$A$3,"MA_HT","LMU","MA_QH","DDT")</f>
        <v>0</v>
      </c>
      <c r="AO17" s="35">
        <f>+GETPIVOTDATA("XNT4",'nghiathanh (2016)'!$A$3,"MA_HT","LMU","MA_QH","DDL")</f>
        <v>0</v>
      </c>
      <c r="AP17" s="35">
        <f>+GETPIVOTDATA("XNT4",'nghiathanh (2016)'!$A$3,"MA_HT","LMU","MA_QH","DRA")</f>
        <v>0</v>
      </c>
      <c r="AQ17" s="35">
        <f>+GETPIVOTDATA("XNT4",'nghiathanh (2016)'!$A$3,"MA_HT","LMU","MA_QH","ONT")</f>
        <v>0</v>
      </c>
      <c r="AR17" s="35">
        <f>+GETPIVOTDATA("XNT4",'nghiathanh (2016)'!$A$3,"MA_HT","LMU","MA_QH","ODT")</f>
        <v>0</v>
      </c>
      <c r="AS17" s="35">
        <f>+GETPIVOTDATA("XNT4",'nghiathanh (2016)'!$A$3,"MA_HT","LMU","MA_QH","TSC")</f>
        <v>0</v>
      </c>
      <c r="AT17" s="35">
        <f>+GETPIVOTDATA("XNT4",'nghiathanh (2016)'!$A$3,"MA_HT","LMU","MA_QH","DTS")</f>
        <v>0</v>
      </c>
      <c r="AU17" s="35">
        <f>+GETPIVOTDATA("XNT4",'nghiathanh (2016)'!$A$3,"MA_HT","LMU","MA_QH","DNG")</f>
        <v>0</v>
      </c>
      <c r="AV17" s="35">
        <f>+GETPIVOTDATA("XNT4",'nghiathanh (2016)'!$A$3,"MA_HT","LMU","MA_QH","TON")</f>
        <v>0</v>
      </c>
      <c r="AW17" s="35">
        <f>+GETPIVOTDATA("XNT4",'nghiathanh (2016)'!$A$3,"MA_HT","LMU","MA_QH","NTD")</f>
        <v>0</v>
      </c>
      <c r="AX17" s="35">
        <f>+GETPIVOTDATA("XNT4",'nghiathanh (2016)'!$A$3,"MA_HT","LMU","MA_QH","SKX")</f>
        <v>0</v>
      </c>
      <c r="AY17" s="35">
        <f>+GETPIVOTDATA("XNT4",'nghiathanh (2016)'!$A$3,"MA_HT","LMU","MA_QH","DSH")</f>
        <v>0</v>
      </c>
      <c r="AZ17" s="35">
        <f>+GETPIVOTDATA("XNT4",'nghiathanh (2016)'!$A$3,"MA_HT","LMU","MA_QH","DKV")</f>
        <v>0</v>
      </c>
      <c r="BA17" s="140">
        <f>+GETPIVOTDATA("XNT4",'nghiathanh (2016)'!$A$3,"MA_HT","LMU","MA_QH","TIN")</f>
        <v>0</v>
      </c>
      <c r="BB17" s="74">
        <f>+GETPIVOTDATA("XNT4",'nghiathanh (2016)'!$A$3,"MA_HT","LMU","MA_QH","SON")</f>
        <v>0</v>
      </c>
      <c r="BC17" s="74">
        <f>+GETPIVOTDATA("XNT4",'nghiathanh (2016)'!$A$3,"MA_HT","LMU","MA_QH","MNC")</f>
        <v>0</v>
      </c>
      <c r="BD17" s="35">
        <f>+GETPIVOTDATA("XNT4",'nghiathanh (2016)'!$A$3,"MA_HT","LMU","MA_QH","PNK")</f>
        <v>0</v>
      </c>
      <c r="BE17" s="58">
        <f>+GETPIVOTDATA("XNT4",'nghiathanh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+GETPIVOTDATA("XNT4",'nghiathanh (2016)'!$A$3,"MA_HT","NKH","MA_QH","LUC")</f>
        <v>0</v>
      </c>
      <c r="H18" s="35">
        <f>+GETPIVOTDATA("XNT4",'nghiathanh (2016)'!$A$3,"MA_HT","NKH","MA_QH","LUK")</f>
        <v>0</v>
      </c>
      <c r="I18" s="35">
        <f>+GETPIVOTDATA("XNT4",'nghiathanh (2016)'!$A$3,"MA_HT","NKH","MA_QH","LUN")</f>
        <v>0</v>
      </c>
      <c r="J18" s="35">
        <f>+GETPIVOTDATA("XNT4",'nghiathanh (2016)'!$A$3,"MA_HT","NKH","MA_QH","HNK")</f>
        <v>0</v>
      </c>
      <c r="K18" s="35">
        <f>+GETPIVOTDATA("XNT4",'nghiathanh (2016)'!$A$3,"MA_HT","NKH","MA_QH","CLN")</f>
        <v>0</v>
      </c>
      <c r="L18" s="35">
        <f>+GETPIVOTDATA("XNT4",'nghiathanh (2016)'!$A$3,"MA_HT","NKH","MA_QH","RSX")</f>
        <v>0</v>
      </c>
      <c r="M18" s="35">
        <f>+GETPIVOTDATA("XNT4",'nghiathanh (2016)'!$A$3,"MA_HT","NKH","MA_QH","RPH")</f>
        <v>0</v>
      </c>
      <c r="N18" s="35">
        <f>+GETPIVOTDATA("XNT4",'nghiathanh (2016)'!$A$3,"MA_HT","NKH","MA_QH","RDD")</f>
        <v>0</v>
      </c>
      <c r="O18" s="35">
        <f>+GETPIVOTDATA("XNT4",'nghiathanh (2016)'!$A$3,"MA_HT","NKH","MA_QH","NTS")</f>
        <v>0</v>
      </c>
      <c r="P18" s="35">
        <f>+GETPIVOTDATA("XNT4",'nghiathanh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+GETPIVOTDATA("XNT4",'nghiathanh (2016)'!$A$3,"MA_HT","NKH","MA_QH","CQP")</f>
        <v>0</v>
      </c>
      <c r="T18" s="35">
        <f>+GETPIVOTDATA("XNT4",'nghiathanh (2016)'!$A$3,"MA_HT","NKH","MA_QH","CAN")</f>
        <v>0</v>
      </c>
      <c r="U18" s="35">
        <f>+GETPIVOTDATA("XNT4",'nghiathanh (2016)'!$A$3,"MA_HT","NKH","MA_QH","SKK")</f>
        <v>0</v>
      </c>
      <c r="V18" s="35">
        <f>+GETPIVOTDATA("XNT4",'nghiathanh (2016)'!$A$3,"MA_HT","NKH","MA_QH","SKT")</f>
        <v>0</v>
      </c>
      <c r="W18" s="35">
        <f>+GETPIVOTDATA("XNT4",'nghiathanh (2016)'!$A$3,"MA_HT","NKH","MA_QH","SKN")</f>
        <v>0</v>
      </c>
      <c r="X18" s="35">
        <f>+GETPIVOTDATA("XNT4",'nghiathanh (2016)'!$A$3,"MA_HT","NKH","MA_QH","TMD")</f>
        <v>0</v>
      </c>
      <c r="Y18" s="35">
        <f>+GETPIVOTDATA("XNT4",'nghiathanh (2016)'!$A$3,"MA_HT","NKH","MA_QH","SKC")</f>
        <v>0</v>
      </c>
      <c r="Z18" s="35">
        <f>+GETPIVOTDATA("XNT4",'nghiathanh (2016)'!$A$3,"MA_HT","NKH","MA_QH","SKS")</f>
        <v>0</v>
      </c>
      <c r="AA18" s="64">
        <f t="shared" si="4"/>
        <v>0</v>
      </c>
      <c r="AB18" s="35">
        <f>+GETPIVOTDATA("XNT4",'nghiathanh (2016)'!$A$3,"MA_HT","NKH","MA_QH","DGT")</f>
        <v>0</v>
      </c>
      <c r="AC18" s="35">
        <f>+GETPIVOTDATA("XNT4",'nghiathanh (2016)'!$A$3,"MA_HT","NKH","MA_QH","DTL")</f>
        <v>0</v>
      </c>
      <c r="AD18" s="35">
        <f>+GETPIVOTDATA("XNT4",'nghiathanh (2016)'!$A$3,"MA_HT","NKH","MA_QH","DNL")</f>
        <v>0</v>
      </c>
      <c r="AE18" s="35">
        <f>+GETPIVOTDATA("XNT4",'nghiathanh (2016)'!$A$3,"MA_HT","NKH","MA_QH","DBV")</f>
        <v>0</v>
      </c>
      <c r="AF18" s="35">
        <f>+GETPIVOTDATA("XNT4",'nghiathanh (2016)'!$A$3,"MA_HT","NKH","MA_QH","DVH")</f>
        <v>0</v>
      </c>
      <c r="AG18" s="35">
        <f>+GETPIVOTDATA("XNT4",'nghiathanh (2016)'!$A$3,"MA_HT","NKH","MA_QH","DYT")</f>
        <v>0</v>
      </c>
      <c r="AH18" s="35">
        <f>+GETPIVOTDATA("XNT4",'nghiathanh (2016)'!$A$3,"MA_HT","NKH","MA_QH","DGD")</f>
        <v>0</v>
      </c>
      <c r="AI18" s="35">
        <f>+GETPIVOTDATA("XNT4",'nghiathanh (2016)'!$A$3,"MA_HT","NKH","MA_QH","DTT")</f>
        <v>0</v>
      </c>
      <c r="AJ18" s="35">
        <f>+GETPIVOTDATA("XNT4",'nghiathanh (2016)'!$A$3,"MA_HT","NKH","MA_QH","NCK")</f>
        <v>0</v>
      </c>
      <c r="AK18" s="35">
        <f>+GETPIVOTDATA("XNT4",'nghiathanh (2016)'!$A$3,"MA_HT","NKH","MA_QH","DXH")</f>
        <v>0</v>
      </c>
      <c r="AL18" s="35">
        <f>+GETPIVOTDATA("XNT4",'nghiathanh (2016)'!$A$3,"MA_HT","NKH","MA_QH","DCH")</f>
        <v>0</v>
      </c>
      <c r="AM18" s="35">
        <f>+GETPIVOTDATA("XNT4",'nghiathanh (2016)'!$A$3,"MA_HT","NKH","MA_QH","DKG")</f>
        <v>0</v>
      </c>
      <c r="AN18" s="35">
        <f>+GETPIVOTDATA("XNT4",'nghiathanh (2016)'!$A$3,"MA_HT","NKH","MA_QH","DDT")</f>
        <v>0</v>
      </c>
      <c r="AO18" s="35">
        <f>+GETPIVOTDATA("XNT4",'nghiathanh (2016)'!$A$3,"MA_HT","NKH","MA_QH","DDL")</f>
        <v>0</v>
      </c>
      <c r="AP18" s="35">
        <f>+GETPIVOTDATA("XNT4",'nghiathanh (2016)'!$A$3,"MA_HT","NKH","MA_QH","DRA")</f>
        <v>0</v>
      </c>
      <c r="AQ18" s="35">
        <f>+GETPIVOTDATA("XNT4",'nghiathanh (2016)'!$A$3,"MA_HT","NKH","MA_QH","ONT")</f>
        <v>0</v>
      </c>
      <c r="AR18" s="35">
        <f>+GETPIVOTDATA("XNT4",'nghiathanh (2016)'!$A$3,"MA_HT","NKH","MA_QH","ODT")</f>
        <v>0</v>
      </c>
      <c r="AS18" s="35">
        <f>+GETPIVOTDATA("XNT4",'nghiathanh (2016)'!$A$3,"MA_HT","NKH","MA_QH","TSC")</f>
        <v>0</v>
      </c>
      <c r="AT18" s="35">
        <f>+GETPIVOTDATA("XNT4",'nghiathanh (2016)'!$A$3,"MA_HT","NKH","MA_QH","DTS")</f>
        <v>0</v>
      </c>
      <c r="AU18" s="35">
        <f>+GETPIVOTDATA("XNT4",'nghiathanh (2016)'!$A$3,"MA_HT","NKH","MA_QH","DNG")</f>
        <v>0</v>
      </c>
      <c r="AV18" s="35">
        <f>+GETPIVOTDATA("XNT4",'nghiathanh (2016)'!$A$3,"MA_HT","NKH","MA_QH","TON")</f>
        <v>0</v>
      </c>
      <c r="AW18" s="35">
        <f>+GETPIVOTDATA("XNT4",'nghiathanh (2016)'!$A$3,"MA_HT","NKH","MA_QH","NTD")</f>
        <v>0</v>
      </c>
      <c r="AX18" s="35">
        <f>+GETPIVOTDATA("XNT4",'nghiathanh (2016)'!$A$3,"MA_HT","NKH","MA_QH","SKX")</f>
        <v>0</v>
      </c>
      <c r="AY18" s="35">
        <f>+GETPIVOTDATA("XNT4",'nghiathanh (2016)'!$A$3,"MA_HT","NKH","MA_QH","DSH")</f>
        <v>0</v>
      </c>
      <c r="AZ18" s="35">
        <f>+GETPIVOTDATA("XNT4",'nghiathanh (2016)'!$A$3,"MA_HT","NKH","MA_QH","DKV")</f>
        <v>0</v>
      </c>
      <c r="BA18" s="140">
        <f>+GETPIVOTDATA("XNT4",'nghiathanh (2016)'!$A$3,"MA_HT","NKH","MA_QH","TIN")</f>
        <v>0</v>
      </c>
      <c r="BB18" s="74">
        <f>+GETPIVOTDATA("XNT4",'nghiathanh (2016)'!$A$3,"MA_HT","NKH","MA_QH","SON")</f>
        <v>0</v>
      </c>
      <c r="BC18" s="74">
        <f>+GETPIVOTDATA("XNT4",'nghiathanh (2016)'!$A$3,"MA_HT","NKH","MA_QH","MNC")</f>
        <v>0</v>
      </c>
      <c r="BD18" s="35">
        <f>+GETPIVOTDATA("XNT4",'nghiathanh (2016)'!$A$3,"MA_HT","NKH","MA_QH","PNK")</f>
        <v>0</v>
      </c>
      <c r="BE18" s="58">
        <f>+GETPIVOTDATA("XNT4",'nghiathanh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+GETPIVOTDATA("XNT4",'nghiathanh (2016)'!$A$3,"MA_HT","CQP","MA_QH","LUC")</f>
        <v>0</v>
      </c>
      <c r="H20" s="35">
        <f>+GETPIVOTDATA("XNT4",'nghiathanh (2016)'!$A$3,"MA_HT","CQP","MA_QH","LUK")</f>
        <v>0</v>
      </c>
      <c r="I20" s="35">
        <f>+GETPIVOTDATA("XNT4",'nghiathanh (2016)'!$A$3,"MA_HT","CQP","MA_QH","LUN")</f>
        <v>0</v>
      </c>
      <c r="J20" s="35">
        <f>+GETPIVOTDATA("XNT4",'nghiathanh (2016)'!$A$3,"MA_HT","CQP","MA_QH","HNK")</f>
        <v>0</v>
      </c>
      <c r="K20" s="35">
        <f>+GETPIVOTDATA("XNT4",'nghiathanh (2016)'!$A$3,"MA_HT","CQP","MA_QH","CLN")</f>
        <v>0</v>
      </c>
      <c r="L20" s="35">
        <f>+GETPIVOTDATA("XNT4",'nghiathanh (2016)'!$A$3,"MA_HT","CQP","MA_QH","RSX")</f>
        <v>0</v>
      </c>
      <c r="M20" s="35">
        <f>+GETPIVOTDATA("XNT4",'nghiathanh (2016)'!$A$3,"MA_HT","CQP","MA_QH","RPH")</f>
        <v>0</v>
      </c>
      <c r="N20" s="35">
        <f>+GETPIVOTDATA("XNT4",'nghiathanh (2016)'!$A$3,"MA_HT","CQP","MA_QH","RDD")</f>
        <v>0</v>
      </c>
      <c r="O20" s="35">
        <f>+GETPIVOTDATA("XNT4",'nghiathanh (2016)'!$A$3,"MA_HT","CQP","MA_QH","NTS")</f>
        <v>0</v>
      </c>
      <c r="P20" s="35">
        <f>+GETPIVOTDATA("XNT4",'nghiathanh (2016)'!$A$3,"MA_HT","CQP","MA_QH","LMU")</f>
        <v>0</v>
      </c>
      <c r="Q20" s="35">
        <f>+GETPIVOTDATA("XNT4",'nghiathanh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+GETPIVOTDATA("XNT4",'nghiathanh (2016)'!$A$3,"MA_HT","CQP","MA_QH","CAN")</f>
        <v>0</v>
      </c>
      <c r="U20" s="35">
        <f>+GETPIVOTDATA("XNT4",'nghiathanh (2016)'!$A$3,"MA_HT","CQP","MA_QH","SKK")</f>
        <v>0</v>
      </c>
      <c r="V20" s="35">
        <f>+GETPIVOTDATA("XNT4",'nghiathanh (2016)'!$A$3,"MA_HT","CQP","MA_QH","SKT")</f>
        <v>0</v>
      </c>
      <c r="W20" s="35">
        <f>+GETPIVOTDATA("XNT4",'nghiathanh (2016)'!$A$3,"MA_HT","CQP","MA_QH","SKN")</f>
        <v>0</v>
      </c>
      <c r="X20" s="35">
        <f>+GETPIVOTDATA("XNT4",'nghiathanh (2016)'!$A$3,"MA_HT","CQP","MA_QH","TMD")</f>
        <v>0</v>
      </c>
      <c r="Y20" s="35">
        <f>+GETPIVOTDATA("XNT4",'nghiathanh (2016)'!$A$3,"MA_HT","CQP","MA_QH","SKC")</f>
        <v>0</v>
      </c>
      <c r="Z20" s="35">
        <f>+GETPIVOTDATA("XNT4",'nghiathanh (2016)'!$A$3,"MA_HT","CQP","MA_QH","SKS")</f>
        <v>0</v>
      </c>
      <c r="AA20" s="64">
        <f t="shared" ref="AA20:AA27" si="12">+SUM(AB20:AM20)</f>
        <v>0</v>
      </c>
      <c r="AB20" s="35">
        <f>+GETPIVOTDATA("XNT4",'nghiathanh (2016)'!$A$3,"MA_HT","CQP","MA_QH","DGT")</f>
        <v>0</v>
      </c>
      <c r="AC20" s="35">
        <f>+GETPIVOTDATA("XNT4",'nghiathanh (2016)'!$A$3,"MA_HT","CQP","MA_QH","DTL")</f>
        <v>0</v>
      </c>
      <c r="AD20" s="35">
        <f>+GETPIVOTDATA("XNT4",'nghiathanh (2016)'!$A$3,"MA_HT","CQP","MA_QH","DNL")</f>
        <v>0</v>
      </c>
      <c r="AE20" s="35">
        <f>+GETPIVOTDATA("XNT4",'nghiathanh (2016)'!$A$3,"MA_HT","CQP","MA_QH","DBV")</f>
        <v>0</v>
      </c>
      <c r="AF20" s="35">
        <f>+GETPIVOTDATA("XNT4",'nghiathanh (2016)'!$A$3,"MA_HT","CQP","MA_QH","DVH")</f>
        <v>0</v>
      </c>
      <c r="AG20" s="35">
        <f>+GETPIVOTDATA("XNT4",'nghiathanh (2016)'!$A$3,"MA_HT","CQP","MA_QH","DYT")</f>
        <v>0</v>
      </c>
      <c r="AH20" s="35">
        <f>+GETPIVOTDATA("XNT4",'nghiathanh (2016)'!$A$3,"MA_HT","CQP","MA_QH","DGD")</f>
        <v>0</v>
      </c>
      <c r="AI20" s="35">
        <f>+GETPIVOTDATA("XNT4",'nghiathanh (2016)'!$A$3,"MA_HT","CQP","MA_QH","DTT")</f>
        <v>0</v>
      </c>
      <c r="AJ20" s="35">
        <f>+GETPIVOTDATA("XNT4",'nghiathanh (2016)'!$A$3,"MA_HT","CQP","MA_QH","NCK")</f>
        <v>0</v>
      </c>
      <c r="AK20" s="35">
        <f>+GETPIVOTDATA("XNT4",'nghiathanh (2016)'!$A$3,"MA_HT","CQP","MA_QH","DXH")</f>
        <v>0</v>
      </c>
      <c r="AL20" s="35">
        <f>+GETPIVOTDATA("XNT4",'nghiathanh (2016)'!$A$3,"MA_HT","CQP","MA_QH","DCH")</f>
        <v>0</v>
      </c>
      <c r="AM20" s="35">
        <f>+GETPIVOTDATA("XNT4",'nghiathanh (2016)'!$A$3,"MA_HT","CQP","MA_QH","DKG")</f>
        <v>0</v>
      </c>
      <c r="AN20" s="35">
        <f>+GETPIVOTDATA("XNT4",'nghiathanh (2016)'!$A$3,"MA_HT","CQP","MA_QH","DDT")</f>
        <v>0</v>
      </c>
      <c r="AO20" s="35">
        <f>+GETPIVOTDATA("XNT4",'nghiathanh (2016)'!$A$3,"MA_HT","CQP","MA_QH","DDL")</f>
        <v>0</v>
      </c>
      <c r="AP20" s="35">
        <f>+GETPIVOTDATA("XNT4",'nghiathanh (2016)'!$A$3,"MA_HT","CQP","MA_QH","DRA")</f>
        <v>0</v>
      </c>
      <c r="AQ20" s="35">
        <f>+GETPIVOTDATA("XNT4",'nghiathanh (2016)'!$A$3,"MA_HT","CQP","MA_QH","ONT")</f>
        <v>0</v>
      </c>
      <c r="AR20" s="35">
        <f>+GETPIVOTDATA("XNT4",'nghiathanh (2016)'!$A$3,"MA_HT","CQP","MA_QH","ODT")</f>
        <v>0</v>
      </c>
      <c r="AS20" s="35">
        <f>+GETPIVOTDATA("XNT4",'nghiathanh (2016)'!$A$3,"MA_HT","CQP","MA_QH","TSC")</f>
        <v>0</v>
      </c>
      <c r="AT20" s="35">
        <f>+GETPIVOTDATA("XNT4",'nghiathanh (2016)'!$A$3,"MA_HT","CQP","MA_QH","DTS")</f>
        <v>0</v>
      </c>
      <c r="AU20" s="35">
        <f>+GETPIVOTDATA("XNT4",'nghiathanh (2016)'!$A$3,"MA_HT","CQP","MA_QH","DNG")</f>
        <v>0</v>
      </c>
      <c r="AV20" s="35">
        <f>+GETPIVOTDATA("XNT4",'nghiathanh (2016)'!$A$3,"MA_HT","CQP","MA_QH","TON")</f>
        <v>0</v>
      </c>
      <c r="AW20" s="35">
        <f>+GETPIVOTDATA("XNT4",'nghiathanh (2016)'!$A$3,"MA_HT","CQP","MA_QH","NTD")</f>
        <v>0</v>
      </c>
      <c r="AX20" s="35">
        <f>+GETPIVOTDATA("XNT4",'nghiathanh (2016)'!$A$3,"MA_HT","CQP","MA_QH","SKX")</f>
        <v>0</v>
      </c>
      <c r="AY20" s="35">
        <f>+GETPIVOTDATA("XNT4",'nghiathanh (2016)'!$A$3,"MA_HT","CQP","MA_QH","DSH")</f>
        <v>0</v>
      </c>
      <c r="AZ20" s="35">
        <f>+GETPIVOTDATA("XNT4",'nghiathanh (2016)'!$A$3,"MA_HT","CQP","MA_QH","DKV")</f>
        <v>0</v>
      </c>
      <c r="BA20" s="140">
        <f>+GETPIVOTDATA("XNT4",'nghiathanh (2016)'!$A$3,"MA_HT","CQP","MA_QH","TIN")</f>
        <v>0</v>
      </c>
      <c r="BB20" s="74">
        <f>+GETPIVOTDATA("XNT4",'nghiathanh (2016)'!$A$3,"MA_HT","CQP","MA_QH","SON")</f>
        <v>0</v>
      </c>
      <c r="BC20" s="74">
        <f>+GETPIVOTDATA("XNT4",'nghiathanh (2016)'!$A$3,"MA_HT","CQP","MA_QH","MNC")</f>
        <v>0</v>
      </c>
      <c r="BD20" s="35">
        <f>+GETPIVOTDATA("XNT4",'nghiathanh (2016)'!$A$3,"MA_HT","CQP","MA_QH","PNK")</f>
        <v>0</v>
      </c>
      <c r="BE20" s="58">
        <f>+GETPIVOTDATA("XNT4",'nghiathanh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+GETPIVOTDATA("XNT4",'nghiathanh (2016)'!$A$3,"MA_HT","CAN","MA_QH","LUC")</f>
        <v>0</v>
      </c>
      <c r="H21" s="35">
        <f>+GETPIVOTDATA("XNT4",'nghiathanh (2016)'!$A$3,"MA_HT","CAN","MA_QH","LUK")</f>
        <v>0</v>
      </c>
      <c r="I21" s="35">
        <f>+GETPIVOTDATA("XNT4",'nghiathanh (2016)'!$A$3,"MA_HT","CAN","MA_QH","LUN")</f>
        <v>0</v>
      </c>
      <c r="J21" s="35">
        <f>+GETPIVOTDATA("XNT4",'nghiathanh (2016)'!$A$3,"MA_HT","CAN","MA_QH","HNK")</f>
        <v>0</v>
      </c>
      <c r="K21" s="35">
        <f>+GETPIVOTDATA("XNT4",'nghiathanh (2016)'!$A$3,"MA_HT","CAN","MA_QH","CLN")</f>
        <v>0</v>
      </c>
      <c r="L21" s="35">
        <f>+GETPIVOTDATA("XNT4",'nghiathanh (2016)'!$A$3,"MA_HT","CAN","MA_QH","RSX")</f>
        <v>0</v>
      </c>
      <c r="M21" s="35">
        <f>+GETPIVOTDATA("XNT4",'nghiathanh (2016)'!$A$3,"MA_HT","CAN","MA_QH","RPH")</f>
        <v>0</v>
      </c>
      <c r="N21" s="35">
        <f>+GETPIVOTDATA("XNT4",'nghiathanh (2016)'!$A$3,"MA_HT","CAN","MA_QH","RDD")</f>
        <v>0</v>
      </c>
      <c r="O21" s="35">
        <f>+GETPIVOTDATA("XNT4",'nghiathanh (2016)'!$A$3,"MA_HT","CAN","MA_QH","NTS")</f>
        <v>0</v>
      </c>
      <c r="P21" s="35">
        <f>+GETPIVOTDATA("XNT4",'nghiathanh (2016)'!$A$3,"MA_HT","CAN","MA_QH","LMU")</f>
        <v>0</v>
      </c>
      <c r="Q21" s="35">
        <f>+GETPIVOTDATA("XNT4",'nghiathanh (2016)'!$A$3,"MA_HT","CAN","MA_QH","NKH")</f>
        <v>0</v>
      </c>
      <c r="R21" s="63">
        <f>SUM(S21,U21:AA21,AN21:BD21)</f>
        <v>0</v>
      </c>
      <c r="S21" s="35">
        <f>+GETPIVOTDATA("XNT4",'nghiathanh (2016)'!$A$3,"MA_HT","CAN","MA_QH","CQP")</f>
        <v>0</v>
      </c>
      <c r="T21" s="99" t="e">
        <f>$D21-$BF21</f>
        <v>#REF!</v>
      </c>
      <c r="U21" s="35">
        <f>+GETPIVOTDATA("XNT4",'nghiathanh (2016)'!$A$3,"MA_HT","CAN","MA_QH","SKK")</f>
        <v>0</v>
      </c>
      <c r="V21" s="35">
        <f>+GETPIVOTDATA("XNT4",'nghiathanh (2016)'!$A$3,"MA_HT","CAN","MA_QH","SKT")</f>
        <v>0</v>
      </c>
      <c r="W21" s="35">
        <f>+GETPIVOTDATA("XNT4",'nghiathanh (2016)'!$A$3,"MA_HT","CAN","MA_QH","SKN")</f>
        <v>0</v>
      </c>
      <c r="X21" s="35">
        <f>+GETPIVOTDATA("XNT4",'nghiathanh (2016)'!$A$3,"MA_HT","CAN","MA_QH","TMD")</f>
        <v>0</v>
      </c>
      <c r="Y21" s="35">
        <f>+GETPIVOTDATA("XNT4",'nghiathanh (2016)'!$A$3,"MA_HT","CAN","MA_QH","SKC")</f>
        <v>0</v>
      </c>
      <c r="Z21" s="35">
        <f>+GETPIVOTDATA("XNT4",'nghiathanh (2016)'!$A$3,"MA_HT","CAN","MA_QH","SKS")</f>
        <v>0</v>
      </c>
      <c r="AA21" s="64">
        <f t="shared" si="12"/>
        <v>0</v>
      </c>
      <c r="AB21" s="35">
        <f>+GETPIVOTDATA("XNT4",'nghiathanh (2016)'!$A$3,"MA_HT","CAN","MA_QH","DGT")</f>
        <v>0</v>
      </c>
      <c r="AC21" s="35">
        <f>+GETPIVOTDATA("XNT4",'nghiathanh (2016)'!$A$3,"MA_HT","CAN","MA_QH","DTL")</f>
        <v>0</v>
      </c>
      <c r="AD21" s="35">
        <f>+GETPIVOTDATA("XNT4",'nghiathanh (2016)'!$A$3,"MA_HT","CAN","MA_QH","DNL")</f>
        <v>0</v>
      </c>
      <c r="AE21" s="35">
        <f>+GETPIVOTDATA("XNT4",'nghiathanh (2016)'!$A$3,"MA_HT","CAN","MA_QH","DBV")</f>
        <v>0</v>
      </c>
      <c r="AF21" s="35">
        <f>+GETPIVOTDATA("XNT4",'nghiathanh (2016)'!$A$3,"MA_HT","CAN","MA_QH","DVH")</f>
        <v>0</v>
      </c>
      <c r="AG21" s="35">
        <f>+GETPIVOTDATA("XNT4",'nghiathanh (2016)'!$A$3,"MA_HT","CAN","MA_QH","DYT")</f>
        <v>0</v>
      </c>
      <c r="AH21" s="35">
        <f>+GETPIVOTDATA("XNT4",'nghiathanh (2016)'!$A$3,"MA_HT","CAN","MA_QH","DGD")</f>
        <v>0</v>
      </c>
      <c r="AI21" s="35">
        <f>+GETPIVOTDATA("XNT4",'nghiathanh (2016)'!$A$3,"MA_HT","CAN","MA_QH","DTT")</f>
        <v>0</v>
      </c>
      <c r="AJ21" s="35">
        <f>+GETPIVOTDATA("XNT4",'nghiathanh (2016)'!$A$3,"MA_HT","CAN","MA_QH","NCK")</f>
        <v>0</v>
      </c>
      <c r="AK21" s="35">
        <f>+GETPIVOTDATA("XNT4",'nghiathanh (2016)'!$A$3,"MA_HT","CAN","MA_QH","DXH")</f>
        <v>0</v>
      </c>
      <c r="AL21" s="35">
        <f>+GETPIVOTDATA("XNT4",'nghiathanh (2016)'!$A$3,"MA_HT","CAN","MA_QH","DCH")</f>
        <v>0</v>
      </c>
      <c r="AM21" s="35">
        <f>+GETPIVOTDATA("XNT4",'nghiathanh (2016)'!$A$3,"MA_HT","CAN","MA_QH","DKG")</f>
        <v>0</v>
      </c>
      <c r="AN21" s="35">
        <f>+GETPIVOTDATA("XNT4",'nghiathanh (2016)'!$A$3,"MA_HT","CAN","MA_QH","DDT")</f>
        <v>0</v>
      </c>
      <c r="AO21" s="35">
        <f>+GETPIVOTDATA("XNT4",'nghiathanh (2016)'!$A$3,"MA_HT","CAN","MA_QH","DDL")</f>
        <v>0</v>
      </c>
      <c r="AP21" s="35">
        <f>+GETPIVOTDATA("XNT4",'nghiathanh (2016)'!$A$3,"MA_HT","CAN","MA_QH","DRA")</f>
        <v>0</v>
      </c>
      <c r="AQ21" s="35">
        <f>+GETPIVOTDATA("XNT4",'nghiathanh (2016)'!$A$3,"MA_HT","CAN","MA_QH","ONT")</f>
        <v>0</v>
      </c>
      <c r="AR21" s="35">
        <f>+GETPIVOTDATA("XNT4",'nghiathanh (2016)'!$A$3,"MA_HT","CAN","MA_QH","ODT")</f>
        <v>0</v>
      </c>
      <c r="AS21" s="35">
        <f>+GETPIVOTDATA("XNT4",'nghiathanh (2016)'!$A$3,"MA_HT","CAN","MA_QH","TSC")</f>
        <v>0</v>
      </c>
      <c r="AT21" s="35">
        <f>+GETPIVOTDATA("XNT4",'nghiathanh (2016)'!$A$3,"MA_HT","CAN","MA_QH","DTS")</f>
        <v>0</v>
      </c>
      <c r="AU21" s="35">
        <f>+GETPIVOTDATA("XNT4",'nghiathanh (2016)'!$A$3,"MA_HT","CAN","MA_QH","DNG")</f>
        <v>0</v>
      </c>
      <c r="AV21" s="35">
        <f>+GETPIVOTDATA("XNT4",'nghiathanh (2016)'!$A$3,"MA_HT","CAN","MA_QH","TON")</f>
        <v>0</v>
      </c>
      <c r="AW21" s="35">
        <f>+GETPIVOTDATA("XNT4",'nghiathanh (2016)'!$A$3,"MA_HT","CAN","MA_QH","NTD")</f>
        <v>0</v>
      </c>
      <c r="AX21" s="35">
        <f>+GETPIVOTDATA("XNT4",'nghiathanh (2016)'!$A$3,"MA_HT","CAN","MA_QH","SKX")</f>
        <v>0</v>
      </c>
      <c r="AY21" s="35">
        <f>+GETPIVOTDATA("XNT4",'nghiathanh (2016)'!$A$3,"MA_HT","CAN","MA_QH","DSH")</f>
        <v>0</v>
      </c>
      <c r="AZ21" s="35">
        <f>+GETPIVOTDATA("XNT4",'nghiathanh (2016)'!$A$3,"MA_HT","CAN","MA_QH","DKV")</f>
        <v>0</v>
      </c>
      <c r="BA21" s="140">
        <f>+GETPIVOTDATA("XNT4",'nghiathanh (2016)'!$A$3,"MA_HT","CAN","MA_QH","TIN")</f>
        <v>0</v>
      </c>
      <c r="BB21" s="74">
        <f>+GETPIVOTDATA("XNT4",'nghiathanh (2016)'!$A$3,"MA_HT","CAN","MA_QH","SON")</f>
        <v>0</v>
      </c>
      <c r="BC21" s="74">
        <f>+GETPIVOTDATA("XNT4",'nghiathanh (2016)'!$A$3,"MA_HT","CAN","MA_QH","MNC")</f>
        <v>0</v>
      </c>
      <c r="BD21" s="35">
        <f>+GETPIVOTDATA("XNT4",'nghiathanh (2016)'!$A$3,"MA_HT","CAN","MA_QH","PNK")</f>
        <v>0</v>
      </c>
      <c r="BE21" s="58">
        <f>+GETPIVOTDATA("XNT4",'nghiathanh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+GETPIVOTDATA("XNT4",'nghiathanh (2016)'!$A$3,"MA_HT","SKK","MA_QH","LUC")</f>
        <v>0</v>
      </c>
      <c r="H22" s="35">
        <f>+GETPIVOTDATA("XNT4",'nghiathanh (2016)'!$A$3,"MA_HT","SKK","MA_QH","LUK")</f>
        <v>0</v>
      </c>
      <c r="I22" s="35">
        <f>+GETPIVOTDATA("XNT4",'nghiathanh (2016)'!$A$3,"MA_HT","SKK","MA_QH","LUN")</f>
        <v>0</v>
      </c>
      <c r="J22" s="35">
        <f>+GETPIVOTDATA("XNT4",'nghiathanh (2016)'!$A$3,"MA_HT","SKK","MA_QH","HNK")</f>
        <v>0</v>
      </c>
      <c r="K22" s="35">
        <f>+GETPIVOTDATA("XNT4",'nghiathanh (2016)'!$A$3,"MA_HT","SKK","MA_QH","CLN")</f>
        <v>0</v>
      </c>
      <c r="L22" s="35">
        <f>+GETPIVOTDATA("XNT4",'nghiathanh (2016)'!$A$3,"MA_HT","SKK","MA_QH","RSX")</f>
        <v>0</v>
      </c>
      <c r="M22" s="35">
        <f>+GETPIVOTDATA("XNT4",'nghiathanh (2016)'!$A$3,"MA_HT","SKK","MA_QH","RPH")</f>
        <v>0</v>
      </c>
      <c r="N22" s="35">
        <f>+GETPIVOTDATA("XNT4",'nghiathanh (2016)'!$A$3,"MA_HT","SKK","MA_QH","RDD")</f>
        <v>0</v>
      </c>
      <c r="O22" s="35">
        <f>+GETPIVOTDATA("XNT4",'nghiathanh (2016)'!$A$3,"MA_HT","SKK","MA_QH","NTS")</f>
        <v>0</v>
      </c>
      <c r="P22" s="35">
        <f>+GETPIVOTDATA("XNT4",'nghiathanh (2016)'!$A$3,"MA_HT","SKK","MA_QH","LMU")</f>
        <v>0</v>
      </c>
      <c r="Q22" s="35">
        <f>+GETPIVOTDATA("XNT4",'nghiathanh (2016)'!$A$3,"MA_HT","SKK","MA_QH","NKH")</f>
        <v>0</v>
      </c>
      <c r="R22" s="63">
        <f>SUM(S22:T22,V22:AA22,AN22:BD22)</f>
        <v>0</v>
      </c>
      <c r="S22" s="35">
        <f>+GETPIVOTDATA("XNT4",'nghiathanh (2016)'!$A$3,"MA_HT","SKK","MA_QH","CQP")</f>
        <v>0</v>
      </c>
      <c r="T22" s="35">
        <f>+GETPIVOTDATA("XNT4",'nghiathanh (2016)'!$A$3,"MA_HT","SKK","MA_QH","CAN")</f>
        <v>0</v>
      </c>
      <c r="U22" s="99" t="e">
        <f>$D22-$BF22</f>
        <v>#REF!</v>
      </c>
      <c r="V22" s="35">
        <f>+GETPIVOTDATA("XNT4",'nghiathanh (2016)'!$A$3,"MA_HT","SKK","MA_QH","SKT")</f>
        <v>0</v>
      </c>
      <c r="W22" s="35">
        <f>+GETPIVOTDATA("XNT4",'nghiathanh (2016)'!$A$3,"MA_HT","SKK","MA_QH","SKN")</f>
        <v>0</v>
      </c>
      <c r="X22" s="35">
        <f>+GETPIVOTDATA("XNT4",'nghiathanh (2016)'!$A$3,"MA_HT","SKK","MA_QH","TMD")</f>
        <v>0</v>
      </c>
      <c r="Y22" s="35">
        <f>+GETPIVOTDATA("XNT4",'nghiathanh (2016)'!$A$3,"MA_HT","SKK","MA_QH","SKC")</f>
        <v>0</v>
      </c>
      <c r="Z22" s="35">
        <f>+GETPIVOTDATA("XNT4",'nghiathanh (2016)'!$A$3,"MA_HT","SKK","MA_QH","SKS")</f>
        <v>0</v>
      </c>
      <c r="AA22" s="64">
        <f t="shared" si="12"/>
        <v>0</v>
      </c>
      <c r="AB22" s="35">
        <f>+GETPIVOTDATA("XNT4",'nghiathanh (2016)'!$A$3,"MA_HT","SKK","MA_QH","DGT")</f>
        <v>0</v>
      </c>
      <c r="AC22" s="35">
        <f>+GETPIVOTDATA("XNT4",'nghiathanh (2016)'!$A$3,"MA_HT","SKK","MA_QH","DTL")</f>
        <v>0</v>
      </c>
      <c r="AD22" s="35">
        <f>+GETPIVOTDATA("XNT4",'nghiathanh (2016)'!$A$3,"MA_HT","SKK","MA_QH","DNL")</f>
        <v>0</v>
      </c>
      <c r="AE22" s="35">
        <f>+GETPIVOTDATA("XNT4",'nghiathanh (2016)'!$A$3,"MA_HT","SKK","MA_QH","DBV")</f>
        <v>0</v>
      </c>
      <c r="AF22" s="35">
        <f>+GETPIVOTDATA("XNT4",'nghiathanh (2016)'!$A$3,"MA_HT","SKK","MA_QH","DVH")</f>
        <v>0</v>
      </c>
      <c r="AG22" s="35">
        <f>+GETPIVOTDATA("XNT4",'nghiathanh (2016)'!$A$3,"MA_HT","SKK","MA_QH","DYT")</f>
        <v>0</v>
      </c>
      <c r="AH22" s="35">
        <f>+GETPIVOTDATA("XNT4",'nghiathanh (2016)'!$A$3,"MA_HT","SKK","MA_QH","DGD")</f>
        <v>0</v>
      </c>
      <c r="AI22" s="35">
        <f>+GETPIVOTDATA("XNT4",'nghiathanh (2016)'!$A$3,"MA_HT","SKK","MA_QH","DTT")</f>
        <v>0</v>
      </c>
      <c r="AJ22" s="35">
        <f>+GETPIVOTDATA("XNT4",'nghiathanh (2016)'!$A$3,"MA_HT","SKK","MA_QH","NCK")</f>
        <v>0</v>
      </c>
      <c r="AK22" s="35">
        <f>+GETPIVOTDATA("XNT4",'nghiathanh (2016)'!$A$3,"MA_HT","SKK","MA_QH","DXH")</f>
        <v>0</v>
      </c>
      <c r="AL22" s="35">
        <f>+GETPIVOTDATA("XNT4",'nghiathanh (2016)'!$A$3,"MA_HT","SKK","MA_QH","DCH")</f>
        <v>0</v>
      </c>
      <c r="AM22" s="35">
        <f>+GETPIVOTDATA("XNT4",'nghiathanh (2016)'!$A$3,"MA_HT","SKK","MA_QH","DKG")</f>
        <v>0</v>
      </c>
      <c r="AN22" s="35">
        <f>+GETPIVOTDATA("XNT4",'nghiathanh (2016)'!$A$3,"MA_HT","SKK","MA_QH","DDT")</f>
        <v>0</v>
      </c>
      <c r="AO22" s="35">
        <f>+GETPIVOTDATA("XNT4",'nghiathanh (2016)'!$A$3,"MA_HT","SKK","MA_QH","DDL")</f>
        <v>0</v>
      </c>
      <c r="AP22" s="35">
        <f>+GETPIVOTDATA("XNT4",'nghiathanh (2016)'!$A$3,"MA_HT","SKK","MA_QH","DRA")</f>
        <v>0</v>
      </c>
      <c r="AQ22" s="35">
        <f>+GETPIVOTDATA("XNT4",'nghiathanh (2016)'!$A$3,"MA_HT","SKK","MA_QH","ONT")</f>
        <v>0</v>
      </c>
      <c r="AR22" s="35">
        <f>+GETPIVOTDATA("XNT4",'nghiathanh (2016)'!$A$3,"MA_HT","SKK","MA_QH","ODT")</f>
        <v>0</v>
      </c>
      <c r="AS22" s="35">
        <f>+GETPIVOTDATA("XNT4",'nghiathanh (2016)'!$A$3,"MA_HT","SKK","MA_QH","TSC")</f>
        <v>0</v>
      </c>
      <c r="AT22" s="35">
        <f>+GETPIVOTDATA("XNT4",'nghiathanh (2016)'!$A$3,"MA_HT","SKK","MA_QH","DTS")</f>
        <v>0</v>
      </c>
      <c r="AU22" s="35">
        <f>+GETPIVOTDATA("XNT4",'nghiathanh (2016)'!$A$3,"MA_HT","SKK","MA_QH","DNG")</f>
        <v>0</v>
      </c>
      <c r="AV22" s="35">
        <f>+GETPIVOTDATA("XNT4",'nghiathanh (2016)'!$A$3,"MA_HT","SKK","MA_QH","TON")</f>
        <v>0</v>
      </c>
      <c r="AW22" s="35">
        <f>+GETPIVOTDATA("XNT4",'nghiathanh (2016)'!$A$3,"MA_HT","SKK","MA_QH","NTD")</f>
        <v>0</v>
      </c>
      <c r="AX22" s="35">
        <f>+GETPIVOTDATA("XNT4",'nghiathanh (2016)'!$A$3,"MA_HT","SKK","MA_QH","SKX")</f>
        <v>0</v>
      </c>
      <c r="AY22" s="35">
        <f>+GETPIVOTDATA("XNT4",'nghiathanh (2016)'!$A$3,"MA_HT","SKK","MA_QH","DSH")</f>
        <v>0</v>
      </c>
      <c r="AZ22" s="35">
        <f>+GETPIVOTDATA("XNT4",'nghiathanh (2016)'!$A$3,"MA_HT","SKK","MA_QH","DKV")</f>
        <v>0</v>
      </c>
      <c r="BA22" s="140">
        <f>+GETPIVOTDATA("XNT4",'nghiathanh (2016)'!$A$3,"MA_HT","SKK","MA_QH","TIN")</f>
        <v>0</v>
      </c>
      <c r="BB22" s="74">
        <f>+GETPIVOTDATA("XNT4",'nghiathanh (2016)'!$A$3,"MA_HT","SKK","MA_QH","SON")</f>
        <v>0</v>
      </c>
      <c r="BC22" s="74">
        <f>+GETPIVOTDATA("XNT4",'nghiathanh (2016)'!$A$3,"MA_HT","SKK","MA_QH","MNC")</f>
        <v>0</v>
      </c>
      <c r="BD22" s="35">
        <f>+GETPIVOTDATA("XNT4",'nghiathanh (2016)'!$A$3,"MA_HT","SKK","MA_QH","PNK")</f>
        <v>0</v>
      </c>
      <c r="BE22" s="58">
        <f>+GETPIVOTDATA("XNT4",'nghiathanh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+GETPIVOTDATA("XNT4",'nghiathanh (2016)'!$A$3,"MA_HT","SKT","MA_QH","LUC")</f>
        <v>0</v>
      </c>
      <c r="H23" s="35">
        <f>+GETPIVOTDATA("XNT4",'nghiathanh (2016)'!$A$3,"MA_HT","SKT","MA_QH","LUK")</f>
        <v>0</v>
      </c>
      <c r="I23" s="35">
        <f>+GETPIVOTDATA("XNT4",'nghiathanh (2016)'!$A$3,"MA_HT","SKT","MA_QH","LUN")</f>
        <v>0</v>
      </c>
      <c r="J23" s="35">
        <f>+GETPIVOTDATA("XNT4",'nghiathanh (2016)'!$A$3,"MA_HT","SKT","MA_QH","HNK")</f>
        <v>0</v>
      </c>
      <c r="K23" s="35">
        <f>+GETPIVOTDATA("XNT4",'nghiathanh (2016)'!$A$3,"MA_HT","SKT","MA_QH","CLN")</f>
        <v>0</v>
      </c>
      <c r="L23" s="35">
        <f>+GETPIVOTDATA("XNT4",'nghiathanh (2016)'!$A$3,"MA_HT","SKT","MA_QH","RSX")</f>
        <v>0</v>
      </c>
      <c r="M23" s="35">
        <f>+GETPIVOTDATA("XNT4",'nghiathanh (2016)'!$A$3,"MA_HT","SKT","MA_QH","RPH")</f>
        <v>0</v>
      </c>
      <c r="N23" s="35">
        <f>+GETPIVOTDATA("XNT4",'nghiathanh (2016)'!$A$3,"MA_HT","SKT","MA_QH","RDD")</f>
        <v>0</v>
      </c>
      <c r="O23" s="35">
        <f>+GETPIVOTDATA("XNT4",'nghiathanh (2016)'!$A$3,"MA_HT","SKT","MA_QH","NTS")</f>
        <v>0</v>
      </c>
      <c r="P23" s="35">
        <f>+GETPIVOTDATA("XNT4",'nghiathanh (2016)'!$A$3,"MA_HT","SKT","MA_QH","LMU")</f>
        <v>0</v>
      </c>
      <c r="Q23" s="35">
        <f>+GETPIVOTDATA("XNT4",'nghiathanh (2016)'!$A$3,"MA_HT","SKT","MA_QH","NKH")</f>
        <v>0</v>
      </c>
      <c r="R23" s="63">
        <f>SUM(S23:U23,W23:AA23,AN23:BD23)</f>
        <v>0</v>
      </c>
      <c r="S23" s="35">
        <f>+GETPIVOTDATA("XNT4",'nghiathanh (2016)'!$A$3,"MA_HT","SKT","MA_QH","CQP")</f>
        <v>0</v>
      </c>
      <c r="T23" s="35">
        <f>+GETPIVOTDATA("XNT4",'nghiathanh (2016)'!$A$3,"MA_HT","SKT","MA_QH","CAN")</f>
        <v>0</v>
      </c>
      <c r="U23" s="35">
        <f>+GETPIVOTDATA("XNT4",'nghiathanh (2016)'!$A$3,"MA_HT","SKT","MA_QH","SKK")</f>
        <v>0</v>
      </c>
      <c r="V23" s="99" t="e">
        <f>$D23-$BF23</f>
        <v>#REF!</v>
      </c>
      <c r="W23" s="35">
        <f>+GETPIVOTDATA("XNT4",'nghiathanh (2016)'!$A$3,"MA_HT","SKT","MA_QH","SKN")</f>
        <v>0</v>
      </c>
      <c r="X23" s="35">
        <f>+GETPIVOTDATA("XNT4",'nghiathanh (2016)'!$A$3,"MA_HT","SKT","MA_QH","TMD")</f>
        <v>0</v>
      </c>
      <c r="Y23" s="35">
        <f>+GETPIVOTDATA("XNT4",'nghiathanh (2016)'!$A$3,"MA_HT","SKT","MA_QH","SKC")</f>
        <v>0</v>
      </c>
      <c r="Z23" s="35">
        <f>+GETPIVOTDATA("XNT4",'nghiathanh (2016)'!$A$3,"MA_HT","SKT","MA_QH","SKS")</f>
        <v>0</v>
      </c>
      <c r="AA23" s="64">
        <f t="shared" si="12"/>
        <v>0</v>
      </c>
      <c r="AB23" s="35">
        <f>+GETPIVOTDATA("XNT4",'nghiathanh (2016)'!$A$3,"MA_HT","SKT","MA_QH","DGT")</f>
        <v>0</v>
      </c>
      <c r="AC23" s="35">
        <f>+GETPIVOTDATA("XNT4",'nghiathanh (2016)'!$A$3,"MA_HT","SKT","MA_QH","DTL")</f>
        <v>0</v>
      </c>
      <c r="AD23" s="35">
        <f>+GETPIVOTDATA("XNT4",'nghiathanh (2016)'!$A$3,"MA_HT","SKT","MA_QH","DNL")</f>
        <v>0</v>
      </c>
      <c r="AE23" s="35">
        <f>+GETPIVOTDATA("XNT4",'nghiathanh (2016)'!$A$3,"MA_HT","SKT","MA_QH","DBV")</f>
        <v>0</v>
      </c>
      <c r="AF23" s="35">
        <f>+GETPIVOTDATA("XNT4",'nghiathanh (2016)'!$A$3,"MA_HT","SKT","MA_QH","DVH")</f>
        <v>0</v>
      </c>
      <c r="AG23" s="35">
        <f>+GETPIVOTDATA("XNT4",'nghiathanh (2016)'!$A$3,"MA_HT","SKT","MA_QH","DYT")</f>
        <v>0</v>
      </c>
      <c r="AH23" s="35">
        <f>+GETPIVOTDATA("XNT4",'nghiathanh (2016)'!$A$3,"MA_HT","SKT","MA_QH","DGD")</f>
        <v>0</v>
      </c>
      <c r="AI23" s="35">
        <f>+GETPIVOTDATA("XNT4",'nghiathanh (2016)'!$A$3,"MA_HT","SKT","MA_QH","DTT")</f>
        <v>0</v>
      </c>
      <c r="AJ23" s="35">
        <f>+GETPIVOTDATA("XNT4",'nghiathanh (2016)'!$A$3,"MA_HT","SKT","MA_QH","NCK")</f>
        <v>0</v>
      </c>
      <c r="AK23" s="35">
        <f>+GETPIVOTDATA("XNT4",'nghiathanh (2016)'!$A$3,"MA_HT","SKT","MA_QH","DXH")</f>
        <v>0</v>
      </c>
      <c r="AL23" s="35">
        <f>+GETPIVOTDATA("XNT4",'nghiathanh (2016)'!$A$3,"MA_HT","SKT","MA_QH","DCH")</f>
        <v>0</v>
      </c>
      <c r="AM23" s="35">
        <f>+GETPIVOTDATA("XNT4",'nghiathanh (2016)'!$A$3,"MA_HT","SKT","MA_QH","DKG")</f>
        <v>0</v>
      </c>
      <c r="AN23" s="35">
        <f>+GETPIVOTDATA("XNT4",'nghiathanh (2016)'!$A$3,"MA_HT","SKT","MA_QH","DDT")</f>
        <v>0</v>
      </c>
      <c r="AO23" s="35">
        <f>+GETPIVOTDATA("XNT4",'nghiathanh (2016)'!$A$3,"MA_HT","SKT","MA_QH","DDL")</f>
        <v>0</v>
      </c>
      <c r="AP23" s="35">
        <f>+GETPIVOTDATA("XNT4",'nghiathanh (2016)'!$A$3,"MA_HT","SKT","MA_QH","DRA")</f>
        <v>0</v>
      </c>
      <c r="AQ23" s="35">
        <f>+GETPIVOTDATA("XNT4",'nghiathanh (2016)'!$A$3,"MA_HT","SKT","MA_QH","ONT")</f>
        <v>0</v>
      </c>
      <c r="AR23" s="35">
        <f>+GETPIVOTDATA("XNT4",'nghiathanh (2016)'!$A$3,"MA_HT","SKT","MA_QH","ODT")</f>
        <v>0</v>
      </c>
      <c r="AS23" s="35">
        <f>+GETPIVOTDATA("XNT4",'nghiathanh (2016)'!$A$3,"MA_HT","SKT","MA_QH","TSC")</f>
        <v>0</v>
      </c>
      <c r="AT23" s="35">
        <f>+GETPIVOTDATA("XNT4",'nghiathanh (2016)'!$A$3,"MA_HT","SKT","MA_QH","DTS")</f>
        <v>0</v>
      </c>
      <c r="AU23" s="35">
        <f>+GETPIVOTDATA("XNT4",'nghiathanh (2016)'!$A$3,"MA_HT","SKT","MA_QH","DNG")</f>
        <v>0</v>
      </c>
      <c r="AV23" s="35">
        <f>+GETPIVOTDATA("XNT4",'nghiathanh (2016)'!$A$3,"MA_HT","SKT","MA_QH","TON")</f>
        <v>0</v>
      </c>
      <c r="AW23" s="35">
        <f>+GETPIVOTDATA("XNT4",'nghiathanh (2016)'!$A$3,"MA_HT","SKT","MA_QH","NTD")</f>
        <v>0</v>
      </c>
      <c r="AX23" s="35">
        <f>+GETPIVOTDATA("XNT4",'nghiathanh (2016)'!$A$3,"MA_HT","SKT","MA_QH","SKX")</f>
        <v>0</v>
      </c>
      <c r="AY23" s="35">
        <f>+GETPIVOTDATA("XNT4",'nghiathanh (2016)'!$A$3,"MA_HT","SKT","MA_QH","DSH")</f>
        <v>0</v>
      </c>
      <c r="AZ23" s="35">
        <f>+GETPIVOTDATA("XNT4",'nghiathanh (2016)'!$A$3,"MA_HT","SKT","MA_QH","DKV")</f>
        <v>0</v>
      </c>
      <c r="BA23" s="140">
        <f>+GETPIVOTDATA("XNT4",'nghiathanh (2016)'!$A$3,"MA_HT","SKT","MA_QH","TIN")</f>
        <v>0</v>
      </c>
      <c r="BB23" s="74">
        <f>+GETPIVOTDATA("XNT4",'nghiathanh (2016)'!$A$3,"MA_HT","SKT","MA_QH","SON")</f>
        <v>0</v>
      </c>
      <c r="BC23" s="74">
        <f>+GETPIVOTDATA("XNT4",'nghiathanh (2016)'!$A$3,"MA_HT","SKT","MA_QH","MNC")</f>
        <v>0</v>
      </c>
      <c r="BD23" s="35">
        <f>+GETPIVOTDATA("XNT4",'nghiathanh (2016)'!$A$3,"MA_HT","SKT","MA_QH","PNK")</f>
        <v>0</v>
      </c>
      <c r="BE23" s="58">
        <f>+GETPIVOTDATA("XNT4",'nghiathanh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+GETPIVOTDATA("XNT4",'nghiathanh (2016)'!$A$3,"MA_HT","SKN","MA_QH","LUC")</f>
        <v>0</v>
      </c>
      <c r="H24" s="35">
        <f>+GETPIVOTDATA("XNT4",'nghiathanh (2016)'!$A$3,"MA_HT","SKN","MA_QH","LUK")</f>
        <v>0</v>
      </c>
      <c r="I24" s="35">
        <f>+GETPIVOTDATA("XNT4",'nghiathanh (2016)'!$A$3,"MA_HT","SKN","MA_QH","LUN")</f>
        <v>0</v>
      </c>
      <c r="J24" s="35">
        <f>+GETPIVOTDATA("XNT4",'nghiathanh (2016)'!$A$3,"MA_HT","SKN","MA_QH","HNK")</f>
        <v>0</v>
      </c>
      <c r="K24" s="35">
        <f>+GETPIVOTDATA("XNT4",'nghiathanh (2016)'!$A$3,"MA_HT","SKN","MA_QH","CLN")</f>
        <v>0</v>
      </c>
      <c r="L24" s="35">
        <f>+GETPIVOTDATA("XNT4",'nghiathanh (2016)'!$A$3,"MA_HT","SKN","MA_QH","RSX")</f>
        <v>0</v>
      </c>
      <c r="M24" s="35">
        <f>+GETPIVOTDATA("XNT4",'nghiathanh (2016)'!$A$3,"MA_HT","SKN","MA_QH","RPH")</f>
        <v>0</v>
      </c>
      <c r="N24" s="35">
        <f>+GETPIVOTDATA("XNT4",'nghiathanh (2016)'!$A$3,"MA_HT","SKN","MA_QH","RDD")</f>
        <v>0</v>
      </c>
      <c r="O24" s="35">
        <f>+GETPIVOTDATA("XNT4",'nghiathanh (2016)'!$A$3,"MA_HT","SKN","MA_QH","NTS")</f>
        <v>0</v>
      </c>
      <c r="P24" s="35">
        <f>+GETPIVOTDATA("XNT4",'nghiathanh (2016)'!$A$3,"MA_HT","SKN","MA_QH","LMU")</f>
        <v>0</v>
      </c>
      <c r="Q24" s="35">
        <f>+GETPIVOTDATA("XNT4",'nghiathanh (2016)'!$A$3,"MA_HT","SKN","MA_QH","NKH")</f>
        <v>0</v>
      </c>
      <c r="R24" s="63">
        <f>SUM(S24:V24,X24:AA24,AN24:BD24)</f>
        <v>0</v>
      </c>
      <c r="S24" s="35">
        <f>+GETPIVOTDATA("XNT4",'nghiathanh (2016)'!$A$3,"MA_HT","SKN","MA_QH","CQP")</f>
        <v>0</v>
      </c>
      <c r="T24" s="35">
        <f>+GETPIVOTDATA("XNT4",'nghiathanh (2016)'!$A$3,"MA_HT","SKN","MA_QH","CAN")</f>
        <v>0</v>
      </c>
      <c r="U24" s="35">
        <f>+GETPIVOTDATA("XNT4",'nghiathanh (2016)'!$A$3,"MA_HT","SKN","MA_QH","SKK")</f>
        <v>0</v>
      </c>
      <c r="V24" s="35">
        <f>+GETPIVOTDATA("XNT4",'nghiathanh (2016)'!$A$3,"MA_HT","SKN","MA_QH","SKT")</f>
        <v>0</v>
      </c>
      <c r="W24" s="99" t="e">
        <f>$D24-$BF24</f>
        <v>#REF!</v>
      </c>
      <c r="X24" s="35">
        <f>+GETPIVOTDATA("XNT4",'nghiathanh (2016)'!$A$3,"MA_HT","SKN","MA_QH","TMD")</f>
        <v>0</v>
      </c>
      <c r="Y24" s="35">
        <f>+GETPIVOTDATA("XNT4",'nghiathanh (2016)'!$A$3,"MA_HT","SKN","MA_QH","SKC")</f>
        <v>0</v>
      </c>
      <c r="Z24" s="35">
        <f>+GETPIVOTDATA("XNT4",'nghiathanh (2016)'!$A$3,"MA_HT","SKN","MA_QH","SKS")</f>
        <v>0</v>
      </c>
      <c r="AA24" s="64">
        <f t="shared" si="12"/>
        <v>0</v>
      </c>
      <c r="AB24" s="35">
        <f>+GETPIVOTDATA("XNT4",'nghiathanh (2016)'!$A$3,"MA_HT","SKN","MA_QH","DGT")</f>
        <v>0</v>
      </c>
      <c r="AC24" s="35">
        <f>+GETPIVOTDATA("XNT4",'nghiathanh (2016)'!$A$3,"MA_HT","SKN","MA_QH","DTL")</f>
        <v>0</v>
      </c>
      <c r="AD24" s="35">
        <f>+GETPIVOTDATA("XNT4",'nghiathanh (2016)'!$A$3,"MA_HT","SKN","MA_QH","DNL")</f>
        <v>0</v>
      </c>
      <c r="AE24" s="35">
        <f>+GETPIVOTDATA("XNT4",'nghiathanh (2016)'!$A$3,"MA_HT","SKN","MA_QH","DBV")</f>
        <v>0</v>
      </c>
      <c r="AF24" s="35">
        <f>+GETPIVOTDATA("XNT4",'nghiathanh (2016)'!$A$3,"MA_HT","SKN","MA_QH","DVH")</f>
        <v>0</v>
      </c>
      <c r="AG24" s="35">
        <f>+GETPIVOTDATA("XNT4",'nghiathanh (2016)'!$A$3,"MA_HT","SKN","MA_QH","DYT")</f>
        <v>0</v>
      </c>
      <c r="AH24" s="35">
        <f>+GETPIVOTDATA("XNT4",'nghiathanh (2016)'!$A$3,"MA_HT","SKN","MA_QH","DGD")</f>
        <v>0</v>
      </c>
      <c r="AI24" s="35">
        <f>+GETPIVOTDATA("XNT4",'nghiathanh (2016)'!$A$3,"MA_HT","SKN","MA_QH","DTT")</f>
        <v>0</v>
      </c>
      <c r="AJ24" s="35">
        <f>+GETPIVOTDATA("XNT4",'nghiathanh (2016)'!$A$3,"MA_HT","SKN","MA_QH","NCK")</f>
        <v>0</v>
      </c>
      <c r="AK24" s="35">
        <f>+GETPIVOTDATA("XNT4",'nghiathanh (2016)'!$A$3,"MA_HT","SKN","MA_QH","DXH")</f>
        <v>0</v>
      </c>
      <c r="AL24" s="35">
        <f>+GETPIVOTDATA("XNT4",'nghiathanh (2016)'!$A$3,"MA_HT","SKN","MA_QH","DCH")</f>
        <v>0</v>
      </c>
      <c r="AM24" s="35">
        <f>+GETPIVOTDATA("XNT4",'nghiathanh (2016)'!$A$3,"MA_HT","SKN","MA_QH","DKG")</f>
        <v>0</v>
      </c>
      <c r="AN24" s="35">
        <f>+GETPIVOTDATA("XNT4",'nghiathanh (2016)'!$A$3,"MA_HT","SKN","MA_QH","DDT")</f>
        <v>0</v>
      </c>
      <c r="AO24" s="35">
        <f>+GETPIVOTDATA("XNT4",'nghiathanh (2016)'!$A$3,"MA_HT","SKN","MA_QH","DDL")</f>
        <v>0</v>
      </c>
      <c r="AP24" s="35">
        <f>+GETPIVOTDATA("XNT4",'nghiathanh (2016)'!$A$3,"MA_HT","SKN","MA_QH","DRA")</f>
        <v>0</v>
      </c>
      <c r="AQ24" s="35">
        <f>+GETPIVOTDATA("XNT4",'nghiathanh (2016)'!$A$3,"MA_HT","SKN","MA_QH","ONT")</f>
        <v>0</v>
      </c>
      <c r="AR24" s="35">
        <f>+GETPIVOTDATA("XNT4",'nghiathanh (2016)'!$A$3,"MA_HT","SKN","MA_QH","ODT")</f>
        <v>0</v>
      </c>
      <c r="AS24" s="35">
        <f>+GETPIVOTDATA("XNT4",'nghiathanh (2016)'!$A$3,"MA_HT","SKN","MA_QH","TSC")</f>
        <v>0</v>
      </c>
      <c r="AT24" s="35">
        <f>+GETPIVOTDATA("XNT4",'nghiathanh (2016)'!$A$3,"MA_HT","SKN","MA_QH","DTS")</f>
        <v>0</v>
      </c>
      <c r="AU24" s="35">
        <f>+GETPIVOTDATA("XNT4",'nghiathanh (2016)'!$A$3,"MA_HT","SKN","MA_QH","DNG")</f>
        <v>0</v>
      </c>
      <c r="AV24" s="35">
        <f>+GETPIVOTDATA("XNT4",'nghiathanh (2016)'!$A$3,"MA_HT","SKN","MA_QH","TON")</f>
        <v>0</v>
      </c>
      <c r="AW24" s="35">
        <f>+GETPIVOTDATA("XNT4",'nghiathanh (2016)'!$A$3,"MA_HT","SKN","MA_QH","NTD")</f>
        <v>0</v>
      </c>
      <c r="AX24" s="35">
        <f>+GETPIVOTDATA("XNT4",'nghiathanh (2016)'!$A$3,"MA_HT","SKN","MA_QH","SKX")</f>
        <v>0</v>
      </c>
      <c r="AY24" s="35">
        <f>+GETPIVOTDATA("XNT4",'nghiathanh (2016)'!$A$3,"MA_HT","SKN","MA_QH","DSH")</f>
        <v>0</v>
      </c>
      <c r="AZ24" s="35">
        <f>+GETPIVOTDATA("XNT4",'nghiathanh (2016)'!$A$3,"MA_HT","SKN","MA_QH","DKV")</f>
        <v>0</v>
      </c>
      <c r="BA24" s="140">
        <f>+GETPIVOTDATA("XNT4",'nghiathanh (2016)'!$A$3,"MA_HT","SKN","MA_QH","TIN")</f>
        <v>0</v>
      </c>
      <c r="BB24" s="74">
        <f>+GETPIVOTDATA("XNT4",'nghiathanh (2016)'!$A$3,"MA_HT","SKN","MA_QH","SON")</f>
        <v>0</v>
      </c>
      <c r="BC24" s="74">
        <f>+GETPIVOTDATA("XNT4",'nghiathanh (2016)'!$A$3,"MA_HT","SKN","MA_QH","MNC")</f>
        <v>0</v>
      </c>
      <c r="BD24" s="35">
        <f>+GETPIVOTDATA("XNT4",'nghiathanh (2016)'!$A$3,"MA_HT","SKN","MA_QH","PNK")</f>
        <v>0</v>
      </c>
      <c r="BE24" s="58">
        <f>+GETPIVOTDATA("XNT4",'nghiathanh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+GETPIVOTDATA("XNT4",'nghiathanh (2016)'!$A$3,"MA_HT","TMD","MA_QH","LUC")</f>
        <v>0</v>
      </c>
      <c r="H25" s="35">
        <f>+GETPIVOTDATA("XNT4",'nghiathanh (2016)'!$A$3,"MA_HT","TMD","MA_QH","LUK")</f>
        <v>0</v>
      </c>
      <c r="I25" s="35">
        <f>+GETPIVOTDATA("XNT4",'nghiathanh (2016)'!$A$3,"MA_HT","TMD","MA_QH","LUN")</f>
        <v>0</v>
      </c>
      <c r="J25" s="35">
        <f>+GETPIVOTDATA("XNT4",'nghiathanh (2016)'!$A$3,"MA_HT","TMD","MA_QH","HNK")</f>
        <v>0</v>
      </c>
      <c r="K25" s="35">
        <f>+GETPIVOTDATA("XNT4",'nghiathanh (2016)'!$A$3,"MA_HT","TMD","MA_QH","CLN")</f>
        <v>0</v>
      </c>
      <c r="L25" s="35">
        <f>+GETPIVOTDATA("XNT4",'nghiathanh (2016)'!$A$3,"MA_HT","TMD","MA_QH","RSX")</f>
        <v>0</v>
      </c>
      <c r="M25" s="35">
        <f>+GETPIVOTDATA("XNT4",'nghiathanh (2016)'!$A$3,"MA_HT","TMD","MA_QH","RPH")</f>
        <v>0</v>
      </c>
      <c r="N25" s="35">
        <f>+GETPIVOTDATA("XNT4",'nghiathanh (2016)'!$A$3,"MA_HT","TMD","MA_QH","RDD")</f>
        <v>0</v>
      </c>
      <c r="O25" s="35">
        <f>+GETPIVOTDATA("XNT4",'nghiathanh (2016)'!$A$3,"MA_HT","TMD","MA_QH","NTS")</f>
        <v>0</v>
      </c>
      <c r="P25" s="35">
        <f>+GETPIVOTDATA("XNT4",'nghiathanh (2016)'!$A$3,"MA_HT","TMD","MA_QH","LMU")</f>
        <v>0</v>
      </c>
      <c r="Q25" s="35">
        <f>+GETPIVOTDATA("XNT4",'nghiathanh (2016)'!$A$3,"MA_HT","TMD","MA_QH","NKH")</f>
        <v>0</v>
      </c>
      <c r="R25" s="63">
        <f>SUM(S25:W25,Y25:AA25,AN25:BD25)</f>
        <v>0</v>
      </c>
      <c r="S25" s="35">
        <f>+GETPIVOTDATA("XNT4",'nghiathanh (2016)'!$A$3,"MA_HT","TMD","MA_QH","CQP")</f>
        <v>0</v>
      </c>
      <c r="T25" s="35">
        <f>+GETPIVOTDATA("XNT4",'nghiathanh (2016)'!$A$3,"MA_HT","TMD","MA_QH","CAN")</f>
        <v>0</v>
      </c>
      <c r="U25" s="35">
        <f>+GETPIVOTDATA("XNT4",'nghiathanh (2016)'!$A$3,"MA_HT","TMD","MA_QH","SKK")</f>
        <v>0</v>
      </c>
      <c r="V25" s="35">
        <f>+GETPIVOTDATA("XNT4",'nghiathanh (2016)'!$A$3,"MA_HT","TMD","MA_QH","SKT")</f>
        <v>0</v>
      </c>
      <c r="W25" s="35">
        <f>+GETPIVOTDATA("XNT4",'nghiathanh (2016)'!$A$3,"MA_HT","TMD","MA_QH","SKN")</f>
        <v>0</v>
      </c>
      <c r="X25" s="99" t="e">
        <f>$D25-$BF25</f>
        <v>#REF!</v>
      </c>
      <c r="Y25" s="35">
        <f>+GETPIVOTDATA("XNT4",'nghiathanh (2016)'!$A$3,"MA_HT","TMD","MA_QH","SKC")</f>
        <v>0</v>
      </c>
      <c r="Z25" s="35">
        <f>+GETPIVOTDATA("XNT4",'nghiathanh (2016)'!$A$3,"MA_HT","TMD","MA_QH","SKS")</f>
        <v>0</v>
      </c>
      <c r="AA25" s="64">
        <f t="shared" si="12"/>
        <v>0</v>
      </c>
      <c r="AB25" s="35">
        <f>+GETPIVOTDATA("XNT4",'nghiathanh (2016)'!$A$3,"MA_HT","TMD","MA_QH","DGT")</f>
        <v>0</v>
      </c>
      <c r="AC25" s="35">
        <f>+GETPIVOTDATA("XNT4",'nghiathanh (2016)'!$A$3,"MA_HT","TMD","MA_QH","DTL")</f>
        <v>0</v>
      </c>
      <c r="AD25" s="35">
        <f>+GETPIVOTDATA("XNT4",'nghiathanh (2016)'!$A$3,"MA_HT","TMD","MA_QH","DNL")</f>
        <v>0</v>
      </c>
      <c r="AE25" s="35">
        <f>+GETPIVOTDATA("XNT4",'nghiathanh (2016)'!$A$3,"MA_HT","TMD","MA_QH","DBV")</f>
        <v>0</v>
      </c>
      <c r="AF25" s="35">
        <f>+GETPIVOTDATA("XNT4",'nghiathanh (2016)'!$A$3,"MA_HT","TMD","MA_QH","DVH")</f>
        <v>0</v>
      </c>
      <c r="AG25" s="35">
        <f>+GETPIVOTDATA("XNT4",'nghiathanh (2016)'!$A$3,"MA_HT","TMD","MA_QH","DYT")</f>
        <v>0</v>
      </c>
      <c r="AH25" s="35">
        <f>+GETPIVOTDATA("XNT4",'nghiathanh (2016)'!$A$3,"MA_HT","TMD","MA_QH","DGD")</f>
        <v>0</v>
      </c>
      <c r="AI25" s="35">
        <f>+GETPIVOTDATA("XNT4",'nghiathanh (2016)'!$A$3,"MA_HT","TMD","MA_QH","DTT")</f>
        <v>0</v>
      </c>
      <c r="AJ25" s="35">
        <f>+GETPIVOTDATA("XNT4",'nghiathanh (2016)'!$A$3,"MA_HT","TMD","MA_QH","NCK")</f>
        <v>0</v>
      </c>
      <c r="AK25" s="35">
        <f>+GETPIVOTDATA("XNT4",'nghiathanh (2016)'!$A$3,"MA_HT","TMD","MA_QH","DXH")</f>
        <v>0</v>
      </c>
      <c r="AL25" s="35">
        <f>+GETPIVOTDATA("XNT4",'nghiathanh (2016)'!$A$3,"MA_HT","TMD","MA_QH","DCH")</f>
        <v>0</v>
      </c>
      <c r="AM25" s="35">
        <f>+GETPIVOTDATA("XNT4",'nghiathanh (2016)'!$A$3,"MA_HT","TMD","MA_QH","DKG")</f>
        <v>0</v>
      </c>
      <c r="AN25" s="35">
        <f>+GETPIVOTDATA("XNT4",'nghiathanh (2016)'!$A$3,"MA_HT","TMD","MA_QH","DDT")</f>
        <v>0</v>
      </c>
      <c r="AO25" s="35">
        <f>+GETPIVOTDATA("XNT4",'nghiathanh (2016)'!$A$3,"MA_HT","TMD","MA_QH","DDL")</f>
        <v>0</v>
      </c>
      <c r="AP25" s="35">
        <f>+GETPIVOTDATA("XNT4",'nghiathanh (2016)'!$A$3,"MA_HT","TMD","MA_QH","DRA")</f>
        <v>0</v>
      </c>
      <c r="AQ25" s="35">
        <f>+GETPIVOTDATA("XNT4",'nghiathanh (2016)'!$A$3,"MA_HT","TMD","MA_QH","ONT")</f>
        <v>0</v>
      </c>
      <c r="AR25" s="35">
        <f>+GETPIVOTDATA("XNT4",'nghiathanh (2016)'!$A$3,"MA_HT","TMD","MA_QH","ODT")</f>
        <v>0</v>
      </c>
      <c r="AS25" s="35">
        <f>+GETPIVOTDATA("XNT4",'nghiathanh (2016)'!$A$3,"MA_HT","TMD","MA_QH","TSC")</f>
        <v>0</v>
      </c>
      <c r="AT25" s="35">
        <f>+GETPIVOTDATA("XNT4",'nghiathanh (2016)'!$A$3,"MA_HT","TMD","MA_QH","DTS")</f>
        <v>0</v>
      </c>
      <c r="AU25" s="35">
        <f>+GETPIVOTDATA("XNT4",'nghiathanh (2016)'!$A$3,"MA_HT","TMD","MA_QH","DNG")</f>
        <v>0</v>
      </c>
      <c r="AV25" s="35">
        <f>+GETPIVOTDATA("XNT4",'nghiathanh (2016)'!$A$3,"MA_HT","TMD","MA_QH","TON")</f>
        <v>0</v>
      </c>
      <c r="AW25" s="35">
        <f>+GETPIVOTDATA("XNT4",'nghiathanh (2016)'!$A$3,"MA_HT","TMD","MA_QH","NTD")</f>
        <v>0</v>
      </c>
      <c r="AX25" s="35">
        <f>+GETPIVOTDATA("XNT4",'nghiathanh (2016)'!$A$3,"MA_HT","TMD","MA_QH","SKX")</f>
        <v>0</v>
      </c>
      <c r="AY25" s="35">
        <f>+GETPIVOTDATA("XNT4",'nghiathanh (2016)'!$A$3,"MA_HT","TMD","MA_QH","DSH")</f>
        <v>0</v>
      </c>
      <c r="AZ25" s="35">
        <f>+GETPIVOTDATA("XNT4",'nghiathanh (2016)'!$A$3,"MA_HT","TMD","MA_QH","DKV")</f>
        <v>0</v>
      </c>
      <c r="BA25" s="140">
        <f>+GETPIVOTDATA("XNT4",'nghiathanh (2016)'!$A$3,"MA_HT","TMD","MA_QH","TIN")</f>
        <v>0</v>
      </c>
      <c r="BB25" s="74">
        <f>+GETPIVOTDATA("XNT4",'nghiathanh (2016)'!$A$3,"MA_HT","TMD","MA_QH","SON")</f>
        <v>0</v>
      </c>
      <c r="BC25" s="74">
        <f>+GETPIVOTDATA("XNT4",'nghiathanh (2016)'!$A$3,"MA_HT","TMD","MA_QH","MNC")</f>
        <v>0</v>
      </c>
      <c r="BD25" s="35">
        <f>+GETPIVOTDATA("XNT4",'nghiathanh (2016)'!$A$3,"MA_HT","TMD","MA_QH","PNK")</f>
        <v>0</v>
      </c>
      <c r="BE25" s="58">
        <f>+GETPIVOTDATA("XNT4",'nghiathanh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+GETPIVOTDATA("XNT4",'nghiathanh (2016)'!$A$3,"MA_HT","SKC","MA_QH","LUC")</f>
        <v>0</v>
      </c>
      <c r="H26" s="35">
        <f>+GETPIVOTDATA("XNT4",'nghiathanh (2016)'!$A$3,"MA_HT","SKC","MA_QH","LUK")</f>
        <v>0</v>
      </c>
      <c r="I26" s="35">
        <f>+GETPIVOTDATA("XNT4",'nghiathanh (2016)'!$A$3,"MA_HT","SKC","MA_QH","LUN")</f>
        <v>0</v>
      </c>
      <c r="J26" s="35">
        <f>+GETPIVOTDATA("XNT4",'nghiathanh (2016)'!$A$3,"MA_HT","SKC","MA_QH","HNK")</f>
        <v>0</v>
      </c>
      <c r="K26" s="35">
        <f>+GETPIVOTDATA("XNT4",'nghiathanh (2016)'!$A$3,"MA_HT","SKC","MA_QH","CLN")</f>
        <v>0</v>
      </c>
      <c r="L26" s="35">
        <f>+GETPIVOTDATA("XNT4",'nghiathanh (2016)'!$A$3,"MA_HT","SKC","MA_QH","RSX")</f>
        <v>0</v>
      </c>
      <c r="M26" s="35">
        <f>+GETPIVOTDATA("XNT4",'nghiathanh (2016)'!$A$3,"MA_HT","SKC","MA_QH","RPH")</f>
        <v>0</v>
      </c>
      <c r="N26" s="35">
        <f>+GETPIVOTDATA("XNT4",'nghiathanh (2016)'!$A$3,"MA_HT","SKC","MA_QH","RDD")</f>
        <v>0</v>
      </c>
      <c r="O26" s="35">
        <f>+GETPIVOTDATA("XNT4",'nghiathanh (2016)'!$A$3,"MA_HT","SKC","MA_QH","NTS")</f>
        <v>0</v>
      </c>
      <c r="P26" s="35">
        <f>+GETPIVOTDATA("XNT4",'nghiathanh (2016)'!$A$3,"MA_HT","SKC","MA_QH","LMU")</f>
        <v>0</v>
      </c>
      <c r="Q26" s="35">
        <f>+GETPIVOTDATA("XNT4",'nghiathanh (2016)'!$A$3,"MA_HT","SKC","MA_QH","NKH")</f>
        <v>0</v>
      </c>
      <c r="R26" s="63">
        <f>SUM(S26:X26,Z26,AN26:BD26)</f>
        <v>0</v>
      </c>
      <c r="S26" s="35">
        <f>+GETPIVOTDATA("XNT4",'nghiathanh (2016)'!$A$3,"MA_HT","SKC","MA_QH","CQP")</f>
        <v>0</v>
      </c>
      <c r="T26" s="35">
        <f>+GETPIVOTDATA("XNT4",'nghiathanh (2016)'!$A$3,"MA_HT","SKC","MA_QH","CAN")</f>
        <v>0</v>
      </c>
      <c r="U26" s="35">
        <f>+GETPIVOTDATA("XNT4",'nghiathanh (2016)'!$A$3,"MA_HT","SKC","MA_QH","SKK")</f>
        <v>0</v>
      </c>
      <c r="V26" s="35">
        <f>+GETPIVOTDATA("XNT4",'nghiathanh (2016)'!$A$3,"MA_HT","SKC","MA_QH","SKT")</f>
        <v>0</v>
      </c>
      <c r="W26" s="35">
        <f>+GETPIVOTDATA("XNT4",'nghiathanh (2016)'!$A$3,"MA_HT","SKC","MA_QH","SKN")</f>
        <v>0</v>
      </c>
      <c r="X26" s="35">
        <f>+GETPIVOTDATA("XNT4",'nghiathanh (2016)'!$A$3,"MA_HT","SKC","MA_QH","TMD")</f>
        <v>0</v>
      </c>
      <c r="Y26" s="99" t="e">
        <f>$D26-$BF26</f>
        <v>#REF!</v>
      </c>
      <c r="Z26" s="35">
        <f>+GETPIVOTDATA("XNT4",'nghiathanh (2016)'!$A$3,"MA_HT","SKC","MA_QH","SKS")</f>
        <v>0</v>
      </c>
      <c r="AA26" s="64">
        <f t="shared" si="12"/>
        <v>0</v>
      </c>
      <c r="AB26" s="35">
        <f>+GETPIVOTDATA("XNT4",'nghiathanh (2016)'!$A$3,"MA_HT","SKC","MA_QH","DGT")</f>
        <v>0</v>
      </c>
      <c r="AC26" s="35">
        <f>+GETPIVOTDATA("XNT4",'nghiathanh (2016)'!$A$3,"MA_HT","SKC","MA_QH","DTL")</f>
        <v>0</v>
      </c>
      <c r="AD26" s="35">
        <f>+GETPIVOTDATA("XNT4",'nghiathanh (2016)'!$A$3,"MA_HT","SKC","MA_QH","DNL")</f>
        <v>0</v>
      </c>
      <c r="AE26" s="35">
        <f>+GETPIVOTDATA("XNT4",'nghiathanh (2016)'!$A$3,"MA_HT","SKC","MA_QH","DBV")</f>
        <v>0</v>
      </c>
      <c r="AF26" s="35">
        <f>+GETPIVOTDATA("XNT4",'nghiathanh (2016)'!$A$3,"MA_HT","SKC","MA_QH","DVH")</f>
        <v>0</v>
      </c>
      <c r="AG26" s="35">
        <f>+GETPIVOTDATA("XNT4",'nghiathanh (2016)'!$A$3,"MA_HT","SKC","MA_QH","DYT")</f>
        <v>0</v>
      </c>
      <c r="AH26" s="35">
        <f>+GETPIVOTDATA("XNT4",'nghiathanh (2016)'!$A$3,"MA_HT","SKC","MA_QH","DGD")</f>
        <v>0</v>
      </c>
      <c r="AI26" s="35">
        <f>+GETPIVOTDATA("XNT4",'nghiathanh (2016)'!$A$3,"MA_HT","SKC","MA_QH","DTT")</f>
        <v>0</v>
      </c>
      <c r="AJ26" s="35">
        <f>+GETPIVOTDATA("XNT4",'nghiathanh (2016)'!$A$3,"MA_HT","SKC","MA_QH","NCK")</f>
        <v>0</v>
      </c>
      <c r="AK26" s="35">
        <f>+GETPIVOTDATA("XNT4",'nghiathanh (2016)'!$A$3,"MA_HT","SKC","MA_QH","DXH")</f>
        <v>0</v>
      </c>
      <c r="AL26" s="35">
        <f>+GETPIVOTDATA("XNT4",'nghiathanh (2016)'!$A$3,"MA_HT","SKC","MA_QH","DCH")</f>
        <v>0</v>
      </c>
      <c r="AM26" s="35">
        <f>+GETPIVOTDATA("XNT4",'nghiathanh (2016)'!$A$3,"MA_HT","SKC","MA_QH","DKG")</f>
        <v>0</v>
      </c>
      <c r="AN26" s="35">
        <f>+GETPIVOTDATA("XNT4",'nghiathanh (2016)'!$A$3,"MA_HT","SKC","MA_QH","DDT")</f>
        <v>0</v>
      </c>
      <c r="AO26" s="35">
        <f>+GETPIVOTDATA("XNT4",'nghiathanh (2016)'!$A$3,"MA_HT","SKC","MA_QH","DDL")</f>
        <v>0</v>
      </c>
      <c r="AP26" s="35">
        <f>+GETPIVOTDATA("XNT4",'nghiathanh (2016)'!$A$3,"MA_HT","SKC","MA_QH","DRA")</f>
        <v>0</v>
      </c>
      <c r="AQ26" s="35">
        <f>+GETPIVOTDATA("XNT4",'nghiathanh (2016)'!$A$3,"MA_HT","SKC","MA_QH","ONT")</f>
        <v>0</v>
      </c>
      <c r="AR26" s="35">
        <f>+GETPIVOTDATA("XNT4",'nghiathanh (2016)'!$A$3,"MA_HT","SKC","MA_QH","ODT")</f>
        <v>0</v>
      </c>
      <c r="AS26" s="35">
        <f>+GETPIVOTDATA("XNT4",'nghiathanh (2016)'!$A$3,"MA_HT","SKC","MA_QH","TSC")</f>
        <v>0</v>
      </c>
      <c r="AT26" s="35">
        <f>+GETPIVOTDATA("XNT4",'nghiathanh (2016)'!$A$3,"MA_HT","SKC","MA_QH","DTS")</f>
        <v>0</v>
      </c>
      <c r="AU26" s="35">
        <f>+GETPIVOTDATA("XNT4",'nghiathanh (2016)'!$A$3,"MA_HT","SKC","MA_QH","DNG")</f>
        <v>0</v>
      </c>
      <c r="AV26" s="35">
        <f>+GETPIVOTDATA("XNT4",'nghiathanh (2016)'!$A$3,"MA_HT","SKC","MA_QH","TON")</f>
        <v>0</v>
      </c>
      <c r="AW26" s="35">
        <f>+GETPIVOTDATA("XNT4",'nghiathanh (2016)'!$A$3,"MA_HT","SKC","MA_QH","NTD")</f>
        <v>0</v>
      </c>
      <c r="AX26" s="35">
        <f>+GETPIVOTDATA("XNT4",'nghiathanh (2016)'!$A$3,"MA_HT","SKC","MA_QH","SKX")</f>
        <v>0</v>
      </c>
      <c r="AY26" s="35">
        <f>+GETPIVOTDATA("XNT4",'nghiathanh (2016)'!$A$3,"MA_HT","SKC","MA_QH","DSH")</f>
        <v>0</v>
      </c>
      <c r="AZ26" s="35">
        <f>+GETPIVOTDATA("XNT4",'nghiathanh (2016)'!$A$3,"MA_HT","SKC","MA_QH","DKV")</f>
        <v>0</v>
      </c>
      <c r="BA26" s="140">
        <f>+GETPIVOTDATA("XNT4",'nghiathanh (2016)'!$A$3,"MA_HT","SKC","MA_QH","TIN")</f>
        <v>0</v>
      </c>
      <c r="BB26" s="74">
        <f>+GETPIVOTDATA("XNT4",'nghiathanh (2016)'!$A$3,"MA_HT","SKC","MA_QH","SON")</f>
        <v>0</v>
      </c>
      <c r="BC26" s="74">
        <f>+GETPIVOTDATA("XNT4",'nghiathanh (2016)'!$A$3,"MA_HT","SKC","MA_QH","MNC")</f>
        <v>0</v>
      </c>
      <c r="BD26" s="35">
        <f>+GETPIVOTDATA("XNT4",'nghiathanh (2016)'!$A$3,"MA_HT","SKC","MA_QH","PNK")</f>
        <v>0</v>
      </c>
      <c r="BE26" s="58">
        <f>+GETPIVOTDATA("XNT4",'nghiathanh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+GETPIVOTDATA("XNT4",'nghiathanh (2016)'!$A$3,"MA_HT","SKS","MA_QH","LUC")</f>
        <v>0</v>
      </c>
      <c r="H27" s="35">
        <f>+GETPIVOTDATA("XNT4",'nghiathanh (2016)'!$A$3,"MA_HT","SKS","MA_QH","LUK")</f>
        <v>0</v>
      </c>
      <c r="I27" s="35">
        <f>+GETPIVOTDATA("XNT4",'nghiathanh (2016)'!$A$3,"MA_HT","SKS","MA_QH","LUN")</f>
        <v>0</v>
      </c>
      <c r="J27" s="35">
        <f>+GETPIVOTDATA("XNT4",'nghiathanh (2016)'!$A$3,"MA_HT","SKS","MA_QH","HNK")</f>
        <v>0</v>
      </c>
      <c r="K27" s="35">
        <f>+GETPIVOTDATA("XNT4",'nghiathanh (2016)'!$A$3,"MA_HT","SKS","MA_QH","CLN")</f>
        <v>0</v>
      </c>
      <c r="L27" s="35">
        <f>+GETPIVOTDATA("XNT4",'nghiathanh (2016)'!$A$3,"MA_HT","SKS","MA_QH","RSX")</f>
        <v>0</v>
      </c>
      <c r="M27" s="35">
        <f>+GETPIVOTDATA("XNT4",'nghiathanh (2016)'!$A$3,"MA_HT","SKS","MA_QH","RPH")</f>
        <v>0</v>
      </c>
      <c r="N27" s="35">
        <f>+GETPIVOTDATA("XNT4",'nghiathanh (2016)'!$A$3,"MA_HT","SKS","MA_QH","RDD")</f>
        <v>0</v>
      </c>
      <c r="O27" s="35">
        <f>+GETPIVOTDATA("XNT4",'nghiathanh (2016)'!$A$3,"MA_HT","SKS","MA_QH","NTS")</f>
        <v>0</v>
      </c>
      <c r="P27" s="35">
        <f>+GETPIVOTDATA("XNT4",'nghiathanh (2016)'!$A$3,"MA_HT","SKS","MA_QH","LMU")</f>
        <v>0</v>
      </c>
      <c r="Q27" s="35">
        <f>+GETPIVOTDATA("XNT4",'nghiathanh (2016)'!$A$3,"MA_HT","SKS","MA_QH","NKH")</f>
        <v>0</v>
      </c>
      <c r="R27" s="63">
        <f>SUM(S27:Y27,AA27,AN27:BD27)</f>
        <v>0</v>
      </c>
      <c r="S27" s="35">
        <f>+GETPIVOTDATA("XNT4",'nghiathanh (2016)'!$A$3,"MA_HT","SKS","MA_QH","CQP")</f>
        <v>0</v>
      </c>
      <c r="T27" s="35">
        <f>+GETPIVOTDATA("XNT4",'nghiathanh (2016)'!$A$3,"MA_HT","SKS","MA_QH","CAN")</f>
        <v>0</v>
      </c>
      <c r="U27" s="35">
        <f>+GETPIVOTDATA("XNT4",'nghiathanh (2016)'!$A$3,"MA_HT","SKS","MA_QH","SKK")</f>
        <v>0</v>
      </c>
      <c r="V27" s="35">
        <f>+GETPIVOTDATA("XNT4",'nghiathanh (2016)'!$A$3,"MA_HT","SKS","MA_QH","SKT")</f>
        <v>0</v>
      </c>
      <c r="W27" s="35">
        <f>+GETPIVOTDATA("XNT4",'nghiathanh (2016)'!$A$3,"MA_HT","SKS","MA_QH","SKN")</f>
        <v>0</v>
      </c>
      <c r="X27" s="35">
        <f>+GETPIVOTDATA("XNT4",'nghiathanh (2016)'!$A$3,"MA_HT","SKS","MA_QH","TMD")</f>
        <v>0</v>
      </c>
      <c r="Y27" s="35">
        <f>+GETPIVOTDATA("XNT4",'nghiathanh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+GETPIVOTDATA("XNT4",'nghiathanh (2016)'!$A$3,"MA_HT","SKS","MA_QH","DGT")</f>
        <v>0</v>
      </c>
      <c r="AC27" s="35">
        <f>+GETPIVOTDATA("XNT4",'nghiathanh (2016)'!$A$3,"MA_HT","SKS","MA_QH","DTL")</f>
        <v>0</v>
      </c>
      <c r="AD27" s="35">
        <f>+GETPIVOTDATA("XNT4",'nghiathanh (2016)'!$A$3,"MA_HT","SKS","MA_QH","DNL")</f>
        <v>0</v>
      </c>
      <c r="AE27" s="35">
        <f>+GETPIVOTDATA("XNT4",'nghiathanh (2016)'!$A$3,"MA_HT","SKS","MA_QH","DBV")</f>
        <v>0</v>
      </c>
      <c r="AF27" s="35">
        <f>+GETPIVOTDATA("XNT4",'nghiathanh (2016)'!$A$3,"MA_HT","SKS","MA_QH","DVH")</f>
        <v>0</v>
      </c>
      <c r="AG27" s="35">
        <f>+GETPIVOTDATA("XNT4",'nghiathanh (2016)'!$A$3,"MA_HT","SKS","MA_QH","DYT")</f>
        <v>0</v>
      </c>
      <c r="AH27" s="35">
        <f>+GETPIVOTDATA("XNT4",'nghiathanh (2016)'!$A$3,"MA_HT","SKS","MA_QH","DGD")</f>
        <v>0</v>
      </c>
      <c r="AI27" s="35">
        <f>+GETPIVOTDATA("XNT4",'nghiathanh (2016)'!$A$3,"MA_HT","SKS","MA_QH","DTT")</f>
        <v>0</v>
      </c>
      <c r="AJ27" s="35">
        <f>+GETPIVOTDATA("XNT4",'nghiathanh (2016)'!$A$3,"MA_HT","SKS","MA_QH","NCK")</f>
        <v>0</v>
      </c>
      <c r="AK27" s="35">
        <f>+GETPIVOTDATA("XNT4",'nghiathanh (2016)'!$A$3,"MA_HT","SKS","MA_QH","DXH")</f>
        <v>0</v>
      </c>
      <c r="AL27" s="35">
        <f>+GETPIVOTDATA("XNT4",'nghiathanh (2016)'!$A$3,"MA_HT","SKS","MA_QH","DCH")</f>
        <v>0</v>
      </c>
      <c r="AM27" s="35">
        <f>+GETPIVOTDATA("XNT4",'nghiathanh (2016)'!$A$3,"MA_HT","SKS","MA_QH","DKG")</f>
        <v>0</v>
      </c>
      <c r="AN27" s="35">
        <f>+GETPIVOTDATA("XNT4",'nghiathanh (2016)'!$A$3,"MA_HT","SKS","MA_QH","DDT")</f>
        <v>0</v>
      </c>
      <c r="AO27" s="35">
        <f>+GETPIVOTDATA("XNT4",'nghiathanh (2016)'!$A$3,"MA_HT","SKS","MA_QH","DDL")</f>
        <v>0</v>
      </c>
      <c r="AP27" s="35">
        <f>+GETPIVOTDATA("XNT4",'nghiathanh (2016)'!$A$3,"MA_HT","SKS","MA_QH","DRA")</f>
        <v>0</v>
      </c>
      <c r="AQ27" s="35">
        <f>+GETPIVOTDATA("XNT4",'nghiathanh (2016)'!$A$3,"MA_HT","SKS","MA_QH","ONT")</f>
        <v>0</v>
      </c>
      <c r="AR27" s="35">
        <f>+GETPIVOTDATA("XNT4",'nghiathanh (2016)'!$A$3,"MA_HT","SKS","MA_QH","ODT")</f>
        <v>0</v>
      </c>
      <c r="AS27" s="35">
        <f>+GETPIVOTDATA("XNT4",'nghiathanh (2016)'!$A$3,"MA_HT","SKS","MA_QH","TSC")</f>
        <v>0</v>
      </c>
      <c r="AT27" s="35">
        <f>+GETPIVOTDATA("XNT4",'nghiathanh (2016)'!$A$3,"MA_HT","SKS","MA_QH","DTS")</f>
        <v>0</v>
      </c>
      <c r="AU27" s="35">
        <f>+GETPIVOTDATA("XNT4",'nghiathanh (2016)'!$A$3,"MA_HT","SKS","MA_QH","DNG")</f>
        <v>0</v>
      </c>
      <c r="AV27" s="35">
        <f>+GETPIVOTDATA("XNT4",'nghiathanh (2016)'!$A$3,"MA_HT","SKS","MA_QH","TON")</f>
        <v>0</v>
      </c>
      <c r="AW27" s="35">
        <f>+GETPIVOTDATA("XNT4",'nghiathanh (2016)'!$A$3,"MA_HT","SKS","MA_QH","NTD")</f>
        <v>0</v>
      </c>
      <c r="AX27" s="35">
        <f>+GETPIVOTDATA("XNT4",'nghiathanh (2016)'!$A$3,"MA_HT","SKS","MA_QH","SKX")</f>
        <v>0</v>
      </c>
      <c r="AY27" s="35">
        <f>+GETPIVOTDATA("XNT4",'nghiathanh (2016)'!$A$3,"MA_HT","SKS","MA_QH","DSH")</f>
        <v>0</v>
      </c>
      <c r="AZ27" s="35">
        <f>+GETPIVOTDATA("XNT4",'nghiathanh (2016)'!$A$3,"MA_HT","SKS","MA_QH","DKV")</f>
        <v>0</v>
      </c>
      <c r="BA27" s="140">
        <f>+GETPIVOTDATA("XNT4",'nghiathanh (2016)'!$A$3,"MA_HT","SKS","MA_QH","TIN")</f>
        <v>0</v>
      </c>
      <c r="BB27" s="74">
        <f>+GETPIVOTDATA("XNT4",'nghiathanh (2016)'!$A$3,"MA_HT","SKS","MA_QH","SON")</f>
        <v>0</v>
      </c>
      <c r="BC27" s="74">
        <f>+GETPIVOTDATA("XNT4",'nghiathanh (2016)'!$A$3,"MA_HT","SKS","MA_QH","MNC")</f>
        <v>0</v>
      </c>
      <c r="BD27" s="35">
        <f>+GETPIVOTDATA("XNT4",'nghiathanh (2016)'!$A$3,"MA_HT","SKS","MA_QH","PNK")</f>
        <v>0</v>
      </c>
      <c r="BE27" s="58">
        <f>+GETPIVOTDATA("XNT4",'nghiathanh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+GETPIVOTDATA("XNT4",'nghiathanh (2016)'!$A$3,"MA_HT","DGT","MA_QH","LUC")</f>
        <v>0</v>
      </c>
      <c r="H29" s="74">
        <f>+GETPIVOTDATA("XNT4",'nghiathanh (2016)'!$A$3,"MA_HT","DGT","MA_QH","LUK")</f>
        <v>0</v>
      </c>
      <c r="I29" s="74">
        <f>+GETPIVOTDATA("XNT4",'nghiathanh (2016)'!$A$3,"MA_HT","DGT","MA_QH","LUN")</f>
        <v>0</v>
      </c>
      <c r="J29" s="74">
        <f>+GETPIVOTDATA("XNT4",'nghiathanh (2016)'!$A$3,"MA_HT","DGT","MA_QH","HNK")</f>
        <v>0</v>
      </c>
      <c r="K29" s="74">
        <f>+GETPIVOTDATA("XNT4",'nghiathanh (2016)'!$A$3,"MA_HT","DGT","MA_QH","CLN")</f>
        <v>0</v>
      </c>
      <c r="L29" s="74">
        <f>+GETPIVOTDATA("XNT4",'nghiathanh (2016)'!$A$3,"MA_HT","DGT","MA_QH","RSX")</f>
        <v>0</v>
      </c>
      <c r="M29" s="74">
        <f>+GETPIVOTDATA("XNT4",'nghiathanh (2016)'!$A$3,"MA_HT","DGT","MA_QH","RPH")</f>
        <v>0</v>
      </c>
      <c r="N29" s="74">
        <f>+GETPIVOTDATA("XNT4",'nghiathanh (2016)'!$A$3,"MA_HT","DGT","MA_QH","RDD")</f>
        <v>0</v>
      </c>
      <c r="O29" s="74">
        <f>+GETPIVOTDATA("XNT4",'nghiathanh (2016)'!$A$3,"MA_HT","DGT","MA_QH","NTS")</f>
        <v>0</v>
      </c>
      <c r="P29" s="74">
        <f>+GETPIVOTDATA("XNT4",'nghiathanh (2016)'!$A$3,"MA_HT","DGT","MA_QH","LMU")</f>
        <v>0</v>
      </c>
      <c r="Q29" s="74">
        <f>+GETPIVOTDATA("XNT4",'nghiathanh (2016)'!$A$3,"MA_HT","DGT","MA_QH","NKH")</f>
        <v>0</v>
      </c>
      <c r="R29" s="72">
        <f>SUM(S29:AA29,AN29:BD29)</f>
        <v>0</v>
      </c>
      <c r="S29" s="74">
        <f>+GETPIVOTDATA("XNT4",'nghiathanh (2016)'!$A$3,"MA_HT","DGT","MA_QH","CQP")</f>
        <v>0</v>
      </c>
      <c r="T29" s="74">
        <f>+GETPIVOTDATA("XNT4",'nghiathanh (2016)'!$A$3,"MA_HT","DGT","MA_QH","CAN")</f>
        <v>0</v>
      </c>
      <c r="U29" s="74">
        <f>+GETPIVOTDATA("XNT4",'nghiathanh (2016)'!$A$3,"MA_HT","DGT","MA_QH","SKK")</f>
        <v>0</v>
      </c>
      <c r="V29" s="74">
        <f>+GETPIVOTDATA("XNT4",'nghiathanh (2016)'!$A$3,"MA_HT","DGT","MA_QH","SKT")</f>
        <v>0</v>
      </c>
      <c r="W29" s="74">
        <f>+GETPIVOTDATA("XNT4",'nghiathanh (2016)'!$A$3,"MA_HT","DGT","MA_QH","SKN")</f>
        <v>0</v>
      </c>
      <c r="X29" s="74">
        <f>+GETPIVOTDATA("XNT4",'nghiathanh (2016)'!$A$3,"MA_HT","DGT","MA_QH","TMD")</f>
        <v>0</v>
      </c>
      <c r="Y29" s="74">
        <f>+GETPIVOTDATA("XNT4",'nghiathanh (2016)'!$A$3,"MA_HT","DGT","MA_QH","SKC")</f>
        <v>0</v>
      </c>
      <c r="Z29" s="74">
        <f>+GETPIVOTDATA("XNT4",'nghiathanh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+GETPIVOTDATA("XNT4",'nghiathanh (2016)'!$A$3,"MA_HT","DGT","MA_QH","DTL")</f>
        <v>0</v>
      </c>
      <c r="AD29" s="74">
        <f>+GETPIVOTDATA("XNT4",'nghiathanh (2016)'!$A$3,"MA_HT","DGT","MA_QH","DNL")</f>
        <v>0</v>
      </c>
      <c r="AE29" s="74">
        <f>+GETPIVOTDATA("XNT4",'nghiathanh (2016)'!$A$3,"MA_HT","DGT","MA_QH","DBV")</f>
        <v>0</v>
      </c>
      <c r="AF29" s="74">
        <f>+GETPIVOTDATA("XNT4",'nghiathanh (2016)'!$A$3,"MA_HT","DGT","MA_QH","DVH")</f>
        <v>0</v>
      </c>
      <c r="AG29" s="74">
        <f>+GETPIVOTDATA("XNT4",'nghiathanh (2016)'!$A$3,"MA_HT","DGT","MA_QH","DYT")</f>
        <v>0</v>
      </c>
      <c r="AH29" s="74">
        <f>+GETPIVOTDATA("XNT4",'nghiathanh (2016)'!$A$3,"MA_HT","DGT","MA_QH","DGD")</f>
        <v>0</v>
      </c>
      <c r="AI29" s="74">
        <f>+GETPIVOTDATA("XNT4",'nghiathanh (2016)'!$A$3,"MA_HT","DGT","MA_QH","DTT")</f>
        <v>0</v>
      </c>
      <c r="AJ29" s="74">
        <f>+GETPIVOTDATA("XNT4",'nghiathanh (2016)'!$A$3,"MA_HT","DGT","MA_QH","NCK")</f>
        <v>0</v>
      </c>
      <c r="AK29" s="74">
        <f>+GETPIVOTDATA("XNT4",'nghiathanh (2016)'!$A$3,"MA_HT","DGT","MA_QH","DXH")</f>
        <v>0</v>
      </c>
      <c r="AL29" s="74">
        <f>+GETPIVOTDATA("XNT4",'nghiathanh (2016)'!$A$3,"MA_HT","DGT","MA_QH","DCH")</f>
        <v>0</v>
      </c>
      <c r="AM29" s="74">
        <f>+GETPIVOTDATA("XNT4",'nghiathanh (2016)'!$A$3,"MA_HT","DGT","MA_QH","DKG")</f>
        <v>0</v>
      </c>
      <c r="AN29" s="74">
        <f>+GETPIVOTDATA("XNT4",'nghiathanh (2016)'!$A$3,"MA_HT","DGT","MA_QH","DDT")</f>
        <v>0</v>
      </c>
      <c r="AO29" s="74">
        <f>+GETPIVOTDATA("XNT4",'nghiathanh (2016)'!$A$3,"MA_HT","DGT","MA_QH","DDL")</f>
        <v>0</v>
      </c>
      <c r="AP29" s="74">
        <f>+GETPIVOTDATA("XNT4",'nghiathanh (2016)'!$A$3,"MA_HT","DGT","MA_QH","DRA")</f>
        <v>0</v>
      </c>
      <c r="AQ29" s="74">
        <f>+GETPIVOTDATA("XNT4",'nghiathanh (2016)'!$A$3,"MA_HT","DGT","MA_QH","ONT")</f>
        <v>0</v>
      </c>
      <c r="AR29" s="74">
        <f>+GETPIVOTDATA("XNT4",'nghiathanh (2016)'!$A$3,"MA_HT","DGT","MA_QH","ODT")</f>
        <v>0</v>
      </c>
      <c r="AS29" s="74">
        <f>+GETPIVOTDATA("XNT4",'nghiathanh (2016)'!$A$3,"MA_HT","DGT","MA_QH","TSC")</f>
        <v>0</v>
      </c>
      <c r="AT29" s="74">
        <f>+GETPIVOTDATA("XNT4",'nghiathanh (2016)'!$A$3,"MA_HT","DGT","MA_QH","DTS")</f>
        <v>0</v>
      </c>
      <c r="AU29" s="74">
        <f>+GETPIVOTDATA("XNT4",'nghiathanh (2016)'!$A$3,"MA_HT","DGT","MA_QH","DNG")</f>
        <v>0</v>
      </c>
      <c r="AV29" s="74">
        <f>+GETPIVOTDATA("XNT4",'nghiathanh (2016)'!$A$3,"MA_HT","DGT","MA_QH","TON")</f>
        <v>0</v>
      </c>
      <c r="AW29" s="74">
        <f>+GETPIVOTDATA("XNT4",'nghiathanh (2016)'!$A$3,"MA_HT","DGT","MA_QH","NTD")</f>
        <v>0</v>
      </c>
      <c r="AX29" s="74">
        <f>+GETPIVOTDATA("XNT4",'nghiathanh (2016)'!$A$3,"MA_HT","DGT","MA_QH","SKX")</f>
        <v>0</v>
      </c>
      <c r="AY29" s="74">
        <f>+GETPIVOTDATA("XNT4",'nghiathanh (2016)'!$A$3,"MA_HT","DGT","MA_QH","DSH")</f>
        <v>0</v>
      </c>
      <c r="AZ29" s="74">
        <f>+GETPIVOTDATA("XNT4",'nghiathanh (2016)'!$A$3,"MA_HT","DGT","MA_QH","DKV")</f>
        <v>0</v>
      </c>
      <c r="BA29" s="139">
        <f>+GETPIVOTDATA("XNT4",'nghiathanh (2016)'!$A$3,"MA_HT","DGT","MA_QH","TIN")</f>
        <v>0</v>
      </c>
      <c r="BB29" s="74">
        <f>+GETPIVOTDATA("XNT4",'nghiathanh (2016)'!$A$3,"MA_HT","DGT","MA_QH","SON")</f>
        <v>0</v>
      </c>
      <c r="BC29" s="74">
        <f>+GETPIVOTDATA("XNT4",'nghiathanh (2016)'!$A$3,"MA_HT","DGT","MA_QH","MNC")</f>
        <v>0</v>
      </c>
      <c r="BD29" s="74">
        <f>+GETPIVOTDATA("XNT4",'nghiathanh (2016)'!$A$3,"MA_HT","DGT","MA_QH","PNK")</f>
        <v>0</v>
      </c>
      <c r="BE29" s="102">
        <f>+GETPIVOTDATA("XNT4",'nghiathanh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+GETPIVOTDATA("XNT4",'nghiathanh (2016)'!$A$3,"MA_HT","DTL","MA_QH","LUC")</f>
        <v>0</v>
      </c>
      <c r="H30" s="74">
        <f>+GETPIVOTDATA("XNT4",'nghiathanh (2016)'!$A$3,"MA_HT","DTL","MA_QH","LUK")</f>
        <v>0</v>
      </c>
      <c r="I30" s="74">
        <f>+GETPIVOTDATA("XNT4",'nghiathanh (2016)'!$A$3,"MA_HT","DTL","MA_QH","LUN")</f>
        <v>0</v>
      </c>
      <c r="J30" s="74">
        <f>+GETPIVOTDATA("XNT4",'nghiathanh (2016)'!$A$3,"MA_HT","DTL","MA_QH","HNK")</f>
        <v>0</v>
      </c>
      <c r="K30" s="74">
        <f>+GETPIVOTDATA("XNT4",'nghiathanh (2016)'!$A$3,"MA_HT","DTL","MA_QH","CLN")</f>
        <v>0</v>
      </c>
      <c r="L30" s="74">
        <f>+GETPIVOTDATA("XNT4",'nghiathanh (2016)'!$A$3,"MA_HT","DTL","MA_QH","RSX")</f>
        <v>0</v>
      </c>
      <c r="M30" s="74">
        <f>+GETPIVOTDATA("XNT4",'nghiathanh (2016)'!$A$3,"MA_HT","DTL","MA_QH","RPH")</f>
        <v>0</v>
      </c>
      <c r="N30" s="74">
        <f>+GETPIVOTDATA("XNT4",'nghiathanh (2016)'!$A$3,"MA_HT","DTL","MA_QH","RDD")</f>
        <v>0</v>
      </c>
      <c r="O30" s="74">
        <f>+GETPIVOTDATA("XNT4",'nghiathanh (2016)'!$A$3,"MA_HT","DTL","MA_QH","NTS")</f>
        <v>0</v>
      </c>
      <c r="P30" s="74">
        <f>+GETPIVOTDATA("XNT4",'nghiathanh (2016)'!$A$3,"MA_HT","DTL","MA_QH","LMU")</f>
        <v>0</v>
      </c>
      <c r="Q30" s="74">
        <f>+GETPIVOTDATA("XNT4",'nghiathanh (2016)'!$A$3,"MA_HT","DTL","MA_QH","NKH")</f>
        <v>0</v>
      </c>
      <c r="R30" s="72">
        <f t="shared" ref="R30:R39" si="20">SUM(S30:AA30,AN30:BD30)</f>
        <v>0</v>
      </c>
      <c r="S30" s="74">
        <f>+GETPIVOTDATA("XNT4",'nghiathanh (2016)'!$A$3,"MA_HT","DTL","MA_QH","CQP")</f>
        <v>0</v>
      </c>
      <c r="T30" s="74">
        <f>+GETPIVOTDATA("XNT4",'nghiathanh (2016)'!$A$3,"MA_HT","DTL","MA_QH","CAN")</f>
        <v>0</v>
      </c>
      <c r="U30" s="74">
        <f>+GETPIVOTDATA("XNT4",'nghiathanh (2016)'!$A$3,"MA_HT","DTL","MA_QH","SKK")</f>
        <v>0</v>
      </c>
      <c r="V30" s="74">
        <f>+GETPIVOTDATA("XNT4",'nghiathanh (2016)'!$A$3,"MA_HT","DTL","MA_QH","SKT")</f>
        <v>0</v>
      </c>
      <c r="W30" s="74">
        <f>+GETPIVOTDATA("XNT4",'nghiathanh (2016)'!$A$3,"MA_HT","DTL","MA_QH","SKN")</f>
        <v>0</v>
      </c>
      <c r="X30" s="74">
        <f>+GETPIVOTDATA("XNT4",'nghiathanh (2016)'!$A$3,"MA_HT","DTL","MA_QH","TMD")</f>
        <v>0</v>
      </c>
      <c r="Y30" s="74">
        <f>+GETPIVOTDATA("XNT4",'nghiathanh (2016)'!$A$3,"MA_HT","DTL","MA_QH","SKC")</f>
        <v>0</v>
      </c>
      <c r="Z30" s="74">
        <f>+GETPIVOTDATA("XNT4",'nghiathanh (2016)'!$A$3,"MA_HT","DTL","MA_QH","SKS")</f>
        <v>0</v>
      </c>
      <c r="AA30" s="64">
        <f>+SUM(AB30,AD30:AM30)</f>
        <v>0</v>
      </c>
      <c r="AB30" s="74">
        <f>+GETPIVOTDATA("XNT4",'nghiathanh (2016)'!$A$3,"MA_HT","DTL","MA_QH","DGT")</f>
        <v>0</v>
      </c>
      <c r="AC30" s="100" t="e">
        <f>$D30-$BF30</f>
        <v>#REF!</v>
      </c>
      <c r="AD30" s="74">
        <f>+GETPIVOTDATA("XNT4",'nghiathanh (2016)'!$A$3,"MA_HT","DTL","MA_QH","DNL")</f>
        <v>0</v>
      </c>
      <c r="AE30" s="74">
        <f>+GETPIVOTDATA("XNT4",'nghiathanh (2016)'!$A$3,"MA_HT","DTL","MA_QH","DBV")</f>
        <v>0</v>
      </c>
      <c r="AF30" s="74">
        <f>+GETPIVOTDATA("XNT4",'nghiathanh (2016)'!$A$3,"MA_HT","DTL","MA_QH","DVH")</f>
        <v>0</v>
      </c>
      <c r="AG30" s="74">
        <f>+GETPIVOTDATA("XNT4",'nghiathanh (2016)'!$A$3,"MA_HT","DTL","MA_QH","DYT")</f>
        <v>0</v>
      </c>
      <c r="AH30" s="74">
        <f>+GETPIVOTDATA("XNT4",'nghiathanh (2016)'!$A$3,"MA_HT","DTL","MA_QH","DGD")</f>
        <v>0</v>
      </c>
      <c r="AI30" s="74">
        <f>+GETPIVOTDATA("XNT4",'nghiathanh (2016)'!$A$3,"MA_HT","DTL","MA_QH","DTT")</f>
        <v>0</v>
      </c>
      <c r="AJ30" s="74">
        <f>+GETPIVOTDATA("XNT4",'nghiathanh (2016)'!$A$3,"MA_HT","DTL","MA_QH","NCK")</f>
        <v>0</v>
      </c>
      <c r="AK30" s="74">
        <f>+GETPIVOTDATA("XNT4",'nghiathanh (2016)'!$A$3,"MA_HT","DTL","MA_QH","DXH")</f>
        <v>0</v>
      </c>
      <c r="AL30" s="74">
        <f>+GETPIVOTDATA("XNT4",'nghiathanh (2016)'!$A$3,"MA_HT","DTL","MA_QH","DCH")</f>
        <v>0</v>
      </c>
      <c r="AM30" s="74">
        <f>+GETPIVOTDATA("XNT4",'nghiathanh (2016)'!$A$3,"MA_HT","DTL","MA_QH","DKG")</f>
        <v>0</v>
      </c>
      <c r="AN30" s="74">
        <f>+GETPIVOTDATA("XNT4",'nghiathanh (2016)'!$A$3,"MA_HT","DTL","MA_QH","DDT")</f>
        <v>0</v>
      </c>
      <c r="AO30" s="74">
        <f>+GETPIVOTDATA("XNT4",'nghiathanh (2016)'!$A$3,"MA_HT","DTL","MA_QH","DDL")</f>
        <v>0</v>
      </c>
      <c r="AP30" s="74">
        <f>+GETPIVOTDATA("XNT4",'nghiathanh (2016)'!$A$3,"MA_HT","DTL","MA_QH","DRA")</f>
        <v>0</v>
      </c>
      <c r="AQ30" s="74">
        <f>+GETPIVOTDATA("XNT4",'nghiathanh (2016)'!$A$3,"MA_HT","DTL","MA_QH","ONT")</f>
        <v>0</v>
      </c>
      <c r="AR30" s="74">
        <f>+GETPIVOTDATA("XNT4",'nghiathanh (2016)'!$A$3,"MA_HT","DTL","MA_QH","ODT")</f>
        <v>0</v>
      </c>
      <c r="AS30" s="74">
        <f>+GETPIVOTDATA("XNT4",'nghiathanh (2016)'!$A$3,"MA_HT","DTL","MA_QH","TSC")</f>
        <v>0</v>
      </c>
      <c r="AT30" s="74">
        <f>+GETPIVOTDATA("XNT4",'nghiathanh (2016)'!$A$3,"MA_HT","DTL","MA_QH","DTS")</f>
        <v>0</v>
      </c>
      <c r="AU30" s="74">
        <f>+GETPIVOTDATA("XNT4",'nghiathanh (2016)'!$A$3,"MA_HT","DTL","MA_QH","DNG")</f>
        <v>0</v>
      </c>
      <c r="AV30" s="74">
        <f>+GETPIVOTDATA("XNT4",'nghiathanh (2016)'!$A$3,"MA_HT","DTL","MA_QH","TON")</f>
        <v>0</v>
      </c>
      <c r="AW30" s="74">
        <f>+GETPIVOTDATA("XNT4",'nghiathanh (2016)'!$A$3,"MA_HT","DTL","MA_QH","NTD")</f>
        <v>0</v>
      </c>
      <c r="AX30" s="74">
        <f>+GETPIVOTDATA("XNT4",'nghiathanh (2016)'!$A$3,"MA_HT","DTL","MA_QH","SKX")</f>
        <v>0</v>
      </c>
      <c r="AY30" s="74">
        <f>+GETPIVOTDATA("XNT4",'nghiathanh (2016)'!$A$3,"MA_HT","DTL","MA_QH","DSH")</f>
        <v>0</v>
      </c>
      <c r="AZ30" s="74">
        <f>+GETPIVOTDATA("XNT4",'nghiathanh (2016)'!$A$3,"MA_HT","DTL","MA_QH","DKV")</f>
        <v>0</v>
      </c>
      <c r="BA30" s="139">
        <f>+GETPIVOTDATA("XNT4",'nghiathanh (2016)'!$A$3,"MA_HT","DTL","MA_QH","TIN")</f>
        <v>0</v>
      </c>
      <c r="BB30" s="74">
        <f>+GETPIVOTDATA("XNT4",'nghiathanh (2016)'!$A$3,"MA_HT","DTL","MA_QH","SON")</f>
        <v>0</v>
      </c>
      <c r="BC30" s="74">
        <f>+GETPIVOTDATA("XNT4",'nghiathanh (2016)'!$A$3,"MA_HT","DTL","MA_QH","MNC")</f>
        <v>0</v>
      </c>
      <c r="BD30" s="74">
        <f>+GETPIVOTDATA("XNT4",'nghiathanh (2016)'!$A$3,"MA_HT","DTL","MA_QH","PNK")</f>
        <v>0</v>
      </c>
      <c r="BE30" s="102">
        <f>+GETPIVOTDATA("XNT4",'nghiathanh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+GETPIVOTDATA("XNT4",'nghiathanh (2016)'!$A$3,"MA_HT","DNL","MA_QH","LUC")</f>
        <v>0</v>
      </c>
      <c r="H31" s="74">
        <f>+GETPIVOTDATA("XNT4",'nghiathanh (2016)'!$A$3,"MA_HT","DNL","MA_QH","LUK")</f>
        <v>0</v>
      </c>
      <c r="I31" s="74">
        <f>+GETPIVOTDATA("XNT4",'nghiathanh (2016)'!$A$3,"MA_HT","DNL","MA_QH","LUN")</f>
        <v>0</v>
      </c>
      <c r="J31" s="74">
        <f>+GETPIVOTDATA("XNT4",'nghiathanh (2016)'!$A$3,"MA_HT","DNL","MA_QH","HNK")</f>
        <v>0</v>
      </c>
      <c r="K31" s="74">
        <f>+GETPIVOTDATA("XNT4",'nghiathanh (2016)'!$A$3,"MA_HT","DNL","MA_QH","CLN")</f>
        <v>0</v>
      </c>
      <c r="L31" s="74">
        <f>+GETPIVOTDATA("XNT4",'nghiathanh (2016)'!$A$3,"MA_HT","DNL","MA_QH","RSX")</f>
        <v>0</v>
      </c>
      <c r="M31" s="74">
        <f>+GETPIVOTDATA("XNT4",'nghiathanh (2016)'!$A$3,"MA_HT","DNL","MA_QH","RPH")</f>
        <v>0</v>
      </c>
      <c r="N31" s="74">
        <f>+GETPIVOTDATA("XNT4",'nghiathanh (2016)'!$A$3,"MA_HT","DNL","MA_QH","RDD")</f>
        <v>0</v>
      </c>
      <c r="O31" s="74">
        <f>+GETPIVOTDATA("XNT4",'nghiathanh (2016)'!$A$3,"MA_HT","DNL","MA_QH","NTS")</f>
        <v>0</v>
      </c>
      <c r="P31" s="74">
        <f>+GETPIVOTDATA("XNT4",'nghiathanh (2016)'!$A$3,"MA_HT","DNL","MA_QH","LMU")</f>
        <v>0</v>
      </c>
      <c r="Q31" s="74">
        <f>+GETPIVOTDATA("XNT4",'nghiathanh (2016)'!$A$3,"MA_HT","DNL","MA_QH","NKH")</f>
        <v>0</v>
      </c>
      <c r="R31" s="72">
        <f t="shared" si="20"/>
        <v>0</v>
      </c>
      <c r="S31" s="74">
        <f>+GETPIVOTDATA("XNT4",'nghiathanh (2016)'!$A$3,"MA_HT","DNL","MA_QH","CQP")</f>
        <v>0</v>
      </c>
      <c r="T31" s="74">
        <f>+GETPIVOTDATA("XNT4",'nghiathanh (2016)'!$A$3,"MA_HT","DNL","MA_QH","CAN")</f>
        <v>0</v>
      </c>
      <c r="U31" s="74">
        <f>+GETPIVOTDATA("XNT4",'nghiathanh (2016)'!$A$3,"MA_HT","DNL","MA_QH","SKK")</f>
        <v>0</v>
      </c>
      <c r="V31" s="74">
        <f>+GETPIVOTDATA("XNT4",'nghiathanh (2016)'!$A$3,"MA_HT","DNL","MA_QH","SKT")</f>
        <v>0</v>
      </c>
      <c r="W31" s="74">
        <f>+GETPIVOTDATA("XNT4",'nghiathanh (2016)'!$A$3,"MA_HT","DNL","MA_QH","SKN")</f>
        <v>0</v>
      </c>
      <c r="X31" s="74">
        <f>+GETPIVOTDATA("XNT4",'nghiathanh (2016)'!$A$3,"MA_HT","DNL","MA_QH","TMD")</f>
        <v>0</v>
      </c>
      <c r="Y31" s="74">
        <f>+GETPIVOTDATA("XNT4",'nghiathanh (2016)'!$A$3,"MA_HT","DNL","MA_QH","SKC")</f>
        <v>0</v>
      </c>
      <c r="Z31" s="74">
        <f>+GETPIVOTDATA("XNT4",'nghiathanh (2016)'!$A$3,"MA_HT","DNL","MA_QH","SKS")</f>
        <v>0</v>
      </c>
      <c r="AA31" s="64">
        <f>+SUM(AB31:AC31,AE31:AM31)</f>
        <v>0</v>
      </c>
      <c r="AB31" s="74">
        <f>+GETPIVOTDATA("XNT4",'nghiathanh (2016)'!$A$3,"MA_HT","DNL","MA_QH","DGT")</f>
        <v>0</v>
      </c>
      <c r="AC31" s="74">
        <f>+GETPIVOTDATA("XNT4",'nghiathanh (2016)'!$A$3,"MA_HT","DNL","MA_QH","DTL")</f>
        <v>0</v>
      </c>
      <c r="AD31" s="100" t="e">
        <f>$D31-$BF31</f>
        <v>#REF!</v>
      </c>
      <c r="AE31" s="74">
        <f>+GETPIVOTDATA("XNT4",'nghiathanh (2016)'!$A$3,"MA_HT","DNL","MA_QH","DBV")</f>
        <v>0</v>
      </c>
      <c r="AF31" s="74">
        <f>+GETPIVOTDATA("XNT4",'nghiathanh (2016)'!$A$3,"MA_HT","DNL","MA_QH","DVH")</f>
        <v>0</v>
      </c>
      <c r="AG31" s="74">
        <f>+GETPIVOTDATA("XNT4",'nghiathanh (2016)'!$A$3,"MA_HT","DNL","MA_QH","DYT")</f>
        <v>0</v>
      </c>
      <c r="AH31" s="74">
        <f>+GETPIVOTDATA("XNT4",'nghiathanh (2016)'!$A$3,"MA_HT","DNL","MA_QH","DGD")</f>
        <v>0</v>
      </c>
      <c r="AI31" s="74">
        <f>+GETPIVOTDATA("XNT4",'nghiathanh (2016)'!$A$3,"MA_HT","DNL","MA_QH","DTT")</f>
        <v>0</v>
      </c>
      <c r="AJ31" s="74">
        <f>+GETPIVOTDATA("XNT4",'nghiathanh (2016)'!$A$3,"MA_HT","DNL","MA_QH","NCK")</f>
        <v>0</v>
      </c>
      <c r="AK31" s="74">
        <f>+GETPIVOTDATA("XNT4",'nghiathanh (2016)'!$A$3,"MA_HT","DNL","MA_QH","DXH")</f>
        <v>0</v>
      </c>
      <c r="AL31" s="74">
        <f>+GETPIVOTDATA("XNT4",'nghiathanh (2016)'!$A$3,"MA_HT","DNL","MA_QH","DCH")</f>
        <v>0</v>
      </c>
      <c r="AM31" s="74">
        <f>+GETPIVOTDATA("XNT4",'nghiathanh (2016)'!$A$3,"MA_HT","DNL","MA_QH","DKG")</f>
        <v>0</v>
      </c>
      <c r="AN31" s="74">
        <f>+GETPIVOTDATA("XNT4",'nghiathanh (2016)'!$A$3,"MA_HT","DNL","MA_QH","DDT")</f>
        <v>0</v>
      </c>
      <c r="AO31" s="74">
        <f>+GETPIVOTDATA("XNT4",'nghiathanh (2016)'!$A$3,"MA_HT","DNL","MA_QH","DDL")</f>
        <v>0</v>
      </c>
      <c r="AP31" s="74">
        <f>+GETPIVOTDATA("XNT4",'nghiathanh (2016)'!$A$3,"MA_HT","DNL","MA_QH","DRA")</f>
        <v>0</v>
      </c>
      <c r="AQ31" s="74">
        <f>+GETPIVOTDATA("XNT4",'nghiathanh (2016)'!$A$3,"MA_HT","DNL","MA_QH","ONT")</f>
        <v>0</v>
      </c>
      <c r="AR31" s="74">
        <f>+GETPIVOTDATA("XNT4",'nghiathanh (2016)'!$A$3,"MA_HT","DNL","MA_QH","ODT")</f>
        <v>0</v>
      </c>
      <c r="AS31" s="74">
        <f>+GETPIVOTDATA("XNT4",'nghiathanh (2016)'!$A$3,"MA_HT","DNL","MA_QH","TSC")</f>
        <v>0</v>
      </c>
      <c r="AT31" s="74">
        <f>+GETPIVOTDATA("XNT4",'nghiathanh (2016)'!$A$3,"MA_HT","DNL","MA_QH","DTS")</f>
        <v>0</v>
      </c>
      <c r="AU31" s="74">
        <f>+GETPIVOTDATA("XNT4",'nghiathanh (2016)'!$A$3,"MA_HT","DNL","MA_QH","DNG")</f>
        <v>0</v>
      </c>
      <c r="AV31" s="74">
        <f>+GETPIVOTDATA("XNT4",'nghiathanh (2016)'!$A$3,"MA_HT","DNL","MA_QH","TON")</f>
        <v>0</v>
      </c>
      <c r="AW31" s="74">
        <f>+GETPIVOTDATA("XNT4",'nghiathanh (2016)'!$A$3,"MA_HT","DNL","MA_QH","NTD")</f>
        <v>0</v>
      </c>
      <c r="AX31" s="74">
        <f>+GETPIVOTDATA("XNT4",'nghiathanh (2016)'!$A$3,"MA_HT","DNL","MA_QH","SKX")</f>
        <v>0</v>
      </c>
      <c r="AY31" s="74">
        <f>+GETPIVOTDATA("XNT4",'nghiathanh (2016)'!$A$3,"MA_HT","DNL","MA_QH","DSH")</f>
        <v>0</v>
      </c>
      <c r="AZ31" s="74">
        <f>+GETPIVOTDATA("XNT4",'nghiathanh (2016)'!$A$3,"MA_HT","DNL","MA_QH","DKV")</f>
        <v>0</v>
      </c>
      <c r="BA31" s="139">
        <f>+GETPIVOTDATA("XNT4",'nghiathanh (2016)'!$A$3,"MA_HT","DNL","MA_QH","TIN")</f>
        <v>0</v>
      </c>
      <c r="BB31" s="74">
        <f>+GETPIVOTDATA("XNT4",'nghiathanh (2016)'!$A$3,"MA_HT","DNL","MA_QH","SON")</f>
        <v>0</v>
      </c>
      <c r="BC31" s="74">
        <f>+GETPIVOTDATA("XNT4",'nghiathanh (2016)'!$A$3,"MA_HT","DNL","MA_QH","MNC")</f>
        <v>0</v>
      </c>
      <c r="BD31" s="74">
        <f>+GETPIVOTDATA("XNT4",'nghiathanh (2016)'!$A$3,"MA_HT","DNL","MA_QH","PNK")</f>
        <v>0</v>
      </c>
      <c r="BE31" s="102">
        <f>+GETPIVOTDATA("XNT4",'nghiathanh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+GETPIVOTDATA("XNT4",'nghiathanh (2016)'!$A$3,"MA_HT","DBV","MA_QH","LUC")</f>
        <v>0</v>
      </c>
      <c r="H32" s="74">
        <f>+GETPIVOTDATA("XNT4",'nghiathanh (2016)'!$A$3,"MA_HT","DBV","MA_QH","LUK")</f>
        <v>0</v>
      </c>
      <c r="I32" s="74">
        <f>+GETPIVOTDATA("XNT4",'nghiathanh (2016)'!$A$3,"MA_HT","DBV","MA_QH","LUN")</f>
        <v>0</v>
      </c>
      <c r="J32" s="74">
        <f>+GETPIVOTDATA("XNT4",'nghiathanh (2016)'!$A$3,"MA_HT","DBV","MA_QH","HNK")</f>
        <v>0</v>
      </c>
      <c r="K32" s="74">
        <f>+GETPIVOTDATA("XNT4",'nghiathanh (2016)'!$A$3,"MA_HT","DBV","MA_QH","CLN")</f>
        <v>0</v>
      </c>
      <c r="L32" s="74">
        <f>+GETPIVOTDATA("XNT4",'nghiathanh (2016)'!$A$3,"MA_HT","DBV","MA_QH","RSX")</f>
        <v>0</v>
      </c>
      <c r="M32" s="74">
        <f>+GETPIVOTDATA("XNT4",'nghiathanh (2016)'!$A$3,"MA_HT","DBV","MA_QH","RPH")</f>
        <v>0</v>
      </c>
      <c r="N32" s="74">
        <f>+GETPIVOTDATA("XNT4",'nghiathanh (2016)'!$A$3,"MA_HT","DBV","MA_QH","RDD")</f>
        <v>0</v>
      </c>
      <c r="O32" s="74">
        <f>+GETPIVOTDATA("XNT4",'nghiathanh (2016)'!$A$3,"MA_HT","DBV","MA_QH","NTS")</f>
        <v>0</v>
      </c>
      <c r="P32" s="74">
        <f>+GETPIVOTDATA("XNT4",'nghiathanh (2016)'!$A$3,"MA_HT","DBV","MA_QH","LMU")</f>
        <v>0</v>
      </c>
      <c r="Q32" s="74">
        <f>+GETPIVOTDATA("XNT4",'nghiathanh (2016)'!$A$3,"MA_HT","DBV","MA_QH","NKH")</f>
        <v>0</v>
      </c>
      <c r="R32" s="72">
        <f t="shared" si="20"/>
        <v>0</v>
      </c>
      <c r="S32" s="74">
        <f>+GETPIVOTDATA("XNT4",'nghiathanh (2016)'!$A$3,"MA_HT","DBV","MA_QH","CQP")</f>
        <v>0</v>
      </c>
      <c r="T32" s="74">
        <f>+GETPIVOTDATA("XNT4",'nghiathanh (2016)'!$A$3,"MA_HT","DBV","MA_QH","CAN")</f>
        <v>0</v>
      </c>
      <c r="U32" s="74">
        <f>+GETPIVOTDATA("XNT4",'nghiathanh (2016)'!$A$3,"MA_HT","DBV","MA_QH","SKK")</f>
        <v>0</v>
      </c>
      <c r="V32" s="74">
        <f>+GETPIVOTDATA("XNT4",'nghiathanh (2016)'!$A$3,"MA_HT","DBV","MA_QH","SKT")</f>
        <v>0</v>
      </c>
      <c r="W32" s="74">
        <f>+GETPIVOTDATA("XNT4",'nghiathanh (2016)'!$A$3,"MA_HT","DBV","MA_QH","SKN")</f>
        <v>0</v>
      </c>
      <c r="X32" s="74">
        <f>+GETPIVOTDATA("XNT4",'nghiathanh (2016)'!$A$3,"MA_HT","DBV","MA_QH","TMD")</f>
        <v>0</v>
      </c>
      <c r="Y32" s="74">
        <f>+GETPIVOTDATA("XNT4",'nghiathanh (2016)'!$A$3,"MA_HT","DBV","MA_QH","SKC")</f>
        <v>0</v>
      </c>
      <c r="Z32" s="74">
        <f>+GETPIVOTDATA("XNT4",'nghiathanh (2016)'!$A$3,"MA_HT","DBV","MA_QH","SKS")</f>
        <v>0</v>
      </c>
      <c r="AA32" s="64">
        <f>+SUM(AB32:AD32,AF32:AM32)</f>
        <v>0</v>
      </c>
      <c r="AB32" s="74">
        <f>+GETPIVOTDATA("XNT4",'nghiathanh (2016)'!$A$3,"MA_HT","DBV","MA_QH","DGT")</f>
        <v>0</v>
      </c>
      <c r="AC32" s="74">
        <f>+GETPIVOTDATA("XNT4",'nghiathanh (2016)'!$A$3,"MA_HT","DBV","MA_QH","DTL")</f>
        <v>0</v>
      </c>
      <c r="AD32" s="74">
        <f>+GETPIVOTDATA("XNT4",'nghiathanh (2016)'!$A$3,"MA_HT","DBV","MA_QH","DNL")</f>
        <v>0</v>
      </c>
      <c r="AE32" s="100" t="e">
        <f>$D32-$BF32</f>
        <v>#REF!</v>
      </c>
      <c r="AF32" s="74">
        <f>+GETPIVOTDATA("XNT4",'nghiathanh (2016)'!$A$3,"MA_HT","DBV","MA_QH","DVH")</f>
        <v>0</v>
      </c>
      <c r="AG32" s="74">
        <f>+GETPIVOTDATA("XNT4",'nghiathanh (2016)'!$A$3,"MA_HT","DBV","MA_QH","DYT")</f>
        <v>0</v>
      </c>
      <c r="AH32" s="74">
        <f>+GETPIVOTDATA("XNT4",'nghiathanh (2016)'!$A$3,"MA_HT","DBV","MA_QH","DGD")</f>
        <v>0</v>
      </c>
      <c r="AI32" s="74">
        <f>+GETPIVOTDATA("XNT4",'nghiathanh (2016)'!$A$3,"MA_HT","DBV","MA_QH","DTT")</f>
        <v>0</v>
      </c>
      <c r="AJ32" s="74">
        <f>+GETPIVOTDATA("XNT4",'nghiathanh (2016)'!$A$3,"MA_HT","DBV","MA_QH","NCK")</f>
        <v>0</v>
      </c>
      <c r="AK32" s="74">
        <f>+GETPIVOTDATA("XNT4",'nghiathanh (2016)'!$A$3,"MA_HT","DBV","MA_QH","DXH")</f>
        <v>0</v>
      </c>
      <c r="AL32" s="74">
        <f>+GETPIVOTDATA("XNT4",'nghiathanh (2016)'!$A$3,"MA_HT","DBV","MA_QH","DCH")</f>
        <v>0</v>
      </c>
      <c r="AM32" s="74">
        <f>+GETPIVOTDATA("XNT4",'nghiathanh (2016)'!$A$3,"MA_HT","DBV","MA_QH","DKG")</f>
        <v>0</v>
      </c>
      <c r="AN32" s="74">
        <f>+GETPIVOTDATA("XNT4",'nghiathanh (2016)'!$A$3,"MA_HT","DBV","MA_QH","DDT")</f>
        <v>0</v>
      </c>
      <c r="AO32" s="74">
        <f>+GETPIVOTDATA("XNT4",'nghiathanh (2016)'!$A$3,"MA_HT","DBV","MA_QH","DDL")</f>
        <v>0</v>
      </c>
      <c r="AP32" s="74">
        <f>+GETPIVOTDATA("XNT4",'nghiathanh (2016)'!$A$3,"MA_HT","DBV","MA_QH","DRA")</f>
        <v>0</v>
      </c>
      <c r="AQ32" s="74">
        <f>+GETPIVOTDATA("XNT4",'nghiathanh (2016)'!$A$3,"MA_HT","DBV","MA_QH","ONT")</f>
        <v>0</v>
      </c>
      <c r="AR32" s="74">
        <f>+GETPIVOTDATA("XNT4",'nghiathanh (2016)'!$A$3,"MA_HT","DBV","MA_QH","ODT")</f>
        <v>0</v>
      </c>
      <c r="AS32" s="74">
        <f>+GETPIVOTDATA("XNT4",'nghiathanh (2016)'!$A$3,"MA_HT","DBV","MA_QH","TSC")</f>
        <v>0</v>
      </c>
      <c r="AT32" s="74">
        <f>+GETPIVOTDATA("XNT4",'nghiathanh (2016)'!$A$3,"MA_HT","DBV","MA_QH","DTS")</f>
        <v>0</v>
      </c>
      <c r="AU32" s="74">
        <f>+GETPIVOTDATA("XNT4",'nghiathanh (2016)'!$A$3,"MA_HT","DBV","MA_QH","DNG")</f>
        <v>0</v>
      </c>
      <c r="AV32" s="74">
        <f>+GETPIVOTDATA("XNT4",'nghiathanh (2016)'!$A$3,"MA_HT","DBV","MA_QH","TON")</f>
        <v>0</v>
      </c>
      <c r="AW32" s="74">
        <f>+GETPIVOTDATA("XNT4",'nghiathanh (2016)'!$A$3,"MA_HT","DBV","MA_QH","NTD")</f>
        <v>0</v>
      </c>
      <c r="AX32" s="74">
        <f>+GETPIVOTDATA("XNT4",'nghiathanh (2016)'!$A$3,"MA_HT","DBV","MA_QH","SKX")</f>
        <v>0</v>
      </c>
      <c r="AY32" s="74">
        <f>+GETPIVOTDATA("XNT4",'nghiathanh (2016)'!$A$3,"MA_HT","DBV","MA_QH","DSH")</f>
        <v>0</v>
      </c>
      <c r="AZ32" s="74">
        <f>+GETPIVOTDATA("XNT4",'nghiathanh (2016)'!$A$3,"MA_HT","DBV","MA_QH","DKV")</f>
        <v>0</v>
      </c>
      <c r="BA32" s="139">
        <f>+GETPIVOTDATA("XNT4",'nghiathanh (2016)'!$A$3,"MA_HT","DBV","MA_QH","TIN")</f>
        <v>0</v>
      </c>
      <c r="BB32" s="74">
        <f>+GETPIVOTDATA("XNT4",'nghiathanh (2016)'!$A$3,"MA_HT","DBV","MA_QH","SON")</f>
        <v>0</v>
      </c>
      <c r="BC32" s="74">
        <f>+GETPIVOTDATA("XNT4",'nghiathanh (2016)'!$A$3,"MA_HT","DBV","MA_QH","MNC")</f>
        <v>0</v>
      </c>
      <c r="BD32" s="74">
        <f>+GETPIVOTDATA("XNT4",'nghiathanh (2016)'!$A$3,"MA_HT","DBV","MA_QH","PNK")</f>
        <v>0</v>
      </c>
      <c r="BE32" s="102">
        <f>+GETPIVOTDATA("XNT4",'nghiathanh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+GETPIVOTDATA("XNT4",'nghiathanh (2016)'!$A$3,"MA_HT","DVH","MA_QH","LUC")</f>
        <v>0</v>
      </c>
      <c r="H33" s="74">
        <f>+GETPIVOTDATA("XNT4",'nghiathanh (2016)'!$A$3,"MA_HT","DVH","MA_QH","LUK")</f>
        <v>0</v>
      </c>
      <c r="I33" s="74">
        <f>+GETPIVOTDATA("XNT4",'nghiathanh (2016)'!$A$3,"MA_HT","DVH","MA_QH","LUN")</f>
        <v>0</v>
      </c>
      <c r="J33" s="74">
        <f>+GETPIVOTDATA("XNT4",'nghiathanh (2016)'!$A$3,"MA_HT","DVH","MA_QH","HNK")</f>
        <v>0</v>
      </c>
      <c r="K33" s="74">
        <f>+GETPIVOTDATA("XNT4",'nghiathanh (2016)'!$A$3,"MA_HT","DVH","MA_QH","CLN")</f>
        <v>0</v>
      </c>
      <c r="L33" s="74">
        <f>+GETPIVOTDATA("XNT4",'nghiathanh (2016)'!$A$3,"MA_HT","DVH","MA_QH","RSX")</f>
        <v>0</v>
      </c>
      <c r="M33" s="74">
        <f>+GETPIVOTDATA("XNT4",'nghiathanh (2016)'!$A$3,"MA_HT","DVH","MA_QH","RPH")</f>
        <v>0</v>
      </c>
      <c r="N33" s="74">
        <f>+GETPIVOTDATA("XNT4",'nghiathanh (2016)'!$A$3,"MA_HT","DVH","MA_QH","RDD")</f>
        <v>0</v>
      </c>
      <c r="O33" s="74">
        <f>+GETPIVOTDATA("XNT4",'nghiathanh (2016)'!$A$3,"MA_HT","DVH","MA_QH","NTS")</f>
        <v>0</v>
      </c>
      <c r="P33" s="74">
        <f>+GETPIVOTDATA("XNT4",'nghiathanh (2016)'!$A$3,"MA_HT","DVH","MA_QH","LMU")</f>
        <v>0</v>
      </c>
      <c r="Q33" s="74">
        <f>+GETPIVOTDATA("XNT4",'nghiathanh (2016)'!$A$3,"MA_HT","DVH","MA_QH","NKH")</f>
        <v>0</v>
      </c>
      <c r="R33" s="72">
        <f t="shared" si="20"/>
        <v>0</v>
      </c>
      <c r="S33" s="74">
        <f>+GETPIVOTDATA("XNT4",'nghiathanh (2016)'!$A$3,"MA_HT","DVH","MA_QH","CQP")</f>
        <v>0</v>
      </c>
      <c r="T33" s="74">
        <f>+GETPIVOTDATA("XNT4",'nghiathanh (2016)'!$A$3,"MA_HT","DVH","MA_QH","CAN")</f>
        <v>0</v>
      </c>
      <c r="U33" s="74">
        <f>+GETPIVOTDATA("XNT4",'nghiathanh (2016)'!$A$3,"MA_HT","DVH","MA_QH","SKK")</f>
        <v>0</v>
      </c>
      <c r="V33" s="74">
        <f>+GETPIVOTDATA("XNT4",'nghiathanh (2016)'!$A$3,"MA_HT","DVH","MA_QH","SKT")</f>
        <v>0</v>
      </c>
      <c r="W33" s="74">
        <f>+GETPIVOTDATA("XNT4",'nghiathanh (2016)'!$A$3,"MA_HT","DVH","MA_QH","SKN")</f>
        <v>0</v>
      </c>
      <c r="X33" s="74">
        <f>+GETPIVOTDATA("XNT4",'nghiathanh (2016)'!$A$3,"MA_HT","DVH","MA_QH","TMD")</f>
        <v>0</v>
      </c>
      <c r="Y33" s="74">
        <f>+GETPIVOTDATA("XNT4",'nghiathanh (2016)'!$A$3,"MA_HT","DVH","MA_QH","SKC")</f>
        <v>0</v>
      </c>
      <c r="Z33" s="74">
        <f>+GETPIVOTDATA("XNT4",'nghiathanh (2016)'!$A$3,"MA_HT","DVH","MA_QH","SKS")</f>
        <v>0</v>
      </c>
      <c r="AA33" s="64">
        <f>+SUM(AB33:AE33,AG33:AM33)</f>
        <v>0</v>
      </c>
      <c r="AB33" s="74">
        <f>+GETPIVOTDATA("XNT4",'nghiathanh (2016)'!$A$3,"MA_HT","DVH","MA_QH","DGT")</f>
        <v>0</v>
      </c>
      <c r="AC33" s="74">
        <f>+GETPIVOTDATA("XNT4",'nghiathanh (2016)'!$A$3,"MA_HT","DVH","MA_QH","DTL")</f>
        <v>0</v>
      </c>
      <c r="AD33" s="74">
        <f>+GETPIVOTDATA("XNT4",'nghiathanh (2016)'!$A$3,"MA_HT","DVH","MA_QH","DNL")</f>
        <v>0</v>
      </c>
      <c r="AE33" s="74">
        <f>+GETPIVOTDATA("XNT4",'nghiathanh (2016)'!$A$3,"MA_HT","DVH","MA_QH","DBV")</f>
        <v>0</v>
      </c>
      <c r="AF33" s="100" t="e">
        <f>$D33-$BF33</f>
        <v>#REF!</v>
      </c>
      <c r="AG33" s="74">
        <f>+GETPIVOTDATA("XNT4",'nghiathanh (2016)'!$A$3,"MA_HT","DVH","MA_QH","DYT")</f>
        <v>0</v>
      </c>
      <c r="AH33" s="74">
        <f>+GETPIVOTDATA("XNT4",'nghiathanh (2016)'!$A$3,"MA_HT","DVH","MA_QH","DGD")</f>
        <v>0</v>
      </c>
      <c r="AI33" s="74">
        <f>+GETPIVOTDATA("XNT4",'nghiathanh (2016)'!$A$3,"MA_HT","DVH","MA_QH","DTT")</f>
        <v>0</v>
      </c>
      <c r="AJ33" s="74">
        <f>+GETPIVOTDATA("XNT4",'nghiathanh (2016)'!$A$3,"MA_HT","DVH","MA_QH","NCK")</f>
        <v>0</v>
      </c>
      <c r="AK33" s="74">
        <f>+GETPIVOTDATA("XNT4",'nghiathanh (2016)'!$A$3,"MA_HT","DVH","MA_QH","DXH")</f>
        <v>0</v>
      </c>
      <c r="AL33" s="74">
        <f>+GETPIVOTDATA("XNT4",'nghiathanh (2016)'!$A$3,"MA_HT","DVH","MA_QH","DCH")</f>
        <v>0</v>
      </c>
      <c r="AM33" s="74">
        <f>+GETPIVOTDATA("XNT4",'nghiathanh (2016)'!$A$3,"MA_HT","DVH","MA_QH","DKG")</f>
        <v>0</v>
      </c>
      <c r="AN33" s="74">
        <f>+GETPIVOTDATA("XNT4",'nghiathanh (2016)'!$A$3,"MA_HT","DVH","MA_QH","DDT")</f>
        <v>0</v>
      </c>
      <c r="AO33" s="74">
        <f>+GETPIVOTDATA("XNT4",'nghiathanh (2016)'!$A$3,"MA_HT","DVH","MA_QH","DDL")</f>
        <v>0</v>
      </c>
      <c r="AP33" s="74">
        <f>+GETPIVOTDATA("XNT4",'nghiathanh (2016)'!$A$3,"MA_HT","DVH","MA_QH","DRA")</f>
        <v>0</v>
      </c>
      <c r="AQ33" s="74">
        <f>+GETPIVOTDATA("XNT4",'nghiathanh (2016)'!$A$3,"MA_HT","DVH","MA_QH","ONT")</f>
        <v>0</v>
      </c>
      <c r="AR33" s="74">
        <f>+GETPIVOTDATA("XNT4",'nghiathanh (2016)'!$A$3,"MA_HT","DVH","MA_QH","ODT")</f>
        <v>0</v>
      </c>
      <c r="AS33" s="74">
        <f>+GETPIVOTDATA("XNT4",'nghiathanh (2016)'!$A$3,"MA_HT","DVH","MA_QH","TSC")</f>
        <v>0</v>
      </c>
      <c r="AT33" s="74">
        <f>+GETPIVOTDATA("XNT4",'nghiathanh (2016)'!$A$3,"MA_HT","DVH","MA_QH","DTS")</f>
        <v>0</v>
      </c>
      <c r="AU33" s="74">
        <f>+GETPIVOTDATA("XNT4",'nghiathanh (2016)'!$A$3,"MA_HT","DVH","MA_QH","DNG")</f>
        <v>0</v>
      </c>
      <c r="AV33" s="74">
        <f>+GETPIVOTDATA("XNT4",'nghiathanh (2016)'!$A$3,"MA_HT","DVH","MA_QH","TON")</f>
        <v>0</v>
      </c>
      <c r="AW33" s="74">
        <f>+GETPIVOTDATA("XNT4",'nghiathanh (2016)'!$A$3,"MA_HT","DVH","MA_QH","NTD")</f>
        <v>0</v>
      </c>
      <c r="AX33" s="74">
        <f>+GETPIVOTDATA("XNT4",'nghiathanh (2016)'!$A$3,"MA_HT","DVH","MA_QH","SKX")</f>
        <v>0</v>
      </c>
      <c r="AY33" s="74">
        <f>+GETPIVOTDATA("XNT4",'nghiathanh (2016)'!$A$3,"MA_HT","DVH","MA_QH","DSH")</f>
        <v>0</v>
      </c>
      <c r="AZ33" s="74">
        <f>+GETPIVOTDATA("XNT4",'nghiathanh (2016)'!$A$3,"MA_HT","DVH","MA_QH","DKV")</f>
        <v>0</v>
      </c>
      <c r="BA33" s="139">
        <f>+GETPIVOTDATA("XNT4",'nghiathanh (2016)'!$A$3,"MA_HT","DVH","MA_QH","TIN")</f>
        <v>0</v>
      </c>
      <c r="BB33" s="74">
        <f>+GETPIVOTDATA("XNT4",'nghiathanh (2016)'!$A$3,"MA_HT","DVH","MA_QH","SON")</f>
        <v>0</v>
      </c>
      <c r="BC33" s="74">
        <f>+GETPIVOTDATA("XNT4",'nghiathanh (2016)'!$A$3,"MA_HT","DVH","MA_QH","MNC")</f>
        <v>0</v>
      </c>
      <c r="BD33" s="74">
        <f>+GETPIVOTDATA("XNT4",'nghiathanh (2016)'!$A$3,"MA_HT","DVH","MA_QH","PNK")</f>
        <v>0</v>
      </c>
      <c r="BE33" s="102">
        <f>+GETPIVOTDATA("XNT4",'nghiathanh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+GETPIVOTDATA("XNT4",'nghiathanh (2016)'!$A$3,"MA_HT","DYT","MA_QH","LUC")</f>
        <v>0</v>
      </c>
      <c r="H34" s="74">
        <f>+GETPIVOTDATA("XNT4",'nghiathanh (2016)'!$A$3,"MA_HT","DYT","MA_QH","LUK")</f>
        <v>0</v>
      </c>
      <c r="I34" s="74">
        <f>+GETPIVOTDATA("XNT4",'nghiathanh (2016)'!$A$3,"MA_HT","DYT","MA_QH","LUN")</f>
        <v>0</v>
      </c>
      <c r="J34" s="74">
        <f>+GETPIVOTDATA("XNT4",'nghiathanh (2016)'!$A$3,"MA_HT","DYT","MA_QH","HNK")</f>
        <v>0</v>
      </c>
      <c r="K34" s="74">
        <f>+GETPIVOTDATA("XNT4",'nghiathanh (2016)'!$A$3,"MA_HT","DYT","MA_QH","CLN")</f>
        <v>0</v>
      </c>
      <c r="L34" s="74">
        <f>+GETPIVOTDATA("XNT4",'nghiathanh (2016)'!$A$3,"MA_HT","DYT","MA_QH","RSX")</f>
        <v>0</v>
      </c>
      <c r="M34" s="74">
        <f>+GETPIVOTDATA("XNT4",'nghiathanh (2016)'!$A$3,"MA_HT","DYT","MA_QH","RPH")</f>
        <v>0</v>
      </c>
      <c r="N34" s="74">
        <f>+GETPIVOTDATA("XNT4",'nghiathanh (2016)'!$A$3,"MA_HT","DYT","MA_QH","RDD")</f>
        <v>0</v>
      </c>
      <c r="O34" s="74">
        <f>+GETPIVOTDATA("XNT4",'nghiathanh (2016)'!$A$3,"MA_HT","DYT","MA_QH","NTS")</f>
        <v>0</v>
      </c>
      <c r="P34" s="74">
        <f>+GETPIVOTDATA("XNT4",'nghiathanh (2016)'!$A$3,"MA_HT","DYT","MA_QH","LMU")</f>
        <v>0</v>
      </c>
      <c r="Q34" s="74">
        <f>+GETPIVOTDATA("XNT4",'nghiathanh (2016)'!$A$3,"MA_HT","DYT","MA_QH","NKH")</f>
        <v>0</v>
      </c>
      <c r="R34" s="72">
        <f t="shared" si="20"/>
        <v>0</v>
      </c>
      <c r="S34" s="74">
        <f>+GETPIVOTDATA("XNT4",'nghiathanh (2016)'!$A$3,"MA_HT","DYT","MA_QH","CQP")</f>
        <v>0</v>
      </c>
      <c r="T34" s="74">
        <f>+GETPIVOTDATA("XNT4",'nghiathanh (2016)'!$A$3,"MA_HT","DYT","MA_QH","CAN")</f>
        <v>0</v>
      </c>
      <c r="U34" s="74">
        <f>+GETPIVOTDATA("XNT4",'nghiathanh (2016)'!$A$3,"MA_HT","DYT","MA_QH","SKK")</f>
        <v>0</v>
      </c>
      <c r="V34" s="74">
        <f>+GETPIVOTDATA("XNT4",'nghiathanh (2016)'!$A$3,"MA_HT","DYT","MA_QH","SKT")</f>
        <v>0</v>
      </c>
      <c r="W34" s="74">
        <f>+GETPIVOTDATA("XNT4",'nghiathanh (2016)'!$A$3,"MA_HT","DYT","MA_QH","SKN")</f>
        <v>0</v>
      </c>
      <c r="X34" s="74">
        <f>+GETPIVOTDATA("XNT4",'nghiathanh (2016)'!$A$3,"MA_HT","DYT","MA_QH","TMD")</f>
        <v>0</v>
      </c>
      <c r="Y34" s="74">
        <f>+GETPIVOTDATA("XNT4",'nghiathanh (2016)'!$A$3,"MA_HT","DYT","MA_QH","SKC")</f>
        <v>0</v>
      </c>
      <c r="Z34" s="74">
        <f>+GETPIVOTDATA("XNT4",'nghiathanh (2016)'!$A$3,"MA_HT","DYT","MA_QH","SKS")</f>
        <v>0</v>
      </c>
      <c r="AA34" s="64">
        <f>+SUM(AB34:AF34,AH34:AM34)</f>
        <v>0</v>
      </c>
      <c r="AB34" s="74">
        <f>+GETPIVOTDATA("XNT4",'nghiathanh (2016)'!$A$3,"MA_HT","DYT","MA_QH","DGT")</f>
        <v>0</v>
      </c>
      <c r="AC34" s="74">
        <f>+GETPIVOTDATA("XNT4",'nghiathanh (2016)'!$A$3,"MA_HT","DYT","MA_QH","DTL")</f>
        <v>0</v>
      </c>
      <c r="AD34" s="74">
        <f>+GETPIVOTDATA("XNT4",'nghiathanh (2016)'!$A$3,"MA_HT","DYT","MA_QH","DNL")</f>
        <v>0</v>
      </c>
      <c r="AE34" s="74">
        <f>+GETPIVOTDATA("XNT4",'nghiathanh (2016)'!$A$3,"MA_HT","DYT","MA_QH","DBV")</f>
        <v>0</v>
      </c>
      <c r="AF34" s="74">
        <f>+GETPIVOTDATA("XNT4",'nghiathanh (2016)'!$A$3,"MA_HT","DYT","MA_QH","DVH")</f>
        <v>0</v>
      </c>
      <c r="AG34" s="100" t="e">
        <f>$D34-$BF34</f>
        <v>#REF!</v>
      </c>
      <c r="AH34" s="74">
        <f>+GETPIVOTDATA("XNT4",'nghiathanh (2016)'!$A$3,"MA_HT","DYT","MA_QH","DGD")</f>
        <v>0</v>
      </c>
      <c r="AI34" s="74">
        <f>+GETPIVOTDATA("XNT4",'nghiathanh (2016)'!$A$3,"MA_HT","DYT","MA_QH","DTT")</f>
        <v>0</v>
      </c>
      <c r="AJ34" s="74">
        <f>+GETPIVOTDATA("XNT4",'nghiathanh (2016)'!$A$3,"MA_HT","DYT","MA_QH","NCK")</f>
        <v>0</v>
      </c>
      <c r="AK34" s="74">
        <f>+GETPIVOTDATA("XNT4",'nghiathanh (2016)'!$A$3,"MA_HT","DYT","MA_QH","DXH")</f>
        <v>0</v>
      </c>
      <c r="AL34" s="74">
        <f>+GETPIVOTDATA("XNT4",'nghiathanh (2016)'!$A$3,"MA_HT","DYT","MA_QH","DCH")</f>
        <v>0</v>
      </c>
      <c r="AM34" s="74">
        <f>+GETPIVOTDATA("XNT4",'nghiathanh (2016)'!$A$3,"MA_HT","DYT","MA_QH","DKG")</f>
        <v>0</v>
      </c>
      <c r="AN34" s="74">
        <f>+GETPIVOTDATA("XNT4",'nghiathanh (2016)'!$A$3,"MA_HT","DYT","MA_QH","DDT")</f>
        <v>0</v>
      </c>
      <c r="AO34" s="74">
        <f>+GETPIVOTDATA("XNT4",'nghiathanh (2016)'!$A$3,"MA_HT","DYT","MA_QH","DDL")</f>
        <v>0</v>
      </c>
      <c r="AP34" s="74">
        <f>+GETPIVOTDATA("XNT4",'nghiathanh (2016)'!$A$3,"MA_HT","DYT","MA_QH","DRA")</f>
        <v>0</v>
      </c>
      <c r="AQ34" s="74">
        <f>+GETPIVOTDATA("XNT4",'nghiathanh (2016)'!$A$3,"MA_HT","DYT","MA_QH","ONT")</f>
        <v>0</v>
      </c>
      <c r="AR34" s="74">
        <f>+GETPIVOTDATA("XNT4",'nghiathanh (2016)'!$A$3,"MA_HT","DYT","MA_QH","ODT")</f>
        <v>0</v>
      </c>
      <c r="AS34" s="74">
        <f>+GETPIVOTDATA("XNT4",'nghiathanh (2016)'!$A$3,"MA_HT","DYT","MA_QH","TSC")</f>
        <v>0</v>
      </c>
      <c r="AT34" s="74">
        <f>+GETPIVOTDATA("XNT4",'nghiathanh (2016)'!$A$3,"MA_HT","DYT","MA_QH","DTS")</f>
        <v>0</v>
      </c>
      <c r="AU34" s="74">
        <f>+GETPIVOTDATA("XNT4",'nghiathanh (2016)'!$A$3,"MA_HT","DYT","MA_QH","DNG")</f>
        <v>0</v>
      </c>
      <c r="AV34" s="74">
        <f>+GETPIVOTDATA("XNT4",'nghiathanh (2016)'!$A$3,"MA_HT","DYT","MA_QH","TON")</f>
        <v>0</v>
      </c>
      <c r="AW34" s="74">
        <f>+GETPIVOTDATA("XNT4",'nghiathanh (2016)'!$A$3,"MA_HT","DYT","MA_QH","NTD")</f>
        <v>0</v>
      </c>
      <c r="AX34" s="74">
        <f>+GETPIVOTDATA("XNT4",'nghiathanh (2016)'!$A$3,"MA_HT","DYT","MA_QH","SKX")</f>
        <v>0</v>
      </c>
      <c r="AY34" s="74">
        <f>+GETPIVOTDATA("XNT4",'nghiathanh (2016)'!$A$3,"MA_HT","DYT","MA_QH","DSH")</f>
        <v>0</v>
      </c>
      <c r="AZ34" s="74">
        <f>+GETPIVOTDATA("XNT4",'nghiathanh (2016)'!$A$3,"MA_HT","DYT","MA_QH","DKV")</f>
        <v>0</v>
      </c>
      <c r="BA34" s="139">
        <f>+GETPIVOTDATA("XNT4",'nghiathanh (2016)'!$A$3,"MA_HT","DYT","MA_QH","TIN")</f>
        <v>0</v>
      </c>
      <c r="BB34" s="74">
        <f>+GETPIVOTDATA("XNT4",'nghiathanh (2016)'!$A$3,"MA_HT","DYT","MA_QH","SON")</f>
        <v>0</v>
      </c>
      <c r="BC34" s="74">
        <f>+GETPIVOTDATA("XNT4",'nghiathanh (2016)'!$A$3,"MA_HT","DYT","MA_QH","MNC")</f>
        <v>0</v>
      </c>
      <c r="BD34" s="74">
        <f>+GETPIVOTDATA("XNT4",'nghiathanh (2016)'!$A$3,"MA_HT","DYT","MA_QH","PNK")</f>
        <v>0</v>
      </c>
      <c r="BE34" s="102">
        <f>+GETPIVOTDATA("XNT4",'nghiathanh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+GETPIVOTDATA("XNT4",'nghiathanh (2016)'!$A$3,"MA_HT","DGD","MA_QH","LUC")</f>
        <v>0</v>
      </c>
      <c r="H35" s="74">
        <f>+GETPIVOTDATA("XNT4",'nghiathanh (2016)'!$A$3,"MA_HT","DGD","MA_QH","LUK")</f>
        <v>0</v>
      </c>
      <c r="I35" s="74">
        <f>+GETPIVOTDATA("XNT4",'nghiathanh (2016)'!$A$3,"MA_HT","DGD","MA_QH","LUN")</f>
        <v>0</v>
      </c>
      <c r="J35" s="74">
        <f>+GETPIVOTDATA("XNT4",'nghiathanh (2016)'!$A$3,"MA_HT","DGD","MA_QH","HNK")</f>
        <v>0</v>
      </c>
      <c r="K35" s="74">
        <f>+GETPIVOTDATA("XNT4",'nghiathanh (2016)'!$A$3,"MA_HT","DGD","MA_QH","CLN")</f>
        <v>0</v>
      </c>
      <c r="L35" s="74">
        <f>+GETPIVOTDATA("XNT4",'nghiathanh (2016)'!$A$3,"MA_HT","DGD","MA_QH","RSX")</f>
        <v>0</v>
      </c>
      <c r="M35" s="74">
        <f>+GETPIVOTDATA("XNT4",'nghiathanh (2016)'!$A$3,"MA_HT","DGD","MA_QH","RPH")</f>
        <v>0</v>
      </c>
      <c r="N35" s="74">
        <f>+GETPIVOTDATA("XNT4",'nghiathanh (2016)'!$A$3,"MA_HT","DGD","MA_QH","RDD")</f>
        <v>0</v>
      </c>
      <c r="O35" s="74">
        <f>+GETPIVOTDATA("XNT4",'nghiathanh (2016)'!$A$3,"MA_HT","DGD","MA_QH","NTS")</f>
        <v>0</v>
      </c>
      <c r="P35" s="74">
        <f>+GETPIVOTDATA("XNT4",'nghiathanh (2016)'!$A$3,"MA_HT","DGD","MA_QH","LMU")</f>
        <v>0</v>
      </c>
      <c r="Q35" s="74">
        <f>+GETPIVOTDATA("XNT4",'nghiathanh (2016)'!$A$3,"MA_HT","DGD","MA_QH","NKH")</f>
        <v>0</v>
      </c>
      <c r="R35" s="72">
        <f t="shared" si="20"/>
        <v>0</v>
      </c>
      <c r="S35" s="74">
        <f>+GETPIVOTDATA("XNT4",'nghiathanh (2016)'!$A$3,"MA_HT","DGD","MA_QH","CQP")</f>
        <v>0</v>
      </c>
      <c r="T35" s="74">
        <f>+GETPIVOTDATA("XNT4",'nghiathanh (2016)'!$A$3,"MA_HT","DGD","MA_QH","CAN")</f>
        <v>0</v>
      </c>
      <c r="U35" s="74">
        <f>+GETPIVOTDATA("XNT4",'nghiathanh (2016)'!$A$3,"MA_HT","DGD","MA_QH","SKK")</f>
        <v>0</v>
      </c>
      <c r="V35" s="74">
        <f>+GETPIVOTDATA("XNT4",'nghiathanh (2016)'!$A$3,"MA_HT","DGD","MA_QH","SKT")</f>
        <v>0</v>
      </c>
      <c r="W35" s="74">
        <f>+GETPIVOTDATA("XNT4",'nghiathanh (2016)'!$A$3,"MA_HT","DGD","MA_QH","SKN")</f>
        <v>0</v>
      </c>
      <c r="X35" s="74">
        <f>+GETPIVOTDATA("XNT4",'nghiathanh (2016)'!$A$3,"MA_HT","DGD","MA_QH","TMD")</f>
        <v>0</v>
      </c>
      <c r="Y35" s="74">
        <f>+GETPIVOTDATA("XNT4",'nghiathanh (2016)'!$A$3,"MA_HT","DGD","MA_QH","SKC")</f>
        <v>0</v>
      </c>
      <c r="Z35" s="74">
        <f>+GETPIVOTDATA("XNT4",'nghiathanh (2016)'!$A$3,"MA_HT","DGD","MA_QH","SKS")</f>
        <v>0</v>
      </c>
      <c r="AA35" s="64">
        <f>+SUM(AB35:AG35,AI35:AM35)</f>
        <v>0</v>
      </c>
      <c r="AB35" s="74">
        <f>+GETPIVOTDATA("XNT4",'nghiathanh (2016)'!$A$3,"MA_HT","DGD","MA_QH","DGT")</f>
        <v>0</v>
      </c>
      <c r="AC35" s="74">
        <f>+GETPIVOTDATA("XNT4",'nghiathanh (2016)'!$A$3,"MA_HT","DGD","MA_QH","DTL")</f>
        <v>0</v>
      </c>
      <c r="AD35" s="74">
        <f>+GETPIVOTDATA("XNT4",'nghiathanh (2016)'!$A$3,"MA_HT","DGD","MA_QH","DNL")</f>
        <v>0</v>
      </c>
      <c r="AE35" s="74">
        <f>+GETPIVOTDATA("XNT4",'nghiathanh (2016)'!$A$3,"MA_HT","DGD","MA_QH","DBV")</f>
        <v>0</v>
      </c>
      <c r="AF35" s="74">
        <f>+GETPIVOTDATA("XNT4",'nghiathanh (2016)'!$A$3,"MA_HT","DGD","MA_QH","DVH")</f>
        <v>0</v>
      </c>
      <c r="AG35" s="74">
        <f>+GETPIVOTDATA("XNT4",'nghiathanh (2016)'!$A$3,"MA_HT","DGD","MA_QH","DYT")</f>
        <v>0</v>
      </c>
      <c r="AH35" s="100" t="e">
        <f>$D35-$BF35</f>
        <v>#REF!</v>
      </c>
      <c r="AI35" s="74">
        <f>+GETPIVOTDATA("XNT4",'nghiathanh (2016)'!$A$3,"MA_HT","DGD","MA_QH","DTT")</f>
        <v>0</v>
      </c>
      <c r="AJ35" s="74">
        <f>+GETPIVOTDATA("XNT4",'nghiathanh (2016)'!$A$3,"MA_HT","DGD","MA_QH","NCK")</f>
        <v>0</v>
      </c>
      <c r="AK35" s="74">
        <f>+GETPIVOTDATA("XNT4",'nghiathanh (2016)'!$A$3,"MA_HT","DGD","MA_QH","DXH")</f>
        <v>0</v>
      </c>
      <c r="AL35" s="74">
        <f>+GETPIVOTDATA("XNT4",'nghiathanh (2016)'!$A$3,"MA_HT","DGD","MA_QH","DCH")</f>
        <v>0</v>
      </c>
      <c r="AM35" s="74">
        <f>+GETPIVOTDATA("XNT4",'nghiathanh (2016)'!$A$3,"MA_HT","DGD","MA_QH","DKG")</f>
        <v>0</v>
      </c>
      <c r="AN35" s="74">
        <f>+GETPIVOTDATA("XNT4",'nghiathanh (2016)'!$A$3,"MA_HT","DGD","MA_QH","DDT")</f>
        <v>0</v>
      </c>
      <c r="AO35" s="74">
        <f>+GETPIVOTDATA("XNT4",'nghiathanh (2016)'!$A$3,"MA_HT","DGD","MA_QH","DDL")</f>
        <v>0</v>
      </c>
      <c r="AP35" s="74">
        <f>+GETPIVOTDATA("XNT4",'nghiathanh (2016)'!$A$3,"MA_HT","DGD","MA_QH","DRA")</f>
        <v>0</v>
      </c>
      <c r="AQ35" s="74">
        <f>+GETPIVOTDATA("XNT4",'nghiathanh (2016)'!$A$3,"MA_HT","DGD","MA_QH","ONT")</f>
        <v>0</v>
      </c>
      <c r="AR35" s="74">
        <f>+GETPIVOTDATA("XNT4",'nghiathanh (2016)'!$A$3,"MA_HT","DGD","MA_QH","ODT")</f>
        <v>0</v>
      </c>
      <c r="AS35" s="74">
        <f>+GETPIVOTDATA("XNT4",'nghiathanh (2016)'!$A$3,"MA_HT","DGD","MA_QH","TSC")</f>
        <v>0</v>
      </c>
      <c r="AT35" s="74">
        <f>+GETPIVOTDATA("XNT4",'nghiathanh (2016)'!$A$3,"MA_HT","DGD","MA_QH","DTS")</f>
        <v>0</v>
      </c>
      <c r="AU35" s="74">
        <f>+GETPIVOTDATA("XNT4",'nghiathanh (2016)'!$A$3,"MA_HT","DGD","MA_QH","DNG")</f>
        <v>0</v>
      </c>
      <c r="AV35" s="74">
        <f>+GETPIVOTDATA("XNT4",'nghiathanh (2016)'!$A$3,"MA_HT","DGD","MA_QH","TON")</f>
        <v>0</v>
      </c>
      <c r="AW35" s="74">
        <f>+GETPIVOTDATA("XNT4",'nghiathanh (2016)'!$A$3,"MA_HT","DGD","MA_QH","NTD")</f>
        <v>0</v>
      </c>
      <c r="AX35" s="74">
        <f>+GETPIVOTDATA("XNT4",'nghiathanh (2016)'!$A$3,"MA_HT","DGD","MA_QH","SKX")</f>
        <v>0</v>
      </c>
      <c r="AY35" s="74">
        <f>+GETPIVOTDATA("XNT4",'nghiathanh (2016)'!$A$3,"MA_HT","DGD","MA_QH","DSH")</f>
        <v>0</v>
      </c>
      <c r="AZ35" s="74">
        <f>+GETPIVOTDATA("XNT4",'nghiathanh (2016)'!$A$3,"MA_HT","DGD","MA_QH","DKV")</f>
        <v>0</v>
      </c>
      <c r="BA35" s="139">
        <f>+GETPIVOTDATA("XNT4",'nghiathanh (2016)'!$A$3,"MA_HT","DGD","MA_QH","TIN")</f>
        <v>0</v>
      </c>
      <c r="BB35" s="74">
        <f>+GETPIVOTDATA("XNT4",'nghiathanh (2016)'!$A$3,"MA_HT","DGD","MA_QH","SON")</f>
        <v>0</v>
      </c>
      <c r="BC35" s="74">
        <f>+GETPIVOTDATA("XNT4",'nghiathanh (2016)'!$A$3,"MA_HT","DGD","MA_QH","MNC")</f>
        <v>0</v>
      </c>
      <c r="BD35" s="74">
        <f>+GETPIVOTDATA("XNT4",'nghiathanh (2016)'!$A$3,"MA_HT","DGD","MA_QH","PNK")</f>
        <v>0</v>
      </c>
      <c r="BE35" s="102">
        <f>+GETPIVOTDATA("XNT4",'nghiathanh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+GETPIVOTDATA("XNT4",'nghiathanh (2016)'!$A$3,"MA_HT","DTT","MA_QH","LUC")</f>
        <v>0</v>
      </c>
      <c r="H36" s="74">
        <f>+GETPIVOTDATA("XNT4",'nghiathanh (2016)'!$A$3,"MA_HT","DTT","MA_QH","LUK")</f>
        <v>0</v>
      </c>
      <c r="I36" s="74">
        <f>+GETPIVOTDATA("XNT4",'nghiathanh (2016)'!$A$3,"MA_HT","DTT","MA_QH","LUN")</f>
        <v>0</v>
      </c>
      <c r="J36" s="74">
        <f>+GETPIVOTDATA("XNT4",'nghiathanh (2016)'!$A$3,"MA_HT","DTT","MA_QH","HNK")</f>
        <v>0</v>
      </c>
      <c r="K36" s="74">
        <f>+GETPIVOTDATA("XNT4",'nghiathanh (2016)'!$A$3,"MA_HT","DTT","MA_QH","CLN")</f>
        <v>0</v>
      </c>
      <c r="L36" s="74">
        <f>+GETPIVOTDATA("XNT4",'nghiathanh (2016)'!$A$3,"MA_HT","DTT","MA_QH","RSX")</f>
        <v>0</v>
      </c>
      <c r="M36" s="74">
        <f>+GETPIVOTDATA("XNT4",'nghiathanh (2016)'!$A$3,"MA_HT","DTT","MA_QH","RPH")</f>
        <v>0</v>
      </c>
      <c r="N36" s="74">
        <f>+GETPIVOTDATA("XNT4",'nghiathanh (2016)'!$A$3,"MA_HT","DTT","MA_QH","RDD")</f>
        <v>0</v>
      </c>
      <c r="O36" s="74">
        <f>+GETPIVOTDATA("XNT4",'nghiathanh (2016)'!$A$3,"MA_HT","DTT","MA_QH","NTS")</f>
        <v>0</v>
      </c>
      <c r="P36" s="74">
        <f>+GETPIVOTDATA("XNT4",'nghiathanh (2016)'!$A$3,"MA_HT","DTT","MA_QH","LMU")</f>
        <v>0</v>
      </c>
      <c r="Q36" s="74">
        <f>+GETPIVOTDATA("XNT4",'nghiathanh (2016)'!$A$3,"MA_HT","DTT","MA_QH","NKH")</f>
        <v>0</v>
      </c>
      <c r="R36" s="72">
        <f>SUM(S36:AA36,AN36:BD36)</f>
        <v>0</v>
      </c>
      <c r="S36" s="74">
        <f>+GETPIVOTDATA("XNT4",'nghiathanh (2016)'!$A$3,"MA_HT","DTT","MA_QH","CQP")</f>
        <v>0</v>
      </c>
      <c r="T36" s="74">
        <f>+GETPIVOTDATA("XNT4",'nghiathanh (2016)'!$A$3,"MA_HT","DTT","MA_QH","CAN")</f>
        <v>0</v>
      </c>
      <c r="U36" s="74">
        <f>+GETPIVOTDATA("XNT4",'nghiathanh (2016)'!$A$3,"MA_HT","DTT","MA_QH","SKK")</f>
        <v>0</v>
      </c>
      <c r="V36" s="74">
        <f>+GETPIVOTDATA("XNT4",'nghiathanh (2016)'!$A$3,"MA_HT","DTT","MA_QH","SKT")</f>
        <v>0</v>
      </c>
      <c r="W36" s="74">
        <f>+GETPIVOTDATA("XNT4",'nghiathanh (2016)'!$A$3,"MA_HT","DTT","MA_QH","SKN")</f>
        <v>0</v>
      </c>
      <c r="X36" s="74">
        <f>+GETPIVOTDATA("XNT4",'nghiathanh (2016)'!$A$3,"MA_HT","DTT","MA_QH","TMD")</f>
        <v>0</v>
      </c>
      <c r="Y36" s="74">
        <f>+GETPIVOTDATA("XNT4",'nghiathanh (2016)'!$A$3,"MA_HT","DTT","MA_QH","SKC")</f>
        <v>0</v>
      </c>
      <c r="Z36" s="74">
        <f>+GETPIVOTDATA("XNT4",'nghiathanh (2016)'!$A$3,"MA_HT","DTT","MA_QH","SKS")</f>
        <v>0</v>
      </c>
      <c r="AA36" s="64">
        <f>+SUM(AB36:AH36,AJ36:AM36)</f>
        <v>0</v>
      </c>
      <c r="AB36" s="74">
        <f>+GETPIVOTDATA("XNT4",'nghiathanh (2016)'!$A$3,"MA_HT","DTT","MA_QH","DGT")</f>
        <v>0</v>
      </c>
      <c r="AC36" s="74">
        <f>+GETPIVOTDATA("XNT4",'nghiathanh (2016)'!$A$3,"MA_HT","DTT","MA_QH","DTL")</f>
        <v>0</v>
      </c>
      <c r="AD36" s="74">
        <f>+GETPIVOTDATA("XNT4",'nghiathanh (2016)'!$A$3,"MA_HT","DTT","MA_QH","DNL")</f>
        <v>0</v>
      </c>
      <c r="AE36" s="74">
        <f>+GETPIVOTDATA("XNT4",'nghiathanh (2016)'!$A$3,"MA_HT","DTT","MA_QH","DBV")</f>
        <v>0</v>
      </c>
      <c r="AF36" s="74">
        <f>+GETPIVOTDATA("XNT4",'nghiathanh (2016)'!$A$3,"MA_HT","DTT","MA_QH","DVH")</f>
        <v>0</v>
      </c>
      <c r="AG36" s="74">
        <f>+GETPIVOTDATA("XNT4",'nghiathanh (2016)'!$A$3,"MA_HT","DTT","MA_QH","DYT")</f>
        <v>0</v>
      </c>
      <c r="AH36" s="74">
        <f>+GETPIVOTDATA("XNT4",'nghiathanh (2016)'!$A$3,"MA_HT","DTT","MA_QH","DGD")</f>
        <v>0</v>
      </c>
      <c r="AI36" s="100" t="e">
        <f>$D36-$BF36</f>
        <v>#REF!</v>
      </c>
      <c r="AJ36" s="74">
        <f>+GETPIVOTDATA("XNT4",'nghiathanh (2016)'!$A$3,"MA_HT","DTT","MA_QH","NCK")</f>
        <v>0</v>
      </c>
      <c r="AK36" s="74">
        <f>+GETPIVOTDATA("XNT4",'nghiathanh (2016)'!$A$3,"MA_HT","DTT","MA_QH","DXH")</f>
        <v>0</v>
      </c>
      <c r="AL36" s="74">
        <f>+GETPIVOTDATA("XNT4",'nghiathanh (2016)'!$A$3,"MA_HT","DTT","MA_QH","DCH")</f>
        <v>0</v>
      </c>
      <c r="AM36" s="74">
        <f>+GETPIVOTDATA("XNT4",'nghiathanh (2016)'!$A$3,"MA_HT","DTT","MA_QH","DKG")</f>
        <v>0</v>
      </c>
      <c r="AN36" s="74">
        <f>+GETPIVOTDATA("XNT4",'nghiathanh (2016)'!$A$3,"MA_HT","DTT","MA_QH","DDT")</f>
        <v>0</v>
      </c>
      <c r="AO36" s="74">
        <f>+GETPIVOTDATA("XNT4",'nghiathanh (2016)'!$A$3,"MA_HT","DTT","MA_QH","DDL")</f>
        <v>0</v>
      </c>
      <c r="AP36" s="74">
        <f>+GETPIVOTDATA("XNT4",'nghiathanh (2016)'!$A$3,"MA_HT","DTT","MA_QH","DRA")</f>
        <v>0</v>
      </c>
      <c r="AQ36" s="74">
        <f>+GETPIVOTDATA("XNT4",'nghiathanh (2016)'!$A$3,"MA_HT","DTT","MA_QH","ONT")</f>
        <v>0</v>
      </c>
      <c r="AR36" s="74">
        <f>+GETPIVOTDATA("XNT4",'nghiathanh (2016)'!$A$3,"MA_HT","DTT","MA_QH","ODT")</f>
        <v>0</v>
      </c>
      <c r="AS36" s="74">
        <f>+GETPIVOTDATA("XNT4",'nghiathanh (2016)'!$A$3,"MA_HT","DTT","MA_QH","TSC")</f>
        <v>0</v>
      </c>
      <c r="AT36" s="74">
        <f>+GETPIVOTDATA("XNT4",'nghiathanh (2016)'!$A$3,"MA_HT","DTT","MA_QH","DTS")</f>
        <v>0</v>
      </c>
      <c r="AU36" s="74">
        <f>+GETPIVOTDATA("XNT4",'nghiathanh (2016)'!$A$3,"MA_HT","DTT","MA_QH","DNG")</f>
        <v>0</v>
      </c>
      <c r="AV36" s="74">
        <f>+GETPIVOTDATA("XNT4",'nghiathanh (2016)'!$A$3,"MA_HT","DTT","MA_QH","TON")</f>
        <v>0</v>
      </c>
      <c r="AW36" s="74">
        <f>+GETPIVOTDATA("XNT4",'nghiathanh (2016)'!$A$3,"MA_HT","DTT","MA_QH","NTD")</f>
        <v>0</v>
      </c>
      <c r="AX36" s="74">
        <f>+GETPIVOTDATA("XNT4",'nghiathanh (2016)'!$A$3,"MA_HT","DTT","MA_QH","SKX")</f>
        <v>0</v>
      </c>
      <c r="AY36" s="74">
        <f>+GETPIVOTDATA("XNT4",'nghiathanh (2016)'!$A$3,"MA_HT","DTT","MA_QH","DSH")</f>
        <v>0</v>
      </c>
      <c r="AZ36" s="74">
        <f>+GETPIVOTDATA("XNT4",'nghiathanh (2016)'!$A$3,"MA_HT","DTT","MA_QH","DKV")</f>
        <v>0</v>
      </c>
      <c r="BA36" s="139">
        <f>+GETPIVOTDATA("XNT4",'nghiathanh (2016)'!$A$3,"MA_HT","DTT","MA_QH","TIN")</f>
        <v>0</v>
      </c>
      <c r="BB36" s="74">
        <f>+GETPIVOTDATA("XNT4",'nghiathanh (2016)'!$A$3,"MA_HT","DTT","MA_QH","SON")</f>
        <v>0</v>
      </c>
      <c r="BC36" s="74">
        <f>+GETPIVOTDATA("XNT4",'nghiathanh (2016)'!$A$3,"MA_HT","DTT","MA_QH","MNC")</f>
        <v>0</v>
      </c>
      <c r="BD36" s="74">
        <f>+GETPIVOTDATA("XNT4",'nghiathanh (2016)'!$A$3,"MA_HT","DTT","MA_QH","PNK")</f>
        <v>0</v>
      </c>
      <c r="BE36" s="102">
        <f>+GETPIVOTDATA("XNT4",'nghiathanh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+GETPIVOTDATA("XNT4",'nghiathanh (2016)'!$A$3,"MA_HT","NCK","MA_QH","LUC")</f>
        <v>0</v>
      </c>
      <c r="H37" s="74">
        <f>+GETPIVOTDATA("XNT4",'nghiathanh (2016)'!$A$3,"MA_HT","NCK","MA_QH","LUK")</f>
        <v>0</v>
      </c>
      <c r="I37" s="74">
        <f>+GETPIVOTDATA("XNT4",'nghiathanh (2016)'!$A$3,"MA_HT","NCK","MA_QH","LUN")</f>
        <v>0</v>
      </c>
      <c r="J37" s="74">
        <f>+GETPIVOTDATA("XNT4",'nghiathanh (2016)'!$A$3,"MA_HT","NCK","MA_QH","HNK")</f>
        <v>0</v>
      </c>
      <c r="K37" s="74">
        <f>+GETPIVOTDATA("XNT4",'nghiathanh (2016)'!$A$3,"MA_HT","NCK","MA_QH","CLN")</f>
        <v>0</v>
      </c>
      <c r="L37" s="74">
        <f>+GETPIVOTDATA("XNT4",'nghiathanh (2016)'!$A$3,"MA_HT","NCK","MA_QH","RSX")</f>
        <v>0</v>
      </c>
      <c r="M37" s="74">
        <f>+GETPIVOTDATA("XNT4",'nghiathanh (2016)'!$A$3,"MA_HT","NCK","MA_QH","RPH")</f>
        <v>0</v>
      </c>
      <c r="N37" s="74">
        <f>+GETPIVOTDATA("XNT4",'nghiathanh (2016)'!$A$3,"MA_HT","NCK","MA_QH","RDD")</f>
        <v>0</v>
      </c>
      <c r="O37" s="74">
        <f>+GETPIVOTDATA("XNT4",'nghiathanh (2016)'!$A$3,"MA_HT","NCK","MA_QH","NTS")</f>
        <v>0</v>
      </c>
      <c r="P37" s="74">
        <f>+GETPIVOTDATA("XNT4",'nghiathanh (2016)'!$A$3,"MA_HT","NCK","MA_QH","LMU")</f>
        <v>0</v>
      </c>
      <c r="Q37" s="74">
        <f>+GETPIVOTDATA("XNT4",'nghiathanh (2016)'!$A$3,"MA_HT","NCK","MA_QH","NKH")</f>
        <v>0</v>
      </c>
      <c r="R37" s="72">
        <f t="shared" si="20"/>
        <v>0</v>
      </c>
      <c r="S37" s="74">
        <f>+GETPIVOTDATA("XNT4",'nghiathanh (2016)'!$A$3,"MA_HT","NCK","MA_QH","CQP")</f>
        <v>0</v>
      </c>
      <c r="T37" s="74">
        <f>+GETPIVOTDATA("XNT4",'nghiathanh (2016)'!$A$3,"MA_HT","NCK","MA_QH","CAN")</f>
        <v>0</v>
      </c>
      <c r="U37" s="74">
        <f>+GETPIVOTDATA("XNT4",'nghiathanh (2016)'!$A$3,"MA_HT","NCK","MA_QH","SKK")</f>
        <v>0</v>
      </c>
      <c r="V37" s="74">
        <f>+GETPIVOTDATA("XNT4",'nghiathanh (2016)'!$A$3,"MA_HT","NCK","MA_QH","SKT")</f>
        <v>0</v>
      </c>
      <c r="W37" s="74">
        <f>+GETPIVOTDATA("XNT4",'nghiathanh (2016)'!$A$3,"MA_HT","NCK","MA_QH","SKN")</f>
        <v>0</v>
      </c>
      <c r="X37" s="74">
        <f>+GETPIVOTDATA("XNT4",'nghiathanh (2016)'!$A$3,"MA_HT","NCK","MA_QH","TMD")</f>
        <v>0</v>
      </c>
      <c r="Y37" s="74">
        <f>+GETPIVOTDATA("XNT4",'nghiathanh (2016)'!$A$3,"MA_HT","NCK","MA_QH","SKC")</f>
        <v>0</v>
      </c>
      <c r="Z37" s="74">
        <f>+GETPIVOTDATA("XNT4",'nghiathanh (2016)'!$A$3,"MA_HT","NCK","MA_QH","SKS")</f>
        <v>0</v>
      </c>
      <c r="AA37" s="64">
        <f>+SUM(AB37:AI37,AK37:AM37)</f>
        <v>0</v>
      </c>
      <c r="AB37" s="74">
        <f>+GETPIVOTDATA("XNT4",'nghiathanh (2016)'!$A$3,"MA_HT","NCK","MA_QH","DGT")</f>
        <v>0</v>
      </c>
      <c r="AC37" s="74">
        <f>+GETPIVOTDATA("XNT4",'nghiathanh (2016)'!$A$3,"MA_HT","NCK","MA_QH","DTL")</f>
        <v>0</v>
      </c>
      <c r="AD37" s="74">
        <f>+GETPIVOTDATA("XNT4",'nghiathanh (2016)'!$A$3,"MA_HT","NCK","MA_QH","DNL")</f>
        <v>0</v>
      </c>
      <c r="AE37" s="74">
        <f>+GETPIVOTDATA("XNT4",'nghiathanh (2016)'!$A$3,"MA_HT","NCK","MA_QH","DBV")</f>
        <v>0</v>
      </c>
      <c r="AF37" s="74">
        <f>+GETPIVOTDATA("XNT4",'nghiathanh (2016)'!$A$3,"MA_HT","NCK","MA_QH","DVH")</f>
        <v>0</v>
      </c>
      <c r="AG37" s="74">
        <f>+GETPIVOTDATA("XNT4",'nghiathanh (2016)'!$A$3,"MA_HT","NCK","MA_QH","DYT")</f>
        <v>0</v>
      </c>
      <c r="AH37" s="74">
        <f>+GETPIVOTDATA("XNT4",'nghiathanh (2016)'!$A$3,"MA_HT","NCK","MA_QH","DGD")</f>
        <v>0</v>
      </c>
      <c r="AI37" s="74">
        <f>+GETPIVOTDATA("XNT4",'nghiathanh (2016)'!$A$3,"MA_HT","NCK","MA_QH","DTT")</f>
        <v>0</v>
      </c>
      <c r="AJ37" s="100" t="e">
        <f>$D37-$BF37</f>
        <v>#REF!</v>
      </c>
      <c r="AK37" s="74">
        <f>+GETPIVOTDATA("XNT4",'nghiathanh (2016)'!$A$3,"MA_HT","NCK","MA_QH","DXH")</f>
        <v>0</v>
      </c>
      <c r="AL37" s="74">
        <f>+GETPIVOTDATA("XNT4",'nghiathanh (2016)'!$A$3,"MA_HT","NCK","MA_QH","DCH")</f>
        <v>0</v>
      </c>
      <c r="AM37" s="74">
        <f>+GETPIVOTDATA("XNT4",'nghiathanh (2016)'!$A$3,"MA_HT","NCK","MA_QH","DKG")</f>
        <v>0</v>
      </c>
      <c r="AN37" s="74">
        <f>+GETPIVOTDATA("XNT4",'nghiathanh (2016)'!$A$3,"MA_HT","NCK","MA_QH","DDT")</f>
        <v>0</v>
      </c>
      <c r="AO37" s="74">
        <f>+GETPIVOTDATA("XNT4",'nghiathanh (2016)'!$A$3,"MA_HT","NCK","MA_QH","DDL")</f>
        <v>0</v>
      </c>
      <c r="AP37" s="74">
        <f>+GETPIVOTDATA("XNT4",'nghiathanh (2016)'!$A$3,"MA_HT","NCK","MA_QH","DRA")</f>
        <v>0</v>
      </c>
      <c r="AQ37" s="74">
        <f>+GETPIVOTDATA("XNT4",'nghiathanh (2016)'!$A$3,"MA_HT","NCK","MA_QH","ONT")</f>
        <v>0</v>
      </c>
      <c r="AR37" s="74">
        <f>+GETPIVOTDATA("XNT4",'nghiathanh (2016)'!$A$3,"MA_HT","NCK","MA_QH","ODT")</f>
        <v>0</v>
      </c>
      <c r="AS37" s="74">
        <f>+GETPIVOTDATA("XNT4",'nghiathanh (2016)'!$A$3,"MA_HT","NCK","MA_QH","TSC")</f>
        <v>0</v>
      </c>
      <c r="AT37" s="74">
        <f>+GETPIVOTDATA("XNT4",'nghiathanh (2016)'!$A$3,"MA_HT","NCK","MA_QH","DTS")</f>
        <v>0</v>
      </c>
      <c r="AU37" s="74">
        <f>+GETPIVOTDATA("XNT4",'nghiathanh (2016)'!$A$3,"MA_HT","NCK","MA_QH","DNG")</f>
        <v>0</v>
      </c>
      <c r="AV37" s="74">
        <f>+GETPIVOTDATA("XNT4",'nghiathanh (2016)'!$A$3,"MA_HT","NCK","MA_QH","TON")</f>
        <v>0</v>
      </c>
      <c r="AW37" s="74">
        <f>+GETPIVOTDATA("XNT4",'nghiathanh (2016)'!$A$3,"MA_HT","NCK","MA_QH","NTD")</f>
        <v>0</v>
      </c>
      <c r="AX37" s="74">
        <f>+GETPIVOTDATA("XNT4",'nghiathanh (2016)'!$A$3,"MA_HT","NCK","MA_QH","SKX")</f>
        <v>0</v>
      </c>
      <c r="AY37" s="74">
        <f>+GETPIVOTDATA("XNT4",'nghiathanh (2016)'!$A$3,"MA_HT","NCK","MA_QH","DSH")</f>
        <v>0</v>
      </c>
      <c r="AZ37" s="74">
        <f>+GETPIVOTDATA("XNT4",'nghiathanh (2016)'!$A$3,"MA_HT","NCK","MA_QH","DKV")</f>
        <v>0</v>
      </c>
      <c r="BA37" s="139">
        <f>+GETPIVOTDATA("XNT4",'nghiathanh (2016)'!$A$3,"MA_HT","NCK","MA_QH","TIN")</f>
        <v>0</v>
      </c>
      <c r="BB37" s="74">
        <f>+GETPIVOTDATA("XNT4",'nghiathanh (2016)'!$A$3,"MA_HT","NCK","MA_QH","SON")</f>
        <v>0</v>
      </c>
      <c r="BC37" s="74">
        <f>+GETPIVOTDATA("XNT4",'nghiathanh (2016)'!$A$3,"MA_HT","NCK","MA_QH","MNC")</f>
        <v>0</v>
      </c>
      <c r="BD37" s="74">
        <f>+GETPIVOTDATA("XNT4",'nghiathanh (2016)'!$A$3,"MA_HT","NCK","MA_QH","PNK")</f>
        <v>0</v>
      </c>
      <c r="BE37" s="102">
        <f>+GETPIVOTDATA("XNT4",'nghiathanh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+GETPIVOTDATA("XNT4",'nghiathanh (2016)'!$A$3,"MA_HT","DXH","MA_QH","LUC")</f>
        <v>0</v>
      </c>
      <c r="H38" s="74">
        <f>+GETPIVOTDATA("XNT4",'nghiathanh (2016)'!$A$3,"MA_HT","DXH","MA_QH","LUK")</f>
        <v>0</v>
      </c>
      <c r="I38" s="74">
        <f>+GETPIVOTDATA("XNT4",'nghiathanh (2016)'!$A$3,"MA_HT","DXH","MA_QH","LUN")</f>
        <v>0</v>
      </c>
      <c r="J38" s="74">
        <f>+GETPIVOTDATA("XNT4",'nghiathanh (2016)'!$A$3,"MA_HT","DXH","MA_QH","HNK")</f>
        <v>0</v>
      </c>
      <c r="K38" s="74">
        <f>+GETPIVOTDATA("XNT4",'nghiathanh (2016)'!$A$3,"MA_HT","DXH","MA_QH","CLN")</f>
        <v>0</v>
      </c>
      <c r="L38" s="74">
        <f>+GETPIVOTDATA("XNT4",'nghiathanh (2016)'!$A$3,"MA_HT","DXH","MA_QH","RSX")</f>
        <v>0</v>
      </c>
      <c r="M38" s="74">
        <f>+GETPIVOTDATA("XNT4",'nghiathanh (2016)'!$A$3,"MA_HT","DXH","MA_QH","RPH")</f>
        <v>0</v>
      </c>
      <c r="N38" s="74">
        <f>+GETPIVOTDATA("XNT4",'nghiathanh (2016)'!$A$3,"MA_HT","DXH","MA_QH","RDD")</f>
        <v>0</v>
      </c>
      <c r="O38" s="74">
        <f>+GETPIVOTDATA("XNT4",'nghiathanh (2016)'!$A$3,"MA_HT","DXH","MA_QH","NTS")</f>
        <v>0</v>
      </c>
      <c r="P38" s="74">
        <f>+GETPIVOTDATA("XNT4",'nghiathanh (2016)'!$A$3,"MA_HT","DXH","MA_QH","LMU")</f>
        <v>0</v>
      </c>
      <c r="Q38" s="74">
        <f>+GETPIVOTDATA("XNT4",'nghiathanh (2016)'!$A$3,"MA_HT","DXH","MA_QH","NKH")</f>
        <v>0</v>
      </c>
      <c r="R38" s="72">
        <f t="shared" si="20"/>
        <v>0</v>
      </c>
      <c r="S38" s="74">
        <f>+GETPIVOTDATA("XNT4",'nghiathanh (2016)'!$A$3,"MA_HT","DXH","MA_QH","CQP")</f>
        <v>0</v>
      </c>
      <c r="T38" s="74">
        <f>+GETPIVOTDATA("XNT4",'nghiathanh (2016)'!$A$3,"MA_HT","DXH","MA_QH","CAN")</f>
        <v>0</v>
      </c>
      <c r="U38" s="74">
        <f>+GETPIVOTDATA("XNT4",'nghiathanh (2016)'!$A$3,"MA_HT","DXH","MA_QH","SKK")</f>
        <v>0</v>
      </c>
      <c r="V38" s="74">
        <f>+GETPIVOTDATA("XNT4",'nghiathanh (2016)'!$A$3,"MA_HT","DXH","MA_QH","SKT")</f>
        <v>0</v>
      </c>
      <c r="W38" s="74">
        <f>+GETPIVOTDATA("XNT4",'nghiathanh (2016)'!$A$3,"MA_HT","DXH","MA_QH","SKN")</f>
        <v>0</v>
      </c>
      <c r="X38" s="74">
        <f>+GETPIVOTDATA("XNT4",'nghiathanh (2016)'!$A$3,"MA_HT","DXH","MA_QH","TMD")</f>
        <v>0</v>
      </c>
      <c r="Y38" s="74">
        <f>+GETPIVOTDATA("XNT4",'nghiathanh (2016)'!$A$3,"MA_HT","DXH","MA_QH","SKC")</f>
        <v>0</v>
      </c>
      <c r="Z38" s="74">
        <f>+GETPIVOTDATA("XNT4",'nghiathanh (2016)'!$A$3,"MA_HT","DXH","MA_QH","SKS")</f>
        <v>0</v>
      </c>
      <c r="AA38" s="64">
        <f>+SUM(AB38:AJ38,AL38:AM38)</f>
        <v>0</v>
      </c>
      <c r="AB38" s="74">
        <f>+GETPIVOTDATA("XNT4",'nghiathanh (2016)'!$A$3,"MA_HT","DXH","MA_QH","DGT")</f>
        <v>0</v>
      </c>
      <c r="AC38" s="74">
        <f>+GETPIVOTDATA("XNT4",'nghiathanh (2016)'!$A$3,"MA_HT","DXH","MA_QH","DTL")</f>
        <v>0</v>
      </c>
      <c r="AD38" s="74">
        <f>+GETPIVOTDATA("XNT4",'nghiathanh (2016)'!$A$3,"MA_HT","DXH","MA_QH","DNL")</f>
        <v>0</v>
      </c>
      <c r="AE38" s="74">
        <f>+GETPIVOTDATA("XNT4",'nghiathanh (2016)'!$A$3,"MA_HT","DXH","MA_QH","DBV")</f>
        <v>0</v>
      </c>
      <c r="AF38" s="74">
        <f>+GETPIVOTDATA("XNT4",'nghiathanh (2016)'!$A$3,"MA_HT","DXH","MA_QH","DVH")</f>
        <v>0</v>
      </c>
      <c r="AG38" s="74">
        <f>+GETPIVOTDATA("XNT4",'nghiathanh (2016)'!$A$3,"MA_HT","DXH","MA_QH","DYT")</f>
        <v>0</v>
      </c>
      <c r="AH38" s="74">
        <f>+GETPIVOTDATA("XNT4",'nghiathanh (2016)'!$A$3,"MA_HT","DXH","MA_QH","DGD")</f>
        <v>0</v>
      </c>
      <c r="AI38" s="74">
        <f>+GETPIVOTDATA("XNT4",'nghiathanh (2016)'!$A$3,"MA_HT","DXH","MA_QH","DTT")</f>
        <v>0</v>
      </c>
      <c r="AJ38" s="74">
        <f>+GETPIVOTDATA("XNT4",'nghiathanh (2016)'!$A$3,"MA_HT","DXH","MA_QH","NCK")</f>
        <v>0</v>
      </c>
      <c r="AK38" s="100" t="e">
        <f>$D38-$BF38</f>
        <v>#REF!</v>
      </c>
      <c r="AL38" s="74">
        <f>+GETPIVOTDATA("XNT4",'nghiathanh (2016)'!$A$3,"MA_HT","DXH","MA_QH","DCH")</f>
        <v>0</v>
      </c>
      <c r="AM38" s="74">
        <f>+GETPIVOTDATA("XNT4",'nghiathanh (2016)'!$A$3,"MA_HT","DXH","MA_QH","DKG")</f>
        <v>0</v>
      </c>
      <c r="AN38" s="74">
        <f>+GETPIVOTDATA("XNT4",'nghiathanh (2016)'!$A$3,"MA_HT","DXH","MA_QH","DDT")</f>
        <v>0</v>
      </c>
      <c r="AO38" s="74">
        <f>+GETPIVOTDATA("XNT4",'nghiathanh (2016)'!$A$3,"MA_HT","DXH","MA_QH","DDL")</f>
        <v>0</v>
      </c>
      <c r="AP38" s="74">
        <f>+GETPIVOTDATA("XNT4",'nghiathanh (2016)'!$A$3,"MA_HT","DXH","MA_QH","DRA")</f>
        <v>0</v>
      </c>
      <c r="AQ38" s="74">
        <f>+GETPIVOTDATA("XNT4",'nghiathanh (2016)'!$A$3,"MA_HT","DXH","MA_QH","ONT")</f>
        <v>0</v>
      </c>
      <c r="AR38" s="74">
        <f>+GETPIVOTDATA("XNT4",'nghiathanh (2016)'!$A$3,"MA_HT","DXH","MA_QH","ODT")</f>
        <v>0</v>
      </c>
      <c r="AS38" s="74">
        <f>+GETPIVOTDATA("XNT4",'nghiathanh (2016)'!$A$3,"MA_HT","DXH","MA_QH","TSC")</f>
        <v>0</v>
      </c>
      <c r="AT38" s="74">
        <f>+GETPIVOTDATA("XNT4",'nghiathanh (2016)'!$A$3,"MA_HT","DXH","MA_QH","DTS")</f>
        <v>0</v>
      </c>
      <c r="AU38" s="74">
        <f>+GETPIVOTDATA("XNT4",'nghiathanh (2016)'!$A$3,"MA_HT","DXH","MA_QH","DNG")</f>
        <v>0</v>
      </c>
      <c r="AV38" s="74">
        <f>+GETPIVOTDATA("XNT4",'nghiathanh (2016)'!$A$3,"MA_HT","DXH","MA_QH","TON")</f>
        <v>0</v>
      </c>
      <c r="AW38" s="74">
        <f>+GETPIVOTDATA("XNT4",'nghiathanh (2016)'!$A$3,"MA_HT","DXH","MA_QH","NTD")</f>
        <v>0</v>
      </c>
      <c r="AX38" s="74">
        <f>+GETPIVOTDATA("XNT4",'nghiathanh (2016)'!$A$3,"MA_HT","DXH","MA_QH","SKX")</f>
        <v>0</v>
      </c>
      <c r="AY38" s="74">
        <f>+GETPIVOTDATA("XNT4",'nghiathanh (2016)'!$A$3,"MA_HT","DXH","MA_QH","DSH")</f>
        <v>0</v>
      </c>
      <c r="AZ38" s="74">
        <f>+GETPIVOTDATA("XNT4",'nghiathanh (2016)'!$A$3,"MA_HT","DXH","MA_QH","DKV")</f>
        <v>0</v>
      </c>
      <c r="BA38" s="139">
        <f>+GETPIVOTDATA("XNT4",'nghiathanh (2016)'!$A$3,"MA_HT","DXH","MA_QH","TIN")</f>
        <v>0</v>
      </c>
      <c r="BB38" s="74">
        <f>+GETPIVOTDATA("XNT4",'nghiathanh (2016)'!$A$3,"MA_HT","DXH","MA_QH","SON")</f>
        <v>0</v>
      </c>
      <c r="BC38" s="74">
        <f>+GETPIVOTDATA("XNT4",'nghiathanh (2016)'!$A$3,"MA_HT","DXH","MA_QH","MNC")</f>
        <v>0</v>
      </c>
      <c r="BD38" s="74">
        <f>+GETPIVOTDATA("XNT4",'nghiathanh (2016)'!$A$3,"MA_HT","DXH","MA_QH","PNK")</f>
        <v>0</v>
      </c>
      <c r="BE38" s="102">
        <f>+GETPIVOTDATA("XNT4",'nghiathanh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+GETPIVOTDATA("XNT4",'nghiathanh (2016)'!$A$3,"MA_HT","DCH","MA_QH","LUC")</f>
        <v>0</v>
      </c>
      <c r="H39" s="74">
        <f>+GETPIVOTDATA("XNT4",'nghiathanh (2016)'!$A$3,"MA_HT","DCH","MA_QH","LUK")</f>
        <v>0</v>
      </c>
      <c r="I39" s="74">
        <f>+GETPIVOTDATA("XNT4",'nghiathanh (2016)'!$A$3,"MA_HT","DCH","MA_QH","LUN")</f>
        <v>0</v>
      </c>
      <c r="J39" s="74">
        <f>+GETPIVOTDATA("XNT4",'nghiathanh (2016)'!$A$3,"MA_HT","DCH","MA_QH","HNK")</f>
        <v>0</v>
      </c>
      <c r="K39" s="74">
        <f>+GETPIVOTDATA("XNT4",'nghiathanh (2016)'!$A$3,"MA_HT","DCH","MA_QH","CLN")</f>
        <v>0</v>
      </c>
      <c r="L39" s="74">
        <f>+GETPIVOTDATA("XNT4",'nghiathanh (2016)'!$A$3,"MA_HT","DCH","MA_QH","RSX")</f>
        <v>0</v>
      </c>
      <c r="M39" s="74">
        <f>+GETPIVOTDATA("XNT4",'nghiathanh (2016)'!$A$3,"MA_HT","DCH","MA_QH","RPH")</f>
        <v>0</v>
      </c>
      <c r="N39" s="74">
        <f>+GETPIVOTDATA("XNT4",'nghiathanh (2016)'!$A$3,"MA_HT","DCH","MA_QH","RDD")</f>
        <v>0</v>
      </c>
      <c r="O39" s="74">
        <f>+GETPIVOTDATA("XNT4",'nghiathanh (2016)'!$A$3,"MA_HT","DCH","MA_QH","NTS")</f>
        <v>0</v>
      </c>
      <c r="P39" s="74">
        <f>+GETPIVOTDATA("XNT4",'nghiathanh (2016)'!$A$3,"MA_HT","DCH","MA_QH","LMU")</f>
        <v>0</v>
      </c>
      <c r="Q39" s="74">
        <f>+GETPIVOTDATA("XNT4",'nghiathanh (2016)'!$A$3,"MA_HT","DCH","MA_QH","NKH")</f>
        <v>0</v>
      </c>
      <c r="R39" s="72">
        <f t="shared" si="20"/>
        <v>0</v>
      </c>
      <c r="S39" s="74">
        <f>+GETPIVOTDATA("XNT4",'nghiathanh (2016)'!$A$3,"MA_HT","DCH","MA_QH","CQP")</f>
        <v>0</v>
      </c>
      <c r="T39" s="74">
        <f>+GETPIVOTDATA("XNT4",'nghiathanh (2016)'!$A$3,"MA_HT","DCH","MA_QH","CAN")</f>
        <v>0</v>
      </c>
      <c r="U39" s="74">
        <f>+GETPIVOTDATA("XNT4",'nghiathanh (2016)'!$A$3,"MA_HT","DCH","MA_QH","SKK")</f>
        <v>0</v>
      </c>
      <c r="V39" s="74">
        <f>+GETPIVOTDATA("XNT4",'nghiathanh (2016)'!$A$3,"MA_HT","DCH","MA_QH","SKT")</f>
        <v>0</v>
      </c>
      <c r="W39" s="74">
        <f>+GETPIVOTDATA("XNT4",'nghiathanh (2016)'!$A$3,"MA_HT","DCH","MA_QH","SKN")</f>
        <v>0</v>
      </c>
      <c r="X39" s="74">
        <f>+GETPIVOTDATA("XNT4",'nghiathanh (2016)'!$A$3,"MA_HT","DCH","MA_QH","TMD")</f>
        <v>0</v>
      </c>
      <c r="Y39" s="74">
        <f>+GETPIVOTDATA("XNT4",'nghiathanh (2016)'!$A$3,"MA_HT","DCH","MA_QH","SKC")</f>
        <v>0</v>
      </c>
      <c r="Z39" s="74">
        <f>+GETPIVOTDATA("XNT4",'nghiathanh (2016)'!$A$3,"MA_HT","DCH","MA_QH","SKS")</f>
        <v>0</v>
      </c>
      <c r="AA39" s="64">
        <f>+SUM(AB39:AK39,AM39)</f>
        <v>0</v>
      </c>
      <c r="AB39" s="74">
        <f>+GETPIVOTDATA("XNT4",'nghiathanh (2016)'!$A$3,"MA_HT","DCH","MA_QH","DGT")</f>
        <v>0</v>
      </c>
      <c r="AC39" s="74">
        <f>+GETPIVOTDATA("XNT4",'nghiathanh (2016)'!$A$3,"MA_HT","DCH","MA_QH","DTL")</f>
        <v>0</v>
      </c>
      <c r="AD39" s="74">
        <f>+GETPIVOTDATA("XNT4",'nghiathanh (2016)'!$A$3,"MA_HT","DCH","MA_QH","DNL")</f>
        <v>0</v>
      </c>
      <c r="AE39" s="74">
        <f>+GETPIVOTDATA("XNT4",'nghiathanh (2016)'!$A$3,"MA_HT","DCH","MA_QH","DBV")</f>
        <v>0</v>
      </c>
      <c r="AF39" s="74">
        <f>+GETPIVOTDATA("XNT4",'nghiathanh (2016)'!$A$3,"MA_HT","DCH","MA_QH","DVH")</f>
        <v>0</v>
      </c>
      <c r="AG39" s="74">
        <f>+GETPIVOTDATA("XNT4",'nghiathanh (2016)'!$A$3,"MA_HT","DCH","MA_QH","DYT")</f>
        <v>0</v>
      </c>
      <c r="AH39" s="74">
        <f>+GETPIVOTDATA("XNT4",'nghiathanh (2016)'!$A$3,"MA_HT","DCH","MA_QH","DGD")</f>
        <v>0</v>
      </c>
      <c r="AI39" s="74">
        <f>+GETPIVOTDATA("XNT4",'nghiathanh (2016)'!$A$3,"MA_HT","DCH","MA_QH","DTT")</f>
        <v>0</v>
      </c>
      <c r="AJ39" s="74">
        <f>+GETPIVOTDATA("XNT4",'nghiathanh (2016)'!$A$3,"MA_HT","DCH","MA_QH","NCK")</f>
        <v>0</v>
      </c>
      <c r="AK39" s="74">
        <f>+GETPIVOTDATA("XNT4",'nghiathanh (2016)'!$A$3,"MA_HT","DCH","MA_QH","DXH")</f>
        <v>0</v>
      </c>
      <c r="AL39" s="100" t="e">
        <f>$D39-$BF39</f>
        <v>#REF!</v>
      </c>
      <c r="AM39" s="74">
        <f>+GETPIVOTDATA("XNT4",'nghiathanh (2016)'!$A$3,"MA_HT","DXH","MA_QH","DKG")</f>
        <v>0</v>
      </c>
      <c r="AN39" s="74">
        <f>+GETPIVOTDATA("XNT4",'nghiathanh (2016)'!$A$3,"MA_HT","DCH","MA_QH","DDT")</f>
        <v>0</v>
      </c>
      <c r="AO39" s="74">
        <f>+GETPIVOTDATA("XNT4",'nghiathanh (2016)'!$A$3,"MA_HT","DCH","MA_QH","DDL")</f>
        <v>0</v>
      </c>
      <c r="AP39" s="74">
        <f>+GETPIVOTDATA("XNT4",'nghiathanh (2016)'!$A$3,"MA_HT","DCH","MA_QH","DRA")</f>
        <v>0</v>
      </c>
      <c r="AQ39" s="74">
        <f>+GETPIVOTDATA("XNT4",'nghiathanh (2016)'!$A$3,"MA_HT","DCH","MA_QH","ONT")</f>
        <v>0</v>
      </c>
      <c r="AR39" s="74">
        <f>+GETPIVOTDATA("XNT4",'nghiathanh (2016)'!$A$3,"MA_HT","DCH","MA_QH","ODT")</f>
        <v>0</v>
      </c>
      <c r="AS39" s="74">
        <f>+GETPIVOTDATA("XNT4",'nghiathanh (2016)'!$A$3,"MA_HT","DCH","MA_QH","TSC")</f>
        <v>0</v>
      </c>
      <c r="AT39" s="74">
        <f>+GETPIVOTDATA("XNT4",'nghiathanh (2016)'!$A$3,"MA_HT","DCH","MA_QH","DTS")</f>
        <v>0</v>
      </c>
      <c r="AU39" s="74">
        <f>+GETPIVOTDATA("XNT4",'nghiathanh (2016)'!$A$3,"MA_HT","DCH","MA_QH","DNG")</f>
        <v>0</v>
      </c>
      <c r="AV39" s="74">
        <f>+GETPIVOTDATA("XNT4",'nghiathanh (2016)'!$A$3,"MA_HT","DCH","MA_QH","TON")</f>
        <v>0</v>
      </c>
      <c r="AW39" s="74">
        <f>+GETPIVOTDATA("XNT4",'nghiathanh (2016)'!$A$3,"MA_HT","DCH","MA_QH","NTD")</f>
        <v>0</v>
      </c>
      <c r="AX39" s="74">
        <f>+GETPIVOTDATA("XNT4",'nghiathanh (2016)'!$A$3,"MA_HT","DCH","MA_QH","SKX")</f>
        <v>0</v>
      </c>
      <c r="AY39" s="74">
        <f>+GETPIVOTDATA("XNT4",'nghiathanh (2016)'!$A$3,"MA_HT","DCH","MA_QH","DSH")</f>
        <v>0</v>
      </c>
      <c r="AZ39" s="74">
        <f>+GETPIVOTDATA("XNT4",'nghiathanh (2016)'!$A$3,"MA_HT","DCH","MA_QH","DKV")</f>
        <v>0</v>
      </c>
      <c r="BA39" s="139">
        <f>+GETPIVOTDATA("XNT4",'nghiathanh (2016)'!$A$3,"MA_HT","DCH","MA_QH","TIN")</f>
        <v>0</v>
      </c>
      <c r="BB39" s="74">
        <f>+GETPIVOTDATA("XNT4",'nghiathanh (2016)'!$A$3,"MA_HT","DCH","MA_QH","SON")</f>
        <v>0</v>
      </c>
      <c r="BC39" s="74">
        <f>+GETPIVOTDATA("XNT4",'nghiathanh (2016)'!$A$3,"MA_HT","DCH","MA_QH","MNC")</f>
        <v>0</v>
      </c>
      <c r="BD39" s="74">
        <f>+GETPIVOTDATA("XNT4",'nghiathanh (2016)'!$A$3,"MA_HT","DCH","MA_QH","PNK")</f>
        <v>0</v>
      </c>
      <c r="BE39" s="102">
        <f>+GETPIVOTDATA("XNT4",'nghiathanh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+GETPIVOTDATA("XNT4",'nghiathanh (2016)'!$A$3,"MA_HT","DKG","MA_QH","LUC")</f>
        <v>0</v>
      </c>
      <c r="H40" s="74">
        <f>+GETPIVOTDATA("XNT4",'nghiathanh (2016)'!$A$3,"MA_HT","DKG","MA_QH","LUK")</f>
        <v>0</v>
      </c>
      <c r="I40" s="74">
        <f>+GETPIVOTDATA("XNT4",'nghiathanh (2016)'!$A$3,"MA_HT","DKG","MA_QH","LUN")</f>
        <v>0</v>
      </c>
      <c r="J40" s="74">
        <f>+GETPIVOTDATA("XNT4",'nghiathanh (2016)'!$A$3,"MA_HT","DKG","MA_QH","HNK")</f>
        <v>0</v>
      </c>
      <c r="K40" s="74">
        <f>+GETPIVOTDATA("XNT4",'nghiathanh (2016)'!$A$3,"MA_HT","DKG","MA_QH","CLN")</f>
        <v>0</v>
      </c>
      <c r="L40" s="74">
        <f>+GETPIVOTDATA("XNT4",'nghiathanh (2016)'!$A$3,"MA_HT","DKG","MA_QH","RSX")</f>
        <v>0</v>
      </c>
      <c r="M40" s="74">
        <f>+GETPIVOTDATA("XNT4",'nghiathanh (2016)'!$A$3,"MA_HT","DKG","MA_QH","RPH")</f>
        <v>0</v>
      </c>
      <c r="N40" s="74">
        <f>+GETPIVOTDATA("XNT4",'nghiathanh (2016)'!$A$3,"MA_HT","DKG","MA_QH","RDD")</f>
        <v>0</v>
      </c>
      <c r="O40" s="74">
        <f>+GETPIVOTDATA("XNT4",'nghiathanh (2016)'!$A$3,"MA_HT","DKG","MA_QH","NTS")</f>
        <v>0</v>
      </c>
      <c r="P40" s="74">
        <f>+GETPIVOTDATA("XNT4",'nghiathanh (2016)'!$A$3,"MA_HT","DKG","MA_QH","LMU")</f>
        <v>0</v>
      </c>
      <c r="Q40" s="74">
        <f>+GETPIVOTDATA("XNT4",'nghiathanh (2016)'!$A$3,"MA_HT","DKG","MA_QH","NKH")</f>
        <v>0</v>
      </c>
      <c r="R40" s="72">
        <f>SUM(S40:AA40,AN40:BD40)</f>
        <v>0</v>
      </c>
      <c r="S40" s="74">
        <f>+GETPIVOTDATA("XNT4",'nghiathanh (2016)'!$A$3,"MA_HT","DKG","MA_QH","CQP")</f>
        <v>0</v>
      </c>
      <c r="T40" s="74">
        <f>+GETPIVOTDATA("XNT4",'nghiathanh (2016)'!$A$3,"MA_HT","DKG","MA_QH","CAN")</f>
        <v>0</v>
      </c>
      <c r="U40" s="74">
        <f>+GETPIVOTDATA("XNT4",'nghiathanh (2016)'!$A$3,"MA_HT","DKG","MA_QH","SKK")</f>
        <v>0</v>
      </c>
      <c r="V40" s="74">
        <f>+GETPIVOTDATA("XNT4",'nghiathanh (2016)'!$A$3,"MA_HT","DKG","MA_QH","SKT")</f>
        <v>0</v>
      </c>
      <c r="W40" s="74">
        <f>+GETPIVOTDATA("XNT4",'nghiathanh (2016)'!$A$3,"MA_HT","DKG","MA_QH","SKN")</f>
        <v>0</v>
      </c>
      <c r="X40" s="74">
        <f>+GETPIVOTDATA("XNT4",'nghiathanh (2016)'!$A$3,"MA_HT","DKG","MA_QH","TMD")</f>
        <v>0</v>
      </c>
      <c r="Y40" s="74">
        <f>+GETPIVOTDATA("XNT4",'nghiathanh (2016)'!$A$3,"MA_HT","DKG","MA_QH","SKC")</f>
        <v>0</v>
      </c>
      <c r="Z40" s="74">
        <f>+GETPIVOTDATA("XNT4",'nghiathanh (2016)'!$A$3,"MA_HT","DKG","MA_QH","SKS")</f>
        <v>0</v>
      </c>
      <c r="AA40" s="64">
        <f>+SUM(AB40:AL40)</f>
        <v>0</v>
      </c>
      <c r="AB40" s="74">
        <f>+GETPIVOTDATA("XNT4",'nghiathanh (2016)'!$A$3,"MA_HT","DKG","MA_QH","DGT")</f>
        <v>0</v>
      </c>
      <c r="AC40" s="74">
        <f>+GETPIVOTDATA("XNT4",'nghiathanh (2016)'!$A$3,"MA_HT","DKG","MA_QH","DTL")</f>
        <v>0</v>
      </c>
      <c r="AD40" s="74">
        <f>+GETPIVOTDATA("XNT4",'nghiathanh (2016)'!$A$3,"MA_HT","DKG","MA_QH","DNL")</f>
        <v>0</v>
      </c>
      <c r="AE40" s="74">
        <f>+GETPIVOTDATA("XNT4",'nghiathanh (2016)'!$A$3,"MA_HT","DKG","MA_QH","DBV")</f>
        <v>0</v>
      </c>
      <c r="AF40" s="74">
        <f>+GETPIVOTDATA("XNT4",'nghiathanh (2016)'!$A$3,"MA_HT","DKG","MA_QH","DVH")</f>
        <v>0</v>
      </c>
      <c r="AG40" s="74">
        <f>+GETPIVOTDATA("XNT4",'nghiathanh (2016)'!$A$3,"MA_HT","DKG","MA_QH","DYT")</f>
        <v>0</v>
      </c>
      <c r="AH40" s="74">
        <f>+GETPIVOTDATA("XNT4",'nghiathanh (2016)'!$A$3,"MA_HT","DKG","MA_QH","DGD")</f>
        <v>0</v>
      </c>
      <c r="AI40" s="74">
        <f>+GETPIVOTDATA("XNT4",'nghiathanh (2016)'!$A$3,"MA_HT","DKG","MA_QH","DTT")</f>
        <v>0</v>
      </c>
      <c r="AJ40" s="74">
        <f>+GETPIVOTDATA("XNT4",'nghiathanh (2016)'!$A$3,"MA_HT","DKG","MA_QH","NCK")</f>
        <v>0</v>
      </c>
      <c r="AK40" s="74">
        <f>+GETPIVOTDATA("XNT4",'nghiathanh (2016)'!$A$3,"MA_HT","DKG","MA_QH","DXH")</f>
        <v>0</v>
      </c>
      <c r="AL40" s="122">
        <f>+GETPIVOTDATA("XNT4",'nghiathanh (2016)'!$A$3,"MA_HT","DDT","MA_QH","DKG")</f>
        <v>0</v>
      </c>
      <c r="AM40" s="100" t="e">
        <f>$D40-$BF40</f>
        <v>#REF!</v>
      </c>
      <c r="AN40" s="74">
        <f>+GETPIVOTDATA("XNT4",'nghiathanh (2016)'!$A$3,"MA_HT","DKG","MA_QH","DDT")</f>
        <v>0</v>
      </c>
      <c r="AO40" s="74">
        <f>+GETPIVOTDATA("XNT4",'nghiathanh (2016)'!$A$3,"MA_HT","DKG","MA_QH","DDL")</f>
        <v>0</v>
      </c>
      <c r="AP40" s="74">
        <f>+GETPIVOTDATA("XNT4",'nghiathanh (2016)'!$A$3,"MA_HT","DKG","MA_QH","DRA")</f>
        <v>0</v>
      </c>
      <c r="AQ40" s="74">
        <f>+GETPIVOTDATA("XNT4",'nghiathanh (2016)'!$A$3,"MA_HT","DKG","MA_QH","ONT")</f>
        <v>0</v>
      </c>
      <c r="AR40" s="74">
        <f>+GETPIVOTDATA("XNT4",'nghiathanh (2016)'!$A$3,"MA_HT","DKG","MA_QH","ODT")</f>
        <v>0</v>
      </c>
      <c r="AS40" s="74">
        <f>+GETPIVOTDATA("XNT4",'nghiathanh (2016)'!$A$3,"MA_HT","DKG","MA_QH","TSC")</f>
        <v>0</v>
      </c>
      <c r="AT40" s="74">
        <f>+GETPIVOTDATA("XNT4",'nghiathanh (2016)'!$A$3,"MA_HT","DKG","MA_QH","DTS")</f>
        <v>0</v>
      </c>
      <c r="AU40" s="74">
        <f>+GETPIVOTDATA("XNT4",'nghiathanh (2016)'!$A$3,"MA_HT","DKG","MA_QH","DNG")</f>
        <v>0</v>
      </c>
      <c r="AV40" s="74">
        <f>+GETPIVOTDATA("XNT4",'nghiathanh (2016)'!$A$3,"MA_HT","DKG","MA_QH","TON")</f>
        <v>0</v>
      </c>
      <c r="AW40" s="74">
        <f>+GETPIVOTDATA("XNT4",'nghiathanh (2016)'!$A$3,"MA_HT","DKG","MA_QH","NTD")</f>
        <v>0</v>
      </c>
      <c r="AX40" s="74">
        <f>+GETPIVOTDATA("XNT4",'nghiathanh (2016)'!$A$3,"MA_HT","DKG","MA_QH","SKX")</f>
        <v>0</v>
      </c>
      <c r="AY40" s="74">
        <f>+GETPIVOTDATA("XNT4",'nghiathanh (2016)'!$A$3,"MA_HT","DKG","MA_QH","DSH")</f>
        <v>0</v>
      </c>
      <c r="AZ40" s="74">
        <f>+GETPIVOTDATA("XNT4",'nghiathanh (2016)'!$A$3,"MA_HT","DKG","MA_QH","DKV")</f>
        <v>0</v>
      </c>
      <c r="BA40" s="139">
        <f>+GETPIVOTDATA("XNT4",'nghiathanh (2016)'!$A$3,"MA_HT","DKG","MA_QH","TIN")</f>
        <v>0</v>
      </c>
      <c r="BB40" s="74">
        <f>+GETPIVOTDATA("XNT4",'nghiathanh (2016)'!$A$3,"MA_HT","DKG","MA_QH","SON")</f>
        <v>0</v>
      </c>
      <c r="BC40" s="74">
        <f>+GETPIVOTDATA("XNT4",'nghiathanh (2016)'!$A$3,"MA_HT","DKG","MA_QH","MNC")</f>
        <v>0</v>
      </c>
      <c r="BD40" s="74">
        <f>+GETPIVOTDATA("XNT4",'nghiathanh (2016)'!$A$3,"MA_HT","DKG","MA_QH","PNK")</f>
        <v>0</v>
      </c>
      <c r="BE40" s="102">
        <f>+GETPIVOTDATA("XNT4",'nghiathanh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+GETPIVOTDATA("XNT4",'nghiathanh (2016)'!$A$3,"MA_HT","DDT","MA_QH","LUC")</f>
        <v>0</v>
      </c>
      <c r="H41" s="122">
        <f>+GETPIVOTDATA("XNT4",'nghiathanh (2016)'!$A$3,"MA_HT","DDT","MA_QH","LUK")</f>
        <v>0</v>
      </c>
      <c r="I41" s="122">
        <f>+GETPIVOTDATA("XNT4",'nghiathanh (2016)'!$A$3,"MA_HT","DDT","MA_QH","LUN")</f>
        <v>0</v>
      </c>
      <c r="J41" s="122">
        <f>+GETPIVOTDATA("XNT4",'nghiathanh (2016)'!$A$3,"MA_HT","DDT","MA_QH","HNK")</f>
        <v>0</v>
      </c>
      <c r="K41" s="122">
        <f>+GETPIVOTDATA("XNT4",'nghiathanh (2016)'!$A$3,"MA_HT","DDT","MA_QH","CLN")</f>
        <v>0</v>
      </c>
      <c r="L41" s="122">
        <f>+GETPIVOTDATA("XNT4",'nghiathanh (2016)'!$A$3,"MA_HT","DDT","MA_QH","RSX")</f>
        <v>0</v>
      </c>
      <c r="M41" s="122">
        <f>+GETPIVOTDATA("XNT4",'nghiathanh (2016)'!$A$3,"MA_HT","DDT","MA_QH","RPH")</f>
        <v>0</v>
      </c>
      <c r="N41" s="122">
        <f>+GETPIVOTDATA("XNT4",'nghiathanh (2016)'!$A$3,"MA_HT","DDT","MA_QH","RDD")</f>
        <v>0</v>
      </c>
      <c r="O41" s="122">
        <f>+GETPIVOTDATA("XNT4",'nghiathanh (2016)'!$A$3,"MA_HT","DDT","MA_QH","NTS")</f>
        <v>0</v>
      </c>
      <c r="P41" s="122">
        <f>+GETPIVOTDATA("XNT4",'nghiathanh (2016)'!$A$3,"MA_HT","DDT","MA_QH","LMU")</f>
        <v>0</v>
      </c>
      <c r="Q41" s="122">
        <f>+GETPIVOTDATA("XNT4",'nghiathanh (2016)'!$A$3,"MA_HT","DDT","MA_QH","NKH")</f>
        <v>0</v>
      </c>
      <c r="R41" s="123">
        <f>SUM(S41:AA41,AO41:BD41)</f>
        <v>0</v>
      </c>
      <c r="S41" s="122">
        <f>+GETPIVOTDATA("XNT4",'nghiathanh (2016)'!$A$3,"MA_HT","DDT","MA_QH","CQP")</f>
        <v>0</v>
      </c>
      <c r="T41" s="122">
        <f>+GETPIVOTDATA("XNT4",'nghiathanh (2016)'!$A$3,"MA_HT","DDT","MA_QH","CAN")</f>
        <v>0</v>
      </c>
      <c r="U41" s="122">
        <f>+GETPIVOTDATA("XNT4",'nghiathanh (2016)'!$A$3,"MA_HT","DDT","MA_QH","SKK")</f>
        <v>0</v>
      </c>
      <c r="V41" s="122">
        <f>+GETPIVOTDATA("XNT4",'nghiathanh (2016)'!$A$3,"MA_HT","DDT","MA_QH","SKT")</f>
        <v>0</v>
      </c>
      <c r="W41" s="122">
        <f>+GETPIVOTDATA("XNT4",'nghiathanh (2016)'!$A$3,"MA_HT","DDT","MA_QH","SKN")</f>
        <v>0</v>
      </c>
      <c r="X41" s="122">
        <f>+GETPIVOTDATA("XNT4",'nghiathanh (2016)'!$A$3,"MA_HT","DDT","MA_QH","TMD")</f>
        <v>0</v>
      </c>
      <c r="Y41" s="122">
        <f>+GETPIVOTDATA("XNT4",'nghiathanh (2016)'!$A$3,"MA_HT","DDT","MA_QH","SKC")</f>
        <v>0</v>
      </c>
      <c r="Z41" s="122">
        <f>+GETPIVOTDATA("XNT4",'nghiathanh (2016)'!$A$3,"MA_HT","DDT","MA_QH","SKS")</f>
        <v>0</v>
      </c>
      <c r="AA41" s="121">
        <f t="shared" ref="AA41:AA58" si="21">+SUM(AB41:AM41)</f>
        <v>0</v>
      </c>
      <c r="AB41" s="122">
        <f>+GETPIVOTDATA("XNT4",'nghiathanh (2016)'!$A$3,"MA_HT","DDT","MA_QH","DGT")</f>
        <v>0</v>
      </c>
      <c r="AC41" s="122">
        <f>+GETPIVOTDATA("XNT4",'nghiathanh (2016)'!$A$3,"MA_HT","DDT","MA_QH","DTL")</f>
        <v>0</v>
      </c>
      <c r="AD41" s="122">
        <f>+GETPIVOTDATA("XNT4",'nghiathanh (2016)'!$A$3,"MA_HT","DDT","MA_QH","DNL")</f>
        <v>0</v>
      </c>
      <c r="AE41" s="122">
        <f>+GETPIVOTDATA("XNT4",'nghiathanh (2016)'!$A$3,"MA_HT","DDT","MA_QH","DBV")</f>
        <v>0</v>
      </c>
      <c r="AF41" s="122">
        <f>+GETPIVOTDATA("XNT4",'nghiathanh (2016)'!$A$3,"MA_HT","DDT","MA_QH","DVH")</f>
        <v>0</v>
      </c>
      <c r="AG41" s="122">
        <f>+GETPIVOTDATA("XNT4",'nghiathanh (2016)'!$A$3,"MA_HT","DDT","MA_QH","DYT")</f>
        <v>0</v>
      </c>
      <c r="AH41" s="122">
        <f>+GETPIVOTDATA("XNT4",'nghiathanh (2016)'!$A$3,"MA_HT","DDT","MA_QH","DGD")</f>
        <v>0</v>
      </c>
      <c r="AI41" s="122">
        <f>+GETPIVOTDATA("XNT4",'nghiathanh (2016)'!$A$3,"MA_HT","DDT","MA_QH","DTT")</f>
        <v>0</v>
      </c>
      <c r="AJ41" s="122">
        <f>+GETPIVOTDATA("XNT4",'nghiathanh (2016)'!$A$3,"MA_HT","DDT","MA_QH","NCK")</f>
        <v>0</v>
      </c>
      <c r="AK41" s="122">
        <f>+GETPIVOTDATA("XNT4",'nghiathanh (2016)'!$A$3,"MA_HT","DDT","MA_QH","DXH")</f>
        <v>0</v>
      </c>
      <c r="AL41" s="122">
        <f>+GETPIVOTDATA("XNT4",'nghiathanh (2016)'!$A$3,"MA_HT","DDT","MA_QH","DCH")</f>
        <v>0</v>
      </c>
      <c r="AM41" s="122">
        <f>+GETPIVOTDATA("XNT4",'nghiathanh (2016)'!$A$3,"MA_HT","DDT","MA_QH","DKG")</f>
        <v>0</v>
      </c>
      <c r="AN41" s="124" t="e">
        <f>$D41-$BF41</f>
        <v>#REF!</v>
      </c>
      <c r="AO41" s="122">
        <f>+GETPIVOTDATA("XNT4",'nghiathanh (2016)'!$A$3,"MA_HT","DDT","MA_QH","DDL")</f>
        <v>0</v>
      </c>
      <c r="AP41" s="122">
        <f>+GETPIVOTDATA("XNT4",'nghiathanh (2016)'!$A$3,"MA_HT","DDT","MA_QH","DRA")</f>
        <v>0</v>
      </c>
      <c r="AQ41" s="122">
        <f>+GETPIVOTDATA("XNT4",'nghiathanh (2016)'!$A$3,"MA_HT","DDT","MA_QH","ONT")</f>
        <v>0</v>
      </c>
      <c r="AR41" s="122">
        <f>+GETPIVOTDATA("XNT4",'nghiathanh (2016)'!$A$3,"MA_HT","DDT","MA_QH","ODT")</f>
        <v>0</v>
      </c>
      <c r="AS41" s="122">
        <f>+GETPIVOTDATA("XNT4",'nghiathanh (2016)'!$A$3,"MA_HT","DDT","MA_QH","TSC")</f>
        <v>0</v>
      </c>
      <c r="AT41" s="122">
        <f>+GETPIVOTDATA("XNT4",'nghiathanh (2016)'!$A$3,"MA_HT","DDT","MA_QH","DTS")</f>
        <v>0</v>
      </c>
      <c r="AU41" s="122">
        <f>+GETPIVOTDATA("XNT4",'nghiathanh (2016)'!$A$3,"MA_HT","DDT","MA_QH","DNG")</f>
        <v>0</v>
      </c>
      <c r="AV41" s="122">
        <f>+GETPIVOTDATA("XNT4",'nghiathanh (2016)'!$A$3,"MA_HT","DDT","MA_QH","TON")</f>
        <v>0</v>
      </c>
      <c r="AW41" s="122">
        <f>+GETPIVOTDATA("XNT4",'nghiathanh (2016)'!$A$3,"MA_HT","DDT","MA_QH","NTD")</f>
        <v>0</v>
      </c>
      <c r="AX41" s="122">
        <f>+GETPIVOTDATA("XNT4",'nghiathanh (2016)'!$A$3,"MA_HT","DDT","MA_QH","SKX")</f>
        <v>0</v>
      </c>
      <c r="AY41" s="122">
        <f>+GETPIVOTDATA("XNT4",'nghiathanh (2016)'!$A$3,"MA_HT","DDT","MA_QH","DSH")</f>
        <v>0</v>
      </c>
      <c r="AZ41" s="122">
        <f>+GETPIVOTDATA("XNT4",'nghiathanh (2016)'!$A$3,"MA_HT","DDT","MA_QH","DKV")</f>
        <v>0</v>
      </c>
      <c r="BA41" s="141">
        <f>+GETPIVOTDATA("XNT4",'nghiathanh (2016)'!$A$3,"MA_HT","DDT","MA_QH","TIN")</f>
        <v>0</v>
      </c>
      <c r="BB41" s="125">
        <f>+GETPIVOTDATA("XNT4",'nghiathanh (2016)'!$A$3,"MA_HT","DDT","MA_QH","SON")</f>
        <v>0</v>
      </c>
      <c r="BC41" s="125">
        <f>+GETPIVOTDATA("XNT4",'nghiathanh (2016)'!$A$3,"MA_HT","DDT","MA_QH","MNC")</f>
        <v>0</v>
      </c>
      <c r="BD41" s="122">
        <f>+GETPIVOTDATA("XNT4",'nghiathanh (2016)'!$A$3,"MA_HT","DDT","MA_QH","PNK")</f>
        <v>0</v>
      </c>
      <c r="BE41" s="126">
        <f>+GETPIVOTDATA("XNT4",'nghiathanh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+GETPIVOTDATA("XNT4",'nghiathanh (2016)'!$A$3,"MA_HT","DDL","MA_QH","LUC")</f>
        <v>0</v>
      </c>
      <c r="H42" s="35">
        <f>+GETPIVOTDATA("XNT4",'nghiathanh (2016)'!$A$3,"MA_HT","DDL","MA_QH","LUK")</f>
        <v>0</v>
      </c>
      <c r="I42" s="35">
        <f>+GETPIVOTDATA("XNT4",'nghiathanh (2016)'!$A$3,"MA_HT","DDL","MA_QH","LUN")</f>
        <v>0</v>
      </c>
      <c r="J42" s="35">
        <f>+GETPIVOTDATA("XNT4",'nghiathanh (2016)'!$A$3,"MA_HT","DDL","MA_QH","HNK")</f>
        <v>0</v>
      </c>
      <c r="K42" s="35">
        <f>+GETPIVOTDATA("XNT4",'nghiathanh (2016)'!$A$3,"MA_HT","DDL","MA_QH","CLN")</f>
        <v>0</v>
      </c>
      <c r="L42" s="35">
        <f>+GETPIVOTDATA("XNT4",'nghiathanh (2016)'!$A$3,"MA_HT","DDL","MA_QH","RSX")</f>
        <v>0</v>
      </c>
      <c r="M42" s="35">
        <f>+GETPIVOTDATA("XNT4",'nghiathanh (2016)'!$A$3,"MA_HT","DDL","MA_QH","RPH")</f>
        <v>0</v>
      </c>
      <c r="N42" s="35">
        <f>+GETPIVOTDATA("XNT4",'nghiathanh (2016)'!$A$3,"MA_HT","DDL","MA_QH","RDD")</f>
        <v>0</v>
      </c>
      <c r="O42" s="35">
        <f>+GETPIVOTDATA("XNT4",'nghiathanh (2016)'!$A$3,"MA_HT","DDL","MA_QH","NTS")</f>
        <v>0</v>
      </c>
      <c r="P42" s="35">
        <f>+GETPIVOTDATA("XNT4",'nghiathanh (2016)'!$A$3,"MA_HT","DDL","MA_QH","LMU")</f>
        <v>0</v>
      </c>
      <c r="Q42" s="35">
        <f>+GETPIVOTDATA("XNT4",'nghiathanh (2016)'!$A$3,"MA_HT","DDL","MA_QH","NKH")</f>
        <v>0</v>
      </c>
      <c r="R42" s="106">
        <f>SUM(S42:AA42,AN42,AP42:BD42)</f>
        <v>0</v>
      </c>
      <c r="S42" s="35">
        <f>+GETPIVOTDATA("XNT4",'nghiathanh (2016)'!$A$3,"MA_HT","DDL","MA_QH","CQP")</f>
        <v>0</v>
      </c>
      <c r="T42" s="35">
        <f>+GETPIVOTDATA("XNT4",'nghiathanh (2016)'!$A$3,"MA_HT","DDL","MA_QH","CAN")</f>
        <v>0</v>
      </c>
      <c r="U42" s="35">
        <f>+GETPIVOTDATA("XNT4",'nghiathanh (2016)'!$A$3,"MA_HT","DDL","MA_QH","SKK")</f>
        <v>0</v>
      </c>
      <c r="V42" s="35">
        <f>+GETPIVOTDATA("XNT4",'nghiathanh (2016)'!$A$3,"MA_HT","DDL","MA_QH","SKT")</f>
        <v>0</v>
      </c>
      <c r="W42" s="35">
        <f>+GETPIVOTDATA("XNT4",'nghiathanh (2016)'!$A$3,"MA_HT","DDL","MA_QH","SKN")</f>
        <v>0</v>
      </c>
      <c r="X42" s="35">
        <f>+GETPIVOTDATA("XNT4",'nghiathanh (2016)'!$A$3,"MA_HT","DDL","MA_QH","TMD")</f>
        <v>0</v>
      </c>
      <c r="Y42" s="35">
        <f>+GETPIVOTDATA("XNT4",'nghiathanh (2016)'!$A$3,"MA_HT","DDL","MA_QH","SKC")</f>
        <v>0</v>
      </c>
      <c r="Z42" s="35">
        <f>+GETPIVOTDATA("XNT4",'nghiathanh (2016)'!$A$3,"MA_HT","DDL","MA_QH","SKS")</f>
        <v>0</v>
      </c>
      <c r="AA42" s="64">
        <f t="shared" si="21"/>
        <v>0</v>
      </c>
      <c r="AB42" s="35">
        <f>+GETPIVOTDATA("XNT4",'nghiathanh (2016)'!$A$3,"MA_HT","DDL","MA_QH","DGT")</f>
        <v>0</v>
      </c>
      <c r="AC42" s="35">
        <f>+GETPIVOTDATA("XNT4",'nghiathanh (2016)'!$A$3,"MA_HT","DDL","MA_QH","DTL")</f>
        <v>0</v>
      </c>
      <c r="AD42" s="35">
        <f>+GETPIVOTDATA("XNT4",'nghiathanh (2016)'!$A$3,"MA_HT","DDL","MA_QH","DNL")</f>
        <v>0</v>
      </c>
      <c r="AE42" s="35">
        <f>+GETPIVOTDATA("XNT4",'nghiathanh (2016)'!$A$3,"MA_HT","DDL","MA_QH","DBV")</f>
        <v>0</v>
      </c>
      <c r="AF42" s="35">
        <f>+GETPIVOTDATA("XNT4",'nghiathanh (2016)'!$A$3,"MA_HT","DDL","MA_QH","DVH")</f>
        <v>0</v>
      </c>
      <c r="AG42" s="35">
        <f>+GETPIVOTDATA("XNT4",'nghiathanh (2016)'!$A$3,"MA_HT","DDL","MA_QH","DYT")</f>
        <v>0</v>
      </c>
      <c r="AH42" s="35">
        <f>+GETPIVOTDATA("XNT4",'nghiathanh (2016)'!$A$3,"MA_HT","DDL","MA_QH","DGD")</f>
        <v>0</v>
      </c>
      <c r="AI42" s="35">
        <f>+GETPIVOTDATA("XNT4",'nghiathanh (2016)'!$A$3,"MA_HT","DDL","MA_QH","DTT")</f>
        <v>0</v>
      </c>
      <c r="AJ42" s="35">
        <f>+GETPIVOTDATA("XNT4",'nghiathanh (2016)'!$A$3,"MA_HT","DDL","MA_QH","NCK")</f>
        <v>0</v>
      </c>
      <c r="AK42" s="35">
        <f>+GETPIVOTDATA("XNT4",'nghiathanh (2016)'!$A$3,"MA_HT","DDL","MA_QH","DXH")</f>
        <v>0</v>
      </c>
      <c r="AL42" s="35">
        <f>+GETPIVOTDATA("XNT4",'nghiathanh (2016)'!$A$3,"MA_HT","DDL","MA_QH","DCH")</f>
        <v>0</v>
      </c>
      <c r="AM42" s="35">
        <f>+GETPIVOTDATA("XNT4",'nghiathanh (2016)'!$A$3,"MA_HT","DDL","MA_QH","DKG")</f>
        <v>0</v>
      </c>
      <c r="AN42" s="35">
        <f>+GETPIVOTDATA("XNT4",'nghiathanh (2016)'!$A$3,"MA_HT","DDL","MA_QH","DDT")</f>
        <v>0</v>
      </c>
      <c r="AO42" s="99" t="e">
        <f>$D42-$BF42</f>
        <v>#REF!</v>
      </c>
      <c r="AP42" s="35">
        <f>+GETPIVOTDATA("XNT4",'nghiathanh (2016)'!$A$3,"MA_HT","DDL","MA_QH","DRA")</f>
        <v>0</v>
      </c>
      <c r="AQ42" s="35">
        <f>+GETPIVOTDATA("XNT4",'nghiathanh (2016)'!$A$3,"MA_HT","DDL","MA_QH","ONT")</f>
        <v>0</v>
      </c>
      <c r="AR42" s="35">
        <f>+GETPIVOTDATA("XNT4",'nghiathanh (2016)'!$A$3,"MA_HT","DDL","MA_QH","ODT")</f>
        <v>0</v>
      </c>
      <c r="AS42" s="35">
        <f>+GETPIVOTDATA("XNT4",'nghiathanh (2016)'!$A$3,"MA_HT","DDL","MA_QH","TSC")</f>
        <v>0</v>
      </c>
      <c r="AT42" s="35">
        <f>+GETPIVOTDATA("XNT4",'nghiathanh (2016)'!$A$3,"MA_HT","DDL","MA_QH","DTS")</f>
        <v>0</v>
      </c>
      <c r="AU42" s="35">
        <f>+GETPIVOTDATA("XNT4",'nghiathanh (2016)'!$A$3,"MA_HT","DDL","MA_QH","DNG")</f>
        <v>0</v>
      </c>
      <c r="AV42" s="35">
        <f>+GETPIVOTDATA("XNT4",'nghiathanh (2016)'!$A$3,"MA_HT","DDL","MA_QH","TON")</f>
        <v>0</v>
      </c>
      <c r="AW42" s="35">
        <f>+GETPIVOTDATA("XNT4",'nghiathanh (2016)'!$A$3,"MA_HT","DDL","MA_QH","NTD")</f>
        <v>0</v>
      </c>
      <c r="AX42" s="35">
        <f>+GETPIVOTDATA("XNT4",'nghiathanh (2016)'!$A$3,"MA_HT","DDL","MA_QH","SKX")</f>
        <v>0</v>
      </c>
      <c r="AY42" s="35">
        <f>+GETPIVOTDATA("XNT4",'nghiathanh (2016)'!$A$3,"MA_HT","DDL","MA_QH","DSH")</f>
        <v>0</v>
      </c>
      <c r="AZ42" s="35">
        <f>+GETPIVOTDATA("XNT4",'nghiathanh (2016)'!$A$3,"MA_HT","DDL","MA_QH","DKV")</f>
        <v>0</v>
      </c>
      <c r="BA42" s="140">
        <f>+GETPIVOTDATA("XNT4",'nghiathanh (2016)'!$A$3,"MA_HT","DDL","MA_QH","TIN")</f>
        <v>0</v>
      </c>
      <c r="BB42" s="74">
        <f>+GETPIVOTDATA("XNT4",'nghiathanh (2016)'!$A$3,"MA_HT","DDL","MA_QH","SON")</f>
        <v>0</v>
      </c>
      <c r="BC42" s="74">
        <f>+GETPIVOTDATA("XNT4",'nghiathanh (2016)'!$A$3,"MA_HT","DDL","MA_QH","MNC")</f>
        <v>0</v>
      </c>
      <c r="BD42" s="35">
        <f>+GETPIVOTDATA("XNT4",'nghiathanh (2016)'!$A$3,"MA_HT","DDL","MA_QH","PNK")</f>
        <v>0</v>
      </c>
      <c r="BE42" s="58">
        <f>+GETPIVOTDATA("XNT4",'nghiathanh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+GETPIVOTDATA("XNT4",'nghiathanh (2016)'!$A$3,"MA_HT","DRA","MA_QH","LUC")</f>
        <v>0</v>
      </c>
      <c r="H43" s="35">
        <f>+GETPIVOTDATA("XNT4",'nghiathanh (2016)'!$A$3,"MA_HT","DRA","MA_QH","LUK")</f>
        <v>0</v>
      </c>
      <c r="I43" s="35">
        <f>+GETPIVOTDATA("XNT4",'nghiathanh (2016)'!$A$3,"MA_HT","DRA","MA_QH","LUN")</f>
        <v>0</v>
      </c>
      <c r="J43" s="35">
        <f>+GETPIVOTDATA("XNT4",'nghiathanh (2016)'!$A$3,"MA_HT","DRA","MA_QH","HNK")</f>
        <v>0</v>
      </c>
      <c r="K43" s="35">
        <f>+GETPIVOTDATA("XNT4",'nghiathanh (2016)'!$A$3,"MA_HT","DRA","MA_QH","CLN")</f>
        <v>0</v>
      </c>
      <c r="L43" s="35">
        <f>+GETPIVOTDATA("XNT4",'nghiathanh (2016)'!$A$3,"MA_HT","DRA","MA_QH","RSX")</f>
        <v>0</v>
      </c>
      <c r="M43" s="35">
        <f>+GETPIVOTDATA("XNT4",'nghiathanh (2016)'!$A$3,"MA_HT","DRA","MA_QH","RPH")</f>
        <v>0</v>
      </c>
      <c r="N43" s="35">
        <f>+GETPIVOTDATA("XNT4",'nghiathanh (2016)'!$A$3,"MA_HT","DRA","MA_QH","RDD")</f>
        <v>0</v>
      </c>
      <c r="O43" s="35">
        <f>+GETPIVOTDATA("XNT4",'nghiathanh (2016)'!$A$3,"MA_HT","DRA","MA_QH","NTS")</f>
        <v>0</v>
      </c>
      <c r="P43" s="35">
        <f>+GETPIVOTDATA("XNT4",'nghiathanh (2016)'!$A$3,"MA_HT","DRA","MA_QH","LMU")</f>
        <v>0</v>
      </c>
      <c r="Q43" s="35">
        <f>+GETPIVOTDATA("XNT4",'nghiathanh (2016)'!$A$3,"MA_HT","DRA","MA_QH","NKH")</f>
        <v>0</v>
      </c>
      <c r="R43" s="106">
        <f>SUM(S43:AA43,AN43:AO43,AQ43:BD43)</f>
        <v>0</v>
      </c>
      <c r="S43" s="35">
        <f>+GETPIVOTDATA("XNT4",'nghiathanh (2016)'!$A$3,"MA_HT","DRA","MA_QH","CQP")</f>
        <v>0</v>
      </c>
      <c r="T43" s="35">
        <f>+GETPIVOTDATA("XNT4",'nghiathanh (2016)'!$A$3,"MA_HT","DRA","MA_QH","CAN")</f>
        <v>0</v>
      </c>
      <c r="U43" s="35">
        <f>+GETPIVOTDATA("XNT4",'nghiathanh (2016)'!$A$3,"MA_HT","DRA","MA_QH","SKK")</f>
        <v>0</v>
      </c>
      <c r="V43" s="35">
        <f>+GETPIVOTDATA("XNT4",'nghiathanh (2016)'!$A$3,"MA_HT","DRA","MA_QH","SKT")</f>
        <v>0</v>
      </c>
      <c r="W43" s="35">
        <f>+GETPIVOTDATA("XNT4",'nghiathanh (2016)'!$A$3,"MA_HT","DRA","MA_QH","SKN")</f>
        <v>0</v>
      </c>
      <c r="X43" s="35">
        <f>+GETPIVOTDATA("XNT4",'nghiathanh (2016)'!$A$3,"MA_HT","DRA","MA_QH","TMD")</f>
        <v>0</v>
      </c>
      <c r="Y43" s="35">
        <f>+GETPIVOTDATA("XNT4",'nghiathanh (2016)'!$A$3,"MA_HT","DRA","MA_QH","SKC")</f>
        <v>0</v>
      </c>
      <c r="Z43" s="35">
        <f>+GETPIVOTDATA("XNT4",'nghiathanh (2016)'!$A$3,"MA_HT","DRA","MA_QH","SKS")</f>
        <v>0</v>
      </c>
      <c r="AA43" s="64">
        <f t="shared" si="21"/>
        <v>0</v>
      </c>
      <c r="AB43" s="35">
        <f>+GETPIVOTDATA("XNT4",'nghiathanh (2016)'!$A$3,"MA_HT","DRA","MA_QH","DGT")</f>
        <v>0</v>
      </c>
      <c r="AC43" s="35">
        <f>+GETPIVOTDATA("XNT4",'nghiathanh (2016)'!$A$3,"MA_HT","DRA","MA_QH","DTL")</f>
        <v>0</v>
      </c>
      <c r="AD43" s="35">
        <f>+GETPIVOTDATA("XNT4",'nghiathanh (2016)'!$A$3,"MA_HT","DRA","MA_QH","DNL")</f>
        <v>0</v>
      </c>
      <c r="AE43" s="35">
        <f>+GETPIVOTDATA("XNT4",'nghiathanh (2016)'!$A$3,"MA_HT","DRA","MA_QH","DBV")</f>
        <v>0</v>
      </c>
      <c r="AF43" s="35">
        <f>+GETPIVOTDATA("XNT4",'nghiathanh (2016)'!$A$3,"MA_HT","DRA","MA_QH","DVH")</f>
        <v>0</v>
      </c>
      <c r="AG43" s="35">
        <f>+GETPIVOTDATA("XNT4",'nghiathanh (2016)'!$A$3,"MA_HT","DRA","MA_QH","DYT")</f>
        <v>0</v>
      </c>
      <c r="AH43" s="35">
        <f>+GETPIVOTDATA("XNT4",'nghiathanh (2016)'!$A$3,"MA_HT","DRA","MA_QH","DGD")</f>
        <v>0</v>
      </c>
      <c r="AI43" s="35">
        <f>+GETPIVOTDATA("XNT4",'nghiathanh (2016)'!$A$3,"MA_HT","DRA","MA_QH","DTT")</f>
        <v>0</v>
      </c>
      <c r="AJ43" s="35">
        <f>+GETPIVOTDATA("XNT4",'nghiathanh (2016)'!$A$3,"MA_HT","DRA","MA_QH","NCK")</f>
        <v>0</v>
      </c>
      <c r="AK43" s="35">
        <f>+GETPIVOTDATA("XNT4",'nghiathanh (2016)'!$A$3,"MA_HT","DRA","MA_QH","DXH")</f>
        <v>0</v>
      </c>
      <c r="AL43" s="35">
        <f>+GETPIVOTDATA("XNT4",'nghiathanh (2016)'!$A$3,"MA_HT","DRA","MA_QH","DCH")</f>
        <v>0</v>
      </c>
      <c r="AM43" s="35">
        <f>+GETPIVOTDATA("XNT4",'nghiathanh (2016)'!$A$3,"MA_HT","DRA","MA_QH","DKG")</f>
        <v>0</v>
      </c>
      <c r="AN43" s="35">
        <f>+GETPIVOTDATA("XNT4",'nghiathanh (2016)'!$A$3,"MA_HT","DRA","MA_QH","DDT")</f>
        <v>0</v>
      </c>
      <c r="AO43" s="35">
        <f>+GETPIVOTDATA("XNT4",'nghiathanh (2016)'!$A$3,"MA_HT","DRA","MA_QH","DDL")</f>
        <v>0</v>
      </c>
      <c r="AP43" s="99" t="e">
        <f>$D43-$BF43</f>
        <v>#REF!</v>
      </c>
      <c r="AQ43" s="35">
        <f>+GETPIVOTDATA("XNT4",'nghiathanh (2016)'!$A$3,"MA_HT","DRA","MA_QH","ONT")</f>
        <v>0</v>
      </c>
      <c r="AR43" s="35">
        <f>+GETPIVOTDATA("XNT4",'nghiathanh (2016)'!$A$3,"MA_HT","DRA","MA_QH","ODT")</f>
        <v>0</v>
      </c>
      <c r="AS43" s="35">
        <f>+GETPIVOTDATA("XNT4",'nghiathanh (2016)'!$A$3,"MA_HT","DRA","MA_QH","TSC")</f>
        <v>0</v>
      </c>
      <c r="AT43" s="35">
        <f>+GETPIVOTDATA("XNT4",'nghiathanh (2016)'!$A$3,"MA_HT","DRA","MA_QH","DTS")</f>
        <v>0</v>
      </c>
      <c r="AU43" s="35">
        <f>+GETPIVOTDATA("XNT4",'nghiathanh (2016)'!$A$3,"MA_HT","DRA","MA_QH","DNG")</f>
        <v>0</v>
      </c>
      <c r="AV43" s="35">
        <f>+GETPIVOTDATA("XNT4",'nghiathanh (2016)'!$A$3,"MA_HT","DRA","MA_QH","TON")</f>
        <v>0</v>
      </c>
      <c r="AW43" s="35">
        <f>+GETPIVOTDATA("XNT4",'nghiathanh (2016)'!$A$3,"MA_HT","DRA","MA_QH","NTD")</f>
        <v>0</v>
      </c>
      <c r="AX43" s="35">
        <f>+GETPIVOTDATA("XNT4",'nghiathanh (2016)'!$A$3,"MA_HT","DRA","MA_QH","SKX")</f>
        <v>0</v>
      </c>
      <c r="AY43" s="35">
        <f>+GETPIVOTDATA("XNT4",'nghiathanh (2016)'!$A$3,"MA_HT","DRA","MA_QH","DSH")</f>
        <v>0</v>
      </c>
      <c r="AZ43" s="35">
        <f>+GETPIVOTDATA("XNT4",'nghiathanh (2016)'!$A$3,"MA_HT","DRA","MA_QH","DKV")</f>
        <v>0</v>
      </c>
      <c r="BA43" s="140">
        <f>+GETPIVOTDATA("XNT4",'nghiathanh (2016)'!$A$3,"MA_HT","DRA","MA_QH","TIN")</f>
        <v>0</v>
      </c>
      <c r="BB43" s="74">
        <f>+GETPIVOTDATA("XNT4",'nghiathanh (2016)'!$A$3,"MA_HT","DRA","MA_QH","SON")</f>
        <v>0</v>
      </c>
      <c r="BC43" s="74">
        <f>+GETPIVOTDATA("XNT4",'nghiathanh (2016)'!$A$3,"MA_HT","DRA","MA_QH","MNC")</f>
        <v>0</v>
      </c>
      <c r="BD43" s="35">
        <f>+GETPIVOTDATA("XNT4",'nghiathanh (2016)'!$A$3,"MA_HT","DRA","MA_QH","PNK")</f>
        <v>0</v>
      </c>
      <c r="BE43" s="58">
        <f>+GETPIVOTDATA("XNT4",'nghiathanh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+GETPIVOTDATA("XNT4",'nghiathanh (2016)'!$A$3,"MA_HT","ONT","MA_QH","LUC")</f>
        <v>0</v>
      </c>
      <c r="H44" s="35">
        <f>+GETPIVOTDATA("XNT4",'nghiathanh (2016)'!$A$3,"MA_HT","ONT","MA_QH","LUK")</f>
        <v>0</v>
      </c>
      <c r="I44" s="35">
        <f>+GETPIVOTDATA("XNT4",'nghiathanh (2016)'!$A$3,"MA_HT","ONT","MA_QH","LUN")</f>
        <v>0</v>
      </c>
      <c r="J44" s="35">
        <f>+GETPIVOTDATA("XNT4",'nghiathanh (2016)'!$A$3,"MA_HT","ONT","MA_QH","HNK")</f>
        <v>0</v>
      </c>
      <c r="K44" s="35">
        <f>+GETPIVOTDATA("XNT4",'nghiathanh (2016)'!$A$3,"MA_HT","ONT","MA_QH","CLN")</f>
        <v>0</v>
      </c>
      <c r="L44" s="35">
        <f>+GETPIVOTDATA("XNT4",'nghiathanh (2016)'!$A$3,"MA_HT","ONT","MA_QH","RSX")</f>
        <v>0</v>
      </c>
      <c r="M44" s="35">
        <f>+GETPIVOTDATA("XNT4",'nghiathanh (2016)'!$A$3,"MA_HT","ONT","MA_QH","RPH")</f>
        <v>0</v>
      </c>
      <c r="N44" s="35">
        <f>+GETPIVOTDATA("XNT4",'nghiathanh (2016)'!$A$3,"MA_HT","ONT","MA_QH","RDD")</f>
        <v>0</v>
      </c>
      <c r="O44" s="35">
        <f>+GETPIVOTDATA("XNT4",'nghiathanh (2016)'!$A$3,"MA_HT","ONT","MA_QH","NTS")</f>
        <v>0</v>
      </c>
      <c r="P44" s="35">
        <f>+GETPIVOTDATA("XNT4",'nghiathanh (2016)'!$A$3,"MA_HT","ONT","MA_QH","LMU")</f>
        <v>0</v>
      </c>
      <c r="Q44" s="35">
        <f>+GETPIVOTDATA("XNT4",'nghiathanh (2016)'!$A$3,"MA_HT","ONT","MA_QH","NKH")</f>
        <v>0</v>
      </c>
      <c r="R44" s="106">
        <f>SUM(S44:AA44,AN44:AP44,AR44:BD44)</f>
        <v>0</v>
      </c>
      <c r="S44" s="35">
        <f>+GETPIVOTDATA("XNT4",'nghiathanh (2016)'!$A$3,"MA_HT","ONT","MA_QH","CQP")</f>
        <v>0</v>
      </c>
      <c r="T44" s="35">
        <f>+GETPIVOTDATA("XNT4",'nghiathanh (2016)'!$A$3,"MA_HT","ONT","MA_QH","CAN")</f>
        <v>0</v>
      </c>
      <c r="U44" s="35">
        <f>+GETPIVOTDATA("XNT4",'nghiathanh (2016)'!$A$3,"MA_HT","ONT","MA_QH","SKK")</f>
        <v>0</v>
      </c>
      <c r="V44" s="35">
        <f>+GETPIVOTDATA("XNT4",'nghiathanh (2016)'!$A$3,"MA_HT","ONT","MA_QH","SKT")</f>
        <v>0</v>
      </c>
      <c r="W44" s="35">
        <f>+GETPIVOTDATA("XNT4",'nghiathanh (2016)'!$A$3,"MA_HT","ONT","MA_QH","SKN")</f>
        <v>0</v>
      </c>
      <c r="X44" s="35">
        <f>+GETPIVOTDATA("XNT4",'nghiathanh (2016)'!$A$3,"MA_HT","ONT","MA_QH","TMD")</f>
        <v>0</v>
      </c>
      <c r="Y44" s="35">
        <f>+GETPIVOTDATA("XNT4",'nghiathanh (2016)'!$A$3,"MA_HT","ONT","MA_QH","SKC")</f>
        <v>0</v>
      </c>
      <c r="Z44" s="35">
        <f>+GETPIVOTDATA("XNT4",'nghiathanh (2016)'!$A$3,"MA_HT","ONT","MA_QH","SKS")</f>
        <v>0</v>
      </c>
      <c r="AA44" s="64">
        <f t="shared" si="21"/>
        <v>0</v>
      </c>
      <c r="AB44" s="35">
        <f>+GETPIVOTDATA("XNT4",'nghiathanh (2016)'!$A$3,"MA_HT","ONT","MA_QH","DGT")</f>
        <v>0</v>
      </c>
      <c r="AC44" s="35">
        <f>+GETPIVOTDATA("XNT4",'nghiathanh (2016)'!$A$3,"MA_HT","ONT","MA_QH","DTL")</f>
        <v>0</v>
      </c>
      <c r="AD44" s="35">
        <f>+GETPIVOTDATA("XNT4",'nghiathanh (2016)'!$A$3,"MA_HT","ONT","MA_QH","DNL")</f>
        <v>0</v>
      </c>
      <c r="AE44" s="35">
        <f>+GETPIVOTDATA("XNT4",'nghiathanh (2016)'!$A$3,"MA_HT","ONT","MA_QH","DBV")</f>
        <v>0</v>
      </c>
      <c r="AF44" s="35">
        <f>+GETPIVOTDATA("XNT4",'nghiathanh (2016)'!$A$3,"MA_HT","ONT","MA_QH","DVH")</f>
        <v>0</v>
      </c>
      <c r="AG44" s="35">
        <f>+GETPIVOTDATA("XNT4",'nghiathanh (2016)'!$A$3,"MA_HT","ONT","MA_QH","DYT")</f>
        <v>0</v>
      </c>
      <c r="AH44" s="35">
        <f>+GETPIVOTDATA("XNT4",'nghiathanh (2016)'!$A$3,"MA_HT","ONT","MA_QH","DGD")</f>
        <v>0</v>
      </c>
      <c r="AI44" s="35">
        <f>+GETPIVOTDATA("XNT4",'nghiathanh (2016)'!$A$3,"MA_HT","ONT","MA_QH","DTT")</f>
        <v>0</v>
      </c>
      <c r="AJ44" s="35">
        <f>+GETPIVOTDATA("XNT4",'nghiathanh (2016)'!$A$3,"MA_HT","ONT","MA_QH","NCK")</f>
        <v>0</v>
      </c>
      <c r="AK44" s="35">
        <f>+GETPIVOTDATA("XNT4",'nghiathanh (2016)'!$A$3,"MA_HT","ONT","MA_QH","DXH")</f>
        <v>0</v>
      </c>
      <c r="AL44" s="35">
        <f>+GETPIVOTDATA("XNT4",'nghiathanh (2016)'!$A$3,"MA_HT","ONT","MA_QH","DCH")</f>
        <v>0</v>
      </c>
      <c r="AM44" s="35">
        <f>+GETPIVOTDATA("XNT4",'nghiathanh (2016)'!$A$3,"MA_HT","ONT","MA_QH","DKG")</f>
        <v>0</v>
      </c>
      <c r="AN44" s="35">
        <f>+GETPIVOTDATA("XNT4",'nghiathanh (2016)'!$A$3,"MA_HT","ONT","MA_QH","DDT")</f>
        <v>0</v>
      </c>
      <c r="AO44" s="35">
        <f>+GETPIVOTDATA("XNT4",'nghiathanh (2016)'!$A$3,"MA_HT","ONT","MA_QH","DDL")</f>
        <v>0</v>
      </c>
      <c r="AP44" s="35">
        <f>+GETPIVOTDATA("XNT4",'nghiathanh (2016)'!$A$3,"MA_HT","ONT","MA_QH","DRA")</f>
        <v>0</v>
      </c>
      <c r="AQ44" s="99" t="e">
        <f>$D44-$BF44</f>
        <v>#REF!</v>
      </c>
      <c r="AR44" s="35">
        <f>+GETPIVOTDATA("XNT4",'nghiathanh (2016)'!$A$3,"MA_HT","ONT","MA_QH","ODT")</f>
        <v>0</v>
      </c>
      <c r="AS44" s="35">
        <f>+GETPIVOTDATA("XNT4",'nghiathanh (2016)'!$A$3,"MA_HT","ONT","MA_QH","TSC")</f>
        <v>0</v>
      </c>
      <c r="AT44" s="35">
        <f>+GETPIVOTDATA("XNT4",'nghiathanh (2016)'!$A$3,"MA_HT","ONT","MA_QH","DTS")</f>
        <v>0</v>
      </c>
      <c r="AU44" s="35">
        <f>+GETPIVOTDATA("XNT4",'nghiathanh (2016)'!$A$3,"MA_HT","ONT","MA_QH","DNG")</f>
        <v>0</v>
      </c>
      <c r="AV44" s="35">
        <f>+GETPIVOTDATA("XNT4",'nghiathanh (2016)'!$A$3,"MA_HT","ONT","MA_QH","TON")</f>
        <v>0</v>
      </c>
      <c r="AW44" s="35">
        <f>+GETPIVOTDATA("XNT4",'nghiathanh (2016)'!$A$3,"MA_HT","ONT","MA_QH","NTD")</f>
        <v>0</v>
      </c>
      <c r="AX44" s="35">
        <f>+GETPIVOTDATA("XNT4",'nghiathanh (2016)'!$A$3,"MA_HT","ONT","MA_QH","SKX")</f>
        <v>0</v>
      </c>
      <c r="AY44" s="35">
        <f>+GETPIVOTDATA("XNT4",'nghiathanh (2016)'!$A$3,"MA_HT","ONT","MA_QH","DSH")</f>
        <v>0</v>
      </c>
      <c r="AZ44" s="35">
        <f>+GETPIVOTDATA("XNT4",'nghiathanh (2016)'!$A$3,"MA_HT","ONT","MA_QH","DKV")</f>
        <v>0</v>
      </c>
      <c r="BA44" s="140">
        <f>+GETPIVOTDATA("XNT4",'nghiathanh (2016)'!$A$3,"MA_HT","ONT","MA_QH","TIN")</f>
        <v>0</v>
      </c>
      <c r="BB44" s="74">
        <f>+GETPIVOTDATA("XNT4",'nghiathanh (2016)'!$A$3,"MA_HT","ONT","MA_QH","SON")</f>
        <v>0</v>
      </c>
      <c r="BC44" s="74">
        <f>+GETPIVOTDATA("XNT4",'nghiathanh (2016)'!$A$3,"MA_HT","ONT","MA_QH","MNC")</f>
        <v>0</v>
      </c>
      <c r="BD44" s="35">
        <f>+GETPIVOTDATA("XNT4",'nghiathanh (2016)'!$A$3,"MA_HT","ONT","MA_QH","PNK")</f>
        <v>0</v>
      </c>
      <c r="BE44" s="58">
        <f>+GETPIVOTDATA("XNT4",'nghiathanh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+GETPIVOTDATA("XNT4",'nghiathanh (2016)'!$A$3,"MA_HT","ODT","MA_QH","LUC")</f>
        <v>0</v>
      </c>
      <c r="H45" s="111">
        <f>+GETPIVOTDATA("XNT4",'nghiathanh (2016)'!$A$3,"MA_HT","ODT","MA_QH","LUK")</f>
        <v>0</v>
      </c>
      <c r="I45" s="111">
        <f>+GETPIVOTDATA("XNT4",'nghiathanh (2016)'!$A$3,"MA_HT","ODT","MA_QH","LUN")</f>
        <v>0</v>
      </c>
      <c r="J45" s="111">
        <f>+GETPIVOTDATA("XNT4",'nghiathanh (2016)'!$A$3,"MA_HT","ODT","MA_QH","HNK")</f>
        <v>0</v>
      </c>
      <c r="K45" s="111">
        <f>+GETPIVOTDATA("XNT4",'nghiathanh (2016)'!$A$3,"MA_HT","ODT","MA_QH","CLN")</f>
        <v>0</v>
      </c>
      <c r="L45" s="111">
        <f>+GETPIVOTDATA("XNT4",'nghiathanh (2016)'!$A$3,"MA_HT","ODT","MA_QH","RSX")</f>
        <v>0</v>
      </c>
      <c r="M45" s="111">
        <f>+GETPIVOTDATA("XNT4",'nghiathanh (2016)'!$A$3,"MA_HT","ODT","MA_QH","RPH")</f>
        <v>0</v>
      </c>
      <c r="N45" s="111">
        <f>+GETPIVOTDATA("XNT4",'nghiathanh (2016)'!$A$3,"MA_HT","ODT","MA_QH","RDD")</f>
        <v>0</v>
      </c>
      <c r="O45" s="111">
        <f>+GETPIVOTDATA("XNT4",'nghiathanh (2016)'!$A$3,"MA_HT","ODT","MA_QH","NTS")</f>
        <v>0</v>
      </c>
      <c r="P45" s="111">
        <f>+GETPIVOTDATA("XNT4",'nghiathanh (2016)'!$A$3,"MA_HT","ODT","MA_QH","LMU")</f>
        <v>0</v>
      </c>
      <c r="Q45" s="111">
        <f>+GETPIVOTDATA("XNT4",'nghiathanh (2016)'!$A$3,"MA_HT","ODT","MA_QH","NKH")</f>
        <v>0</v>
      </c>
      <c r="R45" s="106">
        <f>SUM(S45:AA45,AN45:AQ45,AS45:BD45)</f>
        <v>0</v>
      </c>
      <c r="S45" s="111">
        <f>+GETPIVOTDATA("XNT4",'nghiathanh (2016)'!$A$3,"MA_HT","ODT","MA_QH","CQP")</f>
        <v>0</v>
      </c>
      <c r="T45" s="111">
        <f>+GETPIVOTDATA("XNT4",'nghiathanh (2016)'!$A$3,"MA_HT","ODT","MA_QH","CAN")</f>
        <v>0</v>
      </c>
      <c r="U45" s="111">
        <f>+GETPIVOTDATA("XNT4",'nghiathanh (2016)'!$A$3,"MA_HT","ODT","MA_QH","SKK")</f>
        <v>0</v>
      </c>
      <c r="V45" s="111">
        <f>+GETPIVOTDATA("XNT4",'nghiathanh (2016)'!$A$3,"MA_HT","ODT","MA_QH","SKT")</f>
        <v>0</v>
      </c>
      <c r="W45" s="111">
        <f>+GETPIVOTDATA("XNT4",'nghiathanh (2016)'!$A$3,"MA_HT","ODT","MA_QH","SKN")</f>
        <v>0</v>
      </c>
      <c r="X45" s="111">
        <f>+GETPIVOTDATA("XNT4",'nghiathanh (2016)'!$A$3,"MA_HT","ODT","MA_QH","TMD")</f>
        <v>0</v>
      </c>
      <c r="Y45" s="111">
        <f>+GETPIVOTDATA("XNT4",'nghiathanh (2016)'!$A$3,"MA_HT","ODT","MA_QH","SKC")</f>
        <v>0</v>
      </c>
      <c r="Z45" s="111">
        <f>+GETPIVOTDATA("XNT4",'nghiathanh (2016)'!$A$3,"MA_HT","ODT","MA_QH","SKS")</f>
        <v>0</v>
      </c>
      <c r="AA45" s="104">
        <f t="shared" si="21"/>
        <v>0</v>
      </c>
      <c r="AB45" s="111">
        <f>+GETPIVOTDATA("XNT4",'nghiathanh (2016)'!$A$3,"MA_HT","ODT","MA_QH","DGT")</f>
        <v>0</v>
      </c>
      <c r="AC45" s="111">
        <f>+GETPIVOTDATA("XNT4",'nghiathanh (2016)'!$A$3,"MA_HT","ODT","MA_QH","DTL")</f>
        <v>0</v>
      </c>
      <c r="AD45" s="111">
        <f>+GETPIVOTDATA("XNT4",'nghiathanh (2016)'!$A$3,"MA_HT","ODT","MA_QH","DNL")</f>
        <v>0</v>
      </c>
      <c r="AE45" s="111">
        <f>+GETPIVOTDATA("XNT4",'nghiathanh (2016)'!$A$3,"MA_HT","ODT","MA_QH","DBV")</f>
        <v>0</v>
      </c>
      <c r="AF45" s="111">
        <f>+GETPIVOTDATA("XNT4",'nghiathanh (2016)'!$A$3,"MA_HT","ODT","MA_QH","DVH")</f>
        <v>0</v>
      </c>
      <c r="AG45" s="111">
        <f>+GETPIVOTDATA("XNT4",'nghiathanh (2016)'!$A$3,"MA_HT","ODT","MA_QH","DYT")</f>
        <v>0</v>
      </c>
      <c r="AH45" s="111">
        <f>+GETPIVOTDATA("XNT4",'nghiathanh (2016)'!$A$3,"MA_HT","ODT","MA_QH","DGD")</f>
        <v>0</v>
      </c>
      <c r="AI45" s="111">
        <f>+GETPIVOTDATA("XNT4",'nghiathanh (2016)'!$A$3,"MA_HT","ODT","MA_QH","DTT")</f>
        <v>0</v>
      </c>
      <c r="AJ45" s="111">
        <f>+GETPIVOTDATA("XNT4",'nghiathanh (2016)'!$A$3,"MA_HT","ODT","MA_QH","NCK")</f>
        <v>0</v>
      </c>
      <c r="AK45" s="111">
        <f>+GETPIVOTDATA("XNT4",'nghiathanh (2016)'!$A$3,"MA_HT","ODT","MA_QH","DXH")</f>
        <v>0</v>
      </c>
      <c r="AL45" s="111">
        <f>+GETPIVOTDATA("XNT4",'nghiathanh (2016)'!$A$3,"MA_HT","ODT","MA_QH","DCH")</f>
        <v>0</v>
      </c>
      <c r="AM45" s="111">
        <f>+GETPIVOTDATA("XNT4",'nghiathanh (2016)'!$A$3,"MA_HT","ODT","MA_QH","DKG")</f>
        <v>0</v>
      </c>
      <c r="AN45" s="111">
        <f>+GETPIVOTDATA("XNT4",'nghiathanh (2016)'!$A$3,"MA_HT","ODT","MA_QH","DDT")</f>
        <v>0</v>
      </c>
      <c r="AO45" s="111">
        <f>+GETPIVOTDATA("XNT4",'nghiathanh (2016)'!$A$3,"MA_HT","ODT","MA_QH","DDL")</f>
        <v>0</v>
      </c>
      <c r="AP45" s="111">
        <f>+GETPIVOTDATA("XNT4",'nghiathanh (2016)'!$A$3,"MA_HT","ODT","MA_QH","DRA")</f>
        <v>0</v>
      </c>
      <c r="AQ45" s="111">
        <f>+GETPIVOTDATA("XNT4",'nghiathanh (2016)'!$A$3,"MA_HT","ODT","MA_QH","ONT")</f>
        <v>0</v>
      </c>
      <c r="AR45" s="112" t="e">
        <f>$D45-$BF45</f>
        <v>#REF!</v>
      </c>
      <c r="AS45" s="111">
        <f>+GETPIVOTDATA("XNT4",'nghiathanh (2016)'!$A$3,"MA_HT","ODT","MA_QH","TSC")</f>
        <v>0</v>
      </c>
      <c r="AT45" s="111">
        <f>+GETPIVOTDATA("XNT4",'nghiathanh (2016)'!$A$3,"MA_HT","ODT","MA_QH","DTS")</f>
        <v>0</v>
      </c>
      <c r="AU45" s="111">
        <f>+GETPIVOTDATA("XNT4",'nghiathanh (2016)'!$A$3,"MA_HT","ODT","MA_QH","DNG")</f>
        <v>0</v>
      </c>
      <c r="AV45" s="111">
        <f>+GETPIVOTDATA("XNT4",'nghiathanh (2016)'!$A$3,"MA_HT","ODT","MA_QH","TON")</f>
        <v>0</v>
      </c>
      <c r="AW45" s="111">
        <f>+GETPIVOTDATA("XNT4",'nghiathanh (2016)'!$A$3,"MA_HT","ODT","MA_QH","NTD")</f>
        <v>0</v>
      </c>
      <c r="AX45" s="111">
        <f>+GETPIVOTDATA("XNT4",'nghiathanh (2016)'!$A$3,"MA_HT","ODT","MA_QH","SKX")</f>
        <v>0</v>
      </c>
      <c r="AY45" s="111">
        <f>+GETPIVOTDATA("XNT4",'nghiathanh (2016)'!$A$3,"MA_HT","ODT","MA_QH","DSH")</f>
        <v>0</v>
      </c>
      <c r="AZ45" s="111">
        <f>+GETPIVOTDATA("XNT4",'nghiathanh (2016)'!$A$3,"MA_HT","ODT","MA_QH","DKV")</f>
        <v>0</v>
      </c>
      <c r="BA45" s="142">
        <f>+GETPIVOTDATA("XNT4",'nghiathanh (2016)'!$A$3,"MA_HT","ODT","MA_QH","TIN")</f>
        <v>0</v>
      </c>
      <c r="BB45" s="105">
        <f>+GETPIVOTDATA("XNT4",'nghiathanh (2016)'!$A$3,"MA_HT","ODT","MA_QH","SON")</f>
        <v>0</v>
      </c>
      <c r="BC45" s="105">
        <f>+GETPIVOTDATA("XNT4",'nghiathanh (2016)'!$A$3,"MA_HT","ODT","MA_QH","MNC")</f>
        <v>0</v>
      </c>
      <c r="BD45" s="111">
        <f>+GETPIVOTDATA("XNT4",'nghiathanh (2016)'!$A$3,"MA_HT","ODT","MA_QH","PNK")</f>
        <v>0</v>
      </c>
      <c r="BE45" s="113">
        <f>+GETPIVOTDATA("XNT4",'nghiathanh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+GETPIVOTDATA("XNT4",'nghiathanh (2016)'!$A$3,"MA_HT","TSC","MA_QH","LUC")</f>
        <v>0</v>
      </c>
      <c r="H46" s="35">
        <f>+GETPIVOTDATA("XNT4",'nghiathanh (2016)'!$A$3,"MA_HT","TSC","MA_QH","LUK")</f>
        <v>0</v>
      </c>
      <c r="I46" s="35">
        <f>+GETPIVOTDATA("XNT4",'nghiathanh (2016)'!$A$3,"MA_HT","TSC","MA_QH","LUN")</f>
        <v>0</v>
      </c>
      <c r="J46" s="35">
        <f>+GETPIVOTDATA("XNT4",'nghiathanh (2016)'!$A$3,"MA_HT","TSC","MA_QH","HNK")</f>
        <v>0</v>
      </c>
      <c r="K46" s="35">
        <f>+GETPIVOTDATA("XNT4",'nghiathanh (2016)'!$A$3,"MA_HT","TSC","MA_QH","CLN")</f>
        <v>0</v>
      </c>
      <c r="L46" s="35">
        <f>+GETPIVOTDATA("XNT4",'nghiathanh (2016)'!$A$3,"MA_HT","TSC","MA_QH","RSX")</f>
        <v>0</v>
      </c>
      <c r="M46" s="35">
        <f>+GETPIVOTDATA("XNT4",'nghiathanh (2016)'!$A$3,"MA_HT","TSC","MA_QH","RPH")</f>
        <v>0</v>
      </c>
      <c r="N46" s="35">
        <f>+GETPIVOTDATA("XNT4",'nghiathanh (2016)'!$A$3,"MA_HT","TSC","MA_QH","RDD")</f>
        <v>0</v>
      </c>
      <c r="O46" s="35">
        <f>+GETPIVOTDATA("XNT4",'nghiathanh (2016)'!$A$3,"MA_HT","TSC","MA_QH","NTS")</f>
        <v>0</v>
      </c>
      <c r="P46" s="35">
        <f>+GETPIVOTDATA("XNT4",'nghiathanh (2016)'!$A$3,"MA_HT","TSC","MA_QH","LMU")</f>
        <v>0</v>
      </c>
      <c r="Q46" s="35">
        <f>+GETPIVOTDATA("XNT4",'nghiathanh (2016)'!$A$3,"MA_HT","TSC","MA_QH","NKH")</f>
        <v>0</v>
      </c>
      <c r="R46" s="72">
        <f>SUM(S46:AA46,AN46:AR46,AT46:BD46)</f>
        <v>0</v>
      </c>
      <c r="S46" s="35">
        <f>+GETPIVOTDATA("XNT4",'nghiathanh (2016)'!$A$3,"MA_HT","TSC","MA_QH","CQP")</f>
        <v>0</v>
      </c>
      <c r="T46" s="35">
        <f>+GETPIVOTDATA("XNT4",'nghiathanh (2016)'!$A$3,"MA_HT","TSC","MA_QH","CAN")</f>
        <v>0</v>
      </c>
      <c r="U46" s="35">
        <f>+GETPIVOTDATA("XNT4",'nghiathanh (2016)'!$A$3,"MA_HT","TSC","MA_QH","SKK")</f>
        <v>0</v>
      </c>
      <c r="V46" s="35">
        <f>+GETPIVOTDATA("XNT4",'nghiathanh (2016)'!$A$3,"MA_HT","TSC","MA_QH","SKT")</f>
        <v>0</v>
      </c>
      <c r="W46" s="35">
        <f>+GETPIVOTDATA("XNT4",'nghiathanh (2016)'!$A$3,"MA_HT","TSC","MA_QH","SKN")</f>
        <v>0</v>
      </c>
      <c r="X46" s="35">
        <f>+GETPIVOTDATA("XNT4",'nghiathanh (2016)'!$A$3,"MA_HT","TSC","MA_QH","TMD")</f>
        <v>0</v>
      </c>
      <c r="Y46" s="35">
        <f>+GETPIVOTDATA("XNT4",'nghiathanh (2016)'!$A$3,"MA_HT","TSC","MA_QH","SKC")</f>
        <v>0</v>
      </c>
      <c r="Z46" s="35">
        <f>+GETPIVOTDATA("XNT4",'nghiathanh (2016)'!$A$3,"MA_HT","TSC","MA_QH","SKS")</f>
        <v>0</v>
      </c>
      <c r="AA46" s="64">
        <f t="shared" si="21"/>
        <v>0</v>
      </c>
      <c r="AB46" s="35">
        <f>+GETPIVOTDATA("XNT4",'nghiathanh (2016)'!$A$3,"MA_HT","TSC","MA_QH","DGT")</f>
        <v>0</v>
      </c>
      <c r="AC46" s="35">
        <f>+GETPIVOTDATA("XNT4",'nghiathanh (2016)'!$A$3,"MA_HT","TSC","MA_QH","DTL")</f>
        <v>0</v>
      </c>
      <c r="AD46" s="35">
        <f>+GETPIVOTDATA("XNT4",'nghiathanh (2016)'!$A$3,"MA_HT","TSC","MA_QH","DNL")</f>
        <v>0</v>
      </c>
      <c r="AE46" s="35">
        <f>+GETPIVOTDATA("XNT4",'nghiathanh (2016)'!$A$3,"MA_HT","TSC","MA_QH","DBV")</f>
        <v>0</v>
      </c>
      <c r="AF46" s="35">
        <f>+GETPIVOTDATA("XNT4",'nghiathanh (2016)'!$A$3,"MA_HT","TSC","MA_QH","DVH")</f>
        <v>0</v>
      </c>
      <c r="AG46" s="35">
        <f>+GETPIVOTDATA("XNT4",'nghiathanh (2016)'!$A$3,"MA_HT","TSC","MA_QH","DYT")</f>
        <v>0</v>
      </c>
      <c r="AH46" s="35">
        <f>+GETPIVOTDATA("XNT4",'nghiathanh (2016)'!$A$3,"MA_HT","TSC","MA_QH","DGD")</f>
        <v>0</v>
      </c>
      <c r="AI46" s="35">
        <f>+GETPIVOTDATA("XNT4",'nghiathanh (2016)'!$A$3,"MA_HT","TSC","MA_QH","DTT")</f>
        <v>0</v>
      </c>
      <c r="AJ46" s="35">
        <f>+GETPIVOTDATA("XNT4",'nghiathanh (2016)'!$A$3,"MA_HT","TSC","MA_QH","NCK")</f>
        <v>0</v>
      </c>
      <c r="AK46" s="35">
        <f>+GETPIVOTDATA("XNT4",'nghiathanh (2016)'!$A$3,"MA_HT","TSC","MA_QH","DXH")</f>
        <v>0</v>
      </c>
      <c r="AL46" s="35">
        <f>+GETPIVOTDATA("XNT4",'nghiathanh (2016)'!$A$3,"MA_HT","TSC","MA_QH","DCH")</f>
        <v>0</v>
      </c>
      <c r="AM46" s="35">
        <f>+GETPIVOTDATA("XNT4",'nghiathanh (2016)'!$A$3,"MA_HT","TSC","MA_QH","DKG")</f>
        <v>0</v>
      </c>
      <c r="AN46" s="35">
        <f>+GETPIVOTDATA("XNT4",'nghiathanh (2016)'!$A$3,"MA_HT","TSC","MA_QH","DDT")</f>
        <v>0</v>
      </c>
      <c r="AO46" s="35">
        <f>+GETPIVOTDATA("XNT4",'nghiathanh (2016)'!$A$3,"MA_HT","TSC","MA_QH","DDL")</f>
        <v>0</v>
      </c>
      <c r="AP46" s="35">
        <f>+GETPIVOTDATA("XNT4",'nghiathanh (2016)'!$A$3,"MA_HT","TSC","MA_QH","DRA")</f>
        <v>0</v>
      </c>
      <c r="AQ46" s="35">
        <f>+GETPIVOTDATA("XNT4",'nghiathanh (2016)'!$A$3,"MA_HT","TSC","MA_QH","ONT")</f>
        <v>0</v>
      </c>
      <c r="AR46" s="35">
        <f>+GETPIVOTDATA("XNT4",'nghiathanh (2016)'!$A$3,"MA_HT","TSC","MA_QH","ODT")</f>
        <v>0</v>
      </c>
      <c r="AS46" s="99" t="e">
        <f>$D46-$BF46</f>
        <v>#REF!</v>
      </c>
      <c r="AT46" s="35">
        <f>+GETPIVOTDATA("XNT4",'nghiathanh (2016)'!$A$3,"MA_HT","TSC","MA_QH","DTS")</f>
        <v>0</v>
      </c>
      <c r="AU46" s="35">
        <f>+GETPIVOTDATA("XNT4",'nghiathanh (2016)'!$A$3,"MA_HT","TSC","MA_QH","DNG")</f>
        <v>0</v>
      </c>
      <c r="AV46" s="35">
        <f>+GETPIVOTDATA("XNT4",'nghiathanh (2016)'!$A$3,"MA_HT","TSC","MA_QH","TON")</f>
        <v>0</v>
      </c>
      <c r="AW46" s="35">
        <f>+GETPIVOTDATA("XNT4",'nghiathanh (2016)'!$A$3,"MA_HT","TSC","MA_QH","NTD")</f>
        <v>0</v>
      </c>
      <c r="AX46" s="35">
        <f>+GETPIVOTDATA("XNT4",'nghiathanh (2016)'!$A$3,"MA_HT","TSC","MA_QH","SKX")</f>
        <v>0</v>
      </c>
      <c r="AY46" s="35">
        <f>+GETPIVOTDATA("XNT4",'nghiathanh (2016)'!$A$3,"MA_HT","TSC","MA_QH","DSH")</f>
        <v>0</v>
      </c>
      <c r="AZ46" s="35">
        <f>+GETPIVOTDATA("XNT4",'nghiathanh (2016)'!$A$3,"MA_HT","TSC","MA_QH","DKV")</f>
        <v>0</v>
      </c>
      <c r="BA46" s="140">
        <f>+GETPIVOTDATA("XNT4",'nghiathanh (2016)'!$A$3,"MA_HT","TSC","MA_QH","TIN")</f>
        <v>0</v>
      </c>
      <c r="BB46" s="74">
        <f>+GETPIVOTDATA("XNT4",'nghiathanh (2016)'!$A$3,"MA_HT","TSC","MA_QH","SON")</f>
        <v>0</v>
      </c>
      <c r="BC46" s="74">
        <f>+GETPIVOTDATA("XNT4",'nghiathanh (2016)'!$A$3,"MA_HT","TSC","MA_QH","MNC")</f>
        <v>0</v>
      </c>
      <c r="BD46" s="35">
        <f>+GETPIVOTDATA("XNT4",'nghiathanh (2016)'!$A$3,"MA_HT","TSC","MA_QH","PNK")</f>
        <v>0</v>
      </c>
      <c r="BE46" s="58">
        <f>+GETPIVOTDATA("XNT4",'nghiathanh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+GETPIVOTDATA("XNT4",'nghiathanh (2016)'!$A$3,"MA_HT","DTS","MA_QH","LUC")</f>
        <v>0</v>
      </c>
      <c r="H47" s="122">
        <f>+GETPIVOTDATA("XNT4",'nghiathanh (2016)'!$A$3,"MA_HT","DTS","MA_QH","LUK")</f>
        <v>0</v>
      </c>
      <c r="I47" s="122">
        <f>+GETPIVOTDATA("XNT4",'nghiathanh (2016)'!$A$3,"MA_HT","DTS","MA_QH","LUN")</f>
        <v>0</v>
      </c>
      <c r="J47" s="122">
        <f>+GETPIVOTDATA("XNT4",'nghiathanh (2016)'!$A$3,"MA_HT","DTS","MA_QH","HNK")</f>
        <v>0</v>
      </c>
      <c r="K47" s="122">
        <f>+GETPIVOTDATA("XNT4",'nghiathanh (2016)'!$A$3,"MA_HT","DTS","MA_QH","CLN")</f>
        <v>0</v>
      </c>
      <c r="L47" s="122">
        <f>+GETPIVOTDATA("XNT4",'nghiathanh (2016)'!$A$3,"MA_HT","DTS","MA_QH","RSX")</f>
        <v>0</v>
      </c>
      <c r="M47" s="122">
        <f>+GETPIVOTDATA("XNT4",'nghiathanh (2016)'!$A$3,"MA_HT","DTS","MA_QH","RPH")</f>
        <v>0</v>
      </c>
      <c r="N47" s="122">
        <f>+GETPIVOTDATA("XNT4",'nghiathanh (2016)'!$A$3,"MA_HT","DTS","MA_QH","RDD")</f>
        <v>0</v>
      </c>
      <c r="O47" s="122">
        <f>+GETPIVOTDATA("XNT4",'nghiathanh (2016)'!$A$3,"MA_HT","DTS","MA_QH","NTS")</f>
        <v>0</v>
      </c>
      <c r="P47" s="122">
        <f>+GETPIVOTDATA("XNT4",'nghiathanh (2016)'!$A$3,"MA_HT","DTS","MA_QH","LMU")</f>
        <v>0</v>
      </c>
      <c r="Q47" s="122">
        <f>+GETPIVOTDATA("XNT4",'nghiathanh (2016)'!$A$3,"MA_HT","DTS","MA_QH","NKH")</f>
        <v>0</v>
      </c>
      <c r="R47" s="123">
        <f>SUM(S47:AA47,AN47:AS47,AU47:BD47)</f>
        <v>0</v>
      </c>
      <c r="S47" s="122">
        <f>+GETPIVOTDATA("XNT4",'nghiathanh (2016)'!$A$3,"MA_HT","DTS","MA_QH","CQP")</f>
        <v>0</v>
      </c>
      <c r="T47" s="122">
        <f>+GETPIVOTDATA("XNT4",'nghiathanh (2016)'!$A$3,"MA_HT","DTS","MA_QH","CAN")</f>
        <v>0</v>
      </c>
      <c r="U47" s="122">
        <f>+GETPIVOTDATA("XNT4",'nghiathanh (2016)'!$A$3,"MA_HT","DTS","MA_QH","SKK")</f>
        <v>0</v>
      </c>
      <c r="V47" s="122">
        <f>+GETPIVOTDATA("XNT4",'nghiathanh (2016)'!$A$3,"MA_HT","DTS","MA_QH","SKT")</f>
        <v>0</v>
      </c>
      <c r="W47" s="122">
        <f>+GETPIVOTDATA("XNT4",'nghiathanh (2016)'!$A$3,"MA_HT","DTS","MA_QH","SKN")</f>
        <v>0</v>
      </c>
      <c r="X47" s="122">
        <f>+GETPIVOTDATA("XNT4",'nghiathanh (2016)'!$A$3,"MA_HT","DTS","MA_QH","TMD")</f>
        <v>0</v>
      </c>
      <c r="Y47" s="122">
        <f>+GETPIVOTDATA("XNT4",'nghiathanh (2016)'!$A$3,"MA_HT","DTS","MA_QH","SKC")</f>
        <v>0</v>
      </c>
      <c r="Z47" s="122">
        <f>+GETPIVOTDATA("XNT4",'nghiathanh (2016)'!$A$3,"MA_HT","DTS","MA_QH","SKS")</f>
        <v>0</v>
      </c>
      <c r="AA47" s="121">
        <f t="shared" si="21"/>
        <v>0</v>
      </c>
      <c r="AB47" s="122">
        <f>+GETPIVOTDATA("XNT4",'nghiathanh (2016)'!$A$3,"MA_HT","DTS","MA_QH","DGT")</f>
        <v>0</v>
      </c>
      <c r="AC47" s="122">
        <f>+GETPIVOTDATA("XNT4",'nghiathanh (2016)'!$A$3,"MA_HT","DTS","MA_QH","DTL")</f>
        <v>0</v>
      </c>
      <c r="AD47" s="122">
        <f>+GETPIVOTDATA("XNT4",'nghiathanh (2016)'!$A$3,"MA_HT","DTS","MA_QH","DNL")</f>
        <v>0</v>
      </c>
      <c r="AE47" s="122">
        <f>+GETPIVOTDATA("XNT4",'nghiathanh (2016)'!$A$3,"MA_HT","DTS","MA_QH","DBV")</f>
        <v>0</v>
      </c>
      <c r="AF47" s="122">
        <f>+GETPIVOTDATA("XNT4",'nghiathanh (2016)'!$A$3,"MA_HT","DTS","MA_QH","DVH")</f>
        <v>0</v>
      </c>
      <c r="AG47" s="122">
        <f>+GETPIVOTDATA("XNT4",'nghiathanh (2016)'!$A$3,"MA_HT","DTS","MA_QH","DYT")</f>
        <v>0</v>
      </c>
      <c r="AH47" s="122">
        <f>+GETPIVOTDATA("XNT4",'nghiathanh (2016)'!$A$3,"MA_HT","DTS","MA_QH","DGD")</f>
        <v>0</v>
      </c>
      <c r="AI47" s="122">
        <f>+GETPIVOTDATA("XNT4",'nghiathanh (2016)'!$A$3,"MA_HT","DTS","MA_QH","DTT")</f>
        <v>0</v>
      </c>
      <c r="AJ47" s="122">
        <f>+GETPIVOTDATA("XNT4",'nghiathanh (2016)'!$A$3,"MA_HT","DTS","MA_QH","NCK")</f>
        <v>0</v>
      </c>
      <c r="AK47" s="122">
        <f>+GETPIVOTDATA("XNT4",'nghiathanh (2016)'!$A$3,"MA_HT","DTS","MA_QH","DXH")</f>
        <v>0</v>
      </c>
      <c r="AL47" s="122">
        <f>+GETPIVOTDATA("XNT4",'nghiathanh (2016)'!$A$3,"MA_HT","DTS","MA_QH","DCH")</f>
        <v>0</v>
      </c>
      <c r="AM47" s="122">
        <f>+GETPIVOTDATA("XNT4",'nghiathanh (2016)'!$A$3,"MA_HT","DTS","MA_QH","DKG")</f>
        <v>0</v>
      </c>
      <c r="AN47" s="122">
        <f>+GETPIVOTDATA("XNT4",'nghiathanh (2016)'!$A$3,"MA_HT","DTS","MA_QH","DDT")</f>
        <v>0</v>
      </c>
      <c r="AO47" s="122">
        <f>+GETPIVOTDATA("XNT4",'nghiathanh (2016)'!$A$3,"MA_HT","DTS","MA_QH","DDL")</f>
        <v>0</v>
      </c>
      <c r="AP47" s="122">
        <f>+GETPIVOTDATA("XNT4",'nghiathanh (2016)'!$A$3,"MA_HT","DTS","MA_QH","DRA")</f>
        <v>0</v>
      </c>
      <c r="AQ47" s="122">
        <f>+GETPIVOTDATA("XNT4",'nghiathanh (2016)'!$A$3,"MA_HT","DTS","MA_QH","ONT")</f>
        <v>0</v>
      </c>
      <c r="AR47" s="122">
        <f>+GETPIVOTDATA("XNT4",'nghiathanh (2016)'!$A$3,"MA_HT","DTS","MA_QH","ODT")</f>
        <v>0</v>
      </c>
      <c r="AS47" s="122">
        <f>+GETPIVOTDATA("XNT4",'nghiathanh (2016)'!$A$3,"MA_HT","DTS","MA_QH","TSC")</f>
        <v>0</v>
      </c>
      <c r="AT47" s="124" t="e">
        <f>$D47-$BF47</f>
        <v>#REF!</v>
      </c>
      <c r="AU47" s="122">
        <f>+GETPIVOTDATA("XNT4",'nghiathanh (2016)'!$A$3,"MA_HT","DTS","MA_QH","DNG")</f>
        <v>0</v>
      </c>
      <c r="AV47" s="122">
        <f>+GETPIVOTDATA("XNT4",'nghiathanh (2016)'!$A$3,"MA_HT","DTS","MA_QH","TON")</f>
        <v>0</v>
      </c>
      <c r="AW47" s="122">
        <f>+GETPIVOTDATA("XNT4",'nghiathanh (2016)'!$A$3,"MA_HT","DTS","MA_QH","NTD")</f>
        <v>0</v>
      </c>
      <c r="AX47" s="122">
        <f>+GETPIVOTDATA("XNT4",'nghiathanh (2016)'!$A$3,"MA_HT","DTS","MA_QH","SKX")</f>
        <v>0</v>
      </c>
      <c r="AY47" s="122">
        <f>+GETPIVOTDATA("XNT4",'nghiathanh (2016)'!$A$3,"MA_HT","DTS","MA_QH","DSH")</f>
        <v>0</v>
      </c>
      <c r="AZ47" s="122">
        <f>+GETPIVOTDATA("XNT4",'nghiathanh (2016)'!$A$3,"MA_HT","DTS","MA_QH","DKV")</f>
        <v>0</v>
      </c>
      <c r="BA47" s="141">
        <f>+GETPIVOTDATA("XNT4",'nghiathanh (2016)'!$A$3,"MA_HT","DTS","MA_QH","TIN")</f>
        <v>0</v>
      </c>
      <c r="BB47" s="125">
        <f>+GETPIVOTDATA("XNT4",'nghiathanh (2016)'!$A$3,"MA_HT","DTS","MA_QH","SON")</f>
        <v>0</v>
      </c>
      <c r="BC47" s="125">
        <f>+GETPIVOTDATA("XNT4",'nghiathanh (2016)'!$A$3,"MA_HT","DTS","MA_QH","MNC")</f>
        <v>0</v>
      </c>
      <c r="BD47" s="122">
        <f>+GETPIVOTDATA("XNT4",'nghiathanh (2016)'!$A$3,"MA_HT","DTS","MA_QH","PNK")</f>
        <v>0</v>
      </c>
      <c r="BE47" s="126">
        <f>+GETPIVOTDATA("XNT4",'nghiathanh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+GETPIVOTDATA("XNT4",'nghiathanh (2016)'!$A$3,"MA_HT","DNG","MA_QH","LUC")</f>
        <v>0</v>
      </c>
      <c r="H48" s="35">
        <f>+GETPIVOTDATA("XNT4",'nghiathanh (2016)'!$A$3,"MA_HT","DNG","MA_QH","LUK")</f>
        <v>0</v>
      </c>
      <c r="I48" s="35">
        <f>+GETPIVOTDATA("XNT4",'nghiathanh (2016)'!$A$3,"MA_HT","DNG","MA_QH","LUN")</f>
        <v>0</v>
      </c>
      <c r="J48" s="35">
        <f>+GETPIVOTDATA("XNT4",'nghiathanh (2016)'!$A$3,"MA_HT","DNG","MA_QH","HNK")</f>
        <v>0</v>
      </c>
      <c r="K48" s="35">
        <f>+GETPIVOTDATA("XNT4",'nghiathanh (2016)'!$A$3,"MA_HT","DNG","MA_QH","CLN")</f>
        <v>0</v>
      </c>
      <c r="L48" s="35">
        <f>+GETPIVOTDATA("XNT4",'nghiathanh (2016)'!$A$3,"MA_HT","DNG","MA_QH","RSX")</f>
        <v>0</v>
      </c>
      <c r="M48" s="35">
        <f>+GETPIVOTDATA("XNT4",'nghiathanh (2016)'!$A$3,"MA_HT","DNG","MA_QH","RPH")</f>
        <v>0</v>
      </c>
      <c r="N48" s="35">
        <f>+GETPIVOTDATA("XNT4",'nghiathanh (2016)'!$A$3,"MA_HT","DNG","MA_QH","RDD")</f>
        <v>0</v>
      </c>
      <c r="O48" s="35">
        <f>+GETPIVOTDATA("XNT4",'nghiathanh (2016)'!$A$3,"MA_HT","DNG","MA_QH","NTS")</f>
        <v>0</v>
      </c>
      <c r="P48" s="35">
        <f>+GETPIVOTDATA("XNT4",'nghiathanh (2016)'!$A$3,"MA_HT","DNG","MA_QH","LMU")</f>
        <v>0</v>
      </c>
      <c r="Q48" s="35">
        <f>+GETPIVOTDATA("XNT4",'nghiathanh (2016)'!$A$3,"MA_HT","DNG","MA_QH","NKH")</f>
        <v>0</v>
      </c>
      <c r="R48" s="106">
        <f>SUM(S48:AA48,AN48:AT48,AV48:BD48)</f>
        <v>0</v>
      </c>
      <c r="S48" s="35">
        <f>+GETPIVOTDATA("XNT4",'nghiathanh (2016)'!$A$3,"MA_HT","DNG","MA_QH","CQP")</f>
        <v>0</v>
      </c>
      <c r="T48" s="35">
        <f>+GETPIVOTDATA("XNT4",'nghiathanh (2016)'!$A$3,"MA_HT","DNG","MA_QH","CAN")</f>
        <v>0</v>
      </c>
      <c r="U48" s="35">
        <f>+GETPIVOTDATA("XNT4",'nghiathanh (2016)'!$A$3,"MA_HT","DNG","MA_QH","SKK")</f>
        <v>0</v>
      </c>
      <c r="V48" s="35">
        <f>+GETPIVOTDATA("XNT4",'nghiathanh (2016)'!$A$3,"MA_HT","DNG","MA_QH","SKT")</f>
        <v>0</v>
      </c>
      <c r="W48" s="35">
        <f>+GETPIVOTDATA("XNT4",'nghiathanh (2016)'!$A$3,"MA_HT","DNG","MA_QH","SKN")</f>
        <v>0</v>
      </c>
      <c r="X48" s="35">
        <f>+GETPIVOTDATA("XNT4",'nghiathanh (2016)'!$A$3,"MA_HT","DNG","MA_QH","TMD")</f>
        <v>0</v>
      </c>
      <c r="Y48" s="35">
        <f>+GETPIVOTDATA("XNT4",'nghiathanh (2016)'!$A$3,"MA_HT","DNG","MA_QH","SKC")</f>
        <v>0</v>
      </c>
      <c r="Z48" s="35">
        <f>+GETPIVOTDATA("XNT4",'nghiathanh (2016)'!$A$3,"MA_HT","DNG","MA_QH","SKS")</f>
        <v>0</v>
      </c>
      <c r="AA48" s="64">
        <f t="shared" si="21"/>
        <v>0</v>
      </c>
      <c r="AB48" s="35">
        <f>+GETPIVOTDATA("XNT4",'nghiathanh (2016)'!$A$3,"MA_HT","DNG","MA_QH","DGT")</f>
        <v>0</v>
      </c>
      <c r="AC48" s="35">
        <f>+GETPIVOTDATA("XNT4",'nghiathanh (2016)'!$A$3,"MA_HT","DNG","MA_QH","DTL")</f>
        <v>0</v>
      </c>
      <c r="AD48" s="35">
        <f>+GETPIVOTDATA("XNT4",'nghiathanh (2016)'!$A$3,"MA_HT","DNG","MA_QH","DNL")</f>
        <v>0</v>
      </c>
      <c r="AE48" s="35">
        <f>+GETPIVOTDATA("XNT4",'nghiathanh (2016)'!$A$3,"MA_HT","DNG","MA_QH","DBV")</f>
        <v>0</v>
      </c>
      <c r="AF48" s="35">
        <f>+GETPIVOTDATA("XNT4",'nghiathanh (2016)'!$A$3,"MA_HT","DNG","MA_QH","DVH")</f>
        <v>0</v>
      </c>
      <c r="AG48" s="35">
        <f>+GETPIVOTDATA("XNT4",'nghiathanh (2016)'!$A$3,"MA_HT","DNG","MA_QH","DYT")</f>
        <v>0</v>
      </c>
      <c r="AH48" s="35">
        <f>+GETPIVOTDATA("XNT4",'nghiathanh (2016)'!$A$3,"MA_HT","DNG","MA_QH","DGD")</f>
        <v>0</v>
      </c>
      <c r="AI48" s="35">
        <f>+GETPIVOTDATA("XNT4",'nghiathanh (2016)'!$A$3,"MA_HT","DNG","MA_QH","DTT")</f>
        <v>0</v>
      </c>
      <c r="AJ48" s="35">
        <f>+GETPIVOTDATA("XNT4",'nghiathanh (2016)'!$A$3,"MA_HT","DNG","MA_QH","NCK")</f>
        <v>0</v>
      </c>
      <c r="AK48" s="35">
        <f>+GETPIVOTDATA("XNT4",'nghiathanh (2016)'!$A$3,"MA_HT","DNG","MA_QH","DXH")</f>
        <v>0</v>
      </c>
      <c r="AL48" s="35">
        <f>+GETPIVOTDATA("XNT4",'nghiathanh (2016)'!$A$3,"MA_HT","DNG","MA_QH","DCH")</f>
        <v>0</v>
      </c>
      <c r="AM48" s="35">
        <f>+GETPIVOTDATA("XNT4",'nghiathanh (2016)'!$A$3,"MA_HT","DNG","MA_QH","DKG")</f>
        <v>0</v>
      </c>
      <c r="AN48" s="35">
        <f>+GETPIVOTDATA("XNT4",'nghiathanh (2016)'!$A$3,"MA_HT","DNG","MA_QH","DDT")</f>
        <v>0</v>
      </c>
      <c r="AO48" s="35">
        <f>+GETPIVOTDATA("XNT4",'nghiathanh (2016)'!$A$3,"MA_HT","DNG","MA_QH","DDL")</f>
        <v>0</v>
      </c>
      <c r="AP48" s="35">
        <f>+GETPIVOTDATA("XNT4",'nghiathanh (2016)'!$A$3,"MA_HT","DNG","MA_QH","DRA")</f>
        <v>0</v>
      </c>
      <c r="AQ48" s="35">
        <f>+GETPIVOTDATA("XNT4",'nghiathanh (2016)'!$A$3,"MA_HT","DNG","MA_QH","ONT")</f>
        <v>0</v>
      </c>
      <c r="AR48" s="35">
        <f>+GETPIVOTDATA("XNT4",'nghiathanh (2016)'!$A$3,"MA_HT","DNG","MA_QH","ODT")</f>
        <v>0</v>
      </c>
      <c r="AS48" s="35">
        <f>+GETPIVOTDATA("XNT4",'nghiathanh (2016)'!$A$3,"MA_HT","DNG","MA_QH","TSC")</f>
        <v>0</v>
      </c>
      <c r="AT48" s="35">
        <f>+GETPIVOTDATA("XNT4",'nghiathanh (2016)'!$A$3,"MA_HT","DNG","MA_QH","DTS")</f>
        <v>0</v>
      </c>
      <c r="AU48" s="99" t="e">
        <f>$D48-$BF48</f>
        <v>#REF!</v>
      </c>
      <c r="AV48" s="35">
        <f>+GETPIVOTDATA("XNT4",'nghiathanh (2016)'!$A$3,"MA_HT","DNG","MA_QH","TON")</f>
        <v>0</v>
      </c>
      <c r="AW48" s="35">
        <f>+GETPIVOTDATA("XNT4",'nghiathanh (2016)'!$A$3,"MA_HT","DNG","MA_QH","NTD")</f>
        <v>0</v>
      </c>
      <c r="AX48" s="35">
        <f>+GETPIVOTDATA("XNT4",'nghiathanh (2016)'!$A$3,"MA_HT","DNG","MA_QH","SKX")</f>
        <v>0</v>
      </c>
      <c r="AY48" s="35">
        <f>+GETPIVOTDATA("XNT4",'nghiathanh (2016)'!$A$3,"MA_HT","DNG","MA_QH","DSH")</f>
        <v>0</v>
      </c>
      <c r="AZ48" s="35">
        <f>+GETPIVOTDATA("XNT4",'nghiathanh (2016)'!$A$3,"MA_HT","DNG","MA_QH","DKV")</f>
        <v>0</v>
      </c>
      <c r="BA48" s="140">
        <f>+GETPIVOTDATA("XNT4",'nghiathanh (2016)'!$A$3,"MA_HT","DNG","MA_QH","TIN")</f>
        <v>0</v>
      </c>
      <c r="BB48" s="74">
        <f>+GETPIVOTDATA("XNT4",'nghiathanh (2016)'!$A$3,"MA_HT","DNG","MA_QH","SON")</f>
        <v>0</v>
      </c>
      <c r="BC48" s="74">
        <f>+GETPIVOTDATA("XNT4",'nghiathanh (2016)'!$A$3,"MA_HT","DNG","MA_QH","MNC")</f>
        <v>0</v>
      </c>
      <c r="BD48" s="35">
        <f>+GETPIVOTDATA("XNT4",'nghiathanh (2016)'!$A$3,"MA_HT","DNG","MA_QH","PNK")</f>
        <v>0</v>
      </c>
      <c r="BE48" s="58">
        <f>+GETPIVOTDATA("XNT4",'nghiathanh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+GETPIVOTDATA("XNT4",'nghiathanh (2016)'!$A$3,"MA_HT","TON","MA_QH","LUC")</f>
        <v>0</v>
      </c>
      <c r="H49" s="35">
        <f>+GETPIVOTDATA("XNT4",'nghiathanh (2016)'!$A$3,"MA_HT","TON","MA_QH","LUK")</f>
        <v>0</v>
      </c>
      <c r="I49" s="35">
        <f>+GETPIVOTDATA("XNT4",'nghiathanh (2016)'!$A$3,"MA_HT","TON","MA_QH","LUN")</f>
        <v>0</v>
      </c>
      <c r="J49" s="35">
        <f>+GETPIVOTDATA("XNT4",'nghiathanh (2016)'!$A$3,"MA_HT","TON","MA_QH","HNK")</f>
        <v>0</v>
      </c>
      <c r="K49" s="35">
        <f>+GETPIVOTDATA("XNT4",'nghiathanh (2016)'!$A$3,"MA_HT","TON","MA_QH","CLN")</f>
        <v>0</v>
      </c>
      <c r="L49" s="35">
        <f>+GETPIVOTDATA("XNT4",'nghiathanh (2016)'!$A$3,"MA_HT","TON","MA_QH","RSX")</f>
        <v>0</v>
      </c>
      <c r="M49" s="35">
        <f>+GETPIVOTDATA("XNT4",'nghiathanh (2016)'!$A$3,"MA_HT","TON","MA_QH","RPH")</f>
        <v>0</v>
      </c>
      <c r="N49" s="35">
        <f>+GETPIVOTDATA("XNT4",'nghiathanh (2016)'!$A$3,"MA_HT","TON","MA_QH","RDD")</f>
        <v>0</v>
      </c>
      <c r="O49" s="35">
        <f>+GETPIVOTDATA("XNT4",'nghiathanh (2016)'!$A$3,"MA_HT","TON","MA_QH","NTS")</f>
        <v>0</v>
      </c>
      <c r="P49" s="35">
        <f>+GETPIVOTDATA("XNT4",'nghiathanh (2016)'!$A$3,"MA_HT","TON","MA_QH","LMU")</f>
        <v>0</v>
      </c>
      <c r="Q49" s="35">
        <f>+GETPIVOTDATA("XNT4",'nghiathanh (2016)'!$A$3,"MA_HT","TON","MA_QH","NKH")</f>
        <v>0</v>
      </c>
      <c r="R49" s="106">
        <f>SUM(S49:AA49,AN49:AU49,AW49:BD49)</f>
        <v>0</v>
      </c>
      <c r="S49" s="35">
        <f>+GETPIVOTDATA("XNT4",'nghiathanh (2016)'!$A$3,"MA_HT","TON","MA_QH","CQP")</f>
        <v>0</v>
      </c>
      <c r="T49" s="35">
        <f>+GETPIVOTDATA("XNT4",'nghiathanh (2016)'!$A$3,"MA_HT","TON","MA_QH","CAN")</f>
        <v>0</v>
      </c>
      <c r="U49" s="35">
        <f>+GETPIVOTDATA("XNT4",'nghiathanh (2016)'!$A$3,"MA_HT","TON","MA_QH","SKK")</f>
        <v>0</v>
      </c>
      <c r="V49" s="35">
        <f>+GETPIVOTDATA("XNT4",'nghiathanh (2016)'!$A$3,"MA_HT","TON","MA_QH","SKT")</f>
        <v>0</v>
      </c>
      <c r="W49" s="35">
        <f>+GETPIVOTDATA("XNT4",'nghiathanh (2016)'!$A$3,"MA_HT","TON","MA_QH","SKN")</f>
        <v>0</v>
      </c>
      <c r="X49" s="35">
        <f>+GETPIVOTDATA("XNT4",'nghiathanh (2016)'!$A$3,"MA_HT","TON","MA_QH","TMD")</f>
        <v>0</v>
      </c>
      <c r="Y49" s="35">
        <f>+GETPIVOTDATA("XNT4",'nghiathanh (2016)'!$A$3,"MA_HT","TON","MA_QH","SKC")</f>
        <v>0</v>
      </c>
      <c r="Z49" s="35">
        <f>+GETPIVOTDATA("XNT4",'nghiathanh (2016)'!$A$3,"MA_HT","TON","MA_QH","SKS")</f>
        <v>0</v>
      </c>
      <c r="AA49" s="64">
        <f t="shared" si="21"/>
        <v>0</v>
      </c>
      <c r="AB49" s="35">
        <f>+GETPIVOTDATA("XNT4",'nghiathanh (2016)'!$A$3,"MA_HT","TON","MA_QH","DGT")</f>
        <v>0</v>
      </c>
      <c r="AC49" s="35">
        <f>+GETPIVOTDATA("XNT4",'nghiathanh (2016)'!$A$3,"MA_HT","TON","MA_QH","DTL")</f>
        <v>0</v>
      </c>
      <c r="AD49" s="35">
        <f>+GETPIVOTDATA("XNT4",'nghiathanh (2016)'!$A$3,"MA_HT","TON","MA_QH","DNL")</f>
        <v>0</v>
      </c>
      <c r="AE49" s="35">
        <f>+GETPIVOTDATA("XNT4",'nghiathanh (2016)'!$A$3,"MA_HT","TON","MA_QH","DBV")</f>
        <v>0</v>
      </c>
      <c r="AF49" s="35">
        <f>+GETPIVOTDATA("XNT4",'nghiathanh (2016)'!$A$3,"MA_HT","TON","MA_QH","DVH")</f>
        <v>0</v>
      </c>
      <c r="AG49" s="35">
        <f>+GETPIVOTDATA("XNT4",'nghiathanh (2016)'!$A$3,"MA_HT","TON","MA_QH","DYT")</f>
        <v>0</v>
      </c>
      <c r="AH49" s="35">
        <f>+GETPIVOTDATA("XNT4",'nghiathanh (2016)'!$A$3,"MA_HT","TON","MA_QH","DGD")</f>
        <v>0</v>
      </c>
      <c r="AI49" s="35">
        <f>+GETPIVOTDATA("XNT4",'nghiathanh (2016)'!$A$3,"MA_HT","TON","MA_QH","DTT")</f>
        <v>0</v>
      </c>
      <c r="AJ49" s="35">
        <f>+GETPIVOTDATA("XNT4",'nghiathanh (2016)'!$A$3,"MA_HT","TON","MA_QH","NCK")</f>
        <v>0</v>
      </c>
      <c r="AK49" s="35">
        <f>+GETPIVOTDATA("XNT4",'nghiathanh (2016)'!$A$3,"MA_HT","TON","MA_QH","DXH")</f>
        <v>0</v>
      </c>
      <c r="AL49" s="35">
        <f>+GETPIVOTDATA("XNT4",'nghiathanh (2016)'!$A$3,"MA_HT","TON","MA_QH","DCH")</f>
        <v>0</v>
      </c>
      <c r="AM49" s="35">
        <f>+GETPIVOTDATA("XNT4",'nghiathanh (2016)'!$A$3,"MA_HT","TON","MA_QH","DKG")</f>
        <v>0</v>
      </c>
      <c r="AN49" s="35">
        <f>+GETPIVOTDATA("XNT4",'nghiathanh (2016)'!$A$3,"MA_HT","TON","MA_QH","DDT")</f>
        <v>0</v>
      </c>
      <c r="AO49" s="35">
        <f>+GETPIVOTDATA("XNT4",'nghiathanh (2016)'!$A$3,"MA_HT","TON","MA_QH","DDL")</f>
        <v>0</v>
      </c>
      <c r="AP49" s="35">
        <f>+GETPIVOTDATA("XNT4",'nghiathanh (2016)'!$A$3,"MA_HT","TON","MA_QH","DRA")</f>
        <v>0</v>
      </c>
      <c r="AQ49" s="35">
        <f>+GETPIVOTDATA("XNT4",'nghiathanh (2016)'!$A$3,"MA_HT","TON","MA_QH","ONT")</f>
        <v>0</v>
      </c>
      <c r="AR49" s="35">
        <f>+GETPIVOTDATA("XNT4",'nghiathanh (2016)'!$A$3,"MA_HT","TON","MA_QH","ODT")</f>
        <v>0</v>
      </c>
      <c r="AS49" s="35">
        <f>+GETPIVOTDATA("XNT4",'nghiathanh (2016)'!$A$3,"MA_HT","TON","MA_QH","TSC")</f>
        <v>0</v>
      </c>
      <c r="AT49" s="35">
        <f>+GETPIVOTDATA("XNT4",'nghiathanh (2016)'!$A$3,"MA_HT","TON","MA_QH","DTS")</f>
        <v>0</v>
      </c>
      <c r="AU49" s="35">
        <f>+GETPIVOTDATA("XNT4",'nghiathanh (2016)'!$A$3,"MA_HT","TON","MA_QH","DNG")</f>
        <v>0</v>
      </c>
      <c r="AV49" s="99" t="e">
        <f>$D49-$BF49</f>
        <v>#REF!</v>
      </c>
      <c r="AW49" s="35">
        <f>+GETPIVOTDATA("XNT4",'nghiathanh (2016)'!$A$3,"MA_HT","TON","MA_QH","NTD")</f>
        <v>0</v>
      </c>
      <c r="AX49" s="35">
        <f>+GETPIVOTDATA("XNT4",'nghiathanh (2016)'!$A$3,"MA_HT","TON","MA_QH","SKX")</f>
        <v>0</v>
      </c>
      <c r="AY49" s="35">
        <f>+GETPIVOTDATA("XNT4",'nghiathanh (2016)'!$A$3,"MA_HT","TON","MA_QH","DSH")</f>
        <v>0</v>
      </c>
      <c r="AZ49" s="35">
        <f>+GETPIVOTDATA("XNT4",'nghiathanh (2016)'!$A$3,"MA_HT","TON","MA_QH","DKV")</f>
        <v>0</v>
      </c>
      <c r="BA49" s="140">
        <f>+GETPIVOTDATA("XNT4",'nghiathanh (2016)'!$A$3,"MA_HT","TON","MA_QH","TIN")</f>
        <v>0</v>
      </c>
      <c r="BB49" s="74">
        <f>+GETPIVOTDATA("XNT4",'nghiathanh (2016)'!$A$3,"MA_HT","TON","MA_QH","SON")</f>
        <v>0</v>
      </c>
      <c r="BC49" s="74">
        <f>+GETPIVOTDATA("XNT4",'nghiathanh (2016)'!$A$3,"MA_HT","TON","MA_QH","MNC")</f>
        <v>0</v>
      </c>
      <c r="BD49" s="35">
        <f>+GETPIVOTDATA("XNT4",'nghiathanh (2016)'!$A$3,"MA_HT","TON","MA_QH","PNK")</f>
        <v>0</v>
      </c>
      <c r="BE49" s="58">
        <f>+GETPIVOTDATA("XNT4",'nghiathanh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+GETPIVOTDATA("XNT4",'nghiathanh (2016)'!$A$3,"MA_HT","NTD","MA_QH","LUC")</f>
        <v>0</v>
      </c>
      <c r="H50" s="35">
        <f>+GETPIVOTDATA("XNT4",'nghiathanh (2016)'!$A$3,"MA_HT","NTD","MA_QH","LUK")</f>
        <v>0</v>
      </c>
      <c r="I50" s="35">
        <f>+GETPIVOTDATA("XNT4",'nghiathanh (2016)'!$A$3,"MA_HT","NTD","MA_QH","LUN")</f>
        <v>0</v>
      </c>
      <c r="J50" s="35">
        <f>+GETPIVOTDATA("XNT4",'nghiathanh (2016)'!$A$3,"MA_HT","NTD","MA_QH","HNK")</f>
        <v>0</v>
      </c>
      <c r="K50" s="35">
        <f>+GETPIVOTDATA("XNT4",'nghiathanh (2016)'!$A$3,"MA_HT","NTD","MA_QH","CLN")</f>
        <v>0</v>
      </c>
      <c r="L50" s="35">
        <f>+GETPIVOTDATA("XNT4",'nghiathanh (2016)'!$A$3,"MA_HT","NTD","MA_QH","RSX")</f>
        <v>0</v>
      </c>
      <c r="M50" s="35">
        <f>+GETPIVOTDATA("XNT4",'nghiathanh (2016)'!$A$3,"MA_HT","NTD","MA_QH","RPH")</f>
        <v>0</v>
      </c>
      <c r="N50" s="35">
        <f>+GETPIVOTDATA("XNT4",'nghiathanh (2016)'!$A$3,"MA_HT","NTD","MA_QH","RDD")</f>
        <v>0</v>
      </c>
      <c r="O50" s="35">
        <f>+GETPIVOTDATA("XNT4",'nghiathanh (2016)'!$A$3,"MA_HT","NTD","MA_QH","NTS")</f>
        <v>0</v>
      </c>
      <c r="P50" s="35">
        <f>+GETPIVOTDATA("XNT4",'nghiathanh (2016)'!$A$3,"MA_HT","NTD","MA_QH","LMU")</f>
        <v>0</v>
      </c>
      <c r="Q50" s="35">
        <f>+GETPIVOTDATA("XNT4",'nghiathanh (2016)'!$A$3,"MA_HT","NTD","MA_QH","NKH")</f>
        <v>0</v>
      </c>
      <c r="R50" s="106">
        <f>SUM(S50:AA50,AN50:AV50,AX50:BD50)</f>
        <v>0</v>
      </c>
      <c r="S50" s="35">
        <f>+GETPIVOTDATA("XNT4",'nghiathanh (2016)'!$A$3,"MA_HT","NTD","MA_QH","CQP")</f>
        <v>0</v>
      </c>
      <c r="T50" s="35">
        <f>+GETPIVOTDATA("XNT4",'nghiathanh (2016)'!$A$3,"MA_HT","NTD","MA_QH","CAN")</f>
        <v>0</v>
      </c>
      <c r="U50" s="35">
        <f>+GETPIVOTDATA("XNT4",'nghiathanh (2016)'!$A$3,"MA_HT","NTD","MA_QH","SKK")</f>
        <v>0</v>
      </c>
      <c r="V50" s="35">
        <f>+GETPIVOTDATA("XNT4",'nghiathanh (2016)'!$A$3,"MA_HT","NTD","MA_QH","SKT")</f>
        <v>0</v>
      </c>
      <c r="W50" s="35">
        <f>+GETPIVOTDATA("XNT4",'nghiathanh (2016)'!$A$3,"MA_HT","NTD","MA_QH","SKN")</f>
        <v>0</v>
      </c>
      <c r="X50" s="35">
        <f>+GETPIVOTDATA("XNT4",'nghiathanh (2016)'!$A$3,"MA_HT","NTD","MA_QH","TMD")</f>
        <v>0</v>
      </c>
      <c r="Y50" s="35">
        <f>+GETPIVOTDATA("XNT4",'nghiathanh (2016)'!$A$3,"MA_HT","NTD","MA_QH","SKC")</f>
        <v>0</v>
      </c>
      <c r="Z50" s="35">
        <f>+GETPIVOTDATA("XNT4",'nghiathanh (2016)'!$A$3,"MA_HT","NTD","MA_QH","SKS")</f>
        <v>0</v>
      </c>
      <c r="AA50" s="64">
        <f t="shared" si="21"/>
        <v>0</v>
      </c>
      <c r="AB50" s="35">
        <f>+GETPIVOTDATA("XNT4",'nghiathanh (2016)'!$A$3,"MA_HT","NTD","MA_QH","DGT")</f>
        <v>0</v>
      </c>
      <c r="AC50" s="35">
        <f>+GETPIVOTDATA("XNT4",'nghiathanh (2016)'!$A$3,"MA_HT","NTD","MA_QH","DTL")</f>
        <v>0</v>
      </c>
      <c r="AD50" s="35">
        <f>+GETPIVOTDATA("XNT4",'nghiathanh (2016)'!$A$3,"MA_HT","NTD","MA_QH","DNL")</f>
        <v>0</v>
      </c>
      <c r="AE50" s="35">
        <f>+GETPIVOTDATA("XNT4",'nghiathanh (2016)'!$A$3,"MA_HT","NTD","MA_QH","DBV")</f>
        <v>0</v>
      </c>
      <c r="AF50" s="35">
        <f>+GETPIVOTDATA("XNT4",'nghiathanh (2016)'!$A$3,"MA_HT","NTD","MA_QH","DVH")</f>
        <v>0</v>
      </c>
      <c r="AG50" s="35">
        <f>+GETPIVOTDATA("XNT4",'nghiathanh (2016)'!$A$3,"MA_HT","NTD","MA_QH","DYT")</f>
        <v>0</v>
      </c>
      <c r="AH50" s="35">
        <f>+GETPIVOTDATA("XNT4",'nghiathanh (2016)'!$A$3,"MA_HT","NTD","MA_QH","DGD")</f>
        <v>0</v>
      </c>
      <c r="AI50" s="35">
        <f>+GETPIVOTDATA("XNT4",'nghiathanh (2016)'!$A$3,"MA_HT","NTD","MA_QH","DTT")</f>
        <v>0</v>
      </c>
      <c r="AJ50" s="35">
        <f>+GETPIVOTDATA("XNT4",'nghiathanh (2016)'!$A$3,"MA_HT","NTD","MA_QH","NCK")</f>
        <v>0</v>
      </c>
      <c r="AK50" s="35">
        <f>+GETPIVOTDATA("XNT4",'nghiathanh (2016)'!$A$3,"MA_HT","NTD","MA_QH","DXH")</f>
        <v>0</v>
      </c>
      <c r="AL50" s="35">
        <f>+GETPIVOTDATA("XNT4",'nghiathanh (2016)'!$A$3,"MA_HT","NTD","MA_QH","DCH")</f>
        <v>0</v>
      </c>
      <c r="AM50" s="35">
        <f>+GETPIVOTDATA("XNT4",'nghiathanh (2016)'!$A$3,"MA_HT","NTD","MA_QH","DKG")</f>
        <v>0</v>
      </c>
      <c r="AN50" s="35">
        <f>+GETPIVOTDATA("XNT4",'nghiathanh (2016)'!$A$3,"MA_HT","NTD","MA_QH","DDT")</f>
        <v>0</v>
      </c>
      <c r="AO50" s="35">
        <f>+GETPIVOTDATA("XNT4",'nghiathanh (2016)'!$A$3,"MA_HT","NTD","MA_QH","DDL")</f>
        <v>0</v>
      </c>
      <c r="AP50" s="35">
        <f>+GETPIVOTDATA("XNT4",'nghiathanh (2016)'!$A$3,"MA_HT","NTD","MA_QH","DRA")</f>
        <v>0</v>
      </c>
      <c r="AQ50" s="35">
        <f>+GETPIVOTDATA("XNT4",'nghiathanh (2016)'!$A$3,"MA_HT","NTD","MA_QH","ONT")</f>
        <v>0</v>
      </c>
      <c r="AR50" s="35">
        <f>+GETPIVOTDATA("XNT4",'nghiathanh (2016)'!$A$3,"MA_HT","NTD","MA_QH","ODT")</f>
        <v>0</v>
      </c>
      <c r="AS50" s="35">
        <f>+GETPIVOTDATA("XNT4",'nghiathanh (2016)'!$A$3,"MA_HT","NTD","MA_QH","TSC")</f>
        <v>0</v>
      </c>
      <c r="AT50" s="35">
        <f>+GETPIVOTDATA("XNT4",'nghiathanh (2016)'!$A$3,"MA_HT","NTD","MA_QH","DTS")</f>
        <v>0</v>
      </c>
      <c r="AU50" s="35">
        <f>+GETPIVOTDATA("XNT4",'nghiathanh (2016)'!$A$3,"MA_HT","NTD","MA_QH","DNG")</f>
        <v>0</v>
      </c>
      <c r="AV50" s="35">
        <f>+GETPIVOTDATA("XNT4",'nghiathanh (2016)'!$A$3,"MA_HT","NTD","MA_QH","TON")</f>
        <v>0</v>
      </c>
      <c r="AW50" s="99" t="e">
        <f>$D50-$BF50</f>
        <v>#REF!</v>
      </c>
      <c r="AX50" s="35">
        <f>+GETPIVOTDATA("XNT4",'nghiathanh (2016)'!$A$3,"MA_HT","NTD","MA_QH","SKX")</f>
        <v>0</v>
      </c>
      <c r="AY50" s="35">
        <f>+GETPIVOTDATA("XNT4",'nghiathanh (2016)'!$A$3,"MA_HT","NTD","MA_QH","DSH")</f>
        <v>0</v>
      </c>
      <c r="AZ50" s="35">
        <f>+GETPIVOTDATA("XNT4",'nghiathanh (2016)'!$A$3,"MA_HT","NTD","MA_QH","DKV")</f>
        <v>0</v>
      </c>
      <c r="BA50" s="140">
        <f>+GETPIVOTDATA("XNT4",'nghiathanh (2016)'!$A$3,"MA_HT","NTD","MA_QH","TIN")</f>
        <v>0</v>
      </c>
      <c r="BB50" s="74">
        <f>+GETPIVOTDATA("XNT4",'nghiathanh (2016)'!$A$3,"MA_HT","NTD","MA_QH","SON")</f>
        <v>0</v>
      </c>
      <c r="BC50" s="74">
        <f>+GETPIVOTDATA("XNT4",'nghiathanh (2016)'!$A$3,"MA_HT","NTD","MA_QH","MNC")</f>
        <v>0</v>
      </c>
      <c r="BD50" s="35">
        <f>+GETPIVOTDATA("XNT4",'nghiathanh (2016)'!$A$3,"MA_HT","NTD","MA_QH","PNK")</f>
        <v>0</v>
      </c>
      <c r="BE50" s="58">
        <f>+GETPIVOTDATA("XNT4",'nghiathanh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+GETPIVOTDATA("XNT4",'nghiathanh (2016)'!$A$3,"MA_HT","SKX","MA_QH","LUC")</f>
        <v>0</v>
      </c>
      <c r="H51" s="35">
        <f>+GETPIVOTDATA("XNT4",'nghiathanh (2016)'!$A$3,"MA_HT","SKX","MA_QH","LUK")</f>
        <v>0</v>
      </c>
      <c r="I51" s="35">
        <f>+GETPIVOTDATA("XNT4",'nghiathanh (2016)'!$A$3,"MA_HT","SKX","MA_QH","LUN")</f>
        <v>0</v>
      </c>
      <c r="J51" s="35">
        <f>+GETPIVOTDATA("XNT4",'nghiathanh (2016)'!$A$3,"MA_HT","SKX","MA_QH","HNK")</f>
        <v>0</v>
      </c>
      <c r="K51" s="35">
        <f>+GETPIVOTDATA("XNT4",'nghiathanh (2016)'!$A$3,"MA_HT","SKX","MA_QH","CLN")</f>
        <v>0</v>
      </c>
      <c r="L51" s="35">
        <f>+GETPIVOTDATA("XNT4",'nghiathanh (2016)'!$A$3,"MA_HT","SKX","MA_QH","RSX")</f>
        <v>0</v>
      </c>
      <c r="M51" s="35">
        <f>+GETPIVOTDATA("XNT4",'nghiathanh (2016)'!$A$3,"MA_HT","SKX","MA_QH","RPH")</f>
        <v>0</v>
      </c>
      <c r="N51" s="35">
        <f>+GETPIVOTDATA("XNT4",'nghiathanh (2016)'!$A$3,"MA_HT","SKX","MA_QH","RDD")</f>
        <v>0</v>
      </c>
      <c r="O51" s="35">
        <f>+GETPIVOTDATA("XNT4",'nghiathanh (2016)'!$A$3,"MA_HT","SKX","MA_QH","NTS")</f>
        <v>0</v>
      </c>
      <c r="P51" s="35">
        <f>+GETPIVOTDATA("XNT4",'nghiathanh (2016)'!$A$3,"MA_HT","SKX","MA_QH","LMU")</f>
        <v>0</v>
      </c>
      <c r="Q51" s="35">
        <f>+GETPIVOTDATA("XNT4",'nghiathanh (2016)'!$A$3,"MA_HT","SKX","MA_QH","NKH")</f>
        <v>0</v>
      </c>
      <c r="R51" s="106">
        <f>SUM(S51:AA51,AN51:AW51,AY51:BD51)</f>
        <v>0</v>
      </c>
      <c r="S51" s="35">
        <f>+GETPIVOTDATA("XNT4",'nghiathanh (2016)'!$A$3,"MA_HT","SKX","MA_QH","CQP")</f>
        <v>0</v>
      </c>
      <c r="T51" s="35">
        <f>+GETPIVOTDATA("XNT4",'nghiathanh (2016)'!$A$3,"MA_HT","SKX","MA_QH","CAN")</f>
        <v>0</v>
      </c>
      <c r="U51" s="35">
        <f>+GETPIVOTDATA("XNT4",'nghiathanh (2016)'!$A$3,"MA_HT","SKX","MA_QH","SKK")</f>
        <v>0</v>
      </c>
      <c r="V51" s="35">
        <f>+GETPIVOTDATA("XNT4",'nghiathanh (2016)'!$A$3,"MA_HT","SKX","MA_QH","SKT")</f>
        <v>0</v>
      </c>
      <c r="W51" s="35">
        <f>+GETPIVOTDATA("XNT4",'nghiathanh (2016)'!$A$3,"MA_HT","SKX","MA_QH","SKN")</f>
        <v>0</v>
      </c>
      <c r="X51" s="35">
        <f>+GETPIVOTDATA("XNT4",'nghiathanh (2016)'!$A$3,"MA_HT","SKX","MA_QH","TMD")</f>
        <v>0</v>
      </c>
      <c r="Y51" s="35">
        <f>+GETPIVOTDATA("XNT4",'nghiathanh (2016)'!$A$3,"MA_HT","SKX","MA_QH","SKC")</f>
        <v>0</v>
      </c>
      <c r="Z51" s="35">
        <f>+GETPIVOTDATA("XNT4",'nghiathanh (2016)'!$A$3,"MA_HT","SKX","MA_QH","SKS")</f>
        <v>0</v>
      </c>
      <c r="AA51" s="64">
        <f t="shared" si="21"/>
        <v>0</v>
      </c>
      <c r="AB51" s="35">
        <f>+GETPIVOTDATA("XNT4",'nghiathanh (2016)'!$A$3,"MA_HT","SKX","MA_QH","DGT")</f>
        <v>0</v>
      </c>
      <c r="AC51" s="35">
        <f>+GETPIVOTDATA("XNT4",'nghiathanh (2016)'!$A$3,"MA_HT","SKX","MA_QH","DTL")</f>
        <v>0</v>
      </c>
      <c r="AD51" s="35">
        <f>+GETPIVOTDATA("XNT4",'nghiathanh (2016)'!$A$3,"MA_HT","SKX","MA_QH","DNL")</f>
        <v>0</v>
      </c>
      <c r="AE51" s="35">
        <f>+GETPIVOTDATA("XNT4",'nghiathanh (2016)'!$A$3,"MA_HT","SKX","MA_QH","DBV")</f>
        <v>0</v>
      </c>
      <c r="AF51" s="35">
        <f>+GETPIVOTDATA("XNT4",'nghiathanh (2016)'!$A$3,"MA_HT","SKX","MA_QH","DVH")</f>
        <v>0</v>
      </c>
      <c r="AG51" s="35">
        <f>+GETPIVOTDATA("XNT4",'nghiathanh (2016)'!$A$3,"MA_HT","SKX","MA_QH","DYT")</f>
        <v>0</v>
      </c>
      <c r="AH51" s="35">
        <f>+GETPIVOTDATA("XNT4",'nghiathanh (2016)'!$A$3,"MA_HT","SKX","MA_QH","DGD")</f>
        <v>0</v>
      </c>
      <c r="AI51" s="35">
        <f>+GETPIVOTDATA("XNT4",'nghiathanh (2016)'!$A$3,"MA_HT","SKX","MA_QH","DTT")</f>
        <v>0</v>
      </c>
      <c r="AJ51" s="35">
        <f>+GETPIVOTDATA("XNT4",'nghiathanh (2016)'!$A$3,"MA_HT","SKX","MA_QH","NCK")</f>
        <v>0</v>
      </c>
      <c r="AK51" s="35">
        <f>+GETPIVOTDATA("XNT4",'nghiathanh (2016)'!$A$3,"MA_HT","SKX","MA_QH","DXH")</f>
        <v>0</v>
      </c>
      <c r="AL51" s="35">
        <f>+GETPIVOTDATA("XNT4",'nghiathanh (2016)'!$A$3,"MA_HT","SKX","MA_QH","DCH")</f>
        <v>0</v>
      </c>
      <c r="AM51" s="35">
        <f>+GETPIVOTDATA("XNT4",'nghiathanh (2016)'!$A$3,"MA_HT","SKX","MA_QH","DKG")</f>
        <v>0</v>
      </c>
      <c r="AN51" s="35">
        <f>+GETPIVOTDATA("XNT4",'nghiathanh (2016)'!$A$3,"MA_HT","SKX","MA_QH","DDT")</f>
        <v>0</v>
      </c>
      <c r="AO51" s="35">
        <f>+GETPIVOTDATA("XNT4",'nghiathanh (2016)'!$A$3,"MA_HT","SKX","MA_QH","DDL")</f>
        <v>0</v>
      </c>
      <c r="AP51" s="35">
        <f>+GETPIVOTDATA("XNT4",'nghiathanh (2016)'!$A$3,"MA_HT","SKX","MA_QH","DRA")</f>
        <v>0</v>
      </c>
      <c r="AQ51" s="35">
        <f>+GETPIVOTDATA("XNT4",'nghiathanh (2016)'!$A$3,"MA_HT","SKX","MA_QH","ONT")</f>
        <v>0</v>
      </c>
      <c r="AR51" s="35">
        <f>+GETPIVOTDATA("XNT4",'nghiathanh (2016)'!$A$3,"MA_HT","SKX","MA_QH","ODT")</f>
        <v>0</v>
      </c>
      <c r="AS51" s="35">
        <f>+GETPIVOTDATA("XNT4",'nghiathanh (2016)'!$A$3,"MA_HT","SKX","MA_QH","TSC")</f>
        <v>0</v>
      </c>
      <c r="AT51" s="35">
        <f>+GETPIVOTDATA("XNT4",'nghiathanh (2016)'!$A$3,"MA_HT","SKX","MA_QH","DTS")</f>
        <v>0</v>
      </c>
      <c r="AU51" s="35">
        <f>+GETPIVOTDATA("XNT4",'nghiathanh (2016)'!$A$3,"MA_HT","SKX","MA_QH","DNG")</f>
        <v>0</v>
      </c>
      <c r="AV51" s="35">
        <f>+GETPIVOTDATA("XNT4",'nghiathanh (2016)'!$A$3,"MA_HT","SKX","MA_QH","TON")</f>
        <v>0</v>
      </c>
      <c r="AW51" s="35">
        <f>+GETPIVOTDATA("XNT4",'nghiathanh (2016)'!$A$3,"MA_HT","SKX","MA_QH","NTD")</f>
        <v>0</v>
      </c>
      <c r="AX51" s="99" t="e">
        <f>$D51-$BF51</f>
        <v>#REF!</v>
      </c>
      <c r="AY51" s="35">
        <f>+GETPIVOTDATA("XNT4",'nghiathanh (2016)'!$A$3,"MA_HT","SKX","MA_QH","DSH")</f>
        <v>0</v>
      </c>
      <c r="AZ51" s="35">
        <f>+GETPIVOTDATA("XNT4",'nghiathanh (2016)'!$A$3,"MA_HT","SKX","MA_QH","DKV")</f>
        <v>0</v>
      </c>
      <c r="BA51" s="140">
        <f>+GETPIVOTDATA("XNT4",'nghiathanh (2016)'!$A$3,"MA_HT","SKX","MA_QH","TIN")</f>
        <v>0</v>
      </c>
      <c r="BB51" s="74">
        <f>+GETPIVOTDATA("XNT4",'nghiathanh (2016)'!$A$3,"MA_HT","SKX","MA_QH","SON")</f>
        <v>0</v>
      </c>
      <c r="BC51" s="74">
        <f>+GETPIVOTDATA("XNT4",'nghiathanh (2016)'!$A$3,"MA_HT","SKX","MA_QH","MNC")</f>
        <v>0</v>
      </c>
      <c r="BD51" s="35">
        <f>+GETPIVOTDATA("XNT4",'nghiathanh (2016)'!$A$3,"MA_HT","SKX","MA_QH","PNK")</f>
        <v>0</v>
      </c>
      <c r="BE51" s="58">
        <f>+GETPIVOTDATA("XNT4",'nghiathanh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+GETPIVOTDATA("XNT4",'nghiathanh (2016)'!$A$3,"MA_HT","DSH","MA_QH","LUC")</f>
        <v>0</v>
      </c>
      <c r="H52" s="35">
        <f>+GETPIVOTDATA("XNT4",'nghiathanh (2016)'!$A$3,"MA_HT","DSH","MA_QH","LUK")</f>
        <v>0</v>
      </c>
      <c r="I52" s="35">
        <f>+GETPIVOTDATA("XNT4",'nghiathanh (2016)'!$A$3,"MA_HT","DSH","MA_QH","LUN")</f>
        <v>0</v>
      </c>
      <c r="J52" s="35">
        <f>+GETPIVOTDATA("XNT4",'nghiathanh (2016)'!$A$3,"MA_HT","DSH","MA_QH","HNK")</f>
        <v>0</v>
      </c>
      <c r="K52" s="35">
        <f>+GETPIVOTDATA("XNT4",'nghiathanh (2016)'!$A$3,"MA_HT","DSH","MA_QH","CLN")</f>
        <v>0</v>
      </c>
      <c r="L52" s="35">
        <f>+GETPIVOTDATA("XNT4",'nghiathanh (2016)'!$A$3,"MA_HT","DSH","MA_QH","RSX")</f>
        <v>0</v>
      </c>
      <c r="M52" s="35">
        <f>+GETPIVOTDATA("XNT4",'nghiathanh (2016)'!$A$3,"MA_HT","DSH","MA_QH","RPH")</f>
        <v>0</v>
      </c>
      <c r="N52" s="35">
        <f>+GETPIVOTDATA("XNT4",'nghiathanh (2016)'!$A$3,"MA_HT","DSH","MA_QH","RDD")</f>
        <v>0</v>
      </c>
      <c r="O52" s="35">
        <f>+GETPIVOTDATA("XNT4",'nghiathanh (2016)'!$A$3,"MA_HT","DSH","MA_QH","NTS")</f>
        <v>0</v>
      </c>
      <c r="P52" s="35">
        <f>+GETPIVOTDATA("XNT4",'nghiathanh (2016)'!$A$3,"MA_HT","DSH","MA_QH","LMU")</f>
        <v>0</v>
      </c>
      <c r="Q52" s="35">
        <f>+GETPIVOTDATA("XNT4",'nghiathanh (2016)'!$A$3,"MA_HT","DSH","MA_QH","NKH")</f>
        <v>0</v>
      </c>
      <c r="R52" s="106">
        <f>SUM(S52:AA52,AN52:AX52,AZ52:BD52)</f>
        <v>0</v>
      </c>
      <c r="S52" s="35">
        <f>+GETPIVOTDATA("XNT4",'nghiathanh (2016)'!$A$3,"MA_HT","DSH","MA_QH","CQP")</f>
        <v>0</v>
      </c>
      <c r="T52" s="35">
        <f>+GETPIVOTDATA("XNT4",'nghiathanh (2016)'!$A$3,"MA_HT","DSH","MA_QH","CAN")</f>
        <v>0</v>
      </c>
      <c r="U52" s="35">
        <f>+GETPIVOTDATA("XNT4",'nghiathanh (2016)'!$A$3,"MA_HT","DSH","MA_QH","SKK")</f>
        <v>0</v>
      </c>
      <c r="V52" s="35">
        <f>+GETPIVOTDATA("XNT4",'nghiathanh (2016)'!$A$3,"MA_HT","DSH","MA_QH","SKT")</f>
        <v>0</v>
      </c>
      <c r="W52" s="35">
        <f>+GETPIVOTDATA("XNT4",'nghiathanh (2016)'!$A$3,"MA_HT","DSH","MA_QH","SKN")</f>
        <v>0</v>
      </c>
      <c r="X52" s="35">
        <f>+GETPIVOTDATA("XNT4",'nghiathanh (2016)'!$A$3,"MA_HT","DSH","MA_QH","TMD")</f>
        <v>0</v>
      </c>
      <c r="Y52" s="35">
        <f>+GETPIVOTDATA("XNT4",'nghiathanh (2016)'!$A$3,"MA_HT","DSH","MA_QH","SKC")</f>
        <v>0</v>
      </c>
      <c r="Z52" s="35">
        <f>+GETPIVOTDATA("XNT4",'nghiathanh (2016)'!$A$3,"MA_HT","DSH","MA_QH","SKS")</f>
        <v>0</v>
      </c>
      <c r="AA52" s="64">
        <f t="shared" si="21"/>
        <v>0</v>
      </c>
      <c r="AB52" s="35">
        <f>+GETPIVOTDATA("XNT4",'nghiathanh (2016)'!$A$3,"MA_HT","DSH","MA_QH","DGT")</f>
        <v>0</v>
      </c>
      <c r="AC52" s="35">
        <f>+GETPIVOTDATA("XNT4",'nghiathanh (2016)'!$A$3,"MA_HT","DSH","MA_QH","DTL")</f>
        <v>0</v>
      </c>
      <c r="AD52" s="35">
        <f>+GETPIVOTDATA("XNT4",'nghiathanh (2016)'!$A$3,"MA_HT","DSH","MA_QH","DNL")</f>
        <v>0</v>
      </c>
      <c r="AE52" s="35">
        <f>+GETPIVOTDATA("XNT4",'nghiathanh (2016)'!$A$3,"MA_HT","DSH","MA_QH","DBV")</f>
        <v>0</v>
      </c>
      <c r="AF52" s="35">
        <f>+GETPIVOTDATA("XNT4",'nghiathanh (2016)'!$A$3,"MA_HT","DSH","MA_QH","DVH")</f>
        <v>0</v>
      </c>
      <c r="AG52" s="35">
        <f>+GETPIVOTDATA("XNT4",'nghiathanh (2016)'!$A$3,"MA_HT","DSH","MA_QH","DYT")</f>
        <v>0</v>
      </c>
      <c r="AH52" s="35">
        <f>+GETPIVOTDATA("XNT4",'nghiathanh (2016)'!$A$3,"MA_HT","DSH","MA_QH","DGD")</f>
        <v>0</v>
      </c>
      <c r="AI52" s="35">
        <f>+GETPIVOTDATA("XNT4",'nghiathanh (2016)'!$A$3,"MA_HT","DSH","MA_QH","DTT")</f>
        <v>0</v>
      </c>
      <c r="AJ52" s="35">
        <f>+GETPIVOTDATA("XNT4",'nghiathanh (2016)'!$A$3,"MA_HT","DSH","MA_QH","NCK")</f>
        <v>0</v>
      </c>
      <c r="AK52" s="35">
        <f>+GETPIVOTDATA("XNT4",'nghiathanh (2016)'!$A$3,"MA_HT","DSH","MA_QH","DXH")</f>
        <v>0</v>
      </c>
      <c r="AL52" s="35">
        <f>+GETPIVOTDATA("XNT4",'nghiathanh (2016)'!$A$3,"MA_HT","DSH","MA_QH","DCH")</f>
        <v>0</v>
      </c>
      <c r="AM52" s="35">
        <f>+GETPIVOTDATA("XNT4",'nghiathanh (2016)'!$A$3,"MA_HT","DSH","MA_QH","DKG")</f>
        <v>0</v>
      </c>
      <c r="AN52" s="35">
        <f>+GETPIVOTDATA("XNT4",'nghiathanh (2016)'!$A$3,"MA_HT","DSH","MA_QH","DDT")</f>
        <v>0</v>
      </c>
      <c r="AO52" s="35">
        <f>+GETPIVOTDATA("XNT4",'nghiathanh (2016)'!$A$3,"MA_HT","DSH","MA_QH","DDL")</f>
        <v>0</v>
      </c>
      <c r="AP52" s="35">
        <f>+GETPIVOTDATA("XNT4",'nghiathanh (2016)'!$A$3,"MA_HT","DSH","MA_QH","DRA")</f>
        <v>0</v>
      </c>
      <c r="AQ52" s="35">
        <f>+GETPIVOTDATA("XNT4",'nghiathanh (2016)'!$A$3,"MA_HT","DSH","MA_QH","ONT")</f>
        <v>0</v>
      </c>
      <c r="AR52" s="35">
        <f>+GETPIVOTDATA("XNT4",'nghiathanh (2016)'!$A$3,"MA_HT","DSH","MA_QH","ODT")</f>
        <v>0</v>
      </c>
      <c r="AS52" s="35">
        <f>+GETPIVOTDATA("XNT4",'nghiathanh (2016)'!$A$3,"MA_HT","DSH","MA_QH","TSC")</f>
        <v>0</v>
      </c>
      <c r="AT52" s="35">
        <f>+GETPIVOTDATA("XNT4",'nghiathanh (2016)'!$A$3,"MA_HT","DSH","MA_QH","DTS")</f>
        <v>0</v>
      </c>
      <c r="AU52" s="35">
        <f>+GETPIVOTDATA("XNT4",'nghiathanh (2016)'!$A$3,"MA_HT","DSH","MA_QH","DNG")</f>
        <v>0</v>
      </c>
      <c r="AV52" s="35">
        <f>+GETPIVOTDATA("XNT4",'nghiathanh (2016)'!$A$3,"MA_HT","DSH","MA_QH","TON")</f>
        <v>0</v>
      </c>
      <c r="AW52" s="35">
        <f>+GETPIVOTDATA("XNT4",'nghiathanh (2016)'!$A$3,"MA_HT","DSH","MA_QH","NTD")</f>
        <v>0</v>
      </c>
      <c r="AX52" s="35">
        <f>+GETPIVOTDATA("XNT4",'nghiathanh (2016)'!$A$3,"MA_HT","DSH","MA_QH","SKX")</f>
        <v>0</v>
      </c>
      <c r="AY52" s="99" t="e">
        <f>$D52-$BF52</f>
        <v>#REF!</v>
      </c>
      <c r="AZ52" s="35">
        <f>+GETPIVOTDATA("XNT4",'nghiathanh (2016)'!$A$3,"MA_HT","DSH","MA_QH","DKV")</f>
        <v>0</v>
      </c>
      <c r="BA52" s="140">
        <f>+GETPIVOTDATA("XNT4",'nghiathanh (2016)'!$A$3,"MA_HT","DSH","MA_QH","TIN")</f>
        <v>0</v>
      </c>
      <c r="BB52" s="74">
        <f>+GETPIVOTDATA("XNT4",'nghiathanh (2016)'!$A$3,"MA_HT","DSH","MA_QH","SON")</f>
        <v>0</v>
      </c>
      <c r="BC52" s="74">
        <f>+GETPIVOTDATA("XNT4",'nghiathanh (2016)'!$A$3,"MA_HT","DSH","MA_QH","MNC")</f>
        <v>0</v>
      </c>
      <c r="BD52" s="35">
        <f>+GETPIVOTDATA("XNT4",'nghiathanh (2016)'!$A$3,"MA_HT","DSH","MA_QH","PNK")</f>
        <v>0</v>
      </c>
      <c r="BE52" s="58">
        <f>+GETPIVOTDATA("XNT4",'nghiathanh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>SUM(F53,J53:Q53)</f>
        <v>0</v>
      </c>
      <c r="F53" s="64">
        <f t="shared" si="9"/>
        <v>0</v>
      </c>
      <c r="G53" s="35">
        <f>+GETPIVOTDATA("XNT4",'nghiathanh (2016)'!$A$3,"MA_HT","DKV","MA_QH","LUC")</f>
        <v>0</v>
      </c>
      <c r="H53" s="35">
        <f>+GETPIVOTDATA("XNT4",'nghiathanh (2016)'!$A$3,"MA_HT","DKV","MA_QH","LUK")</f>
        <v>0</v>
      </c>
      <c r="I53" s="35">
        <f>+GETPIVOTDATA("XNT4",'nghiathanh (2016)'!$A$3,"MA_HT","DKV","MA_QH","LUN")</f>
        <v>0</v>
      </c>
      <c r="J53" s="35">
        <f>+GETPIVOTDATA("XNT4",'nghiathanh (2016)'!$A$3,"MA_HT","DKV","MA_QH","HNK")</f>
        <v>0</v>
      </c>
      <c r="K53" s="35">
        <f>+GETPIVOTDATA("XNT4",'nghiathanh (2016)'!$A$3,"MA_HT","DKV","MA_QH","CLN")</f>
        <v>0</v>
      </c>
      <c r="L53" s="35">
        <f>+GETPIVOTDATA("XNT4",'nghiathanh (2016)'!$A$3,"MA_HT","DKV","MA_QH","RSX")</f>
        <v>0</v>
      </c>
      <c r="M53" s="35">
        <f>+GETPIVOTDATA("XNT4",'nghiathanh (2016)'!$A$3,"MA_HT","DKV","MA_QH","RPH")</f>
        <v>0</v>
      </c>
      <c r="N53" s="35">
        <f>+GETPIVOTDATA("XNT4",'nghiathanh (2016)'!$A$3,"MA_HT","DKV","MA_QH","RDD")</f>
        <v>0</v>
      </c>
      <c r="O53" s="35">
        <f>+GETPIVOTDATA("XNT4",'nghiathanh (2016)'!$A$3,"MA_HT","DKV","MA_QH","NTS")</f>
        <v>0</v>
      </c>
      <c r="P53" s="35">
        <f>+GETPIVOTDATA("XNT4",'nghiathanh (2016)'!$A$3,"MA_HT","DKV","MA_QH","LMU")</f>
        <v>0</v>
      </c>
      <c r="Q53" s="35">
        <f>+GETPIVOTDATA("XNT4",'nghiathanh (2016)'!$A$3,"MA_HT","DKV","MA_QH","NKH")</f>
        <v>0</v>
      </c>
      <c r="R53" s="106">
        <f>SUM(S53:AA53,AN53:AY53,BB53:BD53)</f>
        <v>0</v>
      </c>
      <c r="S53" s="35">
        <f>+GETPIVOTDATA("XNT4",'nghiathanh (2016)'!$A$3,"MA_HT","DKV","MA_QH","CQP")</f>
        <v>0</v>
      </c>
      <c r="T53" s="35">
        <f>+GETPIVOTDATA("XNT4",'nghiathanh (2016)'!$A$3,"MA_HT","DKV","MA_QH","CAN")</f>
        <v>0</v>
      </c>
      <c r="U53" s="35">
        <f>+GETPIVOTDATA("XNT4",'nghiathanh (2016)'!$A$3,"MA_HT","DKV","MA_QH","SKK")</f>
        <v>0</v>
      </c>
      <c r="V53" s="35">
        <f>+GETPIVOTDATA("XNT4",'nghiathanh (2016)'!$A$3,"MA_HT","DKV","MA_QH","SKT")</f>
        <v>0</v>
      </c>
      <c r="W53" s="35">
        <f>+GETPIVOTDATA("XNT4",'nghiathanh (2016)'!$A$3,"MA_HT","DKV","MA_QH","SKN")</f>
        <v>0</v>
      </c>
      <c r="X53" s="35">
        <f>+GETPIVOTDATA("XNT4",'nghiathanh (2016)'!$A$3,"MA_HT","DKV","MA_QH","TMD")</f>
        <v>0</v>
      </c>
      <c r="Y53" s="35">
        <f>+GETPIVOTDATA("XNT4",'nghiathanh (2016)'!$A$3,"MA_HT","DKV","MA_QH","SKC")</f>
        <v>0</v>
      </c>
      <c r="Z53" s="35">
        <f>+GETPIVOTDATA("XNT4",'nghiathanh (2016)'!$A$3,"MA_HT","DKV","MA_QH","SKS")</f>
        <v>0</v>
      </c>
      <c r="AA53" s="64">
        <f t="shared" si="21"/>
        <v>0</v>
      </c>
      <c r="AB53" s="35">
        <f>+GETPIVOTDATA("XNT4",'nghiathanh (2016)'!$A$3,"MA_HT","DKV","MA_QH","DGT")</f>
        <v>0</v>
      </c>
      <c r="AC53" s="35">
        <f>+GETPIVOTDATA("XNT4",'nghiathanh (2016)'!$A$3,"MA_HT","DKV","MA_QH","DTL")</f>
        <v>0</v>
      </c>
      <c r="AD53" s="35">
        <f>+GETPIVOTDATA("XNT4",'nghiathanh (2016)'!$A$3,"MA_HT","DKV","MA_QH","DNL")</f>
        <v>0</v>
      </c>
      <c r="AE53" s="35">
        <f>+GETPIVOTDATA("XNT4",'nghiathanh (2016)'!$A$3,"MA_HT","DKV","MA_QH","DBV")</f>
        <v>0</v>
      </c>
      <c r="AF53" s="35">
        <f>+GETPIVOTDATA("XNT4",'nghiathanh (2016)'!$A$3,"MA_HT","DKV","MA_QH","DVH")</f>
        <v>0</v>
      </c>
      <c r="AG53" s="35">
        <f>+GETPIVOTDATA("XNT4",'nghiathanh (2016)'!$A$3,"MA_HT","DKV","MA_QH","DYT")</f>
        <v>0</v>
      </c>
      <c r="AH53" s="35">
        <f>+GETPIVOTDATA("XNT4",'nghiathanh (2016)'!$A$3,"MA_HT","DKV","MA_QH","DGD")</f>
        <v>0</v>
      </c>
      <c r="AI53" s="35">
        <f>+GETPIVOTDATA("XNT4",'nghiathanh (2016)'!$A$3,"MA_HT","DKV","MA_QH","DTT")</f>
        <v>0</v>
      </c>
      <c r="AJ53" s="35">
        <f>+GETPIVOTDATA("XNT4",'nghiathanh (2016)'!$A$3,"MA_HT","DKV","MA_QH","NCK")</f>
        <v>0</v>
      </c>
      <c r="AK53" s="35">
        <f>+GETPIVOTDATA("XNT4",'nghiathanh (2016)'!$A$3,"MA_HT","DKV","MA_QH","DXH")</f>
        <v>0</v>
      </c>
      <c r="AL53" s="35">
        <f>+GETPIVOTDATA("XNT4",'nghiathanh (2016)'!$A$3,"MA_HT","DKV","MA_QH","DCH")</f>
        <v>0</v>
      </c>
      <c r="AM53" s="35">
        <f>+GETPIVOTDATA("XNT4",'nghiathanh (2016)'!$A$3,"MA_HT","DKV","MA_QH","DKG")</f>
        <v>0</v>
      </c>
      <c r="AN53" s="35">
        <f>+GETPIVOTDATA("XNT4",'nghiathanh (2016)'!$A$3,"MA_HT","DKV","MA_QH","DDT")</f>
        <v>0</v>
      </c>
      <c r="AO53" s="35">
        <f>+GETPIVOTDATA("XNT4",'nghiathanh (2016)'!$A$3,"MA_HT","DKV","MA_QH","DDL")</f>
        <v>0</v>
      </c>
      <c r="AP53" s="35">
        <f>+GETPIVOTDATA("XNT4",'nghiathanh (2016)'!$A$3,"MA_HT","DKV","MA_QH","DRA")</f>
        <v>0</v>
      </c>
      <c r="AQ53" s="35">
        <f>+GETPIVOTDATA("XNT4",'nghiathanh (2016)'!$A$3,"MA_HT","DKV","MA_QH","ONT")</f>
        <v>0</v>
      </c>
      <c r="AR53" s="35">
        <f>+GETPIVOTDATA("XNT4",'nghiathanh (2016)'!$A$3,"MA_HT","DKV","MA_QH","ODT")</f>
        <v>0</v>
      </c>
      <c r="AS53" s="35">
        <f>+GETPIVOTDATA("XNT4",'nghiathanh (2016)'!$A$3,"MA_HT","DKV","MA_QH","TSC")</f>
        <v>0</v>
      </c>
      <c r="AT53" s="35">
        <f>+GETPIVOTDATA("XNT4",'nghiathanh (2016)'!$A$3,"MA_HT","DKV","MA_QH","DTS")</f>
        <v>0</v>
      </c>
      <c r="AU53" s="35">
        <f>+GETPIVOTDATA("XNT4",'nghiathanh (2016)'!$A$3,"MA_HT","DKV","MA_QH","DNG")</f>
        <v>0</v>
      </c>
      <c r="AV53" s="35">
        <f>+GETPIVOTDATA("XNT4",'nghiathanh (2016)'!$A$3,"MA_HT","DKV","MA_QH","TON")</f>
        <v>0</v>
      </c>
      <c r="AW53" s="35">
        <f>+GETPIVOTDATA("XNT4",'nghiathanh (2016)'!$A$3,"MA_HT","DKV","MA_QH","NTD")</f>
        <v>0</v>
      </c>
      <c r="AX53" s="35">
        <f>+GETPIVOTDATA("XNT4",'nghiathanh (2016)'!$A$3,"MA_HT","DKV","MA_QH","SKX")</f>
        <v>0</v>
      </c>
      <c r="AY53" s="35">
        <f>+GETPIVOTDATA("XNT4",'nghiathanh (2016)'!$A$3,"MA_HT","DKV","MA_QH","DSH")</f>
        <v>0</v>
      </c>
      <c r="AZ53" s="99" t="e">
        <f>$D53-$BF53</f>
        <v>#REF!</v>
      </c>
      <c r="BA53" s="140">
        <f>+GETPIVOTDATA("XNT4",'nghiathanh (2016)'!$A$3,"MA_HT","DKV","MA_QH","TIN")</f>
        <v>0</v>
      </c>
      <c r="BB53" s="74">
        <f>+GETPIVOTDATA("XNT4",'nghiathanh (2016)'!$A$3,"MA_HT","DKV","MA_QH","SON")</f>
        <v>0</v>
      </c>
      <c r="BC53" s="74">
        <f>+GETPIVOTDATA("XNT4",'nghiathanh (2016)'!$A$3,"MA_HT","DKV","MA_QH","MNC")</f>
        <v>0</v>
      </c>
      <c r="BD53" s="35">
        <f>+GETPIVOTDATA("XNT4",'nghiathanh (2016)'!$A$3,"MA_HT","DKV","MA_QH","PNK")</f>
        <v>0</v>
      </c>
      <c r="BE53" s="58">
        <f>+GETPIVOTDATA("XNT4",'nghiathanh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>SUM(F54,J54:Q54)</f>
        <v>0</v>
      </c>
      <c r="F54" s="64">
        <f>SUM(F29:F39)</f>
        <v>0</v>
      </c>
      <c r="G54" s="35">
        <f>+GETPIVOTDATA("XNT4",'nghiathanh (2016)'!$A$3,"MA_HT","TIN","MA_QH","LUC")</f>
        <v>0</v>
      </c>
      <c r="H54" s="35">
        <f>+GETPIVOTDATA("XNT4",'nghiathanh (2016)'!$A$3,"MA_HT","TIN","MA_QH","LUK")</f>
        <v>0</v>
      </c>
      <c r="I54" s="35">
        <f>+GETPIVOTDATA("XNT4",'nghiathanh (2016)'!$A$3,"MA_HT","TIN","MA_QH","LUN")</f>
        <v>0</v>
      </c>
      <c r="J54" s="35">
        <f>+GETPIVOTDATA("XNT4",'nghiathanh (2016)'!$A$3,"MA_HT","TIN","MA_QH","HNK")</f>
        <v>0</v>
      </c>
      <c r="K54" s="35">
        <f>+GETPIVOTDATA("XNT4",'nghiathanh (2016)'!$A$3,"MA_HT","TIN","MA_QH","CLN")</f>
        <v>0</v>
      </c>
      <c r="L54" s="35">
        <f>+GETPIVOTDATA("XNT4",'nghiathanh (2016)'!$A$3,"MA_HT","TIN","MA_QH","RSX")</f>
        <v>0</v>
      </c>
      <c r="M54" s="35">
        <f>+GETPIVOTDATA("XNT4",'nghiathanh (2016)'!$A$3,"MA_HT","TIN","MA_QH","RPH")</f>
        <v>0</v>
      </c>
      <c r="N54" s="35">
        <f>+GETPIVOTDATA("XNT4",'nghiathanh (2016)'!$A$3,"MA_HT","TIN","MA_QH","RDD")</f>
        <v>0</v>
      </c>
      <c r="O54" s="35">
        <f>+GETPIVOTDATA("XNT4",'nghiathanh (2016)'!$A$3,"MA_HT","TIN","MA_QH","NTS")</f>
        <v>0</v>
      </c>
      <c r="P54" s="35">
        <f>+GETPIVOTDATA("XNT4",'nghiathanh (2016)'!$A$3,"MA_HT","TIN","MA_QH","LMU")</f>
        <v>0</v>
      </c>
      <c r="Q54" s="35">
        <f>+GETPIVOTDATA("XNT4",'nghiathanh (2016)'!$A$3,"MA_HT","TIN","MA_QH","NKH")</f>
        <v>0</v>
      </c>
      <c r="R54" s="106">
        <f>SUM(S54:AA54,AN54:AZ54,BB54:BD54)</f>
        <v>0</v>
      </c>
      <c r="S54" s="35">
        <f>+GETPIVOTDATA("XNT4",'nghiathanh (2016)'!$A$3,"MA_HT","TIN","MA_QH","CQP")</f>
        <v>0</v>
      </c>
      <c r="T54" s="35">
        <f>+GETPIVOTDATA("XNT4",'nghiathanh (2016)'!$A$3,"MA_HT","TIN","MA_QH","CAN")</f>
        <v>0</v>
      </c>
      <c r="U54" s="35">
        <f>+GETPIVOTDATA("XNT4",'nghiathanh (2016)'!$A$3,"MA_HT","TIN","MA_QH","SKK")</f>
        <v>0</v>
      </c>
      <c r="V54" s="35">
        <f>+GETPIVOTDATA("XNT4",'nghiathanh (2016)'!$A$3,"MA_HT","TIN","MA_QH","SKT")</f>
        <v>0</v>
      </c>
      <c r="W54" s="35">
        <f>+GETPIVOTDATA("XNT4",'nghiathanh (2016)'!$A$3,"MA_HT","TIN","MA_QH","SKN")</f>
        <v>0</v>
      </c>
      <c r="X54" s="35">
        <f>+GETPIVOTDATA("XNT4",'nghiathanh (2016)'!$A$3,"MA_HT","TIN","MA_QH","TMD")</f>
        <v>0</v>
      </c>
      <c r="Y54" s="35">
        <f>+GETPIVOTDATA("XNT4",'nghiathanh (2016)'!$A$3,"MA_HT","TIN","MA_QH","SKC")</f>
        <v>0</v>
      </c>
      <c r="Z54" s="35">
        <f>+GETPIVOTDATA("XNT4",'nghiathanh (2016)'!$A$3,"MA_HT","TIN","MA_QH","SKS")</f>
        <v>0</v>
      </c>
      <c r="AA54" s="64">
        <f t="shared" si="21"/>
        <v>0</v>
      </c>
      <c r="AB54" s="35">
        <f>+GETPIVOTDATA("XNT4",'nghiathanh (2016)'!$A$3,"MA_HT","TIN","MA_QH","DGT")</f>
        <v>0</v>
      </c>
      <c r="AC54" s="35">
        <f>+GETPIVOTDATA("XNT4",'nghiathanh (2016)'!$A$3,"MA_HT","TIN","MA_QH","DTL")</f>
        <v>0</v>
      </c>
      <c r="AD54" s="35">
        <f>+GETPIVOTDATA("XNT4",'nghiathanh (2016)'!$A$3,"MA_HT","TIN","MA_QH","DNL")</f>
        <v>0</v>
      </c>
      <c r="AE54" s="35">
        <f>+GETPIVOTDATA("XNT4",'nghiathanh (2016)'!$A$3,"MA_HT","TIN","MA_QH","DBV")</f>
        <v>0</v>
      </c>
      <c r="AF54" s="35">
        <f>+GETPIVOTDATA("XNT4",'nghiathanh (2016)'!$A$3,"MA_HT","TIN","MA_QH","DVH")</f>
        <v>0</v>
      </c>
      <c r="AG54" s="35">
        <f>+GETPIVOTDATA("XNT4",'nghiathanh (2016)'!$A$3,"MA_HT","TIN","MA_QH","DYT")</f>
        <v>0</v>
      </c>
      <c r="AH54" s="35">
        <f>+GETPIVOTDATA("XNT4",'nghiathanh (2016)'!$A$3,"MA_HT","TIN","MA_QH","DGD")</f>
        <v>0</v>
      </c>
      <c r="AI54" s="35">
        <f>+GETPIVOTDATA("XNT4",'nghiathanh (2016)'!$A$3,"MA_HT","TIN","MA_QH","DTT")</f>
        <v>0</v>
      </c>
      <c r="AJ54" s="35">
        <f>+GETPIVOTDATA("XNT4",'nghiathanh (2016)'!$A$3,"MA_HT","TIN","MA_QH","NCK")</f>
        <v>0</v>
      </c>
      <c r="AK54" s="35">
        <f>+GETPIVOTDATA("XNT4",'nghiathanh (2016)'!$A$3,"MA_HT","TIN","MA_QH","DXH")</f>
        <v>0</v>
      </c>
      <c r="AL54" s="35">
        <f>+GETPIVOTDATA("XNT4",'nghiathanh (2016)'!$A$3,"MA_HT","TIN","MA_QH","DCH")</f>
        <v>0</v>
      </c>
      <c r="AM54" s="35">
        <f>+GETPIVOTDATA("XNT4",'nghiathanh (2016)'!$A$3,"MA_HT","TIN","MA_QH","DKG")</f>
        <v>0</v>
      </c>
      <c r="AN54" s="35">
        <f>+GETPIVOTDATA("XNT4",'nghiathanh (2016)'!$A$3,"MA_HT","TIN","MA_QH","DDT")</f>
        <v>0</v>
      </c>
      <c r="AO54" s="35">
        <f>+GETPIVOTDATA("XNT4",'nghiathanh (2016)'!$A$3,"MA_HT","TIN","MA_QH","DDL")</f>
        <v>0</v>
      </c>
      <c r="AP54" s="35">
        <f>+GETPIVOTDATA("XNT4",'nghiathanh (2016)'!$A$3,"MA_HT","TIN","MA_QH","DRA")</f>
        <v>0</v>
      </c>
      <c r="AQ54" s="35">
        <f>+GETPIVOTDATA("XNT4",'nghiathanh (2016)'!$A$3,"MA_HT","TIN","MA_QH","ONT")</f>
        <v>0</v>
      </c>
      <c r="AR54" s="35">
        <f>+GETPIVOTDATA("XNT4",'nghiathanh (2016)'!$A$3,"MA_HT","TIN","MA_QH","ODT")</f>
        <v>0</v>
      </c>
      <c r="AS54" s="35">
        <f>+GETPIVOTDATA("XNT4",'nghiathanh (2016)'!$A$3,"MA_HT","TIN","MA_QH","TSC")</f>
        <v>0</v>
      </c>
      <c r="AT54" s="35">
        <f>+GETPIVOTDATA("XNT4",'nghiathanh (2016)'!$A$3,"MA_HT","TIN","MA_QH","DTS")</f>
        <v>0</v>
      </c>
      <c r="AU54" s="35">
        <f>+GETPIVOTDATA("XNT4",'nghiathanh (2016)'!$A$3,"MA_HT","TIN","MA_QH","DNG")</f>
        <v>0</v>
      </c>
      <c r="AV54" s="35">
        <f>+GETPIVOTDATA("XNT4",'nghiathanh (2016)'!$A$3,"MA_HT","TIN","MA_QH","TON")</f>
        <v>0</v>
      </c>
      <c r="AW54" s="35">
        <f>+GETPIVOTDATA("XNT4",'nghiathanh (2016)'!$A$3,"MA_HT","TIN","MA_QH","NTD")</f>
        <v>0</v>
      </c>
      <c r="AX54" s="35">
        <f>+GETPIVOTDATA("XNT4",'nghiathanh (2016)'!$A$3,"MA_HT","TIN","MA_QH","SKX")</f>
        <v>0</v>
      </c>
      <c r="AY54" s="35">
        <f>+GETPIVOTDATA("XNT4",'nghiathanh (2016)'!$A$3,"MA_HT","TIN","MA_QH","DSH")</f>
        <v>0</v>
      </c>
      <c r="AZ54" s="35">
        <f>+GETPIVOTDATA("XNT4",'nghiathanh (2016)'!$A$3,"MA_HT","TIN","MA_QH","DKV")</f>
        <v>0</v>
      </c>
      <c r="BA54" s="99" t="e">
        <f>$D54-$BF54</f>
        <v>#REF!</v>
      </c>
      <c r="BB54" s="35">
        <f>+GETPIVOTDATA("XNT4",'nghiathanh (2016)'!$A$3,"MA_HT","TIN","MA_QH","SON")</f>
        <v>0</v>
      </c>
      <c r="BC54" s="35">
        <f>+GETPIVOTDATA("XNT4",'nghiathanh (2016)'!$A$3,"MA_HT","TIN","MA_QH","MNC")</f>
        <v>0</v>
      </c>
      <c r="BD54" s="35">
        <f>+GETPIVOTDATA("XNT4",'nghiathanh (2016)'!$A$3,"MA_HT","TIN","MA_QH","PNK")</f>
        <v>0</v>
      </c>
      <c r="BE54" s="58">
        <f>+GETPIVOTDATA("XNT4",'nghiathanh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+GETPIVOTDATA("XNT4",'nghiathanh (2016)'!$A$3,"MA_HT","SON","MA_QH","LUC")</f>
        <v>0</v>
      </c>
      <c r="H55" s="35">
        <f>+GETPIVOTDATA("XNT4",'nghiathanh (2016)'!$A$3,"MA_HT","SON","MA_QH","LUK")</f>
        <v>0</v>
      </c>
      <c r="I55" s="35">
        <f>+GETPIVOTDATA("XNT4",'nghiathanh (2016)'!$A$3,"MA_HT","SON","MA_QH","LUN")</f>
        <v>0</v>
      </c>
      <c r="J55" s="35">
        <f>+GETPIVOTDATA("XNT4",'nghiathanh (2016)'!$A$3,"MA_HT","SON","MA_QH","HNK")</f>
        <v>0</v>
      </c>
      <c r="K55" s="35">
        <f>+GETPIVOTDATA("XNT4",'nghiathanh (2016)'!$A$3,"MA_HT","SON","MA_QH","CLN")</f>
        <v>0</v>
      </c>
      <c r="L55" s="35">
        <f>+GETPIVOTDATA("XNT4",'nghiathanh (2016)'!$A$3,"MA_HT","SON","MA_QH","RSX")</f>
        <v>0</v>
      </c>
      <c r="M55" s="35">
        <f>+GETPIVOTDATA("XNT4",'nghiathanh (2016)'!$A$3,"MA_HT","SON","MA_QH","RPH")</f>
        <v>0</v>
      </c>
      <c r="N55" s="35">
        <f>+GETPIVOTDATA("XNT4",'nghiathanh (2016)'!$A$3,"MA_HT","SON","MA_QH","RDD")</f>
        <v>0</v>
      </c>
      <c r="O55" s="35">
        <f>+GETPIVOTDATA("XNT4",'nghiathanh (2016)'!$A$3,"MA_HT","SON","MA_QH","NTS")</f>
        <v>0</v>
      </c>
      <c r="P55" s="35">
        <f>+GETPIVOTDATA("XNT4",'nghiathanh (2016)'!$A$3,"MA_HT","SON","MA_QH","LMU")</f>
        <v>0</v>
      </c>
      <c r="Q55" s="35">
        <f>+GETPIVOTDATA("XNT4",'nghiathanh (2016)'!$A$3,"MA_HT","SON","MA_QH","NKH")</f>
        <v>0</v>
      </c>
      <c r="R55" s="106">
        <f>SUM(S55:AA55,AN55:AZ55,BC55:BD55)</f>
        <v>0</v>
      </c>
      <c r="S55" s="35">
        <f>+GETPIVOTDATA("XNT4",'nghiathanh (2016)'!$A$3,"MA_HT","SON","MA_QH","CQP")</f>
        <v>0</v>
      </c>
      <c r="T55" s="35">
        <f>+GETPIVOTDATA("XNT4",'nghiathanh (2016)'!$A$3,"MA_HT","SON","MA_QH","CAN")</f>
        <v>0</v>
      </c>
      <c r="U55" s="35">
        <f>+GETPIVOTDATA("XNT4",'nghiathanh (2016)'!$A$3,"MA_HT","SON","MA_QH","SKK")</f>
        <v>0</v>
      </c>
      <c r="V55" s="35">
        <f>+GETPIVOTDATA("XNT4",'nghiathanh (2016)'!$A$3,"MA_HT","SON","MA_QH","SKT")</f>
        <v>0</v>
      </c>
      <c r="W55" s="35">
        <f>+GETPIVOTDATA("XNT4",'nghiathanh (2016)'!$A$3,"MA_HT","SON","MA_QH","SKN")</f>
        <v>0</v>
      </c>
      <c r="X55" s="35">
        <f>+GETPIVOTDATA("XNT4",'nghiathanh (2016)'!$A$3,"MA_HT","SON","MA_QH","TMD")</f>
        <v>0</v>
      </c>
      <c r="Y55" s="35">
        <f>+GETPIVOTDATA("XNT4",'nghiathanh (2016)'!$A$3,"MA_HT","SON","MA_QH","SKC")</f>
        <v>0</v>
      </c>
      <c r="Z55" s="35">
        <f>+GETPIVOTDATA("XNT4",'nghiathanh (2016)'!$A$3,"MA_HT","SON","MA_QH","SKS")</f>
        <v>0</v>
      </c>
      <c r="AA55" s="64">
        <f t="shared" si="21"/>
        <v>0</v>
      </c>
      <c r="AB55" s="35">
        <f>+GETPIVOTDATA("XNT4",'nghiathanh (2016)'!$A$3,"MA_HT","SON","MA_QH","DGT")</f>
        <v>0</v>
      </c>
      <c r="AC55" s="35">
        <f>+GETPIVOTDATA("XNT4",'nghiathanh (2016)'!$A$3,"MA_HT","SON","MA_QH","DTL")</f>
        <v>0</v>
      </c>
      <c r="AD55" s="35">
        <f>+GETPIVOTDATA("XNT4",'nghiathanh (2016)'!$A$3,"MA_HT","SON","MA_QH","DNL")</f>
        <v>0</v>
      </c>
      <c r="AE55" s="35">
        <f>+GETPIVOTDATA("XNT4",'nghiathanh (2016)'!$A$3,"MA_HT","SON","MA_QH","DBV")</f>
        <v>0</v>
      </c>
      <c r="AF55" s="35">
        <f>+GETPIVOTDATA("XNT4",'nghiathanh (2016)'!$A$3,"MA_HT","SON","MA_QH","DVH")</f>
        <v>0</v>
      </c>
      <c r="AG55" s="35">
        <f>+GETPIVOTDATA("XNT4",'nghiathanh (2016)'!$A$3,"MA_HT","SON","MA_QH","DYT")</f>
        <v>0</v>
      </c>
      <c r="AH55" s="35">
        <f>+GETPIVOTDATA("XNT4",'nghiathanh (2016)'!$A$3,"MA_HT","SON","MA_QH","DGD")</f>
        <v>0</v>
      </c>
      <c r="AI55" s="35">
        <f>+GETPIVOTDATA("XNT4",'nghiathanh (2016)'!$A$3,"MA_HT","SON","MA_QH","DTT")</f>
        <v>0</v>
      </c>
      <c r="AJ55" s="35">
        <f>+GETPIVOTDATA("XNT4",'nghiathanh (2016)'!$A$3,"MA_HT","SON","MA_QH","NCK")</f>
        <v>0</v>
      </c>
      <c r="AK55" s="35">
        <f>+GETPIVOTDATA("XNT4",'nghiathanh (2016)'!$A$3,"MA_HT","SON","MA_QH","DXH")</f>
        <v>0</v>
      </c>
      <c r="AL55" s="35">
        <f>+GETPIVOTDATA("XNT4",'nghiathanh (2016)'!$A$3,"MA_HT","SON","MA_QH","DCH")</f>
        <v>0</v>
      </c>
      <c r="AM55" s="35">
        <f>+GETPIVOTDATA("XNT4",'nghiathanh (2016)'!$A$3,"MA_HT","SON","MA_QH","DKG")</f>
        <v>0</v>
      </c>
      <c r="AN55" s="35">
        <f>+GETPIVOTDATA("XNT4",'nghiathanh (2016)'!$A$3,"MA_HT","SON","MA_QH","DDT")</f>
        <v>0</v>
      </c>
      <c r="AO55" s="35">
        <f>+GETPIVOTDATA("XNT4",'nghiathanh (2016)'!$A$3,"MA_HT","SON","MA_QH","DDL")</f>
        <v>0</v>
      </c>
      <c r="AP55" s="35">
        <f>+GETPIVOTDATA("XNT4",'nghiathanh (2016)'!$A$3,"MA_HT","SON","MA_QH","DRA")</f>
        <v>0</v>
      </c>
      <c r="AQ55" s="35">
        <f>+GETPIVOTDATA("XNT4",'nghiathanh (2016)'!$A$3,"MA_HT","SON","MA_QH","ONT")</f>
        <v>0</v>
      </c>
      <c r="AR55" s="35">
        <f>+GETPIVOTDATA("XNT4",'nghiathanh (2016)'!$A$3,"MA_HT","SON","MA_QH","ODT")</f>
        <v>0</v>
      </c>
      <c r="AS55" s="35">
        <f>+GETPIVOTDATA("XNT4",'nghiathanh (2016)'!$A$3,"MA_HT","SON","MA_QH","TSC")</f>
        <v>0</v>
      </c>
      <c r="AT55" s="35">
        <f>+GETPIVOTDATA("XNT4",'nghiathanh (2016)'!$A$3,"MA_HT","SON","MA_QH","DTS")</f>
        <v>0</v>
      </c>
      <c r="AU55" s="35">
        <f>+GETPIVOTDATA("XNT4",'nghiathanh (2016)'!$A$3,"MA_HT","SON","MA_QH","DNG")</f>
        <v>0</v>
      </c>
      <c r="AV55" s="35">
        <f>+GETPIVOTDATA("XNT4",'nghiathanh (2016)'!$A$3,"MA_HT","SON","MA_QH","TON")</f>
        <v>0</v>
      </c>
      <c r="AW55" s="35">
        <f>+GETPIVOTDATA("XNT4",'nghiathanh (2016)'!$A$3,"MA_HT","SON","MA_QH","NTD")</f>
        <v>0</v>
      </c>
      <c r="AX55" s="35">
        <f>+GETPIVOTDATA("XNT4",'nghiathanh (2016)'!$A$3,"MA_HT","SON","MA_QH","SKX")</f>
        <v>0</v>
      </c>
      <c r="AY55" s="35">
        <f>+GETPIVOTDATA("XNT4",'nghiathanh (2016)'!$A$3,"MA_HT","SON","MA_QH","DSH")</f>
        <v>0</v>
      </c>
      <c r="AZ55" s="35">
        <f>+GETPIVOTDATA("XNT4",'nghiathanh (2016)'!$A$3,"MA_HT","SON","MA_QH","DKV")</f>
        <v>0</v>
      </c>
      <c r="BA55" s="140">
        <f>+GETPIVOTDATA("XNT4",'nghiathanh (2016)'!$A$3,"MA_HT","SON","MA_QH","TIN")</f>
        <v>0</v>
      </c>
      <c r="BB55" s="99" t="e">
        <f>$D55-$BF55</f>
        <v>#REF!</v>
      </c>
      <c r="BC55" s="74">
        <f>+GETPIVOTDATA("XNT4",'nghiathanh (2016)'!$A$3,"MA_HT","SON","MA_QH","MNC")</f>
        <v>0</v>
      </c>
      <c r="BD55" s="35">
        <f>+GETPIVOTDATA("XNT4",'nghiathanh (2016)'!$A$3,"MA_HT","SON","MA_QH","PNK")</f>
        <v>0</v>
      </c>
      <c r="BE55" s="58">
        <f>+GETPIVOTDATA("XNT4",'nghiathanh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+GETPIVOTDATA("XNT4",'nghiathanh (2016)'!$A$3,"MA_HT","MNC","MA_QH","LUC")</f>
        <v>0</v>
      </c>
      <c r="H56" s="35">
        <f>+GETPIVOTDATA("XNT4",'nghiathanh (2016)'!$A$3,"MA_HT","MNC","MA_QH","LUK")</f>
        <v>0</v>
      </c>
      <c r="I56" s="35">
        <f>+GETPIVOTDATA("XNT4",'nghiathanh (2016)'!$A$3,"MA_HT","MNC","MA_QH","LUN")</f>
        <v>0</v>
      </c>
      <c r="J56" s="35">
        <f>+GETPIVOTDATA("XNT4",'nghiathanh (2016)'!$A$3,"MA_HT","MNC","MA_QH","HNK")</f>
        <v>0</v>
      </c>
      <c r="K56" s="35">
        <f>+GETPIVOTDATA("XNT4",'nghiathanh (2016)'!$A$3,"MA_HT","MNC","MA_QH","CLN")</f>
        <v>0</v>
      </c>
      <c r="L56" s="35">
        <f>+GETPIVOTDATA("XNT4",'nghiathanh (2016)'!$A$3,"MA_HT","MNC","MA_QH","RSX")</f>
        <v>0</v>
      </c>
      <c r="M56" s="35">
        <f>+GETPIVOTDATA("XNT4",'nghiathanh (2016)'!$A$3,"MA_HT","MNC","MA_QH","RPH")</f>
        <v>0</v>
      </c>
      <c r="N56" s="35">
        <f>+GETPIVOTDATA("XNT4",'nghiathanh (2016)'!$A$3,"MA_HT","MNC","MA_QH","RDD")</f>
        <v>0</v>
      </c>
      <c r="O56" s="35">
        <f>+GETPIVOTDATA("XNT4",'nghiathanh (2016)'!$A$3,"MA_HT","MNC","MA_QH","NTS")</f>
        <v>0</v>
      </c>
      <c r="P56" s="35">
        <f>+GETPIVOTDATA("XNT4",'nghiathanh (2016)'!$A$3,"MA_HT","MNC","MA_QH","LMU")</f>
        <v>0</v>
      </c>
      <c r="Q56" s="35">
        <f>+GETPIVOTDATA("XNT4",'nghiathanh (2016)'!$A$3,"MA_HT","MNC","MA_QH","NKH")</f>
        <v>0</v>
      </c>
      <c r="R56" s="106">
        <f>SUM(S56:AA56,AN56:BB56,BD56)</f>
        <v>0</v>
      </c>
      <c r="S56" s="35">
        <f>+GETPIVOTDATA("XNT4",'nghiathanh (2016)'!$A$3,"MA_HT","MNC","MA_QH","CQP")</f>
        <v>0</v>
      </c>
      <c r="T56" s="35">
        <f>+GETPIVOTDATA("XNT4",'nghiathanh (2016)'!$A$3,"MA_HT","MNC","MA_QH","CAN")</f>
        <v>0</v>
      </c>
      <c r="U56" s="35">
        <f>+GETPIVOTDATA("XNT4",'nghiathanh (2016)'!$A$3,"MA_HT","MNC","MA_QH","SKK")</f>
        <v>0</v>
      </c>
      <c r="V56" s="35">
        <f>+GETPIVOTDATA("XNT4",'nghiathanh (2016)'!$A$3,"MA_HT","MNC","MA_QH","SKT")</f>
        <v>0</v>
      </c>
      <c r="W56" s="35">
        <f>+GETPIVOTDATA("XNT4",'nghiathanh (2016)'!$A$3,"MA_HT","MNC","MA_QH","SKN")</f>
        <v>0</v>
      </c>
      <c r="X56" s="35">
        <f>+GETPIVOTDATA("XNT4",'nghiathanh (2016)'!$A$3,"MA_HT","MNC","MA_QH","TMD")</f>
        <v>0</v>
      </c>
      <c r="Y56" s="35">
        <f>+GETPIVOTDATA("XNT4",'nghiathanh (2016)'!$A$3,"MA_HT","MNC","MA_QH","SKC")</f>
        <v>0</v>
      </c>
      <c r="Z56" s="35">
        <f>+GETPIVOTDATA("XNT4",'nghiathanh (2016)'!$A$3,"MA_HT","MNC","MA_QH","SKS")</f>
        <v>0</v>
      </c>
      <c r="AA56" s="64">
        <f t="shared" si="21"/>
        <v>0</v>
      </c>
      <c r="AB56" s="35">
        <f>+GETPIVOTDATA("XNT4",'nghiathanh (2016)'!$A$3,"MA_HT","MNC","MA_QH","DGT")</f>
        <v>0</v>
      </c>
      <c r="AC56" s="35">
        <f>+GETPIVOTDATA("XNT4",'nghiathanh (2016)'!$A$3,"MA_HT","MNC","MA_QH","DTL")</f>
        <v>0</v>
      </c>
      <c r="AD56" s="35">
        <f>+GETPIVOTDATA("XNT4",'nghiathanh (2016)'!$A$3,"MA_HT","MNC","MA_QH","DNL")</f>
        <v>0</v>
      </c>
      <c r="AE56" s="35">
        <f>+GETPIVOTDATA("XNT4",'nghiathanh (2016)'!$A$3,"MA_HT","MNC","MA_QH","DBV")</f>
        <v>0</v>
      </c>
      <c r="AF56" s="35">
        <f>+GETPIVOTDATA("XNT4",'nghiathanh (2016)'!$A$3,"MA_HT","MNC","MA_QH","DVH")</f>
        <v>0</v>
      </c>
      <c r="AG56" s="35">
        <f>+GETPIVOTDATA("XNT4",'nghiathanh (2016)'!$A$3,"MA_HT","MNC","MA_QH","DYT")</f>
        <v>0</v>
      </c>
      <c r="AH56" s="35">
        <f>+GETPIVOTDATA("XNT4",'nghiathanh (2016)'!$A$3,"MA_HT","MNC","MA_QH","DGD")</f>
        <v>0</v>
      </c>
      <c r="AI56" s="35">
        <f>+GETPIVOTDATA("XNT4",'nghiathanh (2016)'!$A$3,"MA_HT","MNC","MA_QH","DTT")</f>
        <v>0</v>
      </c>
      <c r="AJ56" s="35">
        <f>+GETPIVOTDATA("XNT4",'nghiathanh (2016)'!$A$3,"MA_HT","MNC","MA_QH","NCK")</f>
        <v>0</v>
      </c>
      <c r="AK56" s="35">
        <f>+GETPIVOTDATA("XNT4",'nghiathanh (2016)'!$A$3,"MA_HT","MNC","MA_QH","DXH")</f>
        <v>0</v>
      </c>
      <c r="AL56" s="35">
        <f>+GETPIVOTDATA("XNT4",'nghiathanh (2016)'!$A$3,"MA_HT","MNC","MA_QH","DCH")</f>
        <v>0</v>
      </c>
      <c r="AM56" s="35">
        <f>+GETPIVOTDATA("XNT4",'nghiathanh (2016)'!$A$3,"MA_HT","MNC","MA_QH","DKG")</f>
        <v>0</v>
      </c>
      <c r="AN56" s="35">
        <f>+GETPIVOTDATA("XNT4",'nghiathanh (2016)'!$A$3,"MA_HT","MNC","MA_QH","DDT")</f>
        <v>0</v>
      </c>
      <c r="AO56" s="35">
        <f>+GETPIVOTDATA("XNT4",'nghiathanh (2016)'!$A$3,"MA_HT","MNC","MA_QH","DDL")</f>
        <v>0</v>
      </c>
      <c r="AP56" s="35">
        <f>+GETPIVOTDATA("XNT4",'nghiathanh (2016)'!$A$3,"MA_HT","MNC","MA_QH","DRA")</f>
        <v>0</v>
      </c>
      <c r="AQ56" s="35">
        <f>+GETPIVOTDATA("XNT4",'nghiathanh (2016)'!$A$3,"MA_HT","MNC","MA_QH","ONT")</f>
        <v>0</v>
      </c>
      <c r="AR56" s="35">
        <f>+GETPIVOTDATA("XNT4",'nghiathanh (2016)'!$A$3,"MA_HT","MNC","MA_QH","ODT")</f>
        <v>0</v>
      </c>
      <c r="AS56" s="35">
        <f>+GETPIVOTDATA("XNT4",'nghiathanh (2016)'!$A$3,"MA_HT","MNC","MA_QH","TSC")</f>
        <v>0</v>
      </c>
      <c r="AT56" s="35">
        <f>+GETPIVOTDATA("XNT4",'nghiathanh (2016)'!$A$3,"MA_HT","MNC","MA_QH","DTS")</f>
        <v>0</v>
      </c>
      <c r="AU56" s="35">
        <f>+GETPIVOTDATA("XNT4",'nghiathanh (2016)'!$A$3,"MA_HT","MNC","MA_QH","DNG")</f>
        <v>0</v>
      </c>
      <c r="AV56" s="35">
        <f>+GETPIVOTDATA("XNT4",'nghiathanh (2016)'!$A$3,"MA_HT","MNC","MA_QH","TON")</f>
        <v>0</v>
      </c>
      <c r="AW56" s="35">
        <f>+GETPIVOTDATA("XNT4",'nghiathanh (2016)'!$A$3,"MA_HT","MNC","MA_QH","NTD")</f>
        <v>0</v>
      </c>
      <c r="AX56" s="35">
        <f>+GETPIVOTDATA("XNT4",'nghiathanh (2016)'!$A$3,"MA_HT","MNC","MA_QH","SKX")</f>
        <v>0</v>
      </c>
      <c r="AY56" s="35">
        <f>+GETPIVOTDATA("XNT4",'nghiathanh (2016)'!$A$3,"MA_HT","MNC","MA_QH","DSH")</f>
        <v>0</v>
      </c>
      <c r="AZ56" s="35">
        <f>+GETPIVOTDATA("XNT4",'nghiathanh (2016)'!$A$3,"MA_HT","MNC","MA_QH","DKV")</f>
        <v>0</v>
      </c>
      <c r="BA56" s="140">
        <f>+GETPIVOTDATA("XNT4",'nghiathanh (2016)'!$A$3,"MA_HT","MNC","MA_QH","TIN")</f>
        <v>0</v>
      </c>
      <c r="BB56" s="74">
        <f>+GETPIVOTDATA("XNT4",'nghiathanh (2016)'!$A$3,"MA_HT","MNC","MA_QH","SON")</f>
        <v>0</v>
      </c>
      <c r="BC56" s="99" t="e">
        <f>$D56-$BF56</f>
        <v>#REF!</v>
      </c>
      <c r="BD56" s="35">
        <f>+GETPIVOTDATA("XNT4",'nghiathanh (2016)'!$A$3,"MA_HT","MNC","MA_QH","PNK")</f>
        <v>0</v>
      </c>
      <c r="BE56" s="58">
        <f>+GETPIVOTDATA("XNT4",'nghiathanh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+GETPIVOTDATA("XNT4",'nghiathanh (2016)'!$A$3,"MA_HT","PNK","MA_QH","LUC")</f>
        <v>0</v>
      </c>
      <c r="H57" s="35">
        <f>+GETPIVOTDATA("XNT4",'nghiathanh (2016)'!$A$3,"MA_HT","PNK","MA_QH","LUK")</f>
        <v>0</v>
      </c>
      <c r="I57" s="35">
        <f>+GETPIVOTDATA("XNT4",'nghiathanh (2016)'!$A$3,"MA_HT","PNK","MA_QH","LUN")</f>
        <v>0</v>
      </c>
      <c r="J57" s="35">
        <f>+GETPIVOTDATA("XNT4",'nghiathanh (2016)'!$A$3,"MA_HT","PNK","MA_QH","HNK")</f>
        <v>0</v>
      </c>
      <c r="K57" s="35">
        <f>+GETPIVOTDATA("XNT4",'nghiathanh (2016)'!$A$3,"MA_HT","PNK","MA_QH","CLN")</f>
        <v>0</v>
      </c>
      <c r="L57" s="35">
        <f>+GETPIVOTDATA("XNT4",'nghiathanh (2016)'!$A$3,"MA_HT","PNK","MA_QH","RSX")</f>
        <v>0</v>
      </c>
      <c r="M57" s="35">
        <f>+GETPIVOTDATA("XNT4",'nghiathanh (2016)'!$A$3,"MA_HT","PNK","MA_QH","RPH")</f>
        <v>0</v>
      </c>
      <c r="N57" s="35">
        <f>+GETPIVOTDATA("XNT4",'nghiathanh (2016)'!$A$3,"MA_HT","PNK","MA_QH","RDD")</f>
        <v>0</v>
      </c>
      <c r="O57" s="35">
        <f>+GETPIVOTDATA("XNT4",'nghiathanh (2016)'!$A$3,"MA_HT","PNK","MA_QH","NTS")</f>
        <v>0</v>
      </c>
      <c r="P57" s="35">
        <f>+GETPIVOTDATA("XNT4",'nghiathanh (2016)'!$A$3,"MA_HT","PNK","MA_QH","LMU")</f>
        <v>0</v>
      </c>
      <c r="Q57" s="35">
        <f>+GETPIVOTDATA("XNT4",'nghiathanh (2016)'!$A$3,"MA_HT","PNK","MA_QH","NKH")</f>
        <v>0</v>
      </c>
      <c r="R57" s="106">
        <f>SUM(S57:AA57,AN57:BC57)</f>
        <v>0</v>
      </c>
      <c r="S57" s="35">
        <f>+GETPIVOTDATA("XNT4",'nghiathanh (2016)'!$A$3,"MA_HT","PNK","MA_QH","CQP")</f>
        <v>0</v>
      </c>
      <c r="T57" s="35">
        <f>+GETPIVOTDATA("XNT4",'nghiathanh (2016)'!$A$3,"MA_HT","PNK","MA_QH","CAN")</f>
        <v>0</v>
      </c>
      <c r="U57" s="35">
        <f>+GETPIVOTDATA("XNT4",'nghiathanh (2016)'!$A$3,"MA_HT","PNK","MA_QH","SKK")</f>
        <v>0</v>
      </c>
      <c r="V57" s="35">
        <f>+GETPIVOTDATA("XNT4",'nghiathanh (2016)'!$A$3,"MA_HT","PNK","MA_QH","SKT")</f>
        <v>0</v>
      </c>
      <c r="W57" s="35">
        <f>+GETPIVOTDATA("XNT4",'nghiathanh (2016)'!$A$3,"MA_HT","PNK","MA_QH","SKN")</f>
        <v>0</v>
      </c>
      <c r="X57" s="35">
        <f>+GETPIVOTDATA("XNT4",'nghiathanh (2016)'!$A$3,"MA_HT","PNK","MA_QH","TMD")</f>
        <v>0</v>
      </c>
      <c r="Y57" s="35">
        <f>+GETPIVOTDATA("XNT4",'nghiathanh (2016)'!$A$3,"MA_HT","PNK","MA_QH","SKC")</f>
        <v>0</v>
      </c>
      <c r="Z57" s="35">
        <f>+GETPIVOTDATA("XNT4",'nghiathanh (2016)'!$A$3,"MA_HT","PNK","MA_QH","SKS")</f>
        <v>0</v>
      </c>
      <c r="AA57" s="64">
        <f t="shared" si="21"/>
        <v>0</v>
      </c>
      <c r="AB57" s="35">
        <f>+GETPIVOTDATA("XNT4",'nghiathanh (2016)'!$A$3,"MA_HT","PNK","MA_QH","DGT")</f>
        <v>0</v>
      </c>
      <c r="AC57" s="35">
        <f>+GETPIVOTDATA("XNT4",'nghiathanh (2016)'!$A$3,"MA_HT","PNK","MA_QH","DTL")</f>
        <v>0</v>
      </c>
      <c r="AD57" s="35">
        <f>+GETPIVOTDATA("XNT4",'nghiathanh (2016)'!$A$3,"MA_HT","PNK","MA_QH","DNL")</f>
        <v>0</v>
      </c>
      <c r="AE57" s="35">
        <f>+GETPIVOTDATA("XNT4",'nghiathanh (2016)'!$A$3,"MA_HT","PNK","MA_QH","DBV")</f>
        <v>0</v>
      </c>
      <c r="AF57" s="35">
        <f>+GETPIVOTDATA("XNT4",'nghiathanh (2016)'!$A$3,"MA_HT","PNK","MA_QH","DVH")</f>
        <v>0</v>
      </c>
      <c r="AG57" s="35">
        <f>+GETPIVOTDATA("XNT4",'nghiathanh (2016)'!$A$3,"MA_HT","PNK","MA_QH","DYT")</f>
        <v>0</v>
      </c>
      <c r="AH57" s="35">
        <f>+GETPIVOTDATA("XNT4",'nghiathanh (2016)'!$A$3,"MA_HT","PNK","MA_QH","DGD")</f>
        <v>0</v>
      </c>
      <c r="AI57" s="35">
        <f>+GETPIVOTDATA("XNT4",'nghiathanh (2016)'!$A$3,"MA_HT","PNK","MA_QH","DTT")</f>
        <v>0</v>
      </c>
      <c r="AJ57" s="35">
        <f>+GETPIVOTDATA("XNT4",'nghiathanh (2016)'!$A$3,"MA_HT","PNK","MA_QH","NCK")</f>
        <v>0</v>
      </c>
      <c r="AK57" s="35">
        <f>+GETPIVOTDATA("XNT4",'nghiathanh (2016)'!$A$3,"MA_HT","PNK","MA_QH","DXH")</f>
        <v>0</v>
      </c>
      <c r="AL57" s="35">
        <f>+GETPIVOTDATA("XNT4",'nghiathanh (2016)'!$A$3,"MA_HT","PNK","MA_QH","DCH")</f>
        <v>0</v>
      </c>
      <c r="AM57" s="35">
        <f>+GETPIVOTDATA("XNT4",'nghiathanh (2016)'!$A$3,"MA_HT","PNK","MA_QH","DKG")</f>
        <v>0</v>
      </c>
      <c r="AN57" s="35">
        <f>+GETPIVOTDATA("XNT4",'nghiathanh (2016)'!$A$3,"MA_HT","PNK","MA_QH","DDT")</f>
        <v>0</v>
      </c>
      <c r="AO57" s="35">
        <f>+GETPIVOTDATA("XNT4",'nghiathanh (2016)'!$A$3,"MA_HT","PNK","MA_QH","DDL")</f>
        <v>0</v>
      </c>
      <c r="AP57" s="35">
        <f>+GETPIVOTDATA("XNT4",'nghiathanh (2016)'!$A$3,"MA_HT","PNK","MA_QH","DRA")</f>
        <v>0</v>
      </c>
      <c r="AQ57" s="35">
        <f>+GETPIVOTDATA("XNT4",'nghiathanh (2016)'!$A$3,"MA_HT","PNK","MA_QH","ONT")</f>
        <v>0</v>
      </c>
      <c r="AR57" s="35">
        <f>+GETPIVOTDATA("XNT4",'nghiathanh (2016)'!$A$3,"MA_HT","PNK","MA_QH","ODT")</f>
        <v>0</v>
      </c>
      <c r="AS57" s="35">
        <f>+GETPIVOTDATA("XNT4",'nghiathanh (2016)'!$A$3,"MA_HT","PNK","MA_QH","TSC")</f>
        <v>0</v>
      </c>
      <c r="AT57" s="35">
        <f>+GETPIVOTDATA("XNT4",'nghiathanh (2016)'!$A$3,"MA_HT","PNK","MA_QH","DTS")</f>
        <v>0</v>
      </c>
      <c r="AU57" s="35">
        <f>+GETPIVOTDATA("XNT4",'nghiathanh (2016)'!$A$3,"MA_HT","PNK","MA_QH","DNG")</f>
        <v>0</v>
      </c>
      <c r="AV57" s="35">
        <f>+GETPIVOTDATA("XNT4",'nghiathanh (2016)'!$A$3,"MA_HT","PNK","MA_QH","TON")</f>
        <v>0</v>
      </c>
      <c r="AW57" s="35">
        <f>+GETPIVOTDATA("XNT4",'nghiathanh (2016)'!$A$3,"MA_HT","PNK","MA_QH","NTD")</f>
        <v>0</v>
      </c>
      <c r="AX57" s="35">
        <f>+GETPIVOTDATA("XNT4",'nghiathanh (2016)'!$A$3,"MA_HT","PNK","MA_QH","SKX")</f>
        <v>0</v>
      </c>
      <c r="AY57" s="35">
        <f>+GETPIVOTDATA("XNT4",'nghiathanh (2016)'!$A$3,"MA_HT","PNK","MA_QH","DSH")</f>
        <v>0</v>
      </c>
      <c r="AZ57" s="35">
        <f>+GETPIVOTDATA("XNT4",'nghiathanh (2016)'!$A$3,"MA_HT","PNK","MA_QH","DKV")</f>
        <v>0</v>
      </c>
      <c r="BA57" s="140">
        <f>+GETPIVOTDATA("XNT4",'nghiathanh (2016)'!$A$3,"MA_HT","PNK","MA_QH","TIN")</f>
        <v>0</v>
      </c>
      <c r="BB57" s="74">
        <f>+GETPIVOTDATA("XNT4",'nghiathanh (2016)'!$A$3,"MA_HT","PNK","MA_QH","SON")</f>
        <v>0</v>
      </c>
      <c r="BC57" s="74">
        <f>+GETPIVOTDATA("XNT4",'nghiathanh (2016)'!$A$3,"MA_HT","PNK","MA_QH","MNC")</f>
        <v>0</v>
      </c>
      <c r="BD57" s="99" t="e">
        <f>$D57-$BF57</f>
        <v>#REF!</v>
      </c>
      <c r="BE57" s="58">
        <f>+GETPIVOTDATA("XNT4",'nghiathanh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+GETPIVOTDATA("XNT4",'nghiathanh (2016)'!$A$3,"MA_HT","CSD","MA_QH","LUC")</f>
        <v>0</v>
      </c>
      <c r="H58" s="58">
        <f>+GETPIVOTDATA("XNT4",'nghiathanh (2016)'!$A$3,"MA_HT","CSD","MA_QH","LUK")</f>
        <v>0</v>
      </c>
      <c r="I58" s="58">
        <f>+GETPIVOTDATA("XNT4",'nghiathanh (2016)'!$A$3,"MA_HT","CSD","MA_QH","LUN")</f>
        <v>0</v>
      </c>
      <c r="J58" s="58">
        <f>+GETPIVOTDATA("XNT4",'nghiathanh (2016)'!$A$3,"MA_HT","CSD","MA_QH","HNK")</f>
        <v>0</v>
      </c>
      <c r="K58" s="58">
        <f>+GETPIVOTDATA("XNT4",'nghiathanh (2016)'!$A$3,"MA_HT","CSD","MA_QH","CLN")</f>
        <v>0</v>
      </c>
      <c r="L58" s="58">
        <f>+GETPIVOTDATA("XNT4",'nghiathanh (2016)'!$A$3,"MA_HT","CSD","MA_QH","RSX")</f>
        <v>0</v>
      </c>
      <c r="M58" s="58">
        <f>+GETPIVOTDATA("XNT4",'nghiathanh (2016)'!$A$3,"MA_HT","CSD","MA_QH","RPH")</f>
        <v>0</v>
      </c>
      <c r="N58" s="58">
        <f>+GETPIVOTDATA("XNT4",'nghiathanh (2016)'!$A$3,"MA_HT","CSD","MA_QH","RDD")</f>
        <v>0</v>
      </c>
      <c r="O58" s="58">
        <f>+GETPIVOTDATA("XNT4",'nghiathanh (2016)'!$A$3,"MA_HT","CSD","MA_QH","NTS")</f>
        <v>0</v>
      </c>
      <c r="P58" s="58">
        <f>+GETPIVOTDATA("XNT4",'nghiathanh (2016)'!$A$3,"MA_HT","CSD","MA_QH","LMU")</f>
        <v>0</v>
      </c>
      <c r="Q58" s="58">
        <f>+GETPIVOTDATA("XNT4",'nghiathanh (2016)'!$A$3,"MA_HT","CSD","MA_QH","NKH")</f>
        <v>0</v>
      </c>
      <c r="R58" s="106">
        <f>SUM(S58:AA58,AN58:BD58)</f>
        <v>0</v>
      </c>
      <c r="S58" s="102">
        <f>+GETPIVOTDATA("XNT4",'nghiathanh (2016)'!$A$3,"MA_HT","CSD","MA_QH","CQP")</f>
        <v>0</v>
      </c>
      <c r="T58" s="102">
        <f>+GETPIVOTDATA("XNT4",'nghiathanh (2016)'!$A$3,"MA_HT","CSD","MA_QH","CAN")</f>
        <v>0</v>
      </c>
      <c r="U58" s="58">
        <f>+GETPIVOTDATA("XNT4",'nghiathanh (2016)'!$A$3,"MA_HT","CSD","MA_QH","SKK")</f>
        <v>0</v>
      </c>
      <c r="V58" s="58">
        <f>+GETPIVOTDATA("XNT4",'nghiathanh (2016)'!$A$3,"MA_HT","CSD","MA_QH","SKT")</f>
        <v>0</v>
      </c>
      <c r="W58" s="58">
        <f>+GETPIVOTDATA("XNT4",'nghiathanh (2016)'!$A$3,"MA_HT","CSD","MA_QH","SKN")</f>
        <v>0</v>
      </c>
      <c r="X58" s="58">
        <f>+GETPIVOTDATA("XNT4",'nghiathanh (2016)'!$A$3,"MA_HT","CSD","MA_QH","TMD")</f>
        <v>0</v>
      </c>
      <c r="Y58" s="58">
        <f>+GETPIVOTDATA("XNT4",'nghiathanh (2016)'!$A$3,"MA_HT","CSD","MA_QH","SKC")</f>
        <v>0</v>
      </c>
      <c r="Z58" s="58">
        <f>+GETPIVOTDATA("XNT4",'nghiathanh (2016)'!$A$3,"MA_HT","CSD","MA_QH","SKS")</f>
        <v>0</v>
      </c>
      <c r="AA58" s="64">
        <f t="shared" si="21"/>
        <v>0</v>
      </c>
      <c r="AB58" s="102">
        <f>+GETPIVOTDATA("XNT4",'nghiathanh (2016)'!$A$3,"MA_HT","CSD","MA_QH","DGT")</f>
        <v>0</v>
      </c>
      <c r="AC58" s="102">
        <f>+GETPIVOTDATA("XNT4",'nghiathanh (2016)'!$A$3,"MA_HT","CSD","MA_QH","DTL")</f>
        <v>0</v>
      </c>
      <c r="AD58" s="102">
        <f>+GETPIVOTDATA("XNT4",'nghiathanh (2016)'!$A$3,"MA_HT","CSD","MA_QH","DNL")</f>
        <v>0</v>
      </c>
      <c r="AE58" s="102">
        <f>+GETPIVOTDATA("XNT4",'nghiathanh (2016)'!$A$3,"MA_HT","CSD","MA_QH","DBV")</f>
        <v>0</v>
      </c>
      <c r="AF58" s="102">
        <f>+GETPIVOTDATA("XNT4",'nghiathanh (2016)'!$A$3,"MA_HT","CSD","MA_QH","DVH")</f>
        <v>0</v>
      </c>
      <c r="AG58" s="102">
        <f>+GETPIVOTDATA("XNT4",'nghiathanh (2016)'!$A$3,"MA_HT","CSD","MA_QH","DYT")</f>
        <v>0</v>
      </c>
      <c r="AH58" s="102">
        <f>+GETPIVOTDATA("XNT4",'nghiathanh (2016)'!$A$3,"MA_HT","CSD","MA_QH","DGD")</f>
        <v>0</v>
      </c>
      <c r="AI58" s="102">
        <f>+GETPIVOTDATA("XNT4",'nghiathanh (2016)'!$A$3,"MA_HT","CSD","MA_QH","DTT")</f>
        <v>0</v>
      </c>
      <c r="AJ58" s="102">
        <f>+GETPIVOTDATA("XNT4",'nghiathanh (2016)'!$A$3,"MA_HT","CSD","MA_QH","NCK")</f>
        <v>0</v>
      </c>
      <c r="AK58" s="102">
        <f>+GETPIVOTDATA("XNT4",'nghiathanh (2016)'!$A$3,"MA_HT","CSD","MA_QH","DXH")</f>
        <v>0</v>
      </c>
      <c r="AL58" s="102">
        <f>+GETPIVOTDATA("XNT4",'nghiathanh (2016)'!$A$3,"MA_HT","CSD","MA_QH","DCH")</f>
        <v>0</v>
      </c>
      <c r="AM58" s="102">
        <f>+GETPIVOTDATA("XNT4",'nghiathanh (2016)'!$A$3,"MA_HT","CSD","MA_QH","DKG")</f>
        <v>0</v>
      </c>
      <c r="AN58" s="58">
        <f>+GETPIVOTDATA("XNT4",'nghiathanh (2016)'!$A$3,"MA_HT","CSD","MA_QH","DDT")</f>
        <v>0</v>
      </c>
      <c r="AO58" s="58">
        <f>+GETPIVOTDATA("XNT4",'nghiathanh (2016)'!$A$3,"MA_HT","CSD","MA_QH","DDL")</f>
        <v>0</v>
      </c>
      <c r="AP58" s="58">
        <f>+GETPIVOTDATA("XNT4",'nghiathanh (2016)'!$A$3,"MA_HT","CSD","MA_QH","DRA")</f>
        <v>0</v>
      </c>
      <c r="AQ58" s="58">
        <f>+GETPIVOTDATA("XNT4",'nghiathanh (2016)'!$A$3,"MA_HT","CSD","MA_QH","ONT")</f>
        <v>0</v>
      </c>
      <c r="AR58" s="58">
        <f>+GETPIVOTDATA("XNT4",'nghiathanh (2016)'!$A$3,"MA_HT","CSD","MA_QH","ODT")</f>
        <v>0</v>
      </c>
      <c r="AS58" s="58">
        <f>+GETPIVOTDATA("XNT4",'nghiathanh (2016)'!$A$3,"MA_HT","CSD","MA_QH","TSC")</f>
        <v>0</v>
      </c>
      <c r="AT58" s="58">
        <f>+GETPIVOTDATA("XNT4",'nghiathanh (2016)'!$A$3,"MA_HT","CSD","MA_QH","DTS")</f>
        <v>0</v>
      </c>
      <c r="AU58" s="58">
        <f>+GETPIVOTDATA("XNT4",'nghiathanh (2016)'!$A$3,"MA_HT","CSD","MA_QH","DNG")</f>
        <v>0</v>
      </c>
      <c r="AV58" s="58">
        <f>+GETPIVOTDATA("XNT4",'nghiathanh (2016)'!$A$3,"MA_HT","CSD","MA_QH","TON")</f>
        <v>0</v>
      </c>
      <c r="AW58" s="58">
        <f>+GETPIVOTDATA("XNT4",'nghiathanh (2016)'!$A$3,"MA_HT","CSD","MA_QH","NTD")</f>
        <v>0</v>
      </c>
      <c r="AX58" s="58">
        <f>+GETPIVOTDATA("XNT4",'nghiathanh (2016)'!$A$3,"MA_HT","CSD","MA_QH","SKX")</f>
        <v>0</v>
      </c>
      <c r="AY58" s="58">
        <f>+GETPIVOTDATA("XNT4",'nghiathanh (2016)'!$A$3,"MA_HT","CSD","MA_QH","DSH")</f>
        <v>0</v>
      </c>
      <c r="AZ58" s="58">
        <f>+GETPIVOTDATA("XNT4",'nghiathanh (2016)'!$A$3,"MA_HT","CSD","MA_QH","DKV")</f>
        <v>0</v>
      </c>
      <c r="BA58" s="140">
        <f>+GETPIVOTDATA("XNT4",'nghiathanh (2016)'!$A$3,"MA_HT","CSD","MA_QH","TIN")</f>
        <v>0</v>
      </c>
      <c r="BB58" s="102">
        <f>+GETPIVOTDATA("XNT4",'nghiathanh (2016)'!$A$3,"MA_HT","CSD","MA_QH","SON")</f>
        <v>0</v>
      </c>
      <c r="BC58" s="102">
        <f>+GETPIVOTDATA("XNT4",'nghiathanh (2016)'!$A$3,"MA_HT","CSD","MA_QH","MNC")</f>
        <v>0</v>
      </c>
      <c r="BD58" s="58">
        <f>+GETPIVOTDATA("XNT4",'nghiathanh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9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+GETPIVOTDATA("XQT4",'quangthanh (2016)'!$A$3,"MA_HT","LUC","MA_QH","LUK")</f>
        <v>0</v>
      </c>
      <c r="I8" s="74">
        <f>+GETPIVOTDATA("XQT4",'quangthanh (2016)'!$A$3,"MA_HT","LUC","MA_QH","LUN")</f>
        <v>0</v>
      </c>
      <c r="J8" s="74">
        <f>+GETPIVOTDATA("XQT4",'quangthanh (2016)'!$A$3,"MA_HT","LUC","MA_QH","HNK")</f>
        <v>0</v>
      </c>
      <c r="K8" s="74">
        <f>+GETPIVOTDATA("XQT4",'quangthanh (2016)'!$A$3,"MA_HT","LUC","MA_QH","CLN")</f>
        <v>0</v>
      </c>
      <c r="L8" s="74">
        <f>+GETPIVOTDATA("XQT4",'quangthanh (2016)'!$A$3,"MA_HT","LUC","MA_QH","RSX")</f>
        <v>0</v>
      </c>
      <c r="M8" s="74">
        <f>+GETPIVOTDATA("XQT4",'quangthanh (2016)'!$A$3,"MA_HT","LUC","MA_QH","RPH")</f>
        <v>0</v>
      </c>
      <c r="N8" s="74">
        <f>+GETPIVOTDATA("XQT4",'quangthanh (2016)'!$A$3,"MA_HT","LUC","MA_QH","RDD")</f>
        <v>0</v>
      </c>
      <c r="O8" s="74">
        <f>+GETPIVOTDATA("XQT4",'quangthanh (2016)'!$A$3,"MA_HT","LUC","MA_QH","NTS")</f>
        <v>0</v>
      </c>
      <c r="P8" s="74">
        <f>+GETPIVOTDATA("XQT4",'quangthanh (2016)'!$A$3,"MA_HT","LUC","MA_QH","LMU")</f>
        <v>0</v>
      </c>
      <c r="Q8" s="74">
        <f>+GETPIVOTDATA("XQT4",'quangthanh (2016)'!$A$3,"MA_HT","LUC","MA_QH","NKH")</f>
        <v>0</v>
      </c>
      <c r="R8" s="72">
        <f>SUM(S8:AA8,AN8:BD8)</f>
        <v>0</v>
      </c>
      <c r="S8" s="74">
        <f>+GETPIVOTDATA("XQT4",'quangthanh (2016)'!$A$3,"MA_HT","LUC","MA_QH","CQP")</f>
        <v>0</v>
      </c>
      <c r="T8" s="74">
        <f>+GETPIVOTDATA("XQT4",'quangthanh (2016)'!$A$3,"MA_HT","LUC","MA_QH","CAN")</f>
        <v>0</v>
      </c>
      <c r="U8" s="74">
        <f>+GETPIVOTDATA("XQT4",'quangthanh (2016)'!$A$3,"MA_HT","LUC","MA_QH","SKK")</f>
        <v>0</v>
      </c>
      <c r="V8" s="74">
        <f>+GETPIVOTDATA("XQT4",'quangthanh (2016)'!$A$3,"MA_HT","LUC","MA_QH","SKT")</f>
        <v>0</v>
      </c>
      <c r="W8" s="74">
        <f>+GETPIVOTDATA("XQT4",'quangthanh (2016)'!$A$3,"MA_HT","LUC","MA_QH","SKN")</f>
        <v>0</v>
      </c>
      <c r="X8" s="74">
        <f>+GETPIVOTDATA("XQT4",'quangthanh (2016)'!$A$3,"MA_HT","LUC","MA_QH","TMD")</f>
        <v>0</v>
      </c>
      <c r="Y8" s="74">
        <f>+GETPIVOTDATA("XQT4",'quangthanh (2016)'!$A$3,"MA_HT","LUC","MA_QH","SKC")</f>
        <v>0</v>
      </c>
      <c r="Z8" s="74">
        <f>+GETPIVOTDATA("XQT4",'quangthanh (2016)'!$A$3,"MA_HT","LUC","MA_QH","SKS")</f>
        <v>0</v>
      </c>
      <c r="AA8" s="64">
        <f t="shared" si="4"/>
        <v>0</v>
      </c>
      <c r="AB8" s="74">
        <f>+GETPIVOTDATA("XQT4",'quangthanh (2016)'!$A$3,"MA_HT","LUC","MA_QH","DGT")</f>
        <v>0</v>
      </c>
      <c r="AC8" s="74">
        <f>+GETPIVOTDATA("XQT4",'quangthanh (2016)'!$A$3,"MA_HT","LUC","MA_QH","DTL")</f>
        <v>0</v>
      </c>
      <c r="AD8" s="74">
        <f>+GETPIVOTDATA("XQT4",'quangthanh (2016)'!$A$3,"MA_HT","LUC","MA_QH","DNL")</f>
        <v>0</v>
      </c>
      <c r="AE8" s="74">
        <f>+GETPIVOTDATA("XQT4",'quangthanh (2016)'!$A$3,"MA_HT","LUC","MA_QH","DBV")</f>
        <v>0</v>
      </c>
      <c r="AF8" s="74">
        <f>+GETPIVOTDATA("XQT4",'quangthanh (2016)'!$A$3,"MA_HT","LUC","MA_QH","DVH")</f>
        <v>0</v>
      </c>
      <c r="AG8" s="74">
        <f>+GETPIVOTDATA("XQT4",'quangthanh (2016)'!$A$3,"MA_HT","LUC","MA_QH","DYT")</f>
        <v>0</v>
      </c>
      <c r="AH8" s="74">
        <f>+GETPIVOTDATA("XQT4",'quangthanh (2016)'!$A$3,"MA_HT","LUC","MA_QH","DGD")</f>
        <v>0</v>
      </c>
      <c r="AI8" s="74">
        <f>+GETPIVOTDATA("XQT4",'quangthanh (2016)'!$A$3,"MA_HT","LUC","MA_QH","DTT")</f>
        <v>0</v>
      </c>
      <c r="AJ8" s="74">
        <f>+GETPIVOTDATA("XQT4",'quangthanh (2016)'!$A$3,"MA_HT","LUC","MA_QH","NCK")</f>
        <v>0</v>
      </c>
      <c r="AK8" s="74">
        <f>+GETPIVOTDATA("XQT4",'quangthanh (2016)'!$A$3,"MA_HT","LUC","MA_QH","DXH")</f>
        <v>0</v>
      </c>
      <c r="AL8" s="74">
        <f>+GETPIVOTDATA("XQT4",'quangthanh (2016)'!$A$3,"MA_HT","LUC","MA_QH","DCH")</f>
        <v>0</v>
      </c>
      <c r="AM8" s="74">
        <f>+GETPIVOTDATA("XQT4",'quangthanh (2016)'!$A$3,"MA_HT","LUC","MA_QH","DKG")</f>
        <v>0</v>
      </c>
      <c r="AN8" s="74">
        <f>+GETPIVOTDATA("XQT4",'quangthanh (2016)'!$A$3,"MA_HT","LUC","MA_QH","DDT")</f>
        <v>0</v>
      </c>
      <c r="AO8" s="74">
        <f>+GETPIVOTDATA("XQT4",'quangthanh (2016)'!$A$3,"MA_HT","LUC","MA_QH","DDL")</f>
        <v>0</v>
      </c>
      <c r="AP8" s="74">
        <f>+GETPIVOTDATA("XQT4",'quangthanh (2016)'!$A$3,"MA_HT","LUC","MA_QH","DRA")</f>
        <v>0</v>
      </c>
      <c r="AQ8" s="74">
        <f>+GETPIVOTDATA("XQT4",'quangthanh (2016)'!$A$3,"MA_HT","LUC","MA_QH","ONT")</f>
        <v>0</v>
      </c>
      <c r="AR8" s="74">
        <f>+GETPIVOTDATA("XQT4",'quangthanh (2016)'!$A$3,"MA_HT","LUC","MA_QH","ODT")</f>
        <v>0</v>
      </c>
      <c r="AS8" s="74">
        <f>+GETPIVOTDATA("XQT4",'quangthanh (2016)'!$A$3,"MA_HT","LUC","MA_QH","TSC")</f>
        <v>0</v>
      </c>
      <c r="AT8" s="74">
        <f>+GETPIVOTDATA("XQT4",'quangthanh (2016)'!$A$3,"MA_HT","LUC","MA_QH","DTS")</f>
        <v>0</v>
      </c>
      <c r="AU8" s="74">
        <f>+GETPIVOTDATA("XQT4",'quangthanh (2016)'!$A$3,"MA_HT","LUC","MA_QH","DNG")</f>
        <v>0</v>
      </c>
      <c r="AV8" s="74">
        <f>+GETPIVOTDATA("XQT4",'quangthanh (2016)'!$A$3,"MA_HT","LUC","MA_QH","TON")</f>
        <v>0</v>
      </c>
      <c r="AW8" s="74">
        <f>+GETPIVOTDATA("XQT4",'quangthanh (2016)'!$A$3,"MA_HT","LUC","MA_QH","NTD")</f>
        <v>0</v>
      </c>
      <c r="AX8" s="74">
        <f>+GETPIVOTDATA("XQT4",'quangthanh (2016)'!$A$3,"MA_HT","LUC","MA_QH","SKX")</f>
        <v>0</v>
      </c>
      <c r="AY8" s="74">
        <f>+GETPIVOTDATA("XQT4",'quangthanh (2016)'!$A$3,"MA_HT","LUC","MA_QH","DSH")</f>
        <v>0</v>
      </c>
      <c r="AZ8" s="74">
        <f>+GETPIVOTDATA("XQT4",'quangthanh (2016)'!$A$3,"MA_HT","LUC","MA_QH","DKV")</f>
        <v>0</v>
      </c>
      <c r="BA8" s="139">
        <f>+GETPIVOTDATA("XQT4",'quangthanh (2016)'!$A$3,"MA_HT","LUC","MA_QH","TIN")</f>
        <v>0</v>
      </c>
      <c r="BB8" s="74">
        <f>+GETPIVOTDATA("XQT4",'quangthanh (2016)'!$A$3,"MA_HT","LUC","MA_QH","SON")</f>
        <v>0</v>
      </c>
      <c r="BC8" s="74">
        <f>+GETPIVOTDATA("XQT4",'quangthanh (2016)'!$A$3,"MA_HT","LUC","MA_QH","MNC")</f>
        <v>0</v>
      </c>
      <c r="BD8" s="74">
        <f>+GETPIVOTDATA("XQT4",'quangthanh (2016)'!$A$3,"MA_HT","LUC","MA_QH","PNK")</f>
        <v>0</v>
      </c>
      <c r="BE8" s="102">
        <f>+GETPIVOTDATA("XQT4",'quangthanh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+GETPIVOTDATA("XQT4",'quangthanh (2016)'!$A$3,"MA_HT","LUK","MA_QH","LUC")</f>
        <v>0</v>
      </c>
      <c r="H9" s="100" t="e">
        <f>$D9-$BF9</f>
        <v>#REF!</v>
      </c>
      <c r="I9" s="74">
        <f>+GETPIVOTDATA("XQT4",'quangthanh (2016)'!$A$3,"MA_HT","LUK","MA_QH","LUN")</f>
        <v>0</v>
      </c>
      <c r="J9" s="74">
        <f>+GETPIVOTDATA("XQT4",'quangthanh (2016)'!$A$3,"MA_HT","LUK","MA_QH","HNK")</f>
        <v>0</v>
      </c>
      <c r="K9" s="74">
        <f>+GETPIVOTDATA("XQT4",'quangthanh (2016)'!$A$3,"MA_HT","LUK","MA_QH","CLN")</f>
        <v>0</v>
      </c>
      <c r="L9" s="74">
        <f>+GETPIVOTDATA("XQT4",'quangthanh (2016)'!$A$3,"MA_HT","LUK","MA_QH","RSX")</f>
        <v>0</v>
      </c>
      <c r="M9" s="74">
        <f>+GETPIVOTDATA("XQT4",'quangthanh (2016)'!$A$3,"MA_HT","LUK","MA_QH","RPH")</f>
        <v>0</v>
      </c>
      <c r="N9" s="74">
        <f>+GETPIVOTDATA("XQT4",'quangthanh (2016)'!$A$3,"MA_HT","LUK","MA_QH","RDD")</f>
        <v>0</v>
      </c>
      <c r="O9" s="74">
        <f>+GETPIVOTDATA("XQT4",'quangthanh (2016)'!$A$3,"MA_HT","LUK","MA_QH","NTS")</f>
        <v>0</v>
      </c>
      <c r="P9" s="74">
        <f>+GETPIVOTDATA("XQT4",'quangthanh (2016)'!$A$3,"MA_HT","LUK","MA_QH","LMU")</f>
        <v>0</v>
      </c>
      <c r="Q9" s="74">
        <f>+GETPIVOTDATA("XQT4",'quangthanh (2016)'!$A$3,"MA_HT","LUK","MA_QH","NKH")</f>
        <v>0</v>
      </c>
      <c r="R9" s="72">
        <f t="shared" si="2"/>
        <v>0</v>
      </c>
      <c r="S9" s="74">
        <f>+GETPIVOTDATA("XQT4",'quangthanh (2016)'!$A$3,"MA_HT","LUK","MA_QH","CQP")</f>
        <v>0</v>
      </c>
      <c r="T9" s="74">
        <f>+GETPIVOTDATA("XQT4",'quangthanh (2016)'!$A$3,"MA_HT","LUK","MA_QH","CAN")</f>
        <v>0</v>
      </c>
      <c r="U9" s="74">
        <f>+GETPIVOTDATA("XQT4",'quangthanh (2016)'!$A$3,"MA_HT","LUK","MA_QH","SKK")</f>
        <v>0</v>
      </c>
      <c r="V9" s="74">
        <f>+GETPIVOTDATA("XQT4",'quangthanh (2016)'!$A$3,"MA_HT","LUK","MA_QH","SKT")</f>
        <v>0</v>
      </c>
      <c r="W9" s="74">
        <f>+GETPIVOTDATA("XQT4",'quangthanh (2016)'!$A$3,"MA_HT","LUK","MA_QH","SKN")</f>
        <v>0</v>
      </c>
      <c r="X9" s="74">
        <f>+GETPIVOTDATA("XQT4",'quangthanh (2016)'!$A$3,"MA_HT","LUK","MA_QH","TMD")</f>
        <v>0</v>
      </c>
      <c r="Y9" s="74">
        <f>+GETPIVOTDATA("XQT4",'quangthanh (2016)'!$A$3,"MA_HT","LUK","MA_QH","SKC")</f>
        <v>0</v>
      </c>
      <c r="Z9" s="74">
        <f>+GETPIVOTDATA("XQT4",'quangthanh (2016)'!$A$3,"MA_HT","LUK","MA_QH","SKS")</f>
        <v>0</v>
      </c>
      <c r="AA9" s="64">
        <f t="shared" si="4"/>
        <v>0</v>
      </c>
      <c r="AB9" s="74">
        <f>+GETPIVOTDATA("XQT4",'quangthanh (2016)'!$A$3,"MA_HT","LUK","MA_QH","DGT")</f>
        <v>0</v>
      </c>
      <c r="AC9" s="74">
        <f>+GETPIVOTDATA("XQT4",'quangthanh (2016)'!$A$3,"MA_HT","LUK","MA_QH","DTL")</f>
        <v>0</v>
      </c>
      <c r="AD9" s="74">
        <f>+GETPIVOTDATA("XQT4",'quangthanh (2016)'!$A$3,"MA_HT","LUK","MA_QH","DNL")</f>
        <v>0</v>
      </c>
      <c r="AE9" s="74">
        <f>+GETPIVOTDATA("XQT4",'quangthanh (2016)'!$A$3,"MA_HT","LUK","MA_QH","DBV")</f>
        <v>0</v>
      </c>
      <c r="AF9" s="74">
        <f>+GETPIVOTDATA("XQT4",'quangthanh (2016)'!$A$3,"MA_HT","LUK","MA_QH","DVH")</f>
        <v>0</v>
      </c>
      <c r="AG9" s="74">
        <f>+GETPIVOTDATA("XQT4",'quangthanh (2016)'!$A$3,"MA_HT","LUK","MA_QH","DYT")</f>
        <v>0</v>
      </c>
      <c r="AH9" s="74">
        <f>+GETPIVOTDATA("XQT4",'quangthanh (2016)'!$A$3,"MA_HT","LUK","MA_QH","DGD")</f>
        <v>0</v>
      </c>
      <c r="AI9" s="74">
        <f>+GETPIVOTDATA("XQT4",'quangthanh (2016)'!$A$3,"MA_HT","LUK","MA_QH","DTT")</f>
        <v>0</v>
      </c>
      <c r="AJ9" s="74">
        <f>+GETPIVOTDATA("XQT4",'quangthanh (2016)'!$A$3,"MA_HT","LUK","MA_QH","NCK")</f>
        <v>0</v>
      </c>
      <c r="AK9" s="74">
        <f>+GETPIVOTDATA("XQT4",'quangthanh (2016)'!$A$3,"MA_HT","LUK","MA_QH","DXH")</f>
        <v>0</v>
      </c>
      <c r="AL9" s="74">
        <f>+GETPIVOTDATA("XQT4",'quangthanh (2016)'!$A$3,"MA_HT","LUK","MA_QH","DCH")</f>
        <v>0</v>
      </c>
      <c r="AM9" s="74">
        <f>+GETPIVOTDATA("XQT4",'quangthanh (2016)'!$A$3,"MA_HT","LUK","MA_QH","DKG")</f>
        <v>0</v>
      </c>
      <c r="AN9" s="74">
        <f>+GETPIVOTDATA("XQT4",'quangthanh (2016)'!$A$3,"MA_HT","LUK","MA_QH","DDT")</f>
        <v>0</v>
      </c>
      <c r="AO9" s="74">
        <f>+GETPIVOTDATA("XQT4",'quangthanh (2016)'!$A$3,"MA_HT","LUK","MA_QH","DDL")</f>
        <v>0</v>
      </c>
      <c r="AP9" s="74">
        <f>+GETPIVOTDATA("XQT4",'quangthanh (2016)'!$A$3,"MA_HT","LUK","MA_QH","DRA")</f>
        <v>0</v>
      </c>
      <c r="AQ9" s="74">
        <f>+GETPIVOTDATA("XQT4",'quangthanh (2016)'!$A$3,"MA_HT","LUK","MA_QH","ONT")</f>
        <v>0</v>
      </c>
      <c r="AR9" s="74">
        <f>+GETPIVOTDATA("XQT4",'quangthanh (2016)'!$A$3,"MA_HT","LUK","MA_QH","ODT")</f>
        <v>0</v>
      </c>
      <c r="AS9" s="74">
        <f>+GETPIVOTDATA("XQT4",'quangthanh (2016)'!$A$3,"MA_HT","LUK","MA_QH","TSC")</f>
        <v>0</v>
      </c>
      <c r="AT9" s="74">
        <f>+GETPIVOTDATA("XQT4",'quangthanh (2016)'!$A$3,"MA_HT","LUK","MA_QH","DTS")</f>
        <v>0</v>
      </c>
      <c r="AU9" s="74">
        <f>+GETPIVOTDATA("XQT4",'quangthanh (2016)'!$A$3,"MA_HT","LUK","MA_QH","DNG")</f>
        <v>0</v>
      </c>
      <c r="AV9" s="74">
        <f>+GETPIVOTDATA("XQT4",'quangthanh (2016)'!$A$3,"MA_HT","LUK","MA_QH","TON")</f>
        <v>0</v>
      </c>
      <c r="AW9" s="74">
        <f>+GETPIVOTDATA("XQT4",'quangthanh (2016)'!$A$3,"MA_HT","LUK","MA_QH","NTD")</f>
        <v>0</v>
      </c>
      <c r="AX9" s="74">
        <f>+GETPIVOTDATA("XQT4",'quangthanh (2016)'!$A$3,"MA_HT","LUK","MA_QH","SKX")</f>
        <v>0</v>
      </c>
      <c r="AY9" s="74">
        <f>+GETPIVOTDATA("XQT4",'quangthanh (2016)'!$A$3,"MA_HT","LUK","MA_QH","DSH")</f>
        <v>0</v>
      </c>
      <c r="AZ9" s="74">
        <f>+GETPIVOTDATA("XQT4",'quangthanh (2016)'!$A$3,"MA_HT","LUK","MA_QH","DKV")</f>
        <v>0</v>
      </c>
      <c r="BA9" s="139">
        <f>+GETPIVOTDATA("XQT4",'quangthanh (2016)'!$A$3,"MA_HT","LUK","MA_QH","TIN")</f>
        <v>0</v>
      </c>
      <c r="BB9" s="74">
        <f>+GETPIVOTDATA("XQT4",'quangthanh (2016)'!$A$3,"MA_HT","LUK","MA_QH","SON")</f>
        <v>0</v>
      </c>
      <c r="BC9" s="74">
        <f>+GETPIVOTDATA("XQT4",'quangthanh (2016)'!$A$3,"MA_HT","LUK","MA_QH","MNC")</f>
        <v>0</v>
      </c>
      <c r="BD9" s="74">
        <f>+GETPIVOTDATA("XQT4",'quangthanh (2016)'!$A$3,"MA_HT","LUK","MA_QH","PNK")</f>
        <v>0</v>
      </c>
      <c r="BE9" s="102">
        <f>+GETPIVOTDATA("XQT4",'quangthanh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+GETPIVOTDATA("XQT4",'quangthanh (2016)'!$A$3,"MA_HT","LUN","MA_QH","LUC")</f>
        <v>0</v>
      </c>
      <c r="H10" s="74">
        <f>+GETPIVOTDATA("XQT4",'quangthanh (2016)'!$A$3,"MA_HT","LUN","MA_QH","LUK")</f>
        <v>0</v>
      </c>
      <c r="I10" s="100" t="e">
        <f>$D10-$BF10</f>
        <v>#REF!</v>
      </c>
      <c r="J10" s="74">
        <f>+GETPIVOTDATA("XQT4",'quangthanh (2016)'!$A$3,"MA_HT","LUN","MA_QH","HNK")</f>
        <v>0</v>
      </c>
      <c r="K10" s="74">
        <f>+GETPIVOTDATA("XQT4",'quangthanh (2016)'!$A$3,"MA_HT","LUN","MA_QH","CLN")</f>
        <v>0</v>
      </c>
      <c r="L10" s="74">
        <f>+GETPIVOTDATA("XQT4",'quangthanh (2016)'!$A$3,"MA_HT","LUN","MA_QH","RSX")</f>
        <v>0</v>
      </c>
      <c r="M10" s="74">
        <f>+GETPIVOTDATA("XQT4",'quangthanh (2016)'!$A$3,"MA_HT","LUN","MA_QH","RPH")</f>
        <v>0</v>
      </c>
      <c r="N10" s="74">
        <f>+GETPIVOTDATA("XQT4",'quangthanh (2016)'!$A$3,"MA_HT","LUN","MA_QH","RDD")</f>
        <v>0</v>
      </c>
      <c r="O10" s="74">
        <f>+GETPIVOTDATA("XQT4",'quangthanh (2016)'!$A$3,"MA_HT","LUN","MA_QH","NTS")</f>
        <v>0</v>
      </c>
      <c r="P10" s="74">
        <f>+GETPIVOTDATA("XQT4",'quangthanh (2016)'!$A$3,"MA_HT","LUN","MA_QH","LMU")</f>
        <v>0</v>
      </c>
      <c r="Q10" s="74">
        <f>+GETPIVOTDATA("XQT4",'quangthanh (2016)'!$A$3,"MA_HT","LUN","MA_QH","NKH")</f>
        <v>0</v>
      </c>
      <c r="R10" s="72">
        <f t="shared" si="2"/>
        <v>0</v>
      </c>
      <c r="S10" s="74">
        <f>+GETPIVOTDATA("XQT4",'quangthanh (2016)'!$A$3,"MA_HT","LUN","MA_QH","CQP")</f>
        <v>0</v>
      </c>
      <c r="T10" s="74">
        <f>+GETPIVOTDATA("XQT4",'quangthanh (2016)'!$A$3,"MA_HT","LUN","MA_QH","CAN")</f>
        <v>0</v>
      </c>
      <c r="U10" s="74">
        <f>+GETPIVOTDATA("XQT4",'quangthanh (2016)'!$A$3,"MA_HT","LUN","MA_QH","SKK")</f>
        <v>0</v>
      </c>
      <c r="V10" s="74">
        <f>+GETPIVOTDATA("XQT4",'quangthanh (2016)'!$A$3,"MA_HT","LUN","MA_QH","SKT")</f>
        <v>0</v>
      </c>
      <c r="W10" s="74">
        <f>+GETPIVOTDATA("XQT4",'quangthanh (2016)'!$A$3,"MA_HT","LUN","MA_QH","SKN")</f>
        <v>0</v>
      </c>
      <c r="X10" s="74">
        <f>+GETPIVOTDATA("XQT4",'quangthanh (2016)'!$A$3,"MA_HT","LUN","MA_QH","TMD")</f>
        <v>0</v>
      </c>
      <c r="Y10" s="74">
        <f>+GETPIVOTDATA("XQT4",'quangthanh (2016)'!$A$3,"MA_HT","LUN","MA_QH","SKC")</f>
        <v>0</v>
      </c>
      <c r="Z10" s="74">
        <f>+GETPIVOTDATA("XQT4",'quangthanh (2016)'!$A$3,"MA_HT","LUN","MA_QH","SKS")</f>
        <v>0</v>
      </c>
      <c r="AA10" s="64">
        <f t="shared" si="4"/>
        <v>0</v>
      </c>
      <c r="AB10" s="74">
        <f>+GETPIVOTDATA("XQT4",'quangthanh (2016)'!$A$3,"MA_HT","LUN","MA_QH","DGT")</f>
        <v>0</v>
      </c>
      <c r="AC10" s="74">
        <f>+GETPIVOTDATA("XQT4",'quangthanh (2016)'!$A$3,"MA_HT","LUN","MA_QH","DTL")</f>
        <v>0</v>
      </c>
      <c r="AD10" s="74">
        <f>+GETPIVOTDATA("XQT4",'quangthanh (2016)'!$A$3,"MA_HT","LUN","MA_QH","DNL")</f>
        <v>0</v>
      </c>
      <c r="AE10" s="74">
        <f>+GETPIVOTDATA("XQT4",'quangthanh (2016)'!$A$3,"MA_HT","LUN","MA_QH","DBV")</f>
        <v>0</v>
      </c>
      <c r="AF10" s="74">
        <f>+GETPIVOTDATA("XQT4",'quangthanh (2016)'!$A$3,"MA_HT","LUN","MA_QH","DVH")</f>
        <v>0</v>
      </c>
      <c r="AG10" s="74">
        <f>+GETPIVOTDATA("XQT4",'quangthanh (2016)'!$A$3,"MA_HT","LUN","MA_QH","DYT")</f>
        <v>0</v>
      </c>
      <c r="AH10" s="74">
        <f>+GETPIVOTDATA("XQT4",'quangthanh (2016)'!$A$3,"MA_HT","LUN","MA_QH","DGD")</f>
        <v>0</v>
      </c>
      <c r="AI10" s="74">
        <f>+GETPIVOTDATA("XQT4",'quangthanh (2016)'!$A$3,"MA_HT","LUN","MA_QH","DTT")</f>
        <v>0</v>
      </c>
      <c r="AJ10" s="74">
        <f>+GETPIVOTDATA("XQT4",'quangthanh (2016)'!$A$3,"MA_HT","LUN","MA_QH","NCK")</f>
        <v>0</v>
      </c>
      <c r="AK10" s="74">
        <f>+GETPIVOTDATA("XQT4",'quangthanh (2016)'!$A$3,"MA_HT","LUN","MA_QH","DXH")</f>
        <v>0</v>
      </c>
      <c r="AL10" s="74">
        <f>+GETPIVOTDATA("XQT4",'quangthanh (2016)'!$A$3,"MA_HT","LUN","MA_QH","DCH")</f>
        <v>0</v>
      </c>
      <c r="AM10" s="74">
        <f>+GETPIVOTDATA("XQT4",'quangthanh (2016)'!$A$3,"MA_HT","LUN","MA_QH","DKG")</f>
        <v>0</v>
      </c>
      <c r="AN10" s="74">
        <f>+GETPIVOTDATA("XQT4",'quangthanh (2016)'!$A$3,"MA_HT","LUN","MA_QH","DDT")</f>
        <v>0</v>
      </c>
      <c r="AO10" s="74">
        <f>+GETPIVOTDATA("XQT4",'quangthanh (2016)'!$A$3,"MA_HT","LUN","MA_QH","DDL")</f>
        <v>0</v>
      </c>
      <c r="AP10" s="74">
        <f>+GETPIVOTDATA("XQT4",'quangthanh (2016)'!$A$3,"MA_HT","LUN","MA_QH","DRA")</f>
        <v>0</v>
      </c>
      <c r="AQ10" s="74">
        <f>+GETPIVOTDATA("XQT4",'quangthanh (2016)'!$A$3,"MA_HT","LUN","MA_QH","ONT")</f>
        <v>0</v>
      </c>
      <c r="AR10" s="74">
        <f>+GETPIVOTDATA("XQT4",'quangthanh (2016)'!$A$3,"MA_HT","LUN","MA_QH","ODT")</f>
        <v>0</v>
      </c>
      <c r="AS10" s="74">
        <f>+GETPIVOTDATA("XQT4",'quangthanh (2016)'!$A$3,"MA_HT","LUN","MA_QH","TSC")</f>
        <v>0</v>
      </c>
      <c r="AT10" s="74">
        <f>+GETPIVOTDATA("XQT4",'quangthanh (2016)'!$A$3,"MA_HT","LUN","MA_QH","DTS")</f>
        <v>0</v>
      </c>
      <c r="AU10" s="74">
        <f>+GETPIVOTDATA("XQT4",'quangthanh (2016)'!$A$3,"MA_HT","LUN","MA_QH","DNG")</f>
        <v>0</v>
      </c>
      <c r="AV10" s="74">
        <f>+GETPIVOTDATA("XQT4",'quangthanh (2016)'!$A$3,"MA_HT","LUN","MA_QH","TON")</f>
        <v>0</v>
      </c>
      <c r="AW10" s="74">
        <f>+GETPIVOTDATA("XQT4",'quangthanh (2016)'!$A$3,"MA_HT","LUN","MA_QH","NTD")</f>
        <v>0</v>
      </c>
      <c r="AX10" s="74">
        <f>+GETPIVOTDATA("XQT4",'quangthanh (2016)'!$A$3,"MA_HT","LUN","MA_QH","SKX")</f>
        <v>0</v>
      </c>
      <c r="AY10" s="74">
        <f>+GETPIVOTDATA("XQT4",'quangthanh (2016)'!$A$3,"MA_HT","LUN","MA_QH","DSH")</f>
        <v>0</v>
      </c>
      <c r="AZ10" s="74">
        <f>+GETPIVOTDATA("XQT4",'quangthanh (2016)'!$A$3,"MA_HT","LUN","MA_QH","DKV")</f>
        <v>0</v>
      </c>
      <c r="BA10" s="139">
        <f>+GETPIVOTDATA("XQT4",'quangthanh (2016)'!$A$3,"MA_HT","LUN","MA_QH","TIN")</f>
        <v>0</v>
      </c>
      <c r="BB10" s="74">
        <f>+GETPIVOTDATA("XQT4",'quangthanh (2016)'!$A$3,"MA_HT","LUN","MA_QH","SON")</f>
        <v>0</v>
      </c>
      <c r="BC10" s="74">
        <f>+GETPIVOTDATA("XQT4",'quangthanh (2016)'!$A$3,"MA_HT","LUN","MA_QH","MNC")</f>
        <v>0</v>
      </c>
      <c r="BD10" s="74">
        <f>+GETPIVOTDATA("XQT4",'quangthanh (2016)'!$A$3,"MA_HT","LUN","MA_QH","PNK")</f>
        <v>0</v>
      </c>
      <c r="BE10" s="102">
        <f>+GETPIVOTDATA("XQT4",'quangthanh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+GETPIVOTDATA("XQT4",'quangthanh (2016)'!$A$3,"MA_HT","HNK","MA_QH","LUC")</f>
        <v>0</v>
      </c>
      <c r="H11" s="35">
        <f>+GETPIVOTDATA("XQT4",'quangthanh (2016)'!$A$3,"MA_HT","HNK","MA_QH","LUK")</f>
        <v>0</v>
      </c>
      <c r="I11" s="35">
        <f>+GETPIVOTDATA("XQT4",'quangthanh (2016)'!$A$3,"MA_HT","HNK","MA_QH","LUN")</f>
        <v>0</v>
      </c>
      <c r="J11" s="99" t="e">
        <f>$D11-$BF11</f>
        <v>#REF!</v>
      </c>
      <c r="K11" s="35">
        <f>+GETPIVOTDATA("XQT4",'quangthanh (2016)'!$A$3,"MA_HT","HNK","MA_QH","CLN")</f>
        <v>0</v>
      </c>
      <c r="L11" s="35">
        <f>+GETPIVOTDATA("XQT4",'quangthanh (2016)'!$A$3,"MA_HT","HNK","MA_QH","RSX")</f>
        <v>0</v>
      </c>
      <c r="M11" s="35">
        <f>+GETPIVOTDATA("XQT4",'quangthanh (2016)'!$A$3,"MA_HT","HNK","MA_QH","RPH")</f>
        <v>0</v>
      </c>
      <c r="N11" s="35">
        <f>+GETPIVOTDATA("XQT4",'quangthanh (2016)'!$A$3,"MA_HT","HNK","MA_QH","RDD")</f>
        <v>0</v>
      </c>
      <c r="O11" s="35">
        <f>+GETPIVOTDATA("XQT4",'quangthanh (2016)'!$A$3,"MA_HT","HNK","MA_QH","NTS")</f>
        <v>0</v>
      </c>
      <c r="P11" s="35">
        <f>+GETPIVOTDATA("XQT4",'quangthanh (2016)'!$A$3,"MA_HT","HNK","MA_QH","LMU")</f>
        <v>0</v>
      </c>
      <c r="Q11" s="35">
        <f>+GETPIVOTDATA("XQT4",'quangthanh (2016)'!$A$3,"MA_HT","HNK","MA_QH","NKH")</f>
        <v>0</v>
      </c>
      <c r="R11" s="63">
        <f t="shared" si="2"/>
        <v>0</v>
      </c>
      <c r="S11" s="35">
        <f>+GETPIVOTDATA("XQT4",'quangthanh (2016)'!$A$3,"MA_HT","HNK","MA_QH","CQP")</f>
        <v>0</v>
      </c>
      <c r="T11" s="35">
        <f>+GETPIVOTDATA("XQT4",'quangthanh (2016)'!$A$3,"MA_HT","HNK","MA_QH","CAN")</f>
        <v>0</v>
      </c>
      <c r="U11" s="35">
        <f>+GETPIVOTDATA("XQT4",'quangthanh (2016)'!$A$3,"MA_HT","HNK","MA_QH","SKK")</f>
        <v>0</v>
      </c>
      <c r="V11" s="35">
        <f>+GETPIVOTDATA("XQT4",'quangthanh (2016)'!$A$3,"MA_HT","HNK","MA_QH","SKT")</f>
        <v>0</v>
      </c>
      <c r="W11" s="35">
        <f>+GETPIVOTDATA("XQT4",'quangthanh (2016)'!$A$3,"MA_HT","HNK","MA_QH","SKN")</f>
        <v>0</v>
      </c>
      <c r="X11" s="35">
        <f>+GETPIVOTDATA("XQT4",'quangthanh (2016)'!$A$3,"MA_HT","HNK","MA_QH","TMD")</f>
        <v>0</v>
      </c>
      <c r="Y11" s="35">
        <f>+GETPIVOTDATA("XQT4",'quangthanh (2016)'!$A$3,"MA_HT","HNK","MA_QH","SKC")</f>
        <v>0</v>
      </c>
      <c r="Z11" s="35">
        <f>+GETPIVOTDATA("XQT4",'quangthanh (2016)'!$A$3,"MA_HT","HNK","MA_QH","SKS")</f>
        <v>0</v>
      </c>
      <c r="AA11" s="64">
        <f t="shared" si="4"/>
        <v>0</v>
      </c>
      <c r="AB11" s="35">
        <f>+GETPIVOTDATA("XQT4",'quangthanh (2016)'!$A$3,"MA_HT","HNK","MA_QH","DGT")</f>
        <v>0</v>
      </c>
      <c r="AC11" s="35">
        <f>+GETPIVOTDATA("XQT4",'quangthanh (2016)'!$A$3,"MA_HT","HNK","MA_QH","DTL")</f>
        <v>0</v>
      </c>
      <c r="AD11" s="35">
        <f>+GETPIVOTDATA("XQT4",'quangthanh (2016)'!$A$3,"MA_HT","HNK","MA_QH","DNL")</f>
        <v>0</v>
      </c>
      <c r="AE11" s="35">
        <f>+GETPIVOTDATA("XQT4",'quangthanh (2016)'!$A$3,"MA_HT","HNK","MA_QH","DBV")</f>
        <v>0</v>
      </c>
      <c r="AF11" s="35">
        <f>+GETPIVOTDATA("XQT4",'quangthanh (2016)'!$A$3,"MA_HT","HNK","MA_QH","DVH")</f>
        <v>0</v>
      </c>
      <c r="AG11" s="35">
        <f>+GETPIVOTDATA("XQT4",'quangthanh (2016)'!$A$3,"MA_HT","HNK","MA_QH","DYT")</f>
        <v>0</v>
      </c>
      <c r="AH11" s="35">
        <f>+GETPIVOTDATA("XQT4",'quangthanh (2016)'!$A$3,"MA_HT","HNK","MA_QH","DGD")</f>
        <v>0</v>
      </c>
      <c r="AI11" s="35">
        <f>+GETPIVOTDATA("XQT4",'quangthanh (2016)'!$A$3,"MA_HT","HNK","MA_QH","DTT")</f>
        <v>0</v>
      </c>
      <c r="AJ11" s="35">
        <f>+GETPIVOTDATA("XQT4",'quangthanh (2016)'!$A$3,"MA_HT","HNK","MA_QH","NCK")</f>
        <v>0</v>
      </c>
      <c r="AK11" s="35">
        <f>+GETPIVOTDATA("XQT4",'quangthanh (2016)'!$A$3,"MA_HT","HNK","MA_QH","DXH")</f>
        <v>0</v>
      </c>
      <c r="AL11" s="35">
        <f>+GETPIVOTDATA("XQT4",'quangthanh (2016)'!$A$3,"MA_HT","HNK","MA_QH","DCH")</f>
        <v>0</v>
      </c>
      <c r="AM11" s="35">
        <f>+GETPIVOTDATA("XQT4",'quangthanh (2016)'!$A$3,"MA_HT","HNK","MA_QH","DKG")</f>
        <v>0</v>
      </c>
      <c r="AN11" s="35">
        <f>+GETPIVOTDATA("XQT4",'quangthanh (2016)'!$A$3,"MA_HT","HNK","MA_QH","DDT")</f>
        <v>0</v>
      </c>
      <c r="AO11" s="35">
        <f>+GETPIVOTDATA("XQT4",'quangthanh (2016)'!$A$3,"MA_HT","HNK","MA_QH","DDL")</f>
        <v>0</v>
      </c>
      <c r="AP11" s="35">
        <f>+GETPIVOTDATA("XQT4",'quangthanh (2016)'!$A$3,"MA_HT","HNK","MA_QH","DRA")</f>
        <v>0</v>
      </c>
      <c r="AQ11" s="35">
        <f>+GETPIVOTDATA("XQT4",'quangthanh (2016)'!$A$3,"MA_HT","HNK","MA_QH","ONT")</f>
        <v>0</v>
      </c>
      <c r="AR11" s="35">
        <f>+GETPIVOTDATA("XQT4",'quangthanh (2016)'!$A$3,"MA_HT","HNK","MA_QH","ODT")</f>
        <v>0</v>
      </c>
      <c r="AS11" s="35">
        <f>+GETPIVOTDATA("XQT4",'quangthanh (2016)'!$A$3,"MA_HT","HNK","MA_QH","TSC")</f>
        <v>0</v>
      </c>
      <c r="AT11" s="35">
        <f>+GETPIVOTDATA("XQT4",'quangthanh (2016)'!$A$3,"MA_HT","HNK","MA_QH","DTS")</f>
        <v>0</v>
      </c>
      <c r="AU11" s="35">
        <f>+GETPIVOTDATA("XQT4",'quangthanh (2016)'!$A$3,"MA_HT","HNK","MA_QH","DNG")</f>
        <v>0</v>
      </c>
      <c r="AV11" s="35">
        <f>+GETPIVOTDATA("XQT4",'quangthanh (2016)'!$A$3,"MA_HT","HNK","MA_QH","TON")</f>
        <v>0</v>
      </c>
      <c r="AW11" s="35">
        <f>+GETPIVOTDATA("XQT4",'quangthanh (2016)'!$A$3,"MA_HT","HNK","MA_QH","NTD")</f>
        <v>0</v>
      </c>
      <c r="AX11" s="35">
        <f>+GETPIVOTDATA("XQT4",'quangthanh (2016)'!$A$3,"MA_HT","HNK","MA_QH","SKX")</f>
        <v>0</v>
      </c>
      <c r="AY11" s="35">
        <f>+GETPIVOTDATA("XQT4",'quangthanh (2016)'!$A$3,"MA_HT","HNK","MA_QH","DSH")</f>
        <v>0</v>
      </c>
      <c r="AZ11" s="35">
        <f>+GETPIVOTDATA("XQT4",'quangthanh (2016)'!$A$3,"MA_HT","HNK","MA_QH","DKV")</f>
        <v>0</v>
      </c>
      <c r="BA11" s="140">
        <f>+GETPIVOTDATA("XQT4",'quangthanh (2016)'!$A$3,"MA_HT","HNK","MA_QH","TIN")</f>
        <v>0</v>
      </c>
      <c r="BB11" s="74">
        <f>+GETPIVOTDATA("XQT4",'quangthanh (2016)'!$A$3,"MA_HT","HNK","MA_QH","SON")</f>
        <v>0</v>
      </c>
      <c r="BC11" s="74">
        <f>+GETPIVOTDATA("XQT4",'quangthanh (2016)'!$A$3,"MA_HT","HNK","MA_QH","MNC")</f>
        <v>0</v>
      </c>
      <c r="BD11" s="35">
        <f>+GETPIVOTDATA("XQT4",'quangthanh (2016)'!$A$3,"MA_HT","HNK","MA_QH","PNK")</f>
        <v>0</v>
      </c>
      <c r="BE11" s="58">
        <f>+GETPIVOTDATA("XQT4",'quangthanh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+GETPIVOTDATA("XQT4",'quangthanh (2016)'!$A$3,"MA_HT","CLN","MA_QH","LUC")</f>
        <v>0</v>
      </c>
      <c r="H12" s="35">
        <f>+GETPIVOTDATA("XQT4",'quangthanh (2016)'!$A$3,"MA_HT","CLN","MA_QH","LUK")</f>
        <v>0</v>
      </c>
      <c r="I12" s="35">
        <f>+GETPIVOTDATA("XQT4",'quangthanh (2016)'!$A$3,"MA_HT","CLN","MA_QH","LUN")</f>
        <v>0</v>
      </c>
      <c r="J12" s="35">
        <f>+GETPIVOTDATA("XQT4",'quangthanh (2016)'!$A$3,"MA_HT","CLN","MA_QH","HNK")</f>
        <v>0</v>
      </c>
      <c r="K12" s="99" t="e">
        <f>$D12-$BF12</f>
        <v>#REF!</v>
      </c>
      <c r="L12" s="35">
        <f>+GETPIVOTDATA("XQT4",'quangthanh (2016)'!$A$3,"MA_HT","CLN","MA_QH","RSX")</f>
        <v>0</v>
      </c>
      <c r="M12" s="35">
        <f>+GETPIVOTDATA("XQT4",'quangthanh (2016)'!$A$3,"MA_HT","CLN","MA_QH","RPH")</f>
        <v>0</v>
      </c>
      <c r="N12" s="35">
        <f>+GETPIVOTDATA("XQT4",'quangthanh (2016)'!$A$3,"MA_HT","CLN","MA_QH","RDD")</f>
        <v>0</v>
      </c>
      <c r="O12" s="35">
        <f>+GETPIVOTDATA("XQT4",'quangthanh (2016)'!$A$3,"MA_HT","CLN","MA_QH","NTS")</f>
        <v>0</v>
      </c>
      <c r="P12" s="35">
        <f>+GETPIVOTDATA("XQT4",'quangthanh (2016)'!$A$3,"MA_HT","CLN","MA_QH","LMU")</f>
        <v>0</v>
      </c>
      <c r="Q12" s="35">
        <f>+GETPIVOTDATA("XQT4",'quangthanh (2016)'!$A$3,"MA_HT","CLN","MA_QH","NKH")</f>
        <v>0</v>
      </c>
      <c r="R12" s="63">
        <f t="shared" si="2"/>
        <v>0</v>
      </c>
      <c r="S12" s="35">
        <f>+GETPIVOTDATA("XQT4",'quangthanh (2016)'!$A$3,"MA_HT","CLN","MA_QH","CQP")</f>
        <v>0</v>
      </c>
      <c r="T12" s="35">
        <f>+GETPIVOTDATA("XQT4",'quangthanh (2016)'!$A$3,"MA_HT","CLN","MA_QH","CAN")</f>
        <v>0</v>
      </c>
      <c r="U12" s="35">
        <f>+GETPIVOTDATA("XQT4",'quangthanh (2016)'!$A$3,"MA_HT","CLN","MA_QH","SKK")</f>
        <v>0</v>
      </c>
      <c r="V12" s="35">
        <f>+GETPIVOTDATA("XQT4",'quangthanh (2016)'!$A$3,"MA_HT","CLN","MA_QH","SKT")</f>
        <v>0</v>
      </c>
      <c r="W12" s="35">
        <f>+GETPIVOTDATA("XQT4",'quangthanh (2016)'!$A$3,"MA_HT","CLN","MA_QH","SKN")</f>
        <v>0</v>
      </c>
      <c r="X12" s="35">
        <f>+GETPIVOTDATA("XQT4",'quangthanh (2016)'!$A$3,"MA_HT","CLN","MA_QH","TMD")</f>
        <v>0</v>
      </c>
      <c r="Y12" s="35">
        <f>+GETPIVOTDATA("XQT4",'quangthanh (2016)'!$A$3,"MA_HT","CLN","MA_QH","SKC")</f>
        <v>0</v>
      </c>
      <c r="Z12" s="35">
        <f>+GETPIVOTDATA("XQT4",'quangthanh (2016)'!$A$3,"MA_HT","CLN","MA_QH","SKS")</f>
        <v>0</v>
      </c>
      <c r="AA12" s="64">
        <f t="shared" si="4"/>
        <v>0</v>
      </c>
      <c r="AB12" s="35">
        <f>+GETPIVOTDATA("XQT4",'quangthanh (2016)'!$A$3,"MA_HT","CLN","MA_QH","DGT")</f>
        <v>0</v>
      </c>
      <c r="AC12" s="35">
        <f>+GETPIVOTDATA("XQT4",'quangthanh (2016)'!$A$3,"MA_HT","CLN","MA_QH","DTL")</f>
        <v>0</v>
      </c>
      <c r="AD12" s="35">
        <f>+GETPIVOTDATA("XQT4",'quangthanh (2016)'!$A$3,"MA_HT","CLN","MA_QH","DNL")</f>
        <v>0</v>
      </c>
      <c r="AE12" s="35">
        <f>+GETPIVOTDATA("XQT4",'quangthanh (2016)'!$A$3,"MA_HT","CLN","MA_QH","DBV")</f>
        <v>0</v>
      </c>
      <c r="AF12" s="35">
        <f>+GETPIVOTDATA("XQT4",'quangthanh (2016)'!$A$3,"MA_HT","CLN","MA_QH","DVH")</f>
        <v>0</v>
      </c>
      <c r="AG12" s="35">
        <f>+GETPIVOTDATA("XQT4",'quangthanh (2016)'!$A$3,"MA_HT","CLN","MA_QH","DYT")</f>
        <v>0</v>
      </c>
      <c r="AH12" s="35">
        <f>+GETPIVOTDATA("XQT4",'quangthanh (2016)'!$A$3,"MA_HT","CLN","MA_QH","DGD")</f>
        <v>0</v>
      </c>
      <c r="AI12" s="35">
        <f>+GETPIVOTDATA("XQT4",'quangthanh (2016)'!$A$3,"MA_HT","CLN","MA_QH","DTT")</f>
        <v>0</v>
      </c>
      <c r="AJ12" s="35">
        <f>+GETPIVOTDATA("XQT4",'quangthanh (2016)'!$A$3,"MA_HT","CLN","MA_QH","NCK")</f>
        <v>0</v>
      </c>
      <c r="AK12" s="35">
        <f>+GETPIVOTDATA("XQT4",'quangthanh (2016)'!$A$3,"MA_HT","CLN","MA_QH","DXH")</f>
        <v>0</v>
      </c>
      <c r="AL12" s="35">
        <f>+GETPIVOTDATA("XQT4",'quangthanh (2016)'!$A$3,"MA_HT","CLN","MA_QH","DCH")</f>
        <v>0</v>
      </c>
      <c r="AM12" s="35">
        <f>+GETPIVOTDATA("XQT4",'quangthanh (2016)'!$A$3,"MA_HT","CLN","MA_QH","DKG")</f>
        <v>0</v>
      </c>
      <c r="AN12" s="35">
        <f>+GETPIVOTDATA("XQT4",'quangthanh (2016)'!$A$3,"MA_HT","CLN","MA_QH","DDT")</f>
        <v>0</v>
      </c>
      <c r="AO12" s="35">
        <f>+GETPIVOTDATA("XQT4",'quangthanh (2016)'!$A$3,"MA_HT","CLN","MA_QH","DDL")</f>
        <v>0</v>
      </c>
      <c r="AP12" s="35">
        <f>+GETPIVOTDATA("XQT4",'quangthanh (2016)'!$A$3,"MA_HT","CLN","MA_QH","DRA")</f>
        <v>0</v>
      </c>
      <c r="AQ12" s="35">
        <f>+GETPIVOTDATA("XQT4",'quangthanh (2016)'!$A$3,"MA_HT","CLN","MA_QH","ONT")</f>
        <v>0</v>
      </c>
      <c r="AR12" s="35">
        <f>+GETPIVOTDATA("XQT4",'quangthanh (2016)'!$A$3,"MA_HT","CLN","MA_QH","ODT")</f>
        <v>0</v>
      </c>
      <c r="AS12" s="35">
        <f>+GETPIVOTDATA("XQT4",'quangthanh (2016)'!$A$3,"MA_HT","CLN","MA_QH","TSC")</f>
        <v>0</v>
      </c>
      <c r="AT12" s="35">
        <f>+GETPIVOTDATA("XQT4",'quangthanh (2016)'!$A$3,"MA_HT","CLN","MA_QH","DTS")</f>
        <v>0</v>
      </c>
      <c r="AU12" s="35">
        <f>+GETPIVOTDATA("XQT4",'quangthanh (2016)'!$A$3,"MA_HT","CLN","MA_QH","DNG")</f>
        <v>0</v>
      </c>
      <c r="AV12" s="35">
        <f>+GETPIVOTDATA("XQT4",'quangthanh (2016)'!$A$3,"MA_HT","CLN","MA_QH","TON")</f>
        <v>0</v>
      </c>
      <c r="AW12" s="35">
        <f>+GETPIVOTDATA("XQT4",'quangthanh (2016)'!$A$3,"MA_HT","CLN","MA_QH","NTD")</f>
        <v>0</v>
      </c>
      <c r="AX12" s="35">
        <f>+GETPIVOTDATA("XQT4",'quangthanh (2016)'!$A$3,"MA_HT","CLN","MA_QH","SKX")</f>
        <v>0</v>
      </c>
      <c r="AY12" s="35">
        <f>+GETPIVOTDATA("XQT4",'quangthanh (2016)'!$A$3,"MA_HT","CLN","MA_QH","DSH")</f>
        <v>0</v>
      </c>
      <c r="AZ12" s="35">
        <f>+GETPIVOTDATA("XQT4",'quangthanh (2016)'!$A$3,"MA_HT","CLN","MA_QH","DKV")</f>
        <v>0</v>
      </c>
      <c r="BA12" s="140">
        <f>+GETPIVOTDATA("XQT4",'quangthanh (2016)'!$A$3,"MA_HT","CLN","MA_QH","TIN")</f>
        <v>0</v>
      </c>
      <c r="BB12" s="74">
        <f>+GETPIVOTDATA("XQT4",'quangthanh (2016)'!$A$3,"MA_HT","CLN","MA_QH","SON")</f>
        <v>0</v>
      </c>
      <c r="BC12" s="74">
        <f>+GETPIVOTDATA("XQT4",'quangthanh (2016)'!$A$3,"MA_HT","CLN","MA_QH","MNC")</f>
        <v>0</v>
      </c>
      <c r="BD12" s="35">
        <f>+GETPIVOTDATA("XQT4",'quangthanh (2016)'!$A$3,"MA_HT","CLN","MA_QH","PNK")</f>
        <v>0</v>
      </c>
      <c r="BE12" s="58">
        <f>+GETPIVOTDATA("XQT4",'quangthanh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+GETPIVOTDATA("XQT4",'quangthanh (2016)'!$A$3,"MA_HT","RSX","MA_QH","LUC")</f>
        <v>0</v>
      </c>
      <c r="H13" s="35">
        <f>+GETPIVOTDATA("XQT4",'quangthanh (2016)'!$A$3,"MA_HT","RSX","MA_QH","LUK")</f>
        <v>0</v>
      </c>
      <c r="I13" s="35">
        <f>+GETPIVOTDATA("XQT4",'quangthanh (2016)'!$A$3,"MA_HT","RSX","MA_QH","LUN")</f>
        <v>0</v>
      </c>
      <c r="J13" s="35">
        <f>+GETPIVOTDATA("XQT4",'quangthanh (2016)'!$A$3,"MA_HT","RSX","MA_QH","HNK")</f>
        <v>0</v>
      </c>
      <c r="K13" s="35">
        <f>+GETPIVOTDATA("XQT4",'quangthanh (2016)'!$A$3,"MA_HT","RSX","MA_QH","CLN")</f>
        <v>0</v>
      </c>
      <c r="L13" s="99" t="e">
        <f>$D13-$BF13</f>
        <v>#REF!</v>
      </c>
      <c r="M13" s="35">
        <f>+GETPIVOTDATA("XQT4",'quangthanh (2016)'!$A$3,"MA_HT","RSX","MA_QH","RPH")</f>
        <v>0</v>
      </c>
      <c r="N13" s="35">
        <f>+GETPIVOTDATA("XQT4",'quangthanh (2016)'!$A$3,"MA_HT","RSX","MA_QH","RDD")</f>
        <v>0</v>
      </c>
      <c r="O13" s="35">
        <f>+GETPIVOTDATA("XQT4",'quangthanh (2016)'!$A$3,"MA_HT","RSX","MA_QH","NTS")</f>
        <v>0</v>
      </c>
      <c r="P13" s="35">
        <f>+GETPIVOTDATA("XQT4",'quangthanh (2016)'!$A$3,"MA_HT","RSX","MA_QH","LMU")</f>
        <v>0</v>
      </c>
      <c r="Q13" s="35">
        <f>+GETPIVOTDATA("XQT4",'quangthanh (2016)'!$A$3,"MA_HT","RSX","MA_QH","NKH")</f>
        <v>0</v>
      </c>
      <c r="R13" s="63">
        <f t="shared" si="2"/>
        <v>0</v>
      </c>
      <c r="S13" s="35">
        <f>+GETPIVOTDATA("XQT4",'quangthanh (2016)'!$A$3,"MA_HT","RSX","MA_QH","CQP")</f>
        <v>0</v>
      </c>
      <c r="T13" s="35">
        <f>+GETPIVOTDATA("XQT4",'quangthanh (2016)'!$A$3,"MA_HT","RSX","MA_QH","CAN")</f>
        <v>0</v>
      </c>
      <c r="U13" s="35">
        <f>+GETPIVOTDATA("XQT4",'quangthanh (2016)'!$A$3,"MA_HT","RSX","MA_QH","SKK")</f>
        <v>0</v>
      </c>
      <c r="V13" s="35">
        <f>+GETPIVOTDATA("XQT4",'quangthanh (2016)'!$A$3,"MA_HT","RSX","MA_QH","SKT")</f>
        <v>0</v>
      </c>
      <c r="W13" s="35">
        <f>+GETPIVOTDATA("XQT4",'quangthanh (2016)'!$A$3,"MA_HT","RSX","MA_QH","SKN")</f>
        <v>0</v>
      </c>
      <c r="X13" s="35">
        <f>+GETPIVOTDATA("XQT4",'quangthanh (2016)'!$A$3,"MA_HT","RSX","MA_QH","TMD")</f>
        <v>0</v>
      </c>
      <c r="Y13" s="35">
        <f>+GETPIVOTDATA("XQT4",'quangthanh (2016)'!$A$3,"MA_HT","RSX","MA_QH","SKC")</f>
        <v>0</v>
      </c>
      <c r="Z13" s="35">
        <f>+GETPIVOTDATA("XQT4",'quangthanh (2016)'!$A$3,"MA_HT","RSX","MA_QH","SKS")</f>
        <v>0</v>
      </c>
      <c r="AA13" s="64">
        <f t="shared" si="4"/>
        <v>0</v>
      </c>
      <c r="AB13" s="35">
        <f>+GETPIVOTDATA("XQT4",'quangthanh (2016)'!$A$3,"MA_HT","RSX","MA_QH","DGT")</f>
        <v>0</v>
      </c>
      <c r="AC13" s="35">
        <f>+GETPIVOTDATA("XQT4",'quangthanh (2016)'!$A$3,"MA_HT","RSX","MA_QH","DTL")</f>
        <v>0</v>
      </c>
      <c r="AD13" s="35">
        <f>+GETPIVOTDATA("XQT4",'quangthanh (2016)'!$A$3,"MA_HT","RSX","MA_QH","DNL")</f>
        <v>0</v>
      </c>
      <c r="AE13" s="35">
        <f>+GETPIVOTDATA("XQT4",'quangthanh (2016)'!$A$3,"MA_HT","RSX","MA_QH","DBV")</f>
        <v>0</v>
      </c>
      <c r="AF13" s="35">
        <f>+GETPIVOTDATA("XQT4",'quangthanh (2016)'!$A$3,"MA_HT","RSX","MA_QH","DVH")</f>
        <v>0</v>
      </c>
      <c r="AG13" s="35">
        <f>+GETPIVOTDATA("XQT4",'quangthanh (2016)'!$A$3,"MA_HT","RSX","MA_QH","DYT")</f>
        <v>0</v>
      </c>
      <c r="AH13" s="35">
        <f>+GETPIVOTDATA("XQT4",'quangthanh (2016)'!$A$3,"MA_HT","RSX","MA_QH","DGD")</f>
        <v>0</v>
      </c>
      <c r="AI13" s="35">
        <f>+GETPIVOTDATA("XQT4",'quangthanh (2016)'!$A$3,"MA_HT","RSX","MA_QH","DTT")</f>
        <v>0</v>
      </c>
      <c r="AJ13" s="35">
        <f>+GETPIVOTDATA("XQT4",'quangthanh (2016)'!$A$3,"MA_HT","RSX","MA_QH","NCK")</f>
        <v>0</v>
      </c>
      <c r="AK13" s="35">
        <f>+GETPIVOTDATA("XQT4",'quangthanh (2016)'!$A$3,"MA_HT","RSX","MA_QH","DXH")</f>
        <v>0</v>
      </c>
      <c r="AL13" s="35">
        <f>+GETPIVOTDATA("XQT4",'quangthanh (2016)'!$A$3,"MA_HT","RSX","MA_QH","DCH")</f>
        <v>0</v>
      </c>
      <c r="AM13" s="35">
        <f>+GETPIVOTDATA("XQT4",'quangthanh (2016)'!$A$3,"MA_HT","RSX","MA_QH","DKG")</f>
        <v>0</v>
      </c>
      <c r="AN13" s="35">
        <f>+GETPIVOTDATA("XQT4",'quangthanh (2016)'!$A$3,"MA_HT","RSX","MA_QH","DDT")</f>
        <v>0</v>
      </c>
      <c r="AO13" s="35">
        <f>+GETPIVOTDATA("XQT4",'quangthanh (2016)'!$A$3,"MA_HT","RSX","MA_QH","DDL")</f>
        <v>0</v>
      </c>
      <c r="AP13" s="35">
        <f>+GETPIVOTDATA("XQT4",'quangthanh (2016)'!$A$3,"MA_HT","RSX","MA_QH","DRA")</f>
        <v>0</v>
      </c>
      <c r="AQ13" s="35">
        <f>+GETPIVOTDATA("XQT4",'quangthanh (2016)'!$A$3,"MA_HT","RSX","MA_QH","ONT")</f>
        <v>0</v>
      </c>
      <c r="AR13" s="35">
        <f>+GETPIVOTDATA("XQT4",'quangthanh (2016)'!$A$3,"MA_HT","RSX","MA_QH","ODT")</f>
        <v>0</v>
      </c>
      <c r="AS13" s="35">
        <f>+GETPIVOTDATA("XQT4",'quangthanh (2016)'!$A$3,"MA_HT","RSX","MA_QH","TSC")</f>
        <v>0</v>
      </c>
      <c r="AT13" s="35">
        <f>+GETPIVOTDATA("XQT4",'quangthanh (2016)'!$A$3,"MA_HT","RSX","MA_QH","DTS")</f>
        <v>0</v>
      </c>
      <c r="AU13" s="35">
        <f>+GETPIVOTDATA("XQT4",'quangthanh (2016)'!$A$3,"MA_HT","RSX","MA_QH","DNG")</f>
        <v>0</v>
      </c>
      <c r="AV13" s="35">
        <f>+GETPIVOTDATA("XQT4",'quangthanh (2016)'!$A$3,"MA_HT","RSX","MA_QH","TON")</f>
        <v>0</v>
      </c>
      <c r="AW13" s="35">
        <f>+GETPIVOTDATA("XQT4",'quangthanh (2016)'!$A$3,"MA_HT","RSX","MA_QH","NTD")</f>
        <v>0</v>
      </c>
      <c r="AX13" s="35">
        <f>+GETPIVOTDATA("XQT4",'quangthanh (2016)'!$A$3,"MA_HT","RSX","MA_QH","SKX")</f>
        <v>0</v>
      </c>
      <c r="AY13" s="35">
        <f>+GETPIVOTDATA("XQT4",'quangthanh (2016)'!$A$3,"MA_HT","RSX","MA_QH","DSH")</f>
        <v>0</v>
      </c>
      <c r="AZ13" s="35">
        <f>+GETPIVOTDATA("XQT4",'quangthanh (2016)'!$A$3,"MA_HT","RSX","MA_QH","DKV")</f>
        <v>0</v>
      </c>
      <c r="BA13" s="140">
        <f>+GETPIVOTDATA("XQT4",'quangthanh (2016)'!$A$3,"MA_HT","RSX","MA_QH","TIN")</f>
        <v>0</v>
      </c>
      <c r="BB13" s="74">
        <f>+GETPIVOTDATA("XQT4",'quangthanh (2016)'!$A$3,"MA_HT","RSX","MA_QH","SON")</f>
        <v>0</v>
      </c>
      <c r="BC13" s="74">
        <f>+GETPIVOTDATA("XQT4",'quangthanh (2016)'!$A$3,"MA_HT","RSX","MA_QH","MNC")</f>
        <v>0</v>
      </c>
      <c r="BD13" s="35">
        <f>+GETPIVOTDATA("XQT4",'quangthanh (2016)'!$A$3,"MA_HT","RSX","MA_QH","PNK")</f>
        <v>0</v>
      </c>
      <c r="BE13" s="58">
        <f>+GETPIVOTDATA("XQT4",'quangthanh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+GETPIVOTDATA("XQT4",'quangthanh (2016)'!$A$3,"MA_HT","RPH","MA_QH","LUC")</f>
        <v>0</v>
      </c>
      <c r="H14" s="35">
        <f>+GETPIVOTDATA("XQT4",'quangthanh (2016)'!$A$3,"MA_HT","RPH","MA_QH","LUK")</f>
        <v>0</v>
      </c>
      <c r="I14" s="35">
        <f>+GETPIVOTDATA("XQT4",'quangthanh (2016)'!$A$3,"MA_HT","RPH","MA_QH","LUN")</f>
        <v>0</v>
      </c>
      <c r="J14" s="35">
        <f>+GETPIVOTDATA("XQT4",'quangthanh (2016)'!$A$3,"MA_HT","RPH","MA_QH","HNK")</f>
        <v>0</v>
      </c>
      <c r="K14" s="35">
        <f>+GETPIVOTDATA("XQT4",'quangthanh (2016)'!$A$3,"MA_HT","RPH","MA_QH","CLN")</f>
        <v>0</v>
      </c>
      <c r="L14" s="35">
        <f>+GETPIVOTDATA("XQT4",'quangthanh (2016)'!$A$3,"MA_HT","RPH","MA_QH","RSX")</f>
        <v>0</v>
      </c>
      <c r="M14" s="99" t="e">
        <f>$D14-$BF14</f>
        <v>#REF!</v>
      </c>
      <c r="N14" s="35">
        <f>+GETPIVOTDATA("XQT4",'quangthanh (2016)'!$A$3,"MA_HT","RPH","MA_QH","RDD")</f>
        <v>0</v>
      </c>
      <c r="O14" s="35">
        <f>+GETPIVOTDATA("XQT4",'quangthanh (2016)'!$A$3,"MA_HT","RPH","MA_QH","NTS")</f>
        <v>0</v>
      </c>
      <c r="P14" s="35">
        <f>+GETPIVOTDATA("XQT4",'quangthanh (2016)'!$A$3,"MA_HT","RPH","MA_QH","LMU")</f>
        <v>0</v>
      </c>
      <c r="Q14" s="35">
        <f>+GETPIVOTDATA("XQT4",'quangthanh (2016)'!$A$3,"MA_HT","RPH","MA_QH","NKH")</f>
        <v>0</v>
      </c>
      <c r="R14" s="63">
        <f t="shared" si="2"/>
        <v>0</v>
      </c>
      <c r="S14" s="35">
        <f>+GETPIVOTDATA("XQT4",'quangthanh (2016)'!$A$3,"MA_HT","RPH","MA_QH","CQP")</f>
        <v>0</v>
      </c>
      <c r="T14" s="35">
        <f>+GETPIVOTDATA("XQT4",'quangthanh (2016)'!$A$3,"MA_HT","RPH","MA_QH","CAN")</f>
        <v>0</v>
      </c>
      <c r="U14" s="35">
        <f>+GETPIVOTDATA("XQT4",'quangthanh (2016)'!$A$3,"MA_HT","RPH","MA_QH","SKK")</f>
        <v>0</v>
      </c>
      <c r="V14" s="35">
        <f>+GETPIVOTDATA("XQT4",'quangthanh (2016)'!$A$3,"MA_HT","RPH","MA_QH","SKT")</f>
        <v>0</v>
      </c>
      <c r="W14" s="35">
        <f>+GETPIVOTDATA("XQT4",'quangthanh (2016)'!$A$3,"MA_HT","RPH","MA_QH","SKN")</f>
        <v>0</v>
      </c>
      <c r="X14" s="35">
        <f>+GETPIVOTDATA("XQT4",'quangthanh (2016)'!$A$3,"MA_HT","RPH","MA_QH","TMD")</f>
        <v>0</v>
      </c>
      <c r="Y14" s="35">
        <f>+GETPIVOTDATA("XQT4",'quangthanh (2016)'!$A$3,"MA_HT","RPH","MA_QH","SKC")</f>
        <v>0</v>
      </c>
      <c r="Z14" s="35">
        <f>+GETPIVOTDATA("XQT4",'quangthanh (2016)'!$A$3,"MA_HT","RPH","MA_QH","SKS")</f>
        <v>0</v>
      </c>
      <c r="AA14" s="64">
        <f t="shared" si="4"/>
        <v>0</v>
      </c>
      <c r="AB14" s="35">
        <f>+GETPIVOTDATA("XQT4",'quangthanh (2016)'!$A$3,"MA_HT","RPH","MA_QH","DGT")</f>
        <v>0</v>
      </c>
      <c r="AC14" s="35">
        <f>+GETPIVOTDATA("XQT4",'quangthanh (2016)'!$A$3,"MA_HT","RPH","MA_QH","DTL")</f>
        <v>0</v>
      </c>
      <c r="AD14" s="35">
        <f>+GETPIVOTDATA("XQT4",'quangthanh (2016)'!$A$3,"MA_HT","RPH","MA_QH","DNL")</f>
        <v>0</v>
      </c>
      <c r="AE14" s="35">
        <f>+GETPIVOTDATA("XQT4",'quangthanh (2016)'!$A$3,"MA_HT","RPH","MA_QH","DBV")</f>
        <v>0</v>
      </c>
      <c r="AF14" s="35">
        <f>+GETPIVOTDATA("XQT4",'quangthanh (2016)'!$A$3,"MA_HT","RPH","MA_QH","DVH")</f>
        <v>0</v>
      </c>
      <c r="AG14" s="35">
        <f>+GETPIVOTDATA("XQT4",'quangthanh (2016)'!$A$3,"MA_HT","RPH","MA_QH","DYT")</f>
        <v>0</v>
      </c>
      <c r="AH14" s="35">
        <f>+GETPIVOTDATA("XQT4",'quangthanh (2016)'!$A$3,"MA_HT","RPH","MA_QH","DGD")</f>
        <v>0</v>
      </c>
      <c r="AI14" s="35">
        <f>+GETPIVOTDATA("XQT4",'quangthanh (2016)'!$A$3,"MA_HT","RPH","MA_QH","DTT")</f>
        <v>0</v>
      </c>
      <c r="AJ14" s="35">
        <f>+GETPIVOTDATA("XQT4",'quangthanh (2016)'!$A$3,"MA_HT","RPH","MA_QH","NCK")</f>
        <v>0</v>
      </c>
      <c r="AK14" s="35">
        <f>+GETPIVOTDATA("XQT4",'quangthanh (2016)'!$A$3,"MA_HT","RPH","MA_QH","DXH")</f>
        <v>0</v>
      </c>
      <c r="AL14" s="35">
        <f>+GETPIVOTDATA("XQT4",'quangthanh (2016)'!$A$3,"MA_HT","RPH","MA_QH","DCH")</f>
        <v>0</v>
      </c>
      <c r="AM14" s="35">
        <f>+GETPIVOTDATA("XQT4",'quangthanh (2016)'!$A$3,"MA_HT","RPH","MA_QH","DKG")</f>
        <v>0</v>
      </c>
      <c r="AN14" s="35">
        <f>+GETPIVOTDATA("XQT4",'quangthanh (2016)'!$A$3,"MA_HT","RPH","MA_QH","DDT")</f>
        <v>0</v>
      </c>
      <c r="AO14" s="35">
        <f>+GETPIVOTDATA("XQT4",'quangthanh (2016)'!$A$3,"MA_HT","RPH","MA_QH","DDL")</f>
        <v>0</v>
      </c>
      <c r="AP14" s="35">
        <f>+GETPIVOTDATA("XQT4",'quangthanh (2016)'!$A$3,"MA_HT","RPH","MA_QH","DRA")</f>
        <v>0</v>
      </c>
      <c r="AQ14" s="35">
        <f>+GETPIVOTDATA("XQT4",'quangthanh (2016)'!$A$3,"MA_HT","RPH","MA_QH","ONT")</f>
        <v>0</v>
      </c>
      <c r="AR14" s="35">
        <f>+GETPIVOTDATA("XQT4",'quangthanh (2016)'!$A$3,"MA_HT","RPH","MA_QH","ODT")</f>
        <v>0</v>
      </c>
      <c r="AS14" s="35">
        <f>+GETPIVOTDATA("XQT4",'quangthanh (2016)'!$A$3,"MA_HT","RPH","MA_QH","TSC")</f>
        <v>0</v>
      </c>
      <c r="AT14" s="35">
        <f>+GETPIVOTDATA("XQT4",'quangthanh (2016)'!$A$3,"MA_HT","RPH","MA_QH","DTS")</f>
        <v>0</v>
      </c>
      <c r="AU14" s="35">
        <f>+GETPIVOTDATA("XQT4",'quangthanh (2016)'!$A$3,"MA_HT","RPH","MA_QH","DNG")</f>
        <v>0</v>
      </c>
      <c r="AV14" s="35">
        <f>+GETPIVOTDATA("XQT4",'quangthanh (2016)'!$A$3,"MA_HT","RPH","MA_QH","TON")</f>
        <v>0</v>
      </c>
      <c r="AW14" s="35">
        <f>+GETPIVOTDATA("XQT4",'quangthanh (2016)'!$A$3,"MA_HT","RPH","MA_QH","NTD")</f>
        <v>0</v>
      </c>
      <c r="AX14" s="35">
        <f>+GETPIVOTDATA("XQT4",'quangthanh (2016)'!$A$3,"MA_HT","RPH","MA_QH","SKX")</f>
        <v>0</v>
      </c>
      <c r="AY14" s="35">
        <f>+GETPIVOTDATA("XQT4",'quangthanh (2016)'!$A$3,"MA_HT","RPH","MA_QH","DSH")</f>
        <v>0</v>
      </c>
      <c r="AZ14" s="35">
        <f>+GETPIVOTDATA("XQT4",'quangthanh (2016)'!$A$3,"MA_HT","RPH","MA_QH","DKV")</f>
        <v>0</v>
      </c>
      <c r="BA14" s="140">
        <f>+GETPIVOTDATA("XQT4",'quangthanh (2016)'!$A$3,"MA_HT","RPH","MA_QH","TIN")</f>
        <v>0</v>
      </c>
      <c r="BB14" s="74">
        <f>+GETPIVOTDATA("XQT4",'quangthanh (2016)'!$A$3,"MA_HT","RPH","MA_QH","SON")</f>
        <v>0</v>
      </c>
      <c r="BC14" s="74">
        <f>+GETPIVOTDATA("XQT4",'quangthanh (2016)'!$A$3,"MA_HT","RPH","MA_QH","MNC")</f>
        <v>0</v>
      </c>
      <c r="BD14" s="35">
        <f>+GETPIVOTDATA("XQT4",'quangthanh (2016)'!$A$3,"MA_HT","RPH","MA_QH","PNK")</f>
        <v>0</v>
      </c>
      <c r="BE14" s="58">
        <f>+GETPIVOTDATA("XQT4",'quangthanh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+GETPIVOTDATA("XQT4",'quangthanh (2016)'!$A$3,"MA_HT","RDD","MA_QH","LUC")</f>
        <v>0</v>
      </c>
      <c r="H15" s="35">
        <f>+GETPIVOTDATA("XQT4",'quangthanh (2016)'!$A$3,"MA_HT","RDD","MA_QH","LUK")</f>
        <v>0</v>
      </c>
      <c r="I15" s="35">
        <f>+GETPIVOTDATA("XQT4",'quangthanh (2016)'!$A$3,"MA_HT","RDD","MA_QH","LUN")</f>
        <v>0</v>
      </c>
      <c r="J15" s="35">
        <f>+GETPIVOTDATA("XQT4",'quangthanh (2016)'!$A$3,"MA_HT","RDD","MA_QH","HNK")</f>
        <v>0</v>
      </c>
      <c r="K15" s="35">
        <f>+GETPIVOTDATA("XQT4",'quangthanh (2016)'!$A$3,"MA_HT","RDD","MA_QH","CLN")</f>
        <v>0</v>
      </c>
      <c r="L15" s="35">
        <f>+GETPIVOTDATA("XQT4",'quangthanh (2016)'!$A$3,"MA_HT","RDD","MA_QH","RSX")</f>
        <v>0</v>
      </c>
      <c r="M15" s="35">
        <f>+GETPIVOTDATA("XQT4",'quangthanh (2016)'!$A$3,"MA_HT","RDD","MA_QH","RPH")</f>
        <v>0</v>
      </c>
      <c r="N15" s="99" t="e">
        <f>$D15-$BF15</f>
        <v>#REF!</v>
      </c>
      <c r="O15" s="35">
        <f>+GETPIVOTDATA("XQT4",'quangthanh (2016)'!$A$3,"MA_HT","RDD","MA_QH","NTS")</f>
        <v>0</v>
      </c>
      <c r="P15" s="35">
        <f>+GETPIVOTDATA("XQT4",'quangthanh (2016)'!$A$3,"MA_HT","RDD","MA_QH","LMU")</f>
        <v>0</v>
      </c>
      <c r="Q15" s="35">
        <f>+GETPIVOTDATA("XQT4",'quangthanh (2016)'!$A$3,"MA_HT","RDD","MA_QH","NKH")</f>
        <v>0</v>
      </c>
      <c r="R15" s="63">
        <f t="shared" si="2"/>
        <v>0</v>
      </c>
      <c r="S15" s="35">
        <f>+GETPIVOTDATA("XQT4",'quangthanh (2016)'!$A$3,"MA_HT","RDD","MA_QH","CQP")</f>
        <v>0</v>
      </c>
      <c r="T15" s="35">
        <f>+GETPIVOTDATA("XQT4",'quangthanh (2016)'!$A$3,"MA_HT","RDD","MA_QH","CAN")</f>
        <v>0</v>
      </c>
      <c r="U15" s="35">
        <f>+GETPIVOTDATA("XQT4",'quangthanh (2016)'!$A$3,"MA_HT","RDD","MA_QH","SKK")</f>
        <v>0</v>
      </c>
      <c r="V15" s="35">
        <f>+GETPIVOTDATA("XQT4",'quangthanh (2016)'!$A$3,"MA_HT","RDD","MA_QH","SKT")</f>
        <v>0</v>
      </c>
      <c r="W15" s="35">
        <f>+GETPIVOTDATA("XQT4",'quangthanh (2016)'!$A$3,"MA_HT","RDD","MA_QH","SKN")</f>
        <v>0</v>
      </c>
      <c r="X15" s="35">
        <f>+GETPIVOTDATA("XQT4",'quangthanh (2016)'!$A$3,"MA_HT","RDD","MA_QH","TMD")</f>
        <v>0</v>
      </c>
      <c r="Y15" s="35">
        <f>+GETPIVOTDATA("XQT4",'quangthanh (2016)'!$A$3,"MA_HT","RDD","MA_QH","SKC")</f>
        <v>0</v>
      </c>
      <c r="Z15" s="35">
        <f>+GETPIVOTDATA("XQT4",'quangthanh (2016)'!$A$3,"MA_HT","RDD","MA_QH","SKS")</f>
        <v>0</v>
      </c>
      <c r="AA15" s="64">
        <f t="shared" si="4"/>
        <v>0</v>
      </c>
      <c r="AB15" s="35">
        <f>+GETPIVOTDATA("XQT4",'quangthanh (2016)'!$A$3,"MA_HT","RDD","MA_QH","DGT")</f>
        <v>0</v>
      </c>
      <c r="AC15" s="35">
        <f>+GETPIVOTDATA("XQT4",'quangthanh (2016)'!$A$3,"MA_HT","RDD","MA_QH","DTL")</f>
        <v>0</v>
      </c>
      <c r="AD15" s="35">
        <f>+GETPIVOTDATA("XQT4",'quangthanh (2016)'!$A$3,"MA_HT","RDD","MA_QH","DNL")</f>
        <v>0</v>
      </c>
      <c r="AE15" s="35">
        <f>+GETPIVOTDATA("XQT4",'quangthanh (2016)'!$A$3,"MA_HT","RDD","MA_QH","DBV")</f>
        <v>0</v>
      </c>
      <c r="AF15" s="35">
        <f>+GETPIVOTDATA("XQT4",'quangthanh (2016)'!$A$3,"MA_HT","RDD","MA_QH","DVH")</f>
        <v>0</v>
      </c>
      <c r="AG15" s="35">
        <f>+GETPIVOTDATA("XQT4",'quangthanh (2016)'!$A$3,"MA_HT","RDD","MA_QH","DYT")</f>
        <v>0</v>
      </c>
      <c r="AH15" s="35">
        <f>+GETPIVOTDATA("XQT4",'quangthanh (2016)'!$A$3,"MA_HT","RDD","MA_QH","DGD")</f>
        <v>0</v>
      </c>
      <c r="AI15" s="35">
        <f>+GETPIVOTDATA("XQT4",'quangthanh (2016)'!$A$3,"MA_HT","RDD","MA_QH","DTT")</f>
        <v>0</v>
      </c>
      <c r="AJ15" s="35">
        <f>+GETPIVOTDATA("XQT4",'quangthanh (2016)'!$A$3,"MA_HT","RDD","MA_QH","NCK")</f>
        <v>0</v>
      </c>
      <c r="AK15" s="35">
        <f>+GETPIVOTDATA("XQT4",'quangthanh (2016)'!$A$3,"MA_HT","RDD","MA_QH","DXH")</f>
        <v>0</v>
      </c>
      <c r="AL15" s="35">
        <f>+GETPIVOTDATA("XQT4",'quangthanh (2016)'!$A$3,"MA_HT","RDD","MA_QH","DCH")</f>
        <v>0</v>
      </c>
      <c r="AM15" s="35">
        <f>+GETPIVOTDATA("XQT4",'quangthanh (2016)'!$A$3,"MA_HT","RDD","MA_QH","DKG")</f>
        <v>0</v>
      </c>
      <c r="AN15" s="35">
        <f>+GETPIVOTDATA("XQT4",'quangthanh (2016)'!$A$3,"MA_HT","RDD","MA_QH","DDT")</f>
        <v>0</v>
      </c>
      <c r="AO15" s="35">
        <f>+GETPIVOTDATA("XQT4",'quangthanh (2016)'!$A$3,"MA_HT","RDD","MA_QH","DDL")</f>
        <v>0</v>
      </c>
      <c r="AP15" s="35">
        <f>+GETPIVOTDATA("XQT4",'quangthanh (2016)'!$A$3,"MA_HT","RDD","MA_QH","DRA")</f>
        <v>0</v>
      </c>
      <c r="AQ15" s="35">
        <f>+GETPIVOTDATA("XQT4",'quangthanh (2016)'!$A$3,"MA_HT","RDD","MA_QH","ONT")</f>
        <v>0</v>
      </c>
      <c r="AR15" s="35">
        <f>+GETPIVOTDATA("XQT4",'quangthanh (2016)'!$A$3,"MA_HT","RDD","MA_QH","ODT")</f>
        <v>0</v>
      </c>
      <c r="AS15" s="35">
        <f>+GETPIVOTDATA("XQT4",'quangthanh (2016)'!$A$3,"MA_HT","RDD","MA_QH","TSC")</f>
        <v>0</v>
      </c>
      <c r="AT15" s="35">
        <f>+GETPIVOTDATA("XQT4",'quangthanh (2016)'!$A$3,"MA_HT","RDD","MA_QH","DTS")</f>
        <v>0</v>
      </c>
      <c r="AU15" s="35">
        <f>+GETPIVOTDATA("XQT4",'quangthanh (2016)'!$A$3,"MA_HT","RDD","MA_QH","DNG")</f>
        <v>0</v>
      </c>
      <c r="AV15" s="35">
        <f>+GETPIVOTDATA("XQT4",'quangthanh (2016)'!$A$3,"MA_HT","RDD","MA_QH","TON")</f>
        <v>0</v>
      </c>
      <c r="AW15" s="35">
        <f>+GETPIVOTDATA("XQT4",'quangthanh (2016)'!$A$3,"MA_HT","RDD","MA_QH","NTD")</f>
        <v>0</v>
      </c>
      <c r="AX15" s="35">
        <f>+GETPIVOTDATA("XQT4",'quangthanh (2016)'!$A$3,"MA_HT","RDD","MA_QH","SKX")</f>
        <v>0</v>
      </c>
      <c r="AY15" s="35">
        <f>+GETPIVOTDATA("XQT4",'quangthanh (2016)'!$A$3,"MA_HT","RDD","MA_QH","DSH")</f>
        <v>0</v>
      </c>
      <c r="AZ15" s="35">
        <f>+GETPIVOTDATA("XQT4",'quangthanh (2016)'!$A$3,"MA_HT","RDD","MA_QH","DKV")</f>
        <v>0</v>
      </c>
      <c r="BA15" s="140">
        <f>+GETPIVOTDATA("XQT4",'quangthanh (2016)'!$A$3,"MA_HT","RDD","MA_QH","TIN")</f>
        <v>0</v>
      </c>
      <c r="BB15" s="74">
        <f>+GETPIVOTDATA("XQT4",'quangthanh (2016)'!$A$3,"MA_HT","RDD","MA_QH","SON")</f>
        <v>0</v>
      </c>
      <c r="BC15" s="74">
        <f>+GETPIVOTDATA("XQT4",'quangthanh (2016)'!$A$3,"MA_HT","RDD","MA_QH","MNC")</f>
        <v>0</v>
      </c>
      <c r="BD15" s="35">
        <f>+GETPIVOTDATA("XQT4",'quangthanh (2016)'!$A$3,"MA_HT","RDD","MA_QH","PNK")</f>
        <v>0</v>
      </c>
      <c r="BE15" s="58">
        <f>+GETPIVOTDATA("XQT4",'quangthanh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+GETPIVOTDATA("XQT4",'quangthanh (2016)'!$A$3,"MA_HT","NTS","MA_QH","LUC")</f>
        <v>0</v>
      </c>
      <c r="H16" s="35">
        <f>+GETPIVOTDATA("XQT4",'quangthanh (2016)'!$A$3,"MA_HT","NTS","MA_QH","LUK")</f>
        <v>0</v>
      </c>
      <c r="I16" s="35">
        <f>+GETPIVOTDATA("XQT4",'quangthanh (2016)'!$A$3,"MA_HT","NTS","MA_QH","LUN")</f>
        <v>0</v>
      </c>
      <c r="J16" s="35">
        <f>+GETPIVOTDATA("XQT4",'quangthanh (2016)'!$A$3,"MA_HT","NTS","MA_QH","HNK")</f>
        <v>0</v>
      </c>
      <c r="K16" s="35">
        <f>+GETPIVOTDATA("XQT4",'quangthanh (2016)'!$A$3,"MA_HT","NTS","MA_QH","CLN")</f>
        <v>0</v>
      </c>
      <c r="L16" s="35">
        <f>+GETPIVOTDATA("XQT4",'quangthanh (2016)'!$A$3,"MA_HT","NTS","MA_QH","RSX")</f>
        <v>0</v>
      </c>
      <c r="M16" s="35">
        <f>+GETPIVOTDATA("XQT4",'quangthanh (2016)'!$A$3,"MA_HT","NTS","MA_QH","RPH")</f>
        <v>0</v>
      </c>
      <c r="N16" s="35">
        <f>+GETPIVOTDATA("XQT4",'quangthanh (2016)'!$A$3,"MA_HT","NTS","MA_QH","RDD")</f>
        <v>0</v>
      </c>
      <c r="O16" s="99" t="e">
        <f>$D16-$BF16</f>
        <v>#REF!</v>
      </c>
      <c r="P16" s="35">
        <f>+GETPIVOTDATA("XQT4",'quangthanh (2016)'!$A$3,"MA_HT","NTS","MA_QH","LMU")</f>
        <v>0</v>
      </c>
      <c r="Q16" s="35">
        <f>+GETPIVOTDATA("XQT4",'quangthanh (2016)'!$A$3,"MA_HT","NTS","MA_QH","NKH")</f>
        <v>0</v>
      </c>
      <c r="R16" s="63">
        <f t="shared" si="2"/>
        <v>0</v>
      </c>
      <c r="S16" s="35">
        <f>+GETPIVOTDATA("XQT4",'quangthanh (2016)'!$A$3,"MA_HT","NTS","MA_QH","CQP")</f>
        <v>0</v>
      </c>
      <c r="T16" s="35">
        <f>+GETPIVOTDATA("XQT4",'quangthanh (2016)'!$A$3,"MA_HT","NTS","MA_QH","CAN")</f>
        <v>0</v>
      </c>
      <c r="U16" s="35">
        <f>+GETPIVOTDATA("XQT4",'quangthanh (2016)'!$A$3,"MA_HT","NTS","MA_QH","SKK")</f>
        <v>0</v>
      </c>
      <c r="V16" s="35">
        <f>+GETPIVOTDATA("XQT4",'quangthanh (2016)'!$A$3,"MA_HT","NTS","MA_QH","SKT")</f>
        <v>0</v>
      </c>
      <c r="W16" s="35">
        <f>+GETPIVOTDATA("XQT4",'quangthanh (2016)'!$A$3,"MA_HT","NTS","MA_QH","SKN")</f>
        <v>0</v>
      </c>
      <c r="X16" s="35">
        <f>+GETPIVOTDATA("XQT4",'quangthanh (2016)'!$A$3,"MA_HT","NTS","MA_QH","TMD")</f>
        <v>0</v>
      </c>
      <c r="Y16" s="35">
        <f>+GETPIVOTDATA("XQT4",'quangthanh (2016)'!$A$3,"MA_HT","NTS","MA_QH","SKC")</f>
        <v>0</v>
      </c>
      <c r="Z16" s="35">
        <f>+GETPIVOTDATA("XQT4",'quangthanh (2016)'!$A$3,"MA_HT","NTS","MA_QH","SKS")</f>
        <v>0</v>
      </c>
      <c r="AA16" s="64">
        <f t="shared" si="4"/>
        <v>0</v>
      </c>
      <c r="AB16" s="35">
        <f>+GETPIVOTDATA("XQT4",'quangthanh (2016)'!$A$3,"MA_HT","NTS","MA_QH","DGT")</f>
        <v>0</v>
      </c>
      <c r="AC16" s="35">
        <f>+GETPIVOTDATA("XQT4",'quangthanh (2016)'!$A$3,"MA_HT","NTS","MA_QH","DTL")</f>
        <v>0</v>
      </c>
      <c r="AD16" s="35">
        <f>+GETPIVOTDATA("XQT4",'quangthanh (2016)'!$A$3,"MA_HT","NTS","MA_QH","DNL")</f>
        <v>0</v>
      </c>
      <c r="AE16" s="35">
        <f>+GETPIVOTDATA("XQT4",'quangthanh (2016)'!$A$3,"MA_HT","NTS","MA_QH","DBV")</f>
        <v>0</v>
      </c>
      <c r="AF16" s="35">
        <f>+GETPIVOTDATA("XQT4",'quangthanh (2016)'!$A$3,"MA_HT","NTS","MA_QH","DVH")</f>
        <v>0</v>
      </c>
      <c r="AG16" s="35">
        <f>+GETPIVOTDATA("XQT4",'quangthanh (2016)'!$A$3,"MA_HT","NTS","MA_QH","DYT")</f>
        <v>0</v>
      </c>
      <c r="AH16" s="35">
        <f>+GETPIVOTDATA("XQT4",'quangthanh (2016)'!$A$3,"MA_HT","NTS","MA_QH","DGD")</f>
        <v>0</v>
      </c>
      <c r="AI16" s="35">
        <f>+GETPIVOTDATA("XQT4",'quangthanh (2016)'!$A$3,"MA_HT","NTS","MA_QH","DTT")</f>
        <v>0</v>
      </c>
      <c r="AJ16" s="35">
        <f>+GETPIVOTDATA("XQT4",'quangthanh (2016)'!$A$3,"MA_HT","NTS","MA_QH","NCK")</f>
        <v>0</v>
      </c>
      <c r="AK16" s="35">
        <f>+GETPIVOTDATA("XQT4",'quangthanh (2016)'!$A$3,"MA_HT","NTS","MA_QH","DXH")</f>
        <v>0</v>
      </c>
      <c r="AL16" s="35">
        <f>+GETPIVOTDATA("XQT4",'quangthanh (2016)'!$A$3,"MA_HT","NTS","MA_QH","DCH")</f>
        <v>0</v>
      </c>
      <c r="AM16" s="35">
        <f>+GETPIVOTDATA("XQT4",'quangthanh (2016)'!$A$3,"MA_HT","NTS","MA_QH","DKG")</f>
        <v>0</v>
      </c>
      <c r="AN16" s="35">
        <f>+GETPIVOTDATA("XQT4",'quangthanh (2016)'!$A$3,"MA_HT","NTS","MA_QH","DDT")</f>
        <v>0</v>
      </c>
      <c r="AO16" s="35">
        <f>+GETPIVOTDATA("XQT4",'quangthanh (2016)'!$A$3,"MA_HT","NTS","MA_QH","DDL")</f>
        <v>0</v>
      </c>
      <c r="AP16" s="35">
        <f>+GETPIVOTDATA("XQT4",'quangthanh (2016)'!$A$3,"MA_HT","NTS","MA_QH","DRA")</f>
        <v>0</v>
      </c>
      <c r="AQ16" s="35">
        <f>+GETPIVOTDATA("XQT4",'quangthanh (2016)'!$A$3,"MA_HT","NTS","MA_QH","ONT")</f>
        <v>0</v>
      </c>
      <c r="AR16" s="35">
        <f>+GETPIVOTDATA("XQT4",'quangthanh (2016)'!$A$3,"MA_HT","NTS","MA_QH","ODT")</f>
        <v>0</v>
      </c>
      <c r="AS16" s="35">
        <f>+GETPIVOTDATA("XQT4",'quangthanh (2016)'!$A$3,"MA_HT","NTS","MA_QH","TSC")</f>
        <v>0</v>
      </c>
      <c r="AT16" s="35">
        <f>+GETPIVOTDATA("XQT4",'quangthanh (2016)'!$A$3,"MA_HT","NTS","MA_QH","DTS")</f>
        <v>0</v>
      </c>
      <c r="AU16" s="35">
        <f>+GETPIVOTDATA("XQT4",'quangthanh (2016)'!$A$3,"MA_HT","NTS","MA_QH","DNG")</f>
        <v>0</v>
      </c>
      <c r="AV16" s="35">
        <f>+GETPIVOTDATA("XQT4",'quangthanh (2016)'!$A$3,"MA_HT","NTS","MA_QH","TON")</f>
        <v>0</v>
      </c>
      <c r="AW16" s="35">
        <f>+GETPIVOTDATA("XQT4",'quangthanh (2016)'!$A$3,"MA_HT","NTS","MA_QH","NTD")</f>
        <v>0</v>
      </c>
      <c r="AX16" s="35">
        <f>+GETPIVOTDATA("XQT4",'quangthanh (2016)'!$A$3,"MA_HT","NTS","MA_QH","SKX")</f>
        <v>0</v>
      </c>
      <c r="AY16" s="35">
        <f>+GETPIVOTDATA("XQT4",'quangthanh (2016)'!$A$3,"MA_HT","NTS","MA_QH","DSH")</f>
        <v>0</v>
      </c>
      <c r="AZ16" s="35">
        <f>+GETPIVOTDATA("XQT4",'quangthanh (2016)'!$A$3,"MA_HT","NTS","MA_QH","DKV")</f>
        <v>0</v>
      </c>
      <c r="BA16" s="140">
        <f>+GETPIVOTDATA("XQT4",'quangthanh (2016)'!$A$3,"MA_HT","NTS","MA_QH","TIN")</f>
        <v>0</v>
      </c>
      <c r="BB16" s="74">
        <f>+GETPIVOTDATA("XQT4",'quangthanh (2016)'!$A$3,"MA_HT","NTS","MA_QH","SON")</f>
        <v>0</v>
      </c>
      <c r="BC16" s="74">
        <f>+GETPIVOTDATA("XQT4",'quangthanh (2016)'!$A$3,"MA_HT","NTS","MA_QH","MNC")</f>
        <v>0</v>
      </c>
      <c r="BD16" s="35">
        <f>+GETPIVOTDATA("XQT4",'quangthanh (2016)'!$A$3,"MA_HT","NTS","MA_QH","PNK")</f>
        <v>0</v>
      </c>
      <c r="BE16" s="58">
        <f>+GETPIVOTDATA("XQT4",'quangthanh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+GETPIVOTDATA("XQT4",'quangthanh (2016)'!$A$3,"MA_HT","LMU","MA_QH","LUC")</f>
        <v>0</v>
      </c>
      <c r="H17" s="35">
        <f>+GETPIVOTDATA("XQT4",'quangthanh (2016)'!$A$3,"MA_HT","LMU","MA_QH","LUK")</f>
        <v>0</v>
      </c>
      <c r="I17" s="35">
        <f>+GETPIVOTDATA("XQT4",'quangthanh (2016)'!$A$3,"MA_HT","LMU","MA_QH","LUN")</f>
        <v>0</v>
      </c>
      <c r="J17" s="35">
        <f>+GETPIVOTDATA("XQT4",'quangthanh (2016)'!$A$3,"MA_HT","LMU","MA_QH","HNK")</f>
        <v>0</v>
      </c>
      <c r="K17" s="35">
        <f>+GETPIVOTDATA("XQT4",'quangthanh (2016)'!$A$3,"MA_HT","LMU","MA_QH","CLN")</f>
        <v>0</v>
      </c>
      <c r="L17" s="35">
        <f>+GETPIVOTDATA("XQT4",'quangthanh (2016)'!$A$3,"MA_HT","LMU","MA_QH","RSX")</f>
        <v>0</v>
      </c>
      <c r="M17" s="35">
        <f>+GETPIVOTDATA("XQT4",'quangthanh (2016)'!$A$3,"MA_HT","LMU","MA_QH","RPH")</f>
        <v>0</v>
      </c>
      <c r="N17" s="35">
        <f>+GETPIVOTDATA("XQT4",'quangthanh (2016)'!$A$3,"MA_HT","LMU","MA_QH","RDD")</f>
        <v>0</v>
      </c>
      <c r="O17" s="35">
        <f>+GETPIVOTDATA("XQT4",'quangthanh (2016)'!$A$3,"MA_HT","LMU","MA_QH","NTS")</f>
        <v>0</v>
      </c>
      <c r="P17" s="99" t="e">
        <f>$D17-$BF17</f>
        <v>#REF!</v>
      </c>
      <c r="Q17" s="35">
        <f>+GETPIVOTDATA("XQT4",'quangthanh (2016)'!$A$3,"MA_HT","LMU","MA_QH","NKH")</f>
        <v>0</v>
      </c>
      <c r="R17" s="63">
        <f t="shared" si="2"/>
        <v>0</v>
      </c>
      <c r="S17" s="35">
        <f>+GETPIVOTDATA("XQT4",'quangthanh (2016)'!$A$3,"MA_HT","LMU","MA_QH","CQP")</f>
        <v>0</v>
      </c>
      <c r="T17" s="35">
        <f>+GETPIVOTDATA("XQT4",'quangthanh (2016)'!$A$3,"MA_HT","LMU","MA_QH","CAN")</f>
        <v>0</v>
      </c>
      <c r="U17" s="35">
        <f>+GETPIVOTDATA("XQT4",'quangthanh (2016)'!$A$3,"MA_HT","LMU","MA_QH","SKK")</f>
        <v>0</v>
      </c>
      <c r="V17" s="35">
        <f>+GETPIVOTDATA("XQT4",'quangthanh (2016)'!$A$3,"MA_HT","LMU","MA_QH","SKT")</f>
        <v>0</v>
      </c>
      <c r="W17" s="35">
        <f>+GETPIVOTDATA("XQT4",'quangthanh (2016)'!$A$3,"MA_HT","LMU","MA_QH","SKN")</f>
        <v>0</v>
      </c>
      <c r="X17" s="35">
        <f>+GETPIVOTDATA("XQT4",'quangthanh (2016)'!$A$3,"MA_HT","LMU","MA_QH","TMD")</f>
        <v>0</v>
      </c>
      <c r="Y17" s="35">
        <f>+GETPIVOTDATA("XQT4",'quangthanh (2016)'!$A$3,"MA_HT","LMU","MA_QH","SKC")</f>
        <v>0</v>
      </c>
      <c r="Z17" s="35">
        <f>+GETPIVOTDATA("XQT4",'quangthanh (2016)'!$A$3,"MA_HT","LMU","MA_QH","SKS")</f>
        <v>0</v>
      </c>
      <c r="AA17" s="64">
        <f t="shared" si="4"/>
        <v>0</v>
      </c>
      <c r="AB17" s="35">
        <f>+GETPIVOTDATA("XQT4",'quangthanh (2016)'!$A$3,"MA_HT","LMU","MA_QH","DGT")</f>
        <v>0</v>
      </c>
      <c r="AC17" s="35">
        <f>+GETPIVOTDATA("XQT4",'quangthanh (2016)'!$A$3,"MA_HT","LMU","MA_QH","DTL")</f>
        <v>0</v>
      </c>
      <c r="AD17" s="35">
        <f>+GETPIVOTDATA("XQT4",'quangthanh (2016)'!$A$3,"MA_HT","LMU","MA_QH","DNL")</f>
        <v>0</v>
      </c>
      <c r="AE17" s="35">
        <f>+GETPIVOTDATA("XQT4",'quangthanh (2016)'!$A$3,"MA_HT","LMU","MA_QH","DBV")</f>
        <v>0</v>
      </c>
      <c r="AF17" s="35">
        <f>+GETPIVOTDATA("XQT4",'quangthanh (2016)'!$A$3,"MA_HT","LMU","MA_QH","DVH")</f>
        <v>0</v>
      </c>
      <c r="AG17" s="35">
        <f>+GETPIVOTDATA("XQT4",'quangthanh (2016)'!$A$3,"MA_HT","LMU","MA_QH","DYT")</f>
        <v>0</v>
      </c>
      <c r="AH17" s="35">
        <f>+GETPIVOTDATA("XQT4",'quangthanh (2016)'!$A$3,"MA_HT","LMU","MA_QH","DGD")</f>
        <v>0</v>
      </c>
      <c r="AI17" s="35">
        <f>+GETPIVOTDATA("XQT4",'quangthanh (2016)'!$A$3,"MA_HT","LMU","MA_QH","DTT")</f>
        <v>0</v>
      </c>
      <c r="AJ17" s="35">
        <f>+GETPIVOTDATA("XQT4",'quangthanh (2016)'!$A$3,"MA_HT","LMU","MA_QH","NCK")</f>
        <v>0</v>
      </c>
      <c r="AK17" s="35">
        <f>+GETPIVOTDATA("XQT4",'quangthanh (2016)'!$A$3,"MA_HT","LMU","MA_QH","DXH")</f>
        <v>0</v>
      </c>
      <c r="AL17" s="35">
        <f>+GETPIVOTDATA("XQT4",'quangthanh (2016)'!$A$3,"MA_HT","LMU","MA_QH","DCH")</f>
        <v>0</v>
      </c>
      <c r="AM17" s="35">
        <f>+GETPIVOTDATA("XQT4",'quangthanh (2016)'!$A$3,"MA_HT","LMU","MA_QH","DKG")</f>
        <v>0</v>
      </c>
      <c r="AN17" s="35">
        <f>+GETPIVOTDATA("XQT4",'quangthanh (2016)'!$A$3,"MA_HT","LMU","MA_QH","DDT")</f>
        <v>0</v>
      </c>
      <c r="AO17" s="35">
        <f>+GETPIVOTDATA("XQT4",'quangthanh (2016)'!$A$3,"MA_HT","LMU","MA_QH","DDL")</f>
        <v>0</v>
      </c>
      <c r="AP17" s="35">
        <f>+GETPIVOTDATA("XQT4",'quangthanh (2016)'!$A$3,"MA_HT","LMU","MA_QH","DRA")</f>
        <v>0</v>
      </c>
      <c r="AQ17" s="35">
        <f>+GETPIVOTDATA("XQT4",'quangthanh (2016)'!$A$3,"MA_HT","LMU","MA_QH","ONT")</f>
        <v>0</v>
      </c>
      <c r="AR17" s="35">
        <f>+GETPIVOTDATA("XQT4",'quangthanh (2016)'!$A$3,"MA_HT","LMU","MA_QH","ODT")</f>
        <v>0</v>
      </c>
      <c r="AS17" s="35">
        <f>+GETPIVOTDATA("XQT4",'quangthanh (2016)'!$A$3,"MA_HT","LMU","MA_QH","TSC")</f>
        <v>0</v>
      </c>
      <c r="AT17" s="35">
        <f>+GETPIVOTDATA("XQT4",'quangthanh (2016)'!$A$3,"MA_HT","LMU","MA_QH","DTS")</f>
        <v>0</v>
      </c>
      <c r="AU17" s="35">
        <f>+GETPIVOTDATA("XQT4",'quangthanh (2016)'!$A$3,"MA_HT","LMU","MA_QH","DNG")</f>
        <v>0</v>
      </c>
      <c r="AV17" s="35">
        <f>+GETPIVOTDATA("XQT4",'quangthanh (2016)'!$A$3,"MA_HT","LMU","MA_QH","TON")</f>
        <v>0</v>
      </c>
      <c r="AW17" s="35">
        <f>+GETPIVOTDATA("XQT4",'quangthanh (2016)'!$A$3,"MA_HT","LMU","MA_QH","NTD")</f>
        <v>0</v>
      </c>
      <c r="AX17" s="35">
        <f>+GETPIVOTDATA("XQT4",'quangthanh (2016)'!$A$3,"MA_HT","LMU","MA_QH","SKX")</f>
        <v>0</v>
      </c>
      <c r="AY17" s="35">
        <f>+GETPIVOTDATA("XQT4",'quangthanh (2016)'!$A$3,"MA_HT","LMU","MA_QH","DSH")</f>
        <v>0</v>
      </c>
      <c r="AZ17" s="35">
        <f>+GETPIVOTDATA("XQT4",'quangthanh (2016)'!$A$3,"MA_HT","LMU","MA_QH","DKV")</f>
        <v>0</v>
      </c>
      <c r="BA17" s="140">
        <f>+GETPIVOTDATA("XQT4",'quangthanh (2016)'!$A$3,"MA_HT","LMU","MA_QH","TIN")</f>
        <v>0</v>
      </c>
      <c r="BB17" s="74">
        <f>+GETPIVOTDATA("XQT4",'quangthanh (2016)'!$A$3,"MA_HT","LMU","MA_QH","SON")</f>
        <v>0</v>
      </c>
      <c r="BC17" s="74">
        <f>+GETPIVOTDATA("XQT4",'quangthanh (2016)'!$A$3,"MA_HT","LMU","MA_QH","MNC")</f>
        <v>0</v>
      </c>
      <c r="BD17" s="35">
        <f>+GETPIVOTDATA("XQT4",'quangthanh (2016)'!$A$3,"MA_HT","LMU","MA_QH","PNK")</f>
        <v>0</v>
      </c>
      <c r="BE17" s="58">
        <f>+GETPIVOTDATA("XQT4",'quangthanh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+GETPIVOTDATA("XQT4",'quangthanh (2016)'!$A$3,"MA_HT","NKH","MA_QH","LUC")</f>
        <v>0</v>
      </c>
      <c r="H18" s="35">
        <f>+GETPIVOTDATA("XQT4",'quangthanh (2016)'!$A$3,"MA_HT","NKH","MA_QH","LUK")</f>
        <v>0</v>
      </c>
      <c r="I18" s="35">
        <f>+GETPIVOTDATA("XQT4",'quangthanh (2016)'!$A$3,"MA_HT","NKH","MA_QH","LUN")</f>
        <v>0</v>
      </c>
      <c r="J18" s="35">
        <f>+GETPIVOTDATA("XQT4",'quangthanh (2016)'!$A$3,"MA_HT","NKH","MA_QH","HNK")</f>
        <v>0</v>
      </c>
      <c r="K18" s="35">
        <f>+GETPIVOTDATA("XQT4",'quangthanh (2016)'!$A$3,"MA_HT","NKH","MA_QH","CLN")</f>
        <v>0</v>
      </c>
      <c r="L18" s="35">
        <f>+GETPIVOTDATA("XQT4",'quangthanh (2016)'!$A$3,"MA_HT","NKH","MA_QH","RSX")</f>
        <v>0</v>
      </c>
      <c r="M18" s="35">
        <f>+GETPIVOTDATA("XQT4",'quangthanh (2016)'!$A$3,"MA_HT","NKH","MA_QH","RPH")</f>
        <v>0</v>
      </c>
      <c r="N18" s="35">
        <f>+GETPIVOTDATA("XQT4",'quangthanh (2016)'!$A$3,"MA_HT","NKH","MA_QH","RDD")</f>
        <v>0</v>
      </c>
      <c r="O18" s="35">
        <f>+GETPIVOTDATA("XQT4",'quangthanh (2016)'!$A$3,"MA_HT","NKH","MA_QH","NTS")</f>
        <v>0</v>
      </c>
      <c r="P18" s="35">
        <f>+GETPIVOTDATA("XQT4",'quangthanh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+GETPIVOTDATA("XQT4",'quangthanh (2016)'!$A$3,"MA_HT","NKH","MA_QH","CQP")</f>
        <v>0</v>
      </c>
      <c r="T18" s="35">
        <f>+GETPIVOTDATA("XQT4",'quangthanh (2016)'!$A$3,"MA_HT","NKH","MA_QH","CAN")</f>
        <v>0</v>
      </c>
      <c r="U18" s="35">
        <f>+GETPIVOTDATA("XQT4",'quangthanh (2016)'!$A$3,"MA_HT","NKH","MA_QH","SKK")</f>
        <v>0</v>
      </c>
      <c r="V18" s="35">
        <f>+GETPIVOTDATA("XQT4",'quangthanh (2016)'!$A$3,"MA_HT","NKH","MA_QH","SKT")</f>
        <v>0</v>
      </c>
      <c r="W18" s="35">
        <f>+GETPIVOTDATA("XQT4",'quangthanh (2016)'!$A$3,"MA_HT","NKH","MA_QH","SKN")</f>
        <v>0</v>
      </c>
      <c r="X18" s="35">
        <f>+GETPIVOTDATA("XQT4",'quangthanh (2016)'!$A$3,"MA_HT","NKH","MA_QH","TMD")</f>
        <v>0</v>
      </c>
      <c r="Y18" s="35">
        <f>+GETPIVOTDATA("XQT4",'quangthanh (2016)'!$A$3,"MA_HT","NKH","MA_QH","SKC")</f>
        <v>0</v>
      </c>
      <c r="Z18" s="35">
        <f>+GETPIVOTDATA("XQT4",'quangthanh (2016)'!$A$3,"MA_HT","NKH","MA_QH","SKS")</f>
        <v>0</v>
      </c>
      <c r="AA18" s="64">
        <f t="shared" si="4"/>
        <v>0</v>
      </c>
      <c r="AB18" s="35">
        <f>+GETPIVOTDATA("XQT4",'quangthanh (2016)'!$A$3,"MA_HT","NKH","MA_QH","DGT")</f>
        <v>0</v>
      </c>
      <c r="AC18" s="35">
        <f>+GETPIVOTDATA("XQT4",'quangthanh (2016)'!$A$3,"MA_HT","NKH","MA_QH","DTL")</f>
        <v>0</v>
      </c>
      <c r="AD18" s="35">
        <f>+GETPIVOTDATA("XQT4",'quangthanh (2016)'!$A$3,"MA_HT","NKH","MA_QH","DNL")</f>
        <v>0</v>
      </c>
      <c r="AE18" s="35">
        <f>+GETPIVOTDATA("XQT4",'quangthanh (2016)'!$A$3,"MA_HT","NKH","MA_QH","DBV")</f>
        <v>0</v>
      </c>
      <c r="AF18" s="35">
        <f>+GETPIVOTDATA("XQT4",'quangthanh (2016)'!$A$3,"MA_HT","NKH","MA_QH","DVH")</f>
        <v>0</v>
      </c>
      <c r="AG18" s="35">
        <f>+GETPIVOTDATA("XQT4",'quangthanh (2016)'!$A$3,"MA_HT","NKH","MA_QH","DYT")</f>
        <v>0</v>
      </c>
      <c r="AH18" s="35">
        <f>+GETPIVOTDATA("XQT4",'quangthanh (2016)'!$A$3,"MA_HT","NKH","MA_QH","DGD")</f>
        <v>0</v>
      </c>
      <c r="AI18" s="35">
        <f>+GETPIVOTDATA("XQT4",'quangthanh (2016)'!$A$3,"MA_HT","NKH","MA_QH","DTT")</f>
        <v>0</v>
      </c>
      <c r="AJ18" s="35">
        <f>+GETPIVOTDATA("XQT4",'quangthanh (2016)'!$A$3,"MA_HT","NKH","MA_QH","NCK")</f>
        <v>0</v>
      </c>
      <c r="AK18" s="35">
        <f>+GETPIVOTDATA("XQT4",'quangthanh (2016)'!$A$3,"MA_HT","NKH","MA_QH","DXH")</f>
        <v>0</v>
      </c>
      <c r="AL18" s="35">
        <f>+GETPIVOTDATA("XQT4",'quangthanh (2016)'!$A$3,"MA_HT","NKH","MA_QH","DCH")</f>
        <v>0</v>
      </c>
      <c r="AM18" s="35">
        <f>+GETPIVOTDATA("XQT4",'quangthanh (2016)'!$A$3,"MA_HT","NKH","MA_QH","DKG")</f>
        <v>0</v>
      </c>
      <c r="AN18" s="35">
        <f>+GETPIVOTDATA("XQT4",'quangthanh (2016)'!$A$3,"MA_HT","NKH","MA_QH","DDT")</f>
        <v>0</v>
      </c>
      <c r="AO18" s="35">
        <f>+GETPIVOTDATA("XQT4",'quangthanh (2016)'!$A$3,"MA_HT","NKH","MA_QH","DDL")</f>
        <v>0</v>
      </c>
      <c r="AP18" s="35">
        <f>+GETPIVOTDATA("XQT4",'quangthanh (2016)'!$A$3,"MA_HT","NKH","MA_QH","DRA")</f>
        <v>0</v>
      </c>
      <c r="AQ18" s="35">
        <f>+GETPIVOTDATA("XQT4",'quangthanh (2016)'!$A$3,"MA_HT","NKH","MA_QH","ONT")</f>
        <v>0</v>
      </c>
      <c r="AR18" s="35">
        <f>+GETPIVOTDATA("XQT4",'quangthanh (2016)'!$A$3,"MA_HT","NKH","MA_QH","ODT")</f>
        <v>0</v>
      </c>
      <c r="AS18" s="35">
        <f>+GETPIVOTDATA("XQT4",'quangthanh (2016)'!$A$3,"MA_HT","NKH","MA_QH","TSC")</f>
        <v>0</v>
      </c>
      <c r="AT18" s="35">
        <f>+GETPIVOTDATA("XQT4",'quangthanh (2016)'!$A$3,"MA_HT","NKH","MA_QH","DTS")</f>
        <v>0</v>
      </c>
      <c r="AU18" s="35">
        <f>+GETPIVOTDATA("XQT4",'quangthanh (2016)'!$A$3,"MA_HT","NKH","MA_QH","DNG")</f>
        <v>0</v>
      </c>
      <c r="AV18" s="35">
        <f>+GETPIVOTDATA("XQT4",'quangthanh (2016)'!$A$3,"MA_HT","NKH","MA_QH","TON")</f>
        <v>0</v>
      </c>
      <c r="AW18" s="35">
        <f>+GETPIVOTDATA("XQT4",'quangthanh (2016)'!$A$3,"MA_HT","NKH","MA_QH","NTD")</f>
        <v>0</v>
      </c>
      <c r="AX18" s="35">
        <f>+GETPIVOTDATA("XQT4",'quangthanh (2016)'!$A$3,"MA_HT","NKH","MA_QH","SKX")</f>
        <v>0</v>
      </c>
      <c r="AY18" s="35">
        <f>+GETPIVOTDATA("XQT4",'quangthanh (2016)'!$A$3,"MA_HT","NKH","MA_QH","DSH")</f>
        <v>0</v>
      </c>
      <c r="AZ18" s="35">
        <f>+GETPIVOTDATA("XQT4",'quangthanh (2016)'!$A$3,"MA_HT","NKH","MA_QH","DKV")</f>
        <v>0</v>
      </c>
      <c r="BA18" s="140">
        <f>+GETPIVOTDATA("XQT4",'quangthanh (2016)'!$A$3,"MA_HT","NKH","MA_QH","TIN")</f>
        <v>0</v>
      </c>
      <c r="BB18" s="74">
        <f>+GETPIVOTDATA("XQT4",'quangthanh (2016)'!$A$3,"MA_HT","NKH","MA_QH","SON")</f>
        <v>0</v>
      </c>
      <c r="BC18" s="74">
        <f>+GETPIVOTDATA("XQT4",'quangthanh (2016)'!$A$3,"MA_HT","NKH","MA_QH","MNC")</f>
        <v>0</v>
      </c>
      <c r="BD18" s="35">
        <f>+GETPIVOTDATA("XQT4",'quangthanh (2016)'!$A$3,"MA_HT","NKH","MA_QH","PNK")</f>
        <v>0</v>
      </c>
      <c r="BE18" s="58">
        <f>+GETPIVOTDATA("XQT4",'quangthanh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+GETPIVOTDATA("XQT4",'quangthanh (2016)'!$A$3,"MA_HT","CQP","MA_QH","LUC")</f>
        <v>0</v>
      </c>
      <c r="H20" s="35">
        <f>+GETPIVOTDATA("XQT4",'quangthanh (2016)'!$A$3,"MA_HT","CQP","MA_QH","LUK")</f>
        <v>0</v>
      </c>
      <c r="I20" s="35">
        <f>+GETPIVOTDATA("XQT4",'quangthanh (2016)'!$A$3,"MA_HT","CQP","MA_QH","LUN")</f>
        <v>0</v>
      </c>
      <c r="J20" s="35">
        <f>+GETPIVOTDATA("XQT4",'quangthanh (2016)'!$A$3,"MA_HT","CQP","MA_QH","HNK")</f>
        <v>0</v>
      </c>
      <c r="K20" s="35">
        <f>+GETPIVOTDATA("XQT4",'quangthanh (2016)'!$A$3,"MA_HT","CQP","MA_QH","CLN")</f>
        <v>0</v>
      </c>
      <c r="L20" s="35">
        <f>+GETPIVOTDATA("XQT4",'quangthanh (2016)'!$A$3,"MA_HT","CQP","MA_QH","RSX")</f>
        <v>0</v>
      </c>
      <c r="M20" s="35">
        <f>+GETPIVOTDATA("XQT4",'quangthanh (2016)'!$A$3,"MA_HT","CQP","MA_QH","RPH")</f>
        <v>0</v>
      </c>
      <c r="N20" s="35">
        <f>+GETPIVOTDATA("XQT4",'quangthanh (2016)'!$A$3,"MA_HT","CQP","MA_QH","RDD")</f>
        <v>0</v>
      </c>
      <c r="O20" s="35">
        <f>+GETPIVOTDATA("XQT4",'quangthanh (2016)'!$A$3,"MA_HT","CQP","MA_QH","NTS")</f>
        <v>0</v>
      </c>
      <c r="P20" s="35">
        <f>+GETPIVOTDATA("XQT4",'quangthanh (2016)'!$A$3,"MA_HT","CQP","MA_QH","LMU")</f>
        <v>0</v>
      </c>
      <c r="Q20" s="35">
        <f>+GETPIVOTDATA("XQT4",'quangthanh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+GETPIVOTDATA("XQT4",'quangthanh (2016)'!$A$3,"MA_HT","CQP","MA_QH","CAN")</f>
        <v>0</v>
      </c>
      <c r="U20" s="35">
        <f>+GETPIVOTDATA("XQT4",'quangthanh (2016)'!$A$3,"MA_HT","CQP","MA_QH","SKK")</f>
        <v>0</v>
      </c>
      <c r="V20" s="35">
        <f>+GETPIVOTDATA("XQT4",'quangthanh (2016)'!$A$3,"MA_HT","CQP","MA_QH","SKT")</f>
        <v>0</v>
      </c>
      <c r="W20" s="35">
        <f>+GETPIVOTDATA("XQT4",'quangthanh (2016)'!$A$3,"MA_HT","CQP","MA_QH","SKN")</f>
        <v>0</v>
      </c>
      <c r="X20" s="35">
        <f>+GETPIVOTDATA("XQT4",'quangthanh (2016)'!$A$3,"MA_HT","CQP","MA_QH","TMD")</f>
        <v>0</v>
      </c>
      <c r="Y20" s="35">
        <f>+GETPIVOTDATA("XQT4",'quangthanh (2016)'!$A$3,"MA_HT","CQP","MA_QH","SKC")</f>
        <v>0</v>
      </c>
      <c r="Z20" s="35">
        <f>+GETPIVOTDATA("XQT4",'quangthanh (2016)'!$A$3,"MA_HT","CQP","MA_QH","SKS")</f>
        <v>0</v>
      </c>
      <c r="AA20" s="64">
        <f t="shared" ref="AA20:AA27" si="12">+SUM(AB20:AM20)</f>
        <v>0</v>
      </c>
      <c r="AB20" s="35">
        <f>+GETPIVOTDATA("XQT4",'quangthanh (2016)'!$A$3,"MA_HT","CQP","MA_QH","DGT")</f>
        <v>0</v>
      </c>
      <c r="AC20" s="35">
        <f>+GETPIVOTDATA("XQT4",'quangthanh (2016)'!$A$3,"MA_HT","CQP","MA_QH","DTL")</f>
        <v>0</v>
      </c>
      <c r="AD20" s="35">
        <f>+GETPIVOTDATA("XQT4",'quangthanh (2016)'!$A$3,"MA_HT","CQP","MA_QH","DNL")</f>
        <v>0</v>
      </c>
      <c r="AE20" s="35">
        <f>+GETPIVOTDATA("XQT4",'quangthanh (2016)'!$A$3,"MA_HT","CQP","MA_QH","DBV")</f>
        <v>0</v>
      </c>
      <c r="AF20" s="35">
        <f>+GETPIVOTDATA("XQT4",'quangthanh (2016)'!$A$3,"MA_HT","CQP","MA_QH","DVH")</f>
        <v>0</v>
      </c>
      <c r="AG20" s="35">
        <f>+GETPIVOTDATA("XQT4",'quangthanh (2016)'!$A$3,"MA_HT","CQP","MA_QH","DYT")</f>
        <v>0</v>
      </c>
      <c r="AH20" s="35">
        <f>+GETPIVOTDATA("XQT4",'quangthanh (2016)'!$A$3,"MA_HT","CQP","MA_QH","DGD")</f>
        <v>0</v>
      </c>
      <c r="AI20" s="35">
        <f>+GETPIVOTDATA("XQT4",'quangthanh (2016)'!$A$3,"MA_HT","CQP","MA_QH","DTT")</f>
        <v>0</v>
      </c>
      <c r="AJ20" s="35">
        <f>+GETPIVOTDATA("XQT4",'quangthanh (2016)'!$A$3,"MA_HT","CQP","MA_QH","NCK")</f>
        <v>0</v>
      </c>
      <c r="AK20" s="35">
        <f>+GETPIVOTDATA("XQT4",'quangthanh (2016)'!$A$3,"MA_HT","CQP","MA_QH","DXH")</f>
        <v>0</v>
      </c>
      <c r="AL20" s="35">
        <f>+GETPIVOTDATA("XQT4",'quangthanh (2016)'!$A$3,"MA_HT","CQP","MA_QH","DCH")</f>
        <v>0</v>
      </c>
      <c r="AM20" s="35">
        <f>+GETPIVOTDATA("XQT4",'quangthanh (2016)'!$A$3,"MA_HT","CQP","MA_QH","DKG")</f>
        <v>0</v>
      </c>
      <c r="AN20" s="35">
        <f>+GETPIVOTDATA("XQT4",'quangthanh (2016)'!$A$3,"MA_HT","CQP","MA_QH","DDT")</f>
        <v>0</v>
      </c>
      <c r="AO20" s="35">
        <f>+GETPIVOTDATA("XQT4",'quangthanh (2016)'!$A$3,"MA_HT","CQP","MA_QH","DDL")</f>
        <v>0</v>
      </c>
      <c r="AP20" s="35">
        <f>+GETPIVOTDATA("XQT4",'quangthanh (2016)'!$A$3,"MA_HT","CQP","MA_QH","DRA")</f>
        <v>0</v>
      </c>
      <c r="AQ20" s="35">
        <f>+GETPIVOTDATA("XQT4",'quangthanh (2016)'!$A$3,"MA_HT","CQP","MA_QH","ONT")</f>
        <v>0</v>
      </c>
      <c r="AR20" s="35">
        <f>+GETPIVOTDATA("XQT4",'quangthanh (2016)'!$A$3,"MA_HT","CQP","MA_QH","ODT")</f>
        <v>0</v>
      </c>
      <c r="AS20" s="35">
        <f>+GETPIVOTDATA("XQT4",'quangthanh (2016)'!$A$3,"MA_HT","CQP","MA_QH","TSC")</f>
        <v>0</v>
      </c>
      <c r="AT20" s="35">
        <f>+GETPIVOTDATA("XQT4",'quangthanh (2016)'!$A$3,"MA_HT","CQP","MA_QH","DTS")</f>
        <v>0</v>
      </c>
      <c r="AU20" s="35">
        <f>+GETPIVOTDATA("XQT4",'quangthanh (2016)'!$A$3,"MA_HT","CQP","MA_QH","DNG")</f>
        <v>0</v>
      </c>
      <c r="AV20" s="35">
        <f>+GETPIVOTDATA("XQT4",'quangthanh (2016)'!$A$3,"MA_HT","CQP","MA_QH","TON")</f>
        <v>0</v>
      </c>
      <c r="AW20" s="35">
        <f>+GETPIVOTDATA("XQT4",'quangthanh (2016)'!$A$3,"MA_HT","CQP","MA_QH","NTD")</f>
        <v>0</v>
      </c>
      <c r="AX20" s="35">
        <f>+GETPIVOTDATA("XQT4",'quangthanh (2016)'!$A$3,"MA_HT","CQP","MA_QH","SKX")</f>
        <v>0</v>
      </c>
      <c r="AY20" s="35">
        <f>+GETPIVOTDATA("XQT4",'quangthanh (2016)'!$A$3,"MA_HT","CQP","MA_QH","DSH")</f>
        <v>0</v>
      </c>
      <c r="AZ20" s="35">
        <f>+GETPIVOTDATA("XQT4",'quangthanh (2016)'!$A$3,"MA_HT","CQP","MA_QH","DKV")</f>
        <v>0</v>
      </c>
      <c r="BA20" s="140">
        <f>+GETPIVOTDATA("XQT4",'quangthanh (2016)'!$A$3,"MA_HT","CQP","MA_QH","TIN")</f>
        <v>0</v>
      </c>
      <c r="BB20" s="74">
        <f>+GETPIVOTDATA("XQT4",'quangthanh (2016)'!$A$3,"MA_HT","CQP","MA_QH","SON")</f>
        <v>0</v>
      </c>
      <c r="BC20" s="74">
        <f>+GETPIVOTDATA("XQT4",'quangthanh (2016)'!$A$3,"MA_HT","CQP","MA_QH","MNC")</f>
        <v>0</v>
      </c>
      <c r="BD20" s="35">
        <f>+GETPIVOTDATA("XQT4",'quangthanh (2016)'!$A$3,"MA_HT","CQP","MA_QH","PNK")</f>
        <v>0</v>
      </c>
      <c r="BE20" s="58">
        <f>+GETPIVOTDATA("XQT4",'quangthanh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+GETPIVOTDATA("XQT4",'quangthanh (2016)'!$A$3,"MA_HT","CAN","MA_QH","LUC")</f>
        <v>0</v>
      </c>
      <c r="H21" s="35">
        <f>+GETPIVOTDATA("XQT4",'quangthanh (2016)'!$A$3,"MA_HT","CAN","MA_QH","LUK")</f>
        <v>0</v>
      </c>
      <c r="I21" s="35">
        <f>+GETPIVOTDATA("XQT4",'quangthanh (2016)'!$A$3,"MA_HT","CAN","MA_QH","LUN")</f>
        <v>0</v>
      </c>
      <c r="J21" s="35">
        <f>+GETPIVOTDATA("XQT4",'quangthanh (2016)'!$A$3,"MA_HT","CAN","MA_QH","HNK")</f>
        <v>0</v>
      </c>
      <c r="K21" s="35">
        <f>+GETPIVOTDATA("XQT4",'quangthanh (2016)'!$A$3,"MA_HT","CAN","MA_QH","CLN")</f>
        <v>0</v>
      </c>
      <c r="L21" s="35">
        <f>+GETPIVOTDATA("XQT4",'quangthanh (2016)'!$A$3,"MA_HT","CAN","MA_QH","RSX")</f>
        <v>0</v>
      </c>
      <c r="M21" s="35">
        <f>+GETPIVOTDATA("XQT4",'quangthanh (2016)'!$A$3,"MA_HT","CAN","MA_QH","RPH")</f>
        <v>0</v>
      </c>
      <c r="N21" s="35">
        <f>+GETPIVOTDATA("XQT4",'quangthanh (2016)'!$A$3,"MA_HT","CAN","MA_QH","RDD")</f>
        <v>0</v>
      </c>
      <c r="O21" s="35">
        <f>+GETPIVOTDATA("XQT4",'quangthanh (2016)'!$A$3,"MA_HT","CAN","MA_QH","NTS")</f>
        <v>0</v>
      </c>
      <c r="P21" s="35">
        <f>+GETPIVOTDATA("XQT4",'quangthanh (2016)'!$A$3,"MA_HT","CAN","MA_QH","LMU")</f>
        <v>0</v>
      </c>
      <c r="Q21" s="35">
        <f>+GETPIVOTDATA("XQT4",'quangthanh (2016)'!$A$3,"MA_HT","CAN","MA_QH","NKH")</f>
        <v>0</v>
      </c>
      <c r="R21" s="63">
        <f>SUM(S21,U21:AA21,AN21:BD21)</f>
        <v>0</v>
      </c>
      <c r="S21" s="35">
        <f>+GETPIVOTDATA("XQT4",'quangthanh (2016)'!$A$3,"MA_HT","CAN","MA_QH","CQP")</f>
        <v>0</v>
      </c>
      <c r="T21" s="99" t="e">
        <f>$D21-$BF21</f>
        <v>#REF!</v>
      </c>
      <c r="U21" s="35">
        <f>+GETPIVOTDATA("XQT4",'quangthanh (2016)'!$A$3,"MA_HT","CAN","MA_QH","SKK")</f>
        <v>0</v>
      </c>
      <c r="V21" s="35">
        <f>+GETPIVOTDATA("XQT4",'quangthanh (2016)'!$A$3,"MA_HT","CAN","MA_QH","SKT")</f>
        <v>0</v>
      </c>
      <c r="W21" s="35">
        <f>+GETPIVOTDATA("XQT4",'quangthanh (2016)'!$A$3,"MA_HT","CAN","MA_QH","SKN")</f>
        <v>0</v>
      </c>
      <c r="X21" s="35">
        <f>+GETPIVOTDATA("XQT4",'quangthanh (2016)'!$A$3,"MA_HT","CAN","MA_QH","TMD")</f>
        <v>0</v>
      </c>
      <c r="Y21" s="35">
        <f>+GETPIVOTDATA("XQT4",'quangthanh (2016)'!$A$3,"MA_HT","CAN","MA_QH","SKC")</f>
        <v>0</v>
      </c>
      <c r="Z21" s="35">
        <f>+GETPIVOTDATA("XQT4",'quangthanh (2016)'!$A$3,"MA_HT","CAN","MA_QH","SKS")</f>
        <v>0</v>
      </c>
      <c r="AA21" s="64">
        <f t="shared" si="12"/>
        <v>0</v>
      </c>
      <c r="AB21" s="35">
        <f>+GETPIVOTDATA("XQT4",'quangthanh (2016)'!$A$3,"MA_HT","CAN","MA_QH","DGT")</f>
        <v>0</v>
      </c>
      <c r="AC21" s="35">
        <f>+GETPIVOTDATA("XQT4",'quangthanh (2016)'!$A$3,"MA_HT","CAN","MA_QH","DTL")</f>
        <v>0</v>
      </c>
      <c r="AD21" s="35">
        <f>+GETPIVOTDATA("XQT4",'quangthanh (2016)'!$A$3,"MA_HT","CAN","MA_QH","DNL")</f>
        <v>0</v>
      </c>
      <c r="AE21" s="35">
        <f>+GETPIVOTDATA("XQT4",'quangthanh (2016)'!$A$3,"MA_HT","CAN","MA_QH","DBV")</f>
        <v>0</v>
      </c>
      <c r="AF21" s="35">
        <f>+GETPIVOTDATA("XQT4",'quangthanh (2016)'!$A$3,"MA_HT","CAN","MA_QH","DVH")</f>
        <v>0</v>
      </c>
      <c r="AG21" s="35">
        <f>+GETPIVOTDATA("XQT4",'quangthanh (2016)'!$A$3,"MA_HT","CAN","MA_QH","DYT")</f>
        <v>0</v>
      </c>
      <c r="AH21" s="35">
        <f>+GETPIVOTDATA("XQT4",'quangthanh (2016)'!$A$3,"MA_HT","CAN","MA_QH","DGD")</f>
        <v>0</v>
      </c>
      <c r="AI21" s="35">
        <f>+GETPIVOTDATA("XQT4",'quangthanh (2016)'!$A$3,"MA_HT","CAN","MA_QH","DTT")</f>
        <v>0</v>
      </c>
      <c r="AJ21" s="35">
        <f>+GETPIVOTDATA("XQT4",'quangthanh (2016)'!$A$3,"MA_HT","CAN","MA_QH","NCK")</f>
        <v>0</v>
      </c>
      <c r="AK21" s="35">
        <f>+GETPIVOTDATA("XQT4",'quangthanh (2016)'!$A$3,"MA_HT","CAN","MA_QH","DXH")</f>
        <v>0</v>
      </c>
      <c r="AL21" s="35">
        <f>+GETPIVOTDATA("XQT4",'quangthanh (2016)'!$A$3,"MA_HT","CAN","MA_QH","DCH")</f>
        <v>0</v>
      </c>
      <c r="AM21" s="35">
        <f>+GETPIVOTDATA("XQT4",'quangthanh (2016)'!$A$3,"MA_HT","CAN","MA_QH","DKG")</f>
        <v>0</v>
      </c>
      <c r="AN21" s="35">
        <f>+GETPIVOTDATA("XQT4",'quangthanh (2016)'!$A$3,"MA_HT","CAN","MA_QH","DDT")</f>
        <v>0</v>
      </c>
      <c r="AO21" s="35">
        <f>+GETPIVOTDATA("XQT4",'quangthanh (2016)'!$A$3,"MA_HT","CAN","MA_QH","DDL")</f>
        <v>0</v>
      </c>
      <c r="AP21" s="35">
        <f>+GETPIVOTDATA("XQT4",'quangthanh (2016)'!$A$3,"MA_HT","CAN","MA_QH","DRA")</f>
        <v>0</v>
      </c>
      <c r="AQ21" s="35">
        <f>+GETPIVOTDATA("XQT4",'quangthanh (2016)'!$A$3,"MA_HT","CAN","MA_QH","ONT")</f>
        <v>0</v>
      </c>
      <c r="AR21" s="35">
        <f>+GETPIVOTDATA("XQT4",'quangthanh (2016)'!$A$3,"MA_HT","CAN","MA_QH","ODT")</f>
        <v>0</v>
      </c>
      <c r="AS21" s="35">
        <f>+GETPIVOTDATA("XQT4",'quangthanh (2016)'!$A$3,"MA_HT","CAN","MA_QH","TSC")</f>
        <v>0</v>
      </c>
      <c r="AT21" s="35">
        <f>+GETPIVOTDATA("XQT4",'quangthanh (2016)'!$A$3,"MA_HT","CAN","MA_QH","DTS")</f>
        <v>0</v>
      </c>
      <c r="AU21" s="35">
        <f>+GETPIVOTDATA("XQT4",'quangthanh (2016)'!$A$3,"MA_HT","CAN","MA_QH","DNG")</f>
        <v>0</v>
      </c>
      <c r="AV21" s="35">
        <f>+GETPIVOTDATA("XQT4",'quangthanh (2016)'!$A$3,"MA_HT","CAN","MA_QH","TON")</f>
        <v>0</v>
      </c>
      <c r="AW21" s="35">
        <f>+GETPIVOTDATA("XQT4",'quangthanh (2016)'!$A$3,"MA_HT","CAN","MA_QH","NTD")</f>
        <v>0</v>
      </c>
      <c r="AX21" s="35">
        <f>+GETPIVOTDATA("XQT4",'quangthanh (2016)'!$A$3,"MA_HT","CAN","MA_QH","SKX")</f>
        <v>0</v>
      </c>
      <c r="AY21" s="35">
        <f>+GETPIVOTDATA("XQT4",'quangthanh (2016)'!$A$3,"MA_HT","CAN","MA_QH","DSH")</f>
        <v>0</v>
      </c>
      <c r="AZ21" s="35">
        <f>+GETPIVOTDATA("XQT4",'quangthanh (2016)'!$A$3,"MA_HT","CAN","MA_QH","DKV")</f>
        <v>0</v>
      </c>
      <c r="BA21" s="140">
        <f>+GETPIVOTDATA("XQT4",'quangthanh (2016)'!$A$3,"MA_HT","CAN","MA_QH","TIN")</f>
        <v>0</v>
      </c>
      <c r="BB21" s="74">
        <f>+GETPIVOTDATA("XQT4",'quangthanh (2016)'!$A$3,"MA_HT","CAN","MA_QH","SON")</f>
        <v>0</v>
      </c>
      <c r="BC21" s="74">
        <f>+GETPIVOTDATA("XQT4",'quangthanh (2016)'!$A$3,"MA_HT","CAN","MA_QH","MNC")</f>
        <v>0</v>
      </c>
      <c r="BD21" s="35">
        <f>+GETPIVOTDATA("XQT4",'quangthanh (2016)'!$A$3,"MA_HT","CAN","MA_QH","PNK")</f>
        <v>0</v>
      </c>
      <c r="BE21" s="58">
        <f>+GETPIVOTDATA("XQT4",'quangthanh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+GETPIVOTDATA("XQT4",'quangthanh (2016)'!$A$3,"MA_HT","SKK","MA_QH","LUC")</f>
        <v>0</v>
      </c>
      <c r="H22" s="35">
        <f>+GETPIVOTDATA("XQT4",'quangthanh (2016)'!$A$3,"MA_HT","SKK","MA_QH","LUK")</f>
        <v>0</v>
      </c>
      <c r="I22" s="35">
        <f>+GETPIVOTDATA("XQT4",'quangthanh (2016)'!$A$3,"MA_HT","SKK","MA_QH","LUN")</f>
        <v>0</v>
      </c>
      <c r="J22" s="35">
        <f>+GETPIVOTDATA("XQT4",'quangthanh (2016)'!$A$3,"MA_HT","SKK","MA_QH","HNK")</f>
        <v>0</v>
      </c>
      <c r="K22" s="35">
        <f>+GETPIVOTDATA("XQT4",'quangthanh (2016)'!$A$3,"MA_HT","SKK","MA_QH","CLN")</f>
        <v>0</v>
      </c>
      <c r="L22" s="35">
        <f>+GETPIVOTDATA("XQT4",'quangthanh (2016)'!$A$3,"MA_HT","SKK","MA_QH","RSX")</f>
        <v>0</v>
      </c>
      <c r="M22" s="35">
        <f>+GETPIVOTDATA("XQT4",'quangthanh (2016)'!$A$3,"MA_HT","SKK","MA_QH","RPH")</f>
        <v>0</v>
      </c>
      <c r="N22" s="35">
        <f>+GETPIVOTDATA("XQT4",'quangthanh (2016)'!$A$3,"MA_HT","SKK","MA_QH","RDD")</f>
        <v>0</v>
      </c>
      <c r="O22" s="35">
        <f>+GETPIVOTDATA("XQT4",'quangthanh (2016)'!$A$3,"MA_HT","SKK","MA_QH","NTS")</f>
        <v>0</v>
      </c>
      <c r="P22" s="35">
        <f>+GETPIVOTDATA("XQT4",'quangthanh (2016)'!$A$3,"MA_HT","SKK","MA_QH","LMU")</f>
        <v>0</v>
      </c>
      <c r="Q22" s="35">
        <f>+GETPIVOTDATA("XQT4",'quangthanh (2016)'!$A$3,"MA_HT","SKK","MA_QH","NKH")</f>
        <v>0</v>
      </c>
      <c r="R22" s="63">
        <f>SUM(S22:T22,V22:AA22,AN22:BD22)</f>
        <v>0</v>
      </c>
      <c r="S22" s="35">
        <f>+GETPIVOTDATA("XQT4",'quangthanh (2016)'!$A$3,"MA_HT","SKK","MA_QH","CQP")</f>
        <v>0</v>
      </c>
      <c r="T22" s="35">
        <f>+GETPIVOTDATA("XQT4",'quangthanh (2016)'!$A$3,"MA_HT","SKK","MA_QH","CAN")</f>
        <v>0</v>
      </c>
      <c r="U22" s="99" t="e">
        <f>$D22-$BF22</f>
        <v>#REF!</v>
      </c>
      <c r="V22" s="35">
        <f>+GETPIVOTDATA("XQT4",'quangthanh (2016)'!$A$3,"MA_HT","SKK","MA_QH","SKT")</f>
        <v>0</v>
      </c>
      <c r="W22" s="35">
        <f>+GETPIVOTDATA("XQT4",'quangthanh (2016)'!$A$3,"MA_HT","SKK","MA_QH","SKN")</f>
        <v>0</v>
      </c>
      <c r="X22" s="35">
        <f>+GETPIVOTDATA("XQT4",'quangthanh (2016)'!$A$3,"MA_HT","SKK","MA_QH","TMD")</f>
        <v>0</v>
      </c>
      <c r="Y22" s="35">
        <f>+GETPIVOTDATA("XQT4",'quangthanh (2016)'!$A$3,"MA_HT","SKK","MA_QH","SKC")</f>
        <v>0</v>
      </c>
      <c r="Z22" s="35">
        <f>+GETPIVOTDATA("XQT4",'quangthanh (2016)'!$A$3,"MA_HT","SKK","MA_QH","SKS")</f>
        <v>0</v>
      </c>
      <c r="AA22" s="64">
        <f t="shared" si="12"/>
        <v>0</v>
      </c>
      <c r="AB22" s="35">
        <f>+GETPIVOTDATA("XQT4",'quangthanh (2016)'!$A$3,"MA_HT","SKK","MA_QH","DGT")</f>
        <v>0</v>
      </c>
      <c r="AC22" s="35">
        <f>+GETPIVOTDATA("XQT4",'quangthanh (2016)'!$A$3,"MA_HT","SKK","MA_QH","DTL")</f>
        <v>0</v>
      </c>
      <c r="AD22" s="35">
        <f>+GETPIVOTDATA("XQT4",'quangthanh (2016)'!$A$3,"MA_HT","SKK","MA_QH","DNL")</f>
        <v>0</v>
      </c>
      <c r="AE22" s="35">
        <f>+GETPIVOTDATA("XQT4",'quangthanh (2016)'!$A$3,"MA_HT","SKK","MA_QH","DBV")</f>
        <v>0</v>
      </c>
      <c r="AF22" s="35">
        <f>+GETPIVOTDATA("XQT4",'quangthanh (2016)'!$A$3,"MA_HT","SKK","MA_QH","DVH")</f>
        <v>0</v>
      </c>
      <c r="AG22" s="35">
        <f>+GETPIVOTDATA("XQT4",'quangthanh (2016)'!$A$3,"MA_HT","SKK","MA_QH","DYT")</f>
        <v>0</v>
      </c>
      <c r="AH22" s="35">
        <f>+GETPIVOTDATA("XQT4",'quangthanh (2016)'!$A$3,"MA_HT","SKK","MA_QH","DGD")</f>
        <v>0</v>
      </c>
      <c r="AI22" s="35">
        <f>+GETPIVOTDATA("XQT4",'quangthanh (2016)'!$A$3,"MA_HT","SKK","MA_QH","DTT")</f>
        <v>0</v>
      </c>
      <c r="AJ22" s="35">
        <f>+GETPIVOTDATA("XQT4",'quangthanh (2016)'!$A$3,"MA_HT","SKK","MA_QH","NCK")</f>
        <v>0</v>
      </c>
      <c r="AK22" s="35">
        <f>+GETPIVOTDATA("XQT4",'quangthanh (2016)'!$A$3,"MA_HT","SKK","MA_QH","DXH")</f>
        <v>0</v>
      </c>
      <c r="AL22" s="35">
        <f>+GETPIVOTDATA("XQT4",'quangthanh (2016)'!$A$3,"MA_HT","SKK","MA_QH","DCH")</f>
        <v>0</v>
      </c>
      <c r="AM22" s="35">
        <f>+GETPIVOTDATA("XQT4",'quangthanh (2016)'!$A$3,"MA_HT","SKK","MA_QH","DKG")</f>
        <v>0</v>
      </c>
      <c r="AN22" s="35">
        <f>+GETPIVOTDATA("XQT4",'quangthanh (2016)'!$A$3,"MA_HT","SKK","MA_QH","DDT")</f>
        <v>0</v>
      </c>
      <c r="AO22" s="35">
        <f>+GETPIVOTDATA("XQT4",'quangthanh (2016)'!$A$3,"MA_HT","SKK","MA_QH","DDL")</f>
        <v>0</v>
      </c>
      <c r="AP22" s="35">
        <f>+GETPIVOTDATA("XQT4",'quangthanh (2016)'!$A$3,"MA_HT","SKK","MA_QH","DRA")</f>
        <v>0</v>
      </c>
      <c r="AQ22" s="35">
        <f>+GETPIVOTDATA("XQT4",'quangthanh (2016)'!$A$3,"MA_HT","SKK","MA_QH","ONT")</f>
        <v>0</v>
      </c>
      <c r="AR22" s="35">
        <f>+GETPIVOTDATA("XQT4",'quangthanh (2016)'!$A$3,"MA_HT","SKK","MA_QH","ODT")</f>
        <v>0</v>
      </c>
      <c r="AS22" s="35">
        <f>+GETPIVOTDATA("XQT4",'quangthanh (2016)'!$A$3,"MA_HT","SKK","MA_QH","TSC")</f>
        <v>0</v>
      </c>
      <c r="AT22" s="35">
        <f>+GETPIVOTDATA("XQT4",'quangthanh (2016)'!$A$3,"MA_HT","SKK","MA_QH","DTS")</f>
        <v>0</v>
      </c>
      <c r="AU22" s="35">
        <f>+GETPIVOTDATA("XQT4",'quangthanh (2016)'!$A$3,"MA_HT","SKK","MA_QH","DNG")</f>
        <v>0</v>
      </c>
      <c r="AV22" s="35">
        <f>+GETPIVOTDATA("XQT4",'quangthanh (2016)'!$A$3,"MA_HT","SKK","MA_QH","TON")</f>
        <v>0</v>
      </c>
      <c r="AW22" s="35">
        <f>+GETPIVOTDATA("XQT4",'quangthanh (2016)'!$A$3,"MA_HT","SKK","MA_QH","NTD")</f>
        <v>0</v>
      </c>
      <c r="AX22" s="35">
        <f>+GETPIVOTDATA("XQT4",'quangthanh (2016)'!$A$3,"MA_HT","SKK","MA_QH","SKX")</f>
        <v>0</v>
      </c>
      <c r="AY22" s="35">
        <f>+GETPIVOTDATA("XQT4",'quangthanh (2016)'!$A$3,"MA_HT","SKK","MA_QH","DSH")</f>
        <v>0</v>
      </c>
      <c r="AZ22" s="35">
        <f>+GETPIVOTDATA("XQT4",'quangthanh (2016)'!$A$3,"MA_HT","SKK","MA_QH","DKV")</f>
        <v>0</v>
      </c>
      <c r="BA22" s="140">
        <f>+GETPIVOTDATA("XQT4",'quangthanh (2016)'!$A$3,"MA_HT","SKK","MA_QH","TIN")</f>
        <v>0</v>
      </c>
      <c r="BB22" s="74">
        <f>+GETPIVOTDATA("XQT4",'quangthanh (2016)'!$A$3,"MA_HT","SKK","MA_QH","SON")</f>
        <v>0</v>
      </c>
      <c r="BC22" s="74">
        <f>+GETPIVOTDATA("XQT4",'quangthanh (2016)'!$A$3,"MA_HT","SKK","MA_QH","MNC")</f>
        <v>0</v>
      </c>
      <c r="BD22" s="35">
        <f>+GETPIVOTDATA("XQT4",'quangthanh (2016)'!$A$3,"MA_HT","SKK","MA_QH","PNK")</f>
        <v>0</v>
      </c>
      <c r="BE22" s="58">
        <f>+GETPIVOTDATA("XQT4",'quangthanh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+GETPIVOTDATA("XQT4",'quangthanh (2016)'!$A$3,"MA_HT","SKT","MA_QH","LUC")</f>
        <v>0</v>
      </c>
      <c r="H23" s="35">
        <f>+GETPIVOTDATA("XQT4",'quangthanh (2016)'!$A$3,"MA_HT","SKT","MA_QH","LUK")</f>
        <v>0</v>
      </c>
      <c r="I23" s="35">
        <f>+GETPIVOTDATA("XQT4",'quangthanh (2016)'!$A$3,"MA_HT","SKT","MA_QH","LUN")</f>
        <v>0</v>
      </c>
      <c r="J23" s="35">
        <f>+GETPIVOTDATA("XQT4",'quangthanh (2016)'!$A$3,"MA_HT","SKT","MA_QH","HNK")</f>
        <v>0</v>
      </c>
      <c r="K23" s="35">
        <f>+GETPIVOTDATA("XQT4",'quangthanh (2016)'!$A$3,"MA_HT","SKT","MA_QH","CLN")</f>
        <v>0</v>
      </c>
      <c r="L23" s="35">
        <f>+GETPIVOTDATA("XQT4",'quangthanh (2016)'!$A$3,"MA_HT","SKT","MA_QH","RSX")</f>
        <v>0</v>
      </c>
      <c r="M23" s="35">
        <f>+GETPIVOTDATA("XQT4",'quangthanh (2016)'!$A$3,"MA_HT","SKT","MA_QH","RPH")</f>
        <v>0</v>
      </c>
      <c r="N23" s="35">
        <f>+GETPIVOTDATA("XQT4",'quangthanh (2016)'!$A$3,"MA_HT","SKT","MA_QH","RDD")</f>
        <v>0</v>
      </c>
      <c r="O23" s="35">
        <f>+GETPIVOTDATA("XQT4",'quangthanh (2016)'!$A$3,"MA_HT","SKT","MA_QH","NTS")</f>
        <v>0</v>
      </c>
      <c r="P23" s="35">
        <f>+GETPIVOTDATA("XQT4",'quangthanh (2016)'!$A$3,"MA_HT","SKT","MA_QH","LMU")</f>
        <v>0</v>
      </c>
      <c r="Q23" s="35">
        <f>+GETPIVOTDATA("XQT4",'quangthanh (2016)'!$A$3,"MA_HT","SKT","MA_QH","NKH")</f>
        <v>0</v>
      </c>
      <c r="R23" s="63">
        <f>SUM(S23:U23,W23:AA23,AN23:BD23)</f>
        <v>0</v>
      </c>
      <c r="S23" s="35">
        <f>+GETPIVOTDATA("XQT4",'quangthanh (2016)'!$A$3,"MA_HT","SKT","MA_QH","CQP")</f>
        <v>0</v>
      </c>
      <c r="T23" s="35">
        <f>+GETPIVOTDATA("XQT4",'quangthanh (2016)'!$A$3,"MA_HT","SKT","MA_QH","CAN")</f>
        <v>0</v>
      </c>
      <c r="U23" s="35">
        <f>+GETPIVOTDATA("XQT4",'quangthanh (2016)'!$A$3,"MA_HT","SKT","MA_QH","SKK")</f>
        <v>0</v>
      </c>
      <c r="V23" s="99" t="e">
        <f>$D23-$BF23</f>
        <v>#REF!</v>
      </c>
      <c r="W23" s="35">
        <f>+GETPIVOTDATA("XQT4",'quangthanh (2016)'!$A$3,"MA_HT","SKT","MA_QH","SKN")</f>
        <v>0</v>
      </c>
      <c r="X23" s="35">
        <f>+GETPIVOTDATA("XQT4",'quangthanh (2016)'!$A$3,"MA_HT","SKT","MA_QH","TMD")</f>
        <v>0</v>
      </c>
      <c r="Y23" s="35">
        <f>+GETPIVOTDATA("XQT4",'quangthanh (2016)'!$A$3,"MA_HT","SKT","MA_QH","SKC")</f>
        <v>0</v>
      </c>
      <c r="Z23" s="35">
        <f>+GETPIVOTDATA("XQT4",'quangthanh (2016)'!$A$3,"MA_HT","SKT","MA_QH","SKS")</f>
        <v>0</v>
      </c>
      <c r="AA23" s="64">
        <f t="shared" si="12"/>
        <v>0</v>
      </c>
      <c r="AB23" s="35">
        <f>+GETPIVOTDATA("XQT4",'quangthanh (2016)'!$A$3,"MA_HT","SKT","MA_QH","DGT")</f>
        <v>0</v>
      </c>
      <c r="AC23" s="35">
        <f>+GETPIVOTDATA("XQT4",'quangthanh (2016)'!$A$3,"MA_HT","SKT","MA_QH","DTL")</f>
        <v>0</v>
      </c>
      <c r="AD23" s="35">
        <f>+GETPIVOTDATA("XQT4",'quangthanh (2016)'!$A$3,"MA_HT","SKT","MA_QH","DNL")</f>
        <v>0</v>
      </c>
      <c r="AE23" s="35">
        <f>+GETPIVOTDATA("XQT4",'quangthanh (2016)'!$A$3,"MA_HT","SKT","MA_QH","DBV")</f>
        <v>0</v>
      </c>
      <c r="AF23" s="35">
        <f>+GETPIVOTDATA("XQT4",'quangthanh (2016)'!$A$3,"MA_HT","SKT","MA_QH","DVH")</f>
        <v>0</v>
      </c>
      <c r="AG23" s="35">
        <f>+GETPIVOTDATA("XQT4",'quangthanh (2016)'!$A$3,"MA_HT","SKT","MA_QH","DYT")</f>
        <v>0</v>
      </c>
      <c r="AH23" s="35">
        <f>+GETPIVOTDATA("XQT4",'quangthanh (2016)'!$A$3,"MA_HT","SKT","MA_QH","DGD")</f>
        <v>0</v>
      </c>
      <c r="AI23" s="35">
        <f>+GETPIVOTDATA("XQT4",'quangthanh (2016)'!$A$3,"MA_HT","SKT","MA_QH","DTT")</f>
        <v>0</v>
      </c>
      <c r="AJ23" s="35">
        <f>+GETPIVOTDATA("XQT4",'quangthanh (2016)'!$A$3,"MA_HT","SKT","MA_QH","NCK")</f>
        <v>0</v>
      </c>
      <c r="AK23" s="35">
        <f>+GETPIVOTDATA("XQT4",'quangthanh (2016)'!$A$3,"MA_HT","SKT","MA_QH","DXH")</f>
        <v>0</v>
      </c>
      <c r="AL23" s="35">
        <f>+GETPIVOTDATA("XQT4",'quangthanh (2016)'!$A$3,"MA_HT","SKT","MA_QH","DCH")</f>
        <v>0</v>
      </c>
      <c r="AM23" s="35">
        <f>+GETPIVOTDATA("XQT4",'quangthanh (2016)'!$A$3,"MA_HT","SKT","MA_QH","DKG")</f>
        <v>0</v>
      </c>
      <c r="AN23" s="35">
        <f>+GETPIVOTDATA("XQT4",'quangthanh (2016)'!$A$3,"MA_HT","SKT","MA_QH","DDT")</f>
        <v>0</v>
      </c>
      <c r="AO23" s="35">
        <f>+GETPIVOTDATA("XQT4",'quangthanh (2016)'!$A$3,"MA_HT","SKT","MA_QH","DDL")</f>
        <v>0</v>
      </c>
      <c r="AP23" s="35">
        <f>+GETPIVOTDATA("XQT4",'quangthanh (2016)'!$A$3,"MA_HT","SKT","MA_QH","DRA")</f>
        <v>0</v>
      </c>
      <c r="AQ23" s="35">
        <f>+GETPIVOTDATA("XQT4",'quangthanh (2016)'!$A$3,"MA_HT","SKT","MA_QH","ONT")</f>
        <v>0</v>
      </c>
      <c r="AR23" s="35">
        <f>+GETPIVOTDATA("XQT4",'quangthanh (2016)'!$A$3,"MA_HT","SKT","MA_QH","ODT")</f>
        <v>0</v>
      </c>
      <c r="AS23" s="35">
        <f>+GETPIVOTDATA("XQT4",'quangthanh (2016)'!$A$3,"MA_HT","SKT","MA_QH","TSC")</f>
        <v>0</v>
      </c>
      <c r="AT23" s="35">
        <f>+GETPIVOTDATA("XQT4",'quangthanh (2016)'!$A$3,"MA_HT","SKT","MA_QH","DTS")</f>
        <v>0</v>
      </c>
      <c r="AU23" s="35">
        <f>+GETPIVOTDATA("XQT4",'quangthanh (2016)'!$A$3,"MA_HT","SKT","MA_QH","DNG")</f>
        <v>0</v>
      </c>
      <c r="AV23" s="35">
        <f>+GETPIVOTDATA("XQT4",'quangthanh (2016)'!$A$3,"MA_HT","SKT","MA_QH","TON")</f>
        <v>0</v>
      </c>
      <c r="AW23" s="35">
        <f>+GETPIVOTDATA("XQT4",'quangthanh (2016)'!$A$3,"MA_HT","SKT","MA_QH","NTD")</f>
        <v>0</v>
      </c>
      <c r="AX23" s="35">
        <f>+GETPIVOTDATA("XQT4",'quangthanh (2016)'!$A$3,"MA_HT","SKT","MA_QH","SKX")</f>
        <v>0</v>
      </c>
      <c r="AY23" s="35">
        <f>+GETPIVOTDATA("XQT4",'quangthanh (2016)'!$A$3,"MA_HT","SKT","MA_QH","DSH")</f>
        <v>0</v>
      </c>
      <c r="AZ23" s="35">
        <f>+GETPIVOTDATA("XQT4",'quangthanh (2016)'!$A$3,"MA_HT","SKT","MA_QH","DKV")</f>
        <v>0</v>
      </c>
      <c r="BA23" s="140">
        <f>+GETPIVOTDATA("XQT4",'quangthanh (2016)'!$A$3,"MA_HT","SKT","MA_QH","TIN")</f>
        <v>0</v>
      </c>
      <c r="BB23" s="74">
        <f>+GETPIVOTDATA("XQT4",'quangthanh (2016)'!$A$3,"MA_HT","SKT","MA_QH","SON")</f>
        <v>0</v>
      </c>
      <c r="BC23" s="74">
        <f>+GETPIVOTDATA("XQT4",'quangthanh (2016)'!$A$3,"MA_HT","SKT","MA_QH","MNC")</f>
        <v>0</v>
      </c>
      <c r="BD23" s="35">
        <f>+GETPIVOTDATA("XQT4",'quangthanh (2016)'!$A$3,"MA_HT","SKT","MA_QH","PNK")</f>
        <v>0</v>
      </c>
      <c r="BE23" s="58">
        <f>+GETPIVOTDATA("XQT4",'quangthanh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+GETPIVOTDATA("XQT4",'quangthanh (2016)'!$A$3,"MA_HT","SKN","MA_QH","LUC")</f>
        <v>0</v>
      </c>
      <c r="H24" s="35">
        <f>+GETPIVOTDATA("XQT4",'quangthanh (2016)'!$A$3,"MA_HT","SKN","MA_QH","LUK")</f>
        <v>0</v>
      </c>
      <c r="I24" s="35">
        <f>+GETPIVOTDATA("XQT4",'quangthanh (2016)'!$A$3,"MA_HT","SKN","MA_QH","LUN")</f>
        <v>0</v>
      </c>
      <c r="J24" s="35">
        <f>+GETPIVOTDATA("XQT4",'quangthanh (2016)'!$A$3,"MA_HT","SKN","MA_QH","HNK")</f>
        <v>0</v>
      </c>
      <c r="K24" s="35">
        <f>+GETPIVOTDATA("XQT4",'quangthanh (2016)'!$A$3,"MA_HT","SKN","MA_QH","CLN")</f>
        <v>0</v>
      </c>
      <c r="L24" s="35">
        <f>+GETPIVOTDATA("XQT4",'quangthanh (2016)'!$A$3,"MA_HT","SKN","MA_QH","RSX")</f>
        <v>0</v>
      </c>
      <c r="M24" s="35">
        <f>+GETPIVOTDATA("XQT4",'quangthanh (2016)'!$A$3,"MA_HT","SKN","MA_QH","RPH")</f>
        <v>0</v>
      </c>
      <c r="N24" s="35">
        <f>+GETPIVOTDATA("XQT4",'quangthanh (2016)'!$A$3,"MA_HT","SKN","MA_QH","RDD")</f>
        <v>0</v>
      </c>
      <c r="O24" s="35">
        <f>+GETPIVOTDATA("XQT4",'quangthanh (2016)'!$A$3,"MA_HT","SKN","MA_QH","NTS")</f>
        <v>0</v>
      </c>
      <c r="P24" s="35">
        <f>+GETPIVOTDATA("XQT4",'quangthanh (2016)'!$A$3,"MA_HT","SKN","MA_QH","LMU")</f>
        <v>0</v>
      </c>
      <c r="Q24" s="35">
        <f>+GETPIVOTDATA("XQT4",'quangthanh (2016)'!$A$3,"MA_HT","SKN","MA_QH","NKH")</f>
        <v>0</v>
      </c>
      <c r="R24" s="63">
        <f>SUM(S24:V24,X24:AA24,AN24:BD24)</f>
        <v>0</v>
      </c>
      <c r="S24" s="35">
        <f>+GETPIVOTDATA("XQT4",'quangthanh (2016)'!$A$3,"MA_HT","SKN","MA_QH","CQP")</f>
        <v>0</v>
      </c>
      <c r="T24" s="35">
        <f>+GETPIVOTDATA("XQT4",'quangthanh (2016)'!$A$3,"MA_HT","SKN","MA_QH","CAN")</f>
        <v>0</v>
      </c>
      <c r="U24" s="35">
        <f>+GETPIVOTDATA("XQT4",'quangthanh (2016)'!$A$3,"MA_HT","SKN","MA_QH","SKK")</f>
        <v>0</v>
      </c>
      <c r="V24" s="35">
        <f>+GETPIVOTDATA("XQT4",'quangthanh (2016)'!$A$3,"MA_HT","SKN","MA_QH","SKT")</f>
        <v>0</v>
      </c>
      <c r="W24" s="99" t="e">
        <f>$D24-$BF24</f>
        <v>#REF!</v>
      </c>
      <c r="X24" s="35">
        <f>+GETPIVOTDATA("XQT4",'quangthanh (2016)'!$A$3,"MA_HT","SKN","MA_QH","TMD")</f>
        <v>0</v>
      </c>
      <c r="Y24" s="35">
        <f>+GETPIVOTDATA("XQT4",'quangthanh (2016)'!$A$3,"MA_HT","SKN","MA_QH","SKC")</f>
        <v>0</v>
      </c>
      <c r="Z24" s="35">
        <f>+GETPIVOTDATA("XQT4",'quangthanh (2016)'!$A$3,"MA_HT","SKN","MA_QH","SKS")</f>
        <v>0</v>
      </c>
      <c r="AA24" s="64">
        <f t="shared" si="12"/>
        <v>0</v>
      </c>
      <c r="AB24" s="35">
        <f>+GETPIVOTDATA("XQT4",'quangthanh (2016)'!$A$3,"MA_HT","SKN","MA_QH","DGT")</f>
        <v>0</v>
      </c>
      <c r="AC24" s="35">
        <f>+GETPIVOTDATA("XQT4",'quangthanh (2016)'!$A$3,"MA_HT","SKN","MA_QH","DTL")</f>
        <v>0</v>
      </c>
      <c r="AD24" s="35">
        <f>+GETPIVOTDATA("XQT4",'quangthanh (2016)'!$A$3,"MA_HT","SKN","MA_QH","DNL")</f>
        <v>0</v>
      </c>
      <c r="AE24" s="35">
        <f>+GETPIVOTDATA("XQT4",'quangthanh (2016)'!$A$3,"MA_HT","SKN","MA_QH","DBV")</f>
        <v>0</v>
      </c>
      <c r="AF24" s="35">
        <f>+GETPIVOTDATA("XQT4",'quangthanh (2016)'!$A$3,"MA_HT","SKN","MA_QH","DVH")</f>
        <v>0</v>
      </c>
      <c r="AG24" s="35">
        <f>+GETPIVOTDATA("XQT4",'quangthanh (2016)'!$A$3,"MA_HT","SKN","MA_QH","DYT")</f>
        <v>0</v>
      </c>
      <c r="AH24" s="35">
        <f>+GETPIVOTDATA("XQT4",'quangthanh (2016)'!$A$3,"MA_HT","SKN","MA_QH","DGD")</f>
        <v>0</v>
      </c>
      <c r="AI24" s="35">
        <f>+GETPIVOTDATA("XQT4",'quangthanh (2016)'!$A$3,"MA_HT","SKN","MA_QH","DTT")</f>
        <v>0</v>
      </c>
      <c r="AJ24" s="35">
        <f>+GETPIVOTDATA("XQT4",'quangthanh (2016)'!$A$3,"MA_HT","SKN","MA_QH","NCK")</f>
        <v>0</v>
      </c>
      <c r="AK24" s="35">
        <f>+GETPIVOTDATA("XQT4",'quangthanh (2016)'!$A$3,"MA_HT","SKN","MA_QH","DXH")</f>
        <v>0</v>
      </c>
      <c r="AL24" s="35">
        <f>+GETPIVOTDATA("XQT4",'quangthanh (2016)'!$A$3,"MA_HT","SKN","MA_QH","DCH")</f>
        <v>0</v>
      </c>
      <c r="AM24" s="35">
        <f>+GETPIVOTDATA("XQT4",'quangthanh (2016)'!$A$3,"MA_HT","SKN","MA_QH","DKG")</f>
        <v>0</v>
      </c>
      <c r="AN24" s="35">
        <f>+GETPIVOTDATA("XQT4",'quangthanh (2016)'!$A$3,"MA_HT","SKN","MA_QH","DDT")</f>
        <v>0</v>
      </c>
      <c r="AO24" s="35">
        <f>+GETPIVOTDATA("XQT4",'quangthanh (2016)'!$A$3,"MA_HT","SKN","MA_QH","DDL")</f>
        <v>0</v>
      </c>
      <c r="AP24" s="35">
        <f>+GETPIVOTDATA("XQT4",'quangthanh (2016)'!$A$3,"MA_HT","SKN","MA_QH","DRA")</f>
        <v>0</v>
      </c>
      <c r="AQ24" s="35">
        <f>+GETPIVOTDATA("XQT4",'quangthanh (2016)'!$A$3,"MA_HT","SKN","MA_QH","ONT")</f>
        <v>0</v>
      </c>
      <c r="AR24" s="35">
        <f>+GETPIVOTDATA("XQT4",'quangthanh (2016)'!$A$3,"MA_HT","SKN","MA_QH","ODT")</f>
        <v>0</v>
      </c>
      <c r="AS24" s="35">
        <f>+GETPIVOTDATA("XQT4",'quangthanh (2016)'!$A$3,"MA_HT","SKN","MA_QH","TSC")</f>
        <v>0</v>
      </c>
      <c r="AT24" s="35">
        <f>+GETPIVOTDATA("XQT4",'quangthanh (2016)'!$A$3,"MA_HT","SKN","MA_QH","DTS")</f>
        <v>0</v>
      </c>
      <c r="AU24" s="35">
        <f>+GETPIVOTDATA("XQT4",'quangthanh (2016)'!$A$3,"MA_HT","SKN","MA_QH","DNG")</f>
        <v>0</v>
      </c>
      <c r="AV24" s="35">
        <f>+GETPIVOTDATA("XQT4",'quangthanh (2016)'!$A$3,"MA_HT","SKN","MA_QH","TON")</f>
        <v>0</v>
      </c>
      <c r="AW24" s="35">
        <f>+GETPIVOTDATA("XQT4",'quangthanh (2016)'!$A$3,"MA_HT","SKN","MA_QH","NTD")</f>
        <v>0</v>
      </c>
      <c r="AX24" s="35">
        <f>+GETPIVOTDATA("XQT4",'quangthanh (2016)'!$A$3,"MA_HT","SKN","MA_QH","SKX")</f>
        <v>0</v>
      </c>
      <c r="AY24" s="35">
        <f>+GETPIVOTDATA("XQT4",'quangthanh (2016)'!$A$3,"MA_HT","SKN","MA_QH","DSH")</f>
        <v>0</v>
      </c>
      <c r="AZ24" s="35">
        <f>+GETPIVOTDATA("XQT4",'quangthanh (2016)'!$A$3,"MA_HT","SKN","MA_QH","DKV")</f>
        <v>0</v>
      </c>
      <c r="BA24" s="140">
        <f>+GETPIVOTDATA("XQT4",'quangthanh (2016)'!$A$3,"MA_HT","SKN","MA_QH","TIN")</f>
        <v>0</v>
      </c>
      <c r="BB24" s="74">
        <f>+GETPIVOTDATA("XQT4",'quangthanh (2016)'!$A$3,"MA_HT","SKN","MA_QH","SON")</f>
        <v>0</v>
      </c>
      <c r="BC24" s="74">
        <f>+GETPIVOTDATA("XQT4",'quangthanh (2016)'!$A$3,"MA_HT","SKN","MA_QH","MNC")</f>
        <v>0</v>
      </c>
      <c r="BD24" s="35">
        <f>+GETPIVOTDATA("XQT4",'quangthanh (2016)'!$A$3,"MA_HT","SKN","MA_QH","PNK")</f>
        <v>0</v>
      </c>
      <c r="BE24" s="58">
        <f>+GETPIVOTDATA("XQT4",'quangthanh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+GETPIVOTDATA("XQT4",'quangthanh (2016)'!$A$3,"MA_HT","TMD","MA_QH","LUC")</f>
        <v>0</v>
      </c>
      <c r="H25" s="35">
        <f>+GETPIVOTDATA("XQT4",'quangthanh (2016)'!$A$3,"MA_HT","TMD","MA_QH","LUK")</f>
        <v>0</v>
      </c>
      <c r="I25" s="35">
        <f>+GETPIVOTDATA("XQT4",'quangthanh (2016)'!$A$3,"MA_HT","TMD","MA_QH","LUN")</f>
        <v>0</v>
      </c>
      <c r="J25" s="35">
        <f>+GETPIVOTDATA("XQT4",'quangthanh (2016)'!$A$3,"MA_HT","TMD","MA_QH","HNK")</f>
        <v>0</v>
      </c>
      <c r="K25" s="35">
        <f>+GETPIVOTDATA("XQT4",'quangthanh (2016)'!$A$3,"MA_HT","TMD","MA_QH","CLN")</f>
        <v>0</v>
      </c>
      <c r="L25" s="35">
        <f>+GETPIVOTDATA("XQT4",'quangthanh (2016)'!$A$3,"MA_HT","TMD","MA_QH","RSX")</f>
        <v>0</v>
      </c>
      <c r="M25" s="35">
        <f>+GETPIVOTDATA("XQT4",'quangthanh (2016)'!$A$3,"MA_HT","TMD","MA_QH","RPH")</f>
        <v>0</v>
      </c>
      <c r="N25" s="35">
        <f>+GETPIVOTDATA("XQT4",'quangthanh (2016)'!$A$3,"MA_HT","TMD","MA_QH","RDD")</f>
        <v>0</v>
      </c>
      <c r="O25" s="35">
        <f>+GETPIVOTDATA("XQT4",'quangthanh (2016)'!$A$3,"MA_HT","TMD","MA_QH","NTS")</f>
        <v>0</v>
      </c>
      <c r="P25" s="35">
        <f>+GETPIVOTDATA("XQT4",'quangthanh (2016)'!$A$3,"MA_HT","TMD","MA_QH","LMU")</f>
        <v>0</v>
      </c>
      <c r="Q25" s="35">
        <f>+GETPIVOTDATA("XQT4",'quangthanh (2016)'!$A$3,"MA_HT","TMD","MA_QH","NKH")</f>
        <v>0</v>
      </c>
      <c r="R25" s="63">
        <f>SUM(S25:W25,Y25:AA25,AN25:BD25)</f>
        <v>0</v>
      </c>
      <c r="S25" s="35">
        <f>+GETPIVOTDATA("XQT4",'quangthanh (2016)'!$A$3,"MA_HT","TMD","MA_QH","CQP")</f>
        <v>0</v>
      </c>
      <c r="T25" s="35">
        <f>+GETPIVOTDATA("XQT4",'quangthanh (2016)'!$A$3,"MA_HT","TMD","MA_QH","CAN")</f>
        <v>0</v>
      </c>
      <c r="U25" s="35">
        <f>+GETPIVOTDATA("XQT4",'quangthanh (2016)'!$A$3,"MA_HT","TMD","MA_QH","SKK")</f>
        <v>0</v>
      </c>
      <c r="V25" s="35">
        <f>+GETPIVOTDATA("XQT4",'quangthanh (2016)'!$A$3,"MA_HT","TMD","MA_QH","SKT")</f>
        <v>0</v>
      </c>
      <c r="W25" s="35">
        <f>+GETPIVOTDATA("XQT4",'quangthanh (2016)'!$A$3,"MA_HT","TMD","MA_QH","SKN")</f>
        <v>0</v>
      </c>
      <c r="X25" s="99" t="e">
        <f>$D25-$BF25</f>
        <v>#REF!</v>
      </c>
      <c r="Y25" s="35">
        <f>+GETPIVOTDATA("XQT4",'quangthanh (2016)'!$A$3,"MA_HT","TMD","MA_QH","SKC")</f>
        <v>0</v>
      </c>
      <c r="Z25" s="35">
        <f>+GETPIVOTDATA("XQT4",'quangthanh (2016)'!$A$3,"MA_HT","TMD","MA_QH","SKS")</f>
        <v>0</v>
      </c>
      <c r="AA25" s="64">
        <f t="shared" si="12"/>
        <v>0</v>
      </c>
      <c r="AB25" s="35">
        <f>+GETPIVOTDATA("XQT4",'quangthanh (2016)'!$A$3,"MA_HT","TMD","MA_QH","DGT")</f>
        <v>0</v>
      </c>
      <c r="AC25" s="35">
        <f>+GETPIVOTDATA("XQT4",'quangthanh (2016)'!$A$3,"MA_HT","TMD","MA_QH","DTL")</f>
        <v>0</v>
      </c>
      <c r="AD25" s="35">
        <f>+GETPIVOTDATA("XQT4",'quangthanh (2016)'!$A$3,"MA_HT","TMD","MA_QH","DNL")</f>
        <v>0</v>
      </c>
      <c r="AE25" s="35">
        <f>+GETPIVOTDATA("XQT4",'quangthanh (2016)'!$A$3,"MA_HT","TMD","MA_QH","DBV")</f>
        <v>0</v>
      </c>
      <c r="AF25" s="35">
        <f>+GETPIVOTDATA("XQT4",'quangthanh (2016)'!$A$3,"MA_HT","TMD","MA_QH","DVH")</f>
        <v>0</v>
      </c>
      <c r="AG25" s="35">
        <f>+GETPIVOTDATA("XQT4",'quangthanh (2016)'!$A$3,"MA_HT","TMD","MA_QH","DYT")</f>
        <v>0</v>
      </c>
      <c r="AH25" s="35">
        <f>+GETPIVOTDATA("XQT4",'quangthanh (2016)'!$A$3,"MA_HT","TMD","MA_QH","DGD")</f>
        <v>0</v>
      </c>
      <c r="AI25" s="35">
        <f>+GETPIVOTDATA("XQT4",'quangthanh (2016)'!$A$3,"MA_HT","TMD","MA_QH","DTT")</f>
        <v>0</v>
      </c>
      <c r="AJ25" s="35">
        <f>+GETPIVOTDATA("XQT4",'quangthanh (2016)'!$A$3,"MA_HT","TMD","MA_QH","NCK")</f>
        <v>0</v>
      </c>
      <c r="AK25" s="35">
        <f>+GETPIVOTDATA("XQT4",'quangthanh (2016)'!$A$3,"MA_HT","TMD","MA_QH","DXH")</f>
        <v>0</v>
      </c>
      <c r="AL25" s="35">
        <f>+GETPIVOTDATA("XQT4",'quangthanh (2016)'!$A$3,"MA_HT","TMD","MA_QH","DCH")</f>
        <v>0</v>
      </c>
      <c r="AM25" s="35">
        <f>+GETPIVOTDATA("XQT4",'quangthanh (2016)'!$A$3,"MA_HT","TMD","MA_QH","DKG")</f>
        <v>0</v>
      </c>
      <c r="AN25" s="35">
        <f>+GETPIVOTDATA("XQT4",'quangthanh (2016)'!$A$3,"MA_HT","TMD","MA_QH","DDT")</f>
        <v>0</v>
      </c>
      <c r="AO25" s="35">
        <f>+GETPIVOTDATA("XQT4",'quangthanh (2016)'!$A$3,"MA_HT","TMD","MA_QH","DDL")</f>
        <v>0</v>
      </c>
      <c r="AP25" s="35">
        <f>+GETPIVOTDATA("XQT4",'quangthanh (2016)'!$A$3,"MA_HT","TMD","MA_QH","DRA")</f>
        <v>0</v>
      </c>
      <c r="AQ25" s="35">
        <f>+GETPIVOTDATA("XQT4",'quangthanh (2016)'!$A$3,"MA_HT","TMD","MA_QH","ONT")</f>
        <v>0</v>
      </c>
      <c r="AR25" s="35">
        <f>+GETPIVOTDATA("XQT4",'quangthanh (2016)'!$A$3,"MA_HT","TMD","MA_QH","ODT")</f>
        <v>0</v>
      </c>
      <c r="AS25" s="35">
        <f>+GETPIVOTDATA("XQT4",'quangthanh (2016)'!$A$3,"MA_HT","TMD","MA_QH","TSC")</f>
        <v>0</v>
      </c>
      <c r="AT25" s="35">
        <f>+GETPIVOTDATA("XQT4",'quangthanh (2016)'!$A$3,"MA_HT","TMD","MA_QH","DTS")</f>
        <v>0</v>
      </c>
      <c r="AU25" s="35">
        <f>+GETPIVOTDATA("XQT4",'quangthanh (2016)'!$A$3,"MA_HT","TMD","MA_QH","DNG")</f>
        <v>0</v>
      </c>
      <c r="AV25" s="35">
        <f>+GETPIVOTDATA("XQT4",'quangthanh (2016)'!$A$3,"MA_HT","TMD","MA_QH","TON")</f>
        <v>0</v>
      </c>
      <c r="AW25" s="35">
        <f>+GETPIVOTDATA("XQT4",'quangthanh (2016)'!$A$3,"MA_HT","TMD","MA_QH","NTD")</f>
        <v>0</v>
      </c>
      <c r="AX25" s="35">
        <f>+GETPIVOTDATA("XQT4",'quangthanh (2016)'!$A$3,"MA_HT","TMD","MA_QH","SKX")</f>
        <v>0</v>
      </c>
      <c r="AY25" s="35">
        <f>+GETPIVOTDATA("XQT4",'quangthanh (2016)'!$A$3,"MA_HT","TMD","MA_QH","DSH")</f>
        <v>0</v>
      </c>
      <c r="AZ25" s="35">
        <f>+GETPIVOTDATA("XQT4",'quangthanh (2016)'!$A$3,"MA_HT","TMD","MA_QH","DKV")</f>
        <v>0</v>
      </c>
      <c r="BA25" s="140">
        <f>+GETPIVOTDATA("XQT4",'quangthanh (2016)'!$A$3,"MA_HT","TMD","MA_QH","TIN")</f>
        <v>0</v>
      </c>
      <c r="BB25" s="74">
        <f>+GETPIVOTDATA("XQT4",'quangthanh (2016)'!$A$3,"MA_HT","TMD","MA_QH","SON")</f>
        <v>0</v>
      </c>
      <c r="BC25" s="74">
        <f>+GETPIVOTDATA("XQT4",'quangthanh (2016)'!$A$3,"MA_HT","TMD","MA_QH","MNC")</f>
        <v>0</v>
      </c>
      <c r="BD25" s="35">
        <f>+GETPIVOTDATA("XQT4",'quangthanh (2016)'!$A$3,"MA_HT","TMD","MA_QH","PNK")</f>
        <v>0</v>
      </c>
      <c r="BE25" s="58">
        <f>+GETPIVOTDATA("XQT4",'quangthanh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+GETPIVOTDATA("XQT4",'quangthanh (2016)'!$A$3,"MA_HT","SKC","MA_QH","LUC")</f>
        <v>0</v>
      </c>
      <c r="H26" s="35">
        <f>+GETPIVOTDATA("XQT4",'quangthanh (2016)'!$A$3,"MA_HT","SKC","MA_QH","LUK")</f>
        <v>0</v>
      </c>
      <c r="I26" s="35">
        <f>+GETPIVOTDATA("XQT4",'quangthanh (2016)'!$A$3,"MA_HT","SKC","MA_QH","LUN")</f>
        <v>0</v>
      </c>
      <c r="J26" s="35">
        <f>+GETPIVOTDATA("XQT4",'quangthanh (2016)'!$A$3,"MA_HT","SKC","MA_QH","HNK")</f>
        <v>0</v>
      </c>
      <c r="K26" s="35">
        <f>+GETPIVOTDATA("XQT4",'quangthanh (2016)'!$A$3,"MA_HT","SKC","MA_QH","CLN")</f>
        <v>0</v>
      </c>
      <c r="L26" s="35">
        <f>+GETPIVOTDATA("XQT4",'quangthanh (2016)'!$A$3,"MA_HT","SKC","MA_QH","RSX")</f>
        <v>0</v>
      </c>
      <c r="M26" s="35">
        <f>+GETPIVOTDATA("XQT4",'quangthanh (2016)'!$A$3,"MA_HT","SKC","MA_QH","RPH")</f>
        <v>0</v>
      </c>
      <c r="N26" s="35">
        <f>+GETPIVOTDATA("XQT4",'quangthanh (2016)'!$A$3,"MA_HT","SKC","MA_QH","RDD")</f>
        <v>0</v>
      </c>
      <c r="O26" s="35">
        <f>+GETPIVOTDATA("XQT4",'quangthanh (2016)'!$A$3,"MA_HT","SKC","MA_QH","NTS")</f>
        <v>0</v>
      </c>
      <c r="P26" s="35">
        <f>+GETPIVOTDATA("XQT4",'quangthanh (2016)'!$A$3,"MA_HT","SKC","MA_QH","LMU")</f>
        <v>0</v>
      </c>
      <c r="Q26" s="35">
        <f>+GETPIVOTDATA("XQT4",'quangthanh (2016)'!$A$3,"MA_HT","SKC","MA_QH","NKH")</f>
        <v>0</v>
      </c>
      <c r="R26" s="63">
        <f>SUM(S26:X26,Z26,AN26:BD26)</f>
        <v>0</v>
      </c>
      <c r="S26" s="35">
        <f>+GETPIVOTDATA("XQT4",'quangthanh (2016)'!$A$3,"MA_HT","SKC","MA_QH","CQP")</f>
        <v>0</v>
      </c>
      <c r="T26" s="35">
        <f>+GETPIVOTDATA("XQT4",'quangthanh (2016)'!$A$3,"MA_HT","SKC","MA_QH","CAN")</f>
        <v>0</v>
      </c>
      <c r="U26" s="35">
        <f>+GETPIVOTDATA("XQT4",'quangthanh (2016)'!$A$3,"MA_HT","SKC","MA_QH","SKK")</f>
        <v>0</v>
      </c>
      <c r="V26" s="35">
        <f>+GETPIVOTDATA("XQT4",'quangthanh (2016)'!$A$3,"MA_HT","SKC","MA_QH","SKT")</f>
        <v>0</v>
      </c>
      <c r="W26" s="35">
        <f>+GETPIVOTDATA("XQT4",'quangthanh (2016)'!$A$3,"MA_HT","SKC","MA_QH","SKN")</f>
        <v>0</v>
      </c>
      <c r="X26" s="35">
        <f>+GETPIVOTDATA("XQT4",'quangthanh (2016)'!$A$3,"MA_HT","SKC","MA_QH","TMD")</f>
        <v>0</v>
      </c>
      <c r="Y26" s="99" t="e">
        <f>$D26-$BF26</f>
        <v>#REF!</v>
      </c>
      <c r="Z26" s="35">
        <f>+GETPIVOTDATA("XQT4",'quangthanh (2016)'!$A$3,"MA_HT","SKC","MA_QH","SKS")</f>
        <v>0</v>
      </c>
      <c r="AA26" s="64">
        <f t="shared" si="12"/>
        <v>0</v>
      </c>
      <c r="AB26" s="35">
        <f>+GETPIVOTDATA("XQT4",'quangthanh (2016)'!$A$3,"MA_HT","SKC","MA_QH","DGT")</f>
        <v>0</v>
      </c>
      <c r="AC26" s="35">
        <f>+GETPIVOTDATA("XQT4",'quangthanh (2016)'!$A$3,"MA_HT","SKC","MA_QH","DTL")</f>
        <v>0</v>
      </c>
      <c r="AD26" s="35">
        <f>+GETPIVOTDATA("XQT4",'quangthanh (2016)'!$A$3,"MA_HT","SKC","MA_QH","DNL")</f>
        <v>0</v>
      </c>
      <c r="AE26" s="35">
        <f>+GETPIVOTDATA("XQT4",'quangthanh (2016)'!$A$3,"MA_HT","SKC","MA_QH","DBV")</f>
        <v>0</v>
      </c>
      <c r="AF26" s="35">
        <f>+GETPIVOTDATA("XQT4",'quangthanh (2016)'!$A$3,"MA_HT","SKC","MA_QH","DVH")</f>
        <v>0</v>
      </c>
      <c r="AG26" s="35">
        <f>+GETPIVOTDATA("XQT4",'quangthanh (2016)'!$A$3,"MA_HT","SKC","MA_QH","DYT")</f>
        <v>0</v>
      </c>
      <c r="AH26" s="35">
        <f>+GETPIVOTDATA("XQT4",'quangthanh (2016)'!$A$3,"MA_HT","SKC","MA_QH","DGD")</f>
        <v>0</v>
      </c>
      <c r="AI26" s="35">
        <f>+GETPIVOTDATA("XQT4",'quangthanh (2016)'!$A$3,"MA_HT","SKC","MA_QH","DTT")</f>
        <v>0</v>
      </c>
      <c r="AJ26" s="35">
        <f>+GETPIVOTDATA("XQT4",'quangthanh (2016)'!$A$3,"MA_HT","SKC","MA_QH","NCK")</f>
        <v>0</v>
      </c>
      <c r="AK26" s="35">
        <f>+GETPIVOTDATA("XQT4",'quangthanh (2016)'!$A$3,"MA_HT","SKC","MA_QH","DXH")</f>
        <v>0</v>
      </c>
      <c r="AL26" s="35">
        <f>+GETPIVOTDATA("XQT4",'quangthanh (2016)'!$A$3,"MA_HT","SKC","MA_QH","DCH")</f>
        <v>0</v>
      </c>
      <c r="AM26" s="35">
        <f>+GETPIVOTDATA("XQT4",'quangthanh (2016)'!$A$3,"MA_HT","SKC","MA_QH","DKG")</f>
        <v>0</v>
      </c>
      <c r="AN26" s="35">
        <f>+GETPIVOTDATA("XQT4",'quangthanh (2016)'!$A$3,"MA_HT","SKC","MA_QH","DDT")</f>
        <v>0</v>
      </c>
      <c r="AO26" s="35">
        <f>+GETPIVOTDATA("XQT4",'quangthanh (2016)'!$A$3,"MA_HT","SKC","MA_QH","DDL")</f>
        <v>0</v>
      </c>
      <c r="AP26" s="35">
        <f>+GETPIVOTDATA("XQT4",'quangthanh (2016)'!$A$3,"MA_HT","SKC","MA_QH","DRA")</f>
        <v>0</v>
      </c>
      <c r="AQ26" s="35">
        <f>+GETPIVOTDATA("XQT4",'quangthanh (2016)'!$A$3,"MA_HT","SKC","MA_QH","ONT")</f>
        <v>0</v>
      </c>
      <c r="AR26" s="35">
        <f>+GETPIVOTDATA("XQT4",'quangthanh (2016)'!$A$3,"MA_HT","SKC","MA_QH","ODT")</f>
        <v>0</v>
      </c>
      <c r="AS26" s="35">
        <f>+GETPIVOTDATA("XQT4",'quangthanh (2016)'!$A$3,"MA_HT","SKC","MA_QH","TSC")</f>
        <v>0</v>
      </c>
      <c r="AT26" s="35">
        <f>+GETPIVOTDATA("XQT4",'quangthanh (2016)'!$A$3,"MA_HT","SKC","MA_QH","DTS")</f>
        <v>0</v>
      </c>
      <c r="AU26" s="35">
        <f>+GETPIVOTDATA("XQT4",'quangthanh (2016)'!$A$3,"MA_HT","SKC","MA_QH","DNG")</f>
        <v>0</v>
      </c>
      <c r="AV26" s="35">
        <f>+GETPIVOTDATA("XQT4",'quangthanh (2016)'!$A$3,"MA_HT","SKC","MA_QH","TON")</f>
        <v>0</v>
      </c>
      <c r="AW26" s="35">
        <f>+GETPIVOTDATA("XQT4",'quangthanh (2016)'!$A$3,"MA_HT","SKC","MA_QH","NTD")</f>
        <v>0</v>
      </c>
      <c r="AX26" s="35">
        <f>+GETPIVOTDATA("XQT4",'quangthanh (2016)'!$A$3,"MA_HT","SKC","MA_QH","SKX")</f>
        <v>0</v>
      </c>
      <c r="AY26" s="35">
        <f>+GETPIVOTDATA("XQT4",'quangthanh (2016)'!$A$3,"MA_HT","SKC","MA_QH","DSH")</f>
        <v>0</v>
      </c>
      <c r="AZ26" s="35">
        <f>+GETPIVOTDATA("XQT4",'quangthanh (2016)'!$A$3,"MA_HT","SKC","MA_QH","DKV")</f>
        <v>0</v>
      </c>
      <c r="BA26" s="140">
        <f>+GETPIVOTDATA("XQT4",'quangthanh (2016)'!$A$3,"MA_HT","SKC","MA_QH","TIN")</f>
        <v>0</v>
      </c>
      <c r="BB26" s="74">
        <f>+GETPIVOTDATA("XQT4",'quangthanh (2016)'!$A$3,"MA_HT","SKC","MA_QH","SON")</f>
        <v>0</v>
      </c>
      <c r="BC26" s="74">
        <f>+GETPIVOTDATA("XQT4",'quangthanh (2016)'!$A$3,"MA_HT","SKC","MA_QH","MNC")</f>
        <v>0</v>
      </c>
      <c r="BD26" s="35">
        <f>+GETPIVOTDATA("XQT4",'quangthanh (2016)'!$A$3,"MA_HT","SKC","MA_QH","PNK")</f>
        <v>0</v>
      </c>
      <c r="BE26" s="58">
        <f>+GETPIVOTDATA("XQT4",'quangthanh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+GETPIVOTDATA("XQT4",'quangthanh (2016)'!$A$3,"MA_HT","SKS","MA_QH","LUC")</f>
        <v>0</v>
      </c>
      <c r="H27" s="35">
        <f>+GETPIVOTDATA("XQT4",'quangthanh (2016)'!$A$3,"MA_HT","SKS","MA_QH","LUK")</f>
        <v>0</v>
      </c>
      <c r="I27" s="35">
        <f>+GETPIVOTDATA("XQT4",'quangthanh (2016)'!$A$3,"MA_HT","SKS","MA_QH","LUN")</f>
        <v>0</v>
      </c>
      <c r="J27" s="35">
        <f>+GETPIVOTDATA("XQT4",'quangthanh (2016)'!$A$3,"MA_HT","SKS","MA_QH","HNK")</f>
        <v>0</v>
      </c>
      <c r="K27" s="35">
        <f>+GETPIVOTDATA("XQT4",'quangthanh (2016)'!$A$3,"MA_HT","SKS","MA_QH","CLN")</f>
        <v>0</v>
      </c>
      <c r="L27" s="35">
        <f>+GETPIVOTDATA("XQT4",'quangthanh (2016)'!$A$3,"MA_HT","SKS","MA_QH","RSX")</f>
        <v>0</v>
      </c>
      <c r="M27" s="35">
        <f>+GETPIVOTDATA("XQT4",'quangthanh (2016)'!$A$3,"MA_HT","SKS","MA_QH","RPH")</f>
        <v>0</v>
      </c>
      <c r="N27" s="35">
        <f>+GETPIVOTDATA("XQT4",'quangthanh (2016)'!$A$3,"MA_HT","SKS","MA_QH","RDD")</f>
        <v>0</v>
      </c>
      <c r="O27" s="35">
        <f>+GETPIVOTDATA("XQT4",'quangthanh (2016)'!$A$3,"MA_HT","SKS","MA_QH","NTS")</f>
        <v>0</v>
      </c>
      <c r="P27" s="35">
        <f>+GETPIVOTDATA("XQT4",'quangthanh (2016)'!$A$3,"MA_HT","SKS","MA_QH","LMU")</f>
        <v>0</v>
      </c>
      <c r="Q27" s="35">
        <f>+GETPIVOTDATA("XQT4",'quangthanh (2016)'!$A$3,"MA_HT","SKS","MA_QH","NKH")</f>
        <v>0</v>
      </c>
      <c r="R27" s="63">
        <f>SUM(S27:Y27,AA27,AN27:BD27)</f>
        <v>0</v>
      </c>
      <c r="S27" s="35">
        <f>+GETPIVOTDATA("XQT4",'quangthanh (2016)'!$A$3,"MA_HT","SKS","MA_QH","CQP")</f>
        <v>0</v>
      </c>
      <c r="T27" s="35">
        <f>+GETPIVOTDATA("XQT4",'quangthanh (2016)'!$A$3,"MA_HT","SKS","MA_QH","CAN")</f>
        <v>0</v>
      </c>
      <c r="U27" s="35">
        <f>+GETPIVOTDATA("XQT4",'quangthanh (2016)'!$A$3,"MA_HT","SKS","MA_QH","SKK")</f>
        <v>0</v>
      </c>
      <c r="V27" s="35">
        <f>+GETPIVOTDATA("XQT4",'quangthanh (2016)'!$A$3,"MA_HT","SKS","MA_QH","SKT")</f>
        <v>0</v>
      </c>
      <c r="W27" s="35">
        <f>+GETPIVOTDATA("XQT4",'quangthanh (2016)'!$A$3,"MA_HT","SKS","MA_QH","SKN")</f>
        <v>0</v>
      </c>
      <c r="X27" s="35">
        <f>+GETPIVOTDATA("XQT4",'quangthanh (2016)'!$A$3,"MA_HT","SKS","MA_QH","TMD")</f>
        <v>0</v>
      </c>
      <c r="Y27" s="35">
        <f>+GETPIVOTDATA("XQT4",'quangthanh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+GETPIVOTDATA("XQT4",'quangthanh (2016)'!$A$3,"MA_HT","SKS","MA_QH","DGT")</f>
        <v>0</v>
      </c>
      <c r="AC27" s="35">
        <f>+GETPIVOTDATA("XQT4",'quangthanh (2016)'!$A$3,"MA_HT","SKS","MA_QH","DTL")</f>
        <v>0</v>
      </c>
      <c r="AD27" s="35">
        <f>+GETPIVOTDATA("XQT4",'quangthanh (2016)'!$A$3,"MA_HT","SKS","MA_QH","DNL")</f>
        <v>0</v>
      </c>
      <c r="AE27" s="35">
        <f>+GETPIVOTDATA("XQT4",'quangthanh (2016)'!$A$3,"MA_HT","SKS","MA_QH","DBV")</f>
        <v>0</v>
      </c>
      <c r="AF27" s="35">
        <f>+GETPIVOTDATA("XQT4",'quangthanh (2016)'!$A$3,"MA_HT","SKS","MA_QH","DVH")</f>
        <v>0</v>
      </c>
      <c r="AG27" s="35">
        <f>+GETPIVOTDATA("XQT4",'quangthanh (2016)'!$A$3,"MA_HT","SKS","MA_QH","DYT")</f>
        <v>0</v>
      </c>
      <c r="AH27" s="35">
        <f>+GETPIVOTDATA("XQT4",'quangthanh (2016)'!$A$3,"MA_HT","SKS","MA_QH","DGD")</f>
        <v>0</v>
      </c>
      <c r="AI27" s="35">
        <f>+GETPIVOTDATA("XQT4",'quangthanh (2016)'!$A$3,"MA_HT","SKS","MA_QH","DTT")</f>
        <v>0</v>
      </c>
      <c r="AJ27" s="35">
        <f>+GETPIVOTDATA("XQT4",'quangthanh (2016)'!$A$3,"MA_HT","SKS","MA_QH","NCK")</f>
        <v>0</v>
      </c>
      <c r="AK27" s="35">
        <f>+GETPIVOTDATA("XQT4",'quangthanh (2016)'!$A$3,"MA_HT","SKS","MA_QH","DXH")</f>
        <v>0</v>
      </c>
      <c r="AL27" s="35">
        <f>+GETPIVOTDATA("XQT4",'quangthanh (2016)'!$A$3,"MA_HT","SKS","MA_QH","DCH")</f>
        <v>0</v>
      </c>
      <c r="AM27" s="35">
        <f>+GETPIVOTDATA("XQT4",'quangthanh (2016)'!$A$3,"MA_HT","SKS","MA_QH","DKG")</f>
        <v>0</v>
      </c>
      <c r="AN27" s="35">
        <f>+GETPIVOTDATA("XQT4",'quangthanh (2016)'!$A$3,"MA_HT","SKS","MA_QH","DDT")</f>
        <v>0</v>
      </c>
      <c r="AO27" s="35">
        <f>+GETPIVOTDATA("XQT4",'quangthanh (2016)'!$A$3,"MA_HT","SKS","MA_QH","DDL")</f>
        <v>0</v>
      </c>
      <c r="AP27" s="35">
        <f>+GETPIVOTDATA("XQT4",'quangthanh (2016)'!$A$3,"MA_HT","SKS","MA_QH","DRA")</f>
        <v>0</v>
      </c>
      <c r="AQ27" s="35">
        <f>+GETPIVOTDATA("XQT4",'quangthanh (2016)'!$A$3,"MA_HT","SKS","MA_QH","ONT")</f>
        <v>0</v>
      </c>
      <c r="AR27" s="35">
        <f>+GETPIVOTDATA("XQT4",'quangthanh (2016)'!$A$3,"MA_HT","SKS","MA_QH","ODT")</f>
        <v>0</v>
      </c>
      <c r="AS27" s="35">
        <f>+GETPIVOTDATA("XQT4",'quangthanh (2016)'!$A$3,"MA_HT","SKS","MA_QH","TSC")</f>
        <v>0</v>
      </c>
      <c r="AT27" s="35">
        <f>+GETPIVOTDATA("XQT4",'quangthanh (2016)'!$A$3,"MA_HT","SKS","MA_QH","DTS")</f>
        <v>0</v>
      </c>
      <c r="AU27" s="35">
        <f>+GETPIVOTDATA("XQT4",'quangthanh (2016)'!$A$3,"MA_HT","SKS","MA_QH","DNG")</f>
        <v>0</v>
      </c>
      <c r="AV27" s="35">
        <f>+GETPIVOTDATA("XQT4",'quangthanh (2016)'!$A$3,"MA_HT","SKS","MA_QH","TON")</f>
        <v>0</v>
      </c>
      <c r="AW27" s="35">
        <f>+GETPIVOTDATA("XQT4",'quangthanh (2016)'!$A$3,"MA_HT","SKS","MA_QH","NTD")</f>
        <v>0</v>
      </c>
      <c r="AX27" s="35">
        <f>+GETPIVOTDATA("XQT4",'quangthanh (2016)'!$A$3,"MA_HT","SKS","MA_QH","SKX")</f>
        <v>0</v>
      </c>
      <c r="AY27" s="35">
        <f>+GETPIVOTDATA("XQT4",'quangthanh (2016)'!$A$3,"MA_HT","SKS","MA_QH","DSH")</f>
        <v>0</v>
      </c>
      <c r="AZ27" s="35">
        <f>+GETPIVOTDATA("XQT4",'quangthanh (2016)'!$A$3,"MA_HT","SKS","MA_QH","DKV")</f>
        <v>0</v>
      </c>
      <c r="BA27" s="140">
        <f>+GETPIVOTDATA("XQT4",'quangthanh (2016)'!$A$3,"MA_HT","SKS","MA_QH","TIN")</f>
        <v>0</v>
      </c>
      <c r="BB27" s="74">
        <f>+GETPIVOTDATA("XQT4",'quangthanh (2016)'!$A$3,"MA_HT","SKS","MA_QH","SON")</f>
        <v>0</v>
      </c>
      <c r="BC27" s="74">
        <f>+GETPIVOTDATA("XQT4",'quangthanh (2016)'!$A$3,"MA_HT","SKS","MA_QH","MNC")</f>
        <v>0</v>
      </c>
      <c r="BD27" s="35">
        <f>+GETPIVOTDATA("XQT4",'quangthanh (2016)'!$A$3,"MA_HT","SKS","MA_QH","PNK")</f>
        <v>0</v>
      </c>
      <c r="BE27" s="58">
        <f>+GETPIVOTDATA("XQT4",'quangthanh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+GETPIVOTDATA("XQT4",'quangthanh (2016)'!$A$3,"MA_HT","DGT","MA_QH","LUC")</f>
        <v>0</v>
      </c>
      <c r="H29" s="74">
        <f>+GETPIVOTDATA("XQT4",'quangthanh (2016)'!$A$3,"MA_HT","DGT","MA_QH","LUK")</f>
        <v>0</v>
      </c>
      <c r="I29" s="74">
        <f>+GETPIVOTDATA("XQT4",'quangthanh (2016)'!$A$3,"MA_HT","DGT","MA_QH","LUN")</f>
        <v>0</v>
      </c>
      <c r="J29" s="74">
        <f>+GETPIVOTDATA("XQT4",'quangthanh (2016)'!$A$3,"MA_HT","DGT","MA_QH","HNK")</f>
        <v>0</v>
      </c>
      <c r="K29" s="74">
        <f>+GETPIVOTDATA("XQT4",'quangthanh (2016)'!$A$3,"MA_HT","DGT","MA_QH","CLN")</f>
        <v>0</v>
      </c>
      <c r="L29" s="74">
        <f>+GETPIVOTDATA("XQT4",'quangthanh (2016)'!$A$3,"MA_HT","DGT","MA_QH","RSX")</f>
        <v>0</v>
      </c>
      <c r="M29" s="74">
        <f>+GETPIVOTDATA("XQT4",'quangthanh (2016)'!$A$3,"MA_HT","DGT","MA_QH","RPH")</f>
        <v>0</v>
      </c>
      <c r="N29" s="74">
        <f>+GETPIVOTDATA("XQT4",'quangthanh (2016)'!$A$3,"MA_HT","DGT","MA_QH","RDD")</f>
        <v>0</v>
      </c>
      <c r="O29" s="74">
        <f>+GETPIVOTDATA("XQT4",'quangthanh (2016)'!$A$3,"MA_HT","DGT","MA_QH","NTS")</f>
        <v>0</v>
      </c>
      <c r="P29" s="74">
        <f>+GETPIVOTDATA("XQT4",'quangthanh (2016)'!$A$3,"MA_HT","DGT","MA_QH","LMU")</f>
        <v>0</v>
      </c>
      <c r="Q29" s="74">
        <f>+GETPIVOTDATA("XQT4",'quangthanh (2016)'!$A$3,"MA_HT","DGT","MA_QH","NKH")</f>
        <v>0</v>
      </c>
      <c r="R29" s="72">
        <f>SUM(S29:AA29,AN29:BD29)</f>
        <v>0</v>
      </c>
      <c r="S29" s="74">
        <f>+GETPIVOTDATA("XQT4",'quangthanh (2016)'!$A$3,"MA_HT","DGT","MA_QH","CQP")</f>
        <v>0</v>
      </c>
      <c r="T29" s="74">
        <f>+GETPIVOTDATA("XQT4",'quangthanh (2016)'!$A$3,"MA_HT","DGT","MA_QH","CAN")</f>
        <v>0</v>
      </c>
      <c r="U29" s="74">
        <f>+GETPIVOTDATA("XQT4",'quangthanh (2016)'!$A$3,"MA_HT","DGT","MA_QH","SKK")</f>
        <v>0</v>
      </c>
      <c r="V29" s="74">
        <f>+GETPIVOTDATA("XQT4",'quangthanh (2016)'!$A$3,"MA_HT","DGT","MA_QH","SKT")</f>
        <v>0</v>
      </c>
      <c r="W29" s="74">
        <f>+GETPIVOTDATA("XQT4",'quangthanh (2016)'!$A$3,"MA_HT","DGT","MA_QH","SKN")</f>
        <v>0</v>
      </c>
      <c r="X29" s="74">
        <f>+GETPIVOTDATA("XQT4",'quangthanh (2016)'!$A$3,"MA_HT","DGT","MA_QH","TMD")</f>
        <v>0</v>
      </c>
      <c r="Y29" s="74">
        <f>+GETPIVOTDATA("XQT4",'quangthanh (2016)'!$A$3,"MA_HT","DGT","MA_QH","SKC")</f>
        <v>0</v>
      </c>
      <c r="Z29" s="74">
        <f>+GETPIVOTDATA("XQT4",'quangthanh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+GETPIVOTDATA("XQT4",'quangthanh (2016)'!$A$3,"MA_HT","DGT","MA_QH","DTL")</f>
        <v>0</v>
      </c>
      <c r="AD29" s="74">
        <f>+GETPIVOTDATA("XQT4",'quangthanh (2016)'!$A$3,"MA_HT","DGT","MA_QH","DNL")</f>
        <v>0</v>
      </c>
      <c r="AE29" s="74">
        <f>+GETPIVOTDATA("XQT4",'quangthanh (2016)'!$A$3,"MA_HT","DGT","MA_QH","DBV")</f>
        <v>0</v>
      </c>
      <c r="AF29" s="74">
        <f>+GETPIVOTDATA("XQT4",'quangthanh (2016)'!$A$3,"MA_HT","DGT","MA_QH","DVH")</f>
        <v>0</v>
      </c>
      <c r="AG29" s="74">
        <f>+GETPIVOTDATA("XQT4",'quangthanh (2016)'!$A$3,"MA_HT","DGT","MA_QH","DYT")</f>
        <v>0</v>
      </c>
      <c r="AH29" s="74">
        <f>+GETPIVOTDATA("XQT4",'quangthanh (2016)'!$A$3,"MA_HT","DGT","MA_QH","DGD")</f>
        <v>0</v>
      </c>
      <c r="AI29" s="74">
        <f>+GETPIVOTDATA("XQT4",'quangthanh (2016)'!$A$3,"MA_HT","DGT","MA_QH","DTT")</f>
        <v>0</v>
      </c>
      <c r="AJ29" s="74">
        <f>+GETPIVOTDATA("XQT4",'quangthanh (2016)'!$A$3,"MA_HT","DGT","MA_QH","NCK")</f>
        <v>0</v>
      </c>
      <c r="AK29" s="74">
        <f>+GETPIVOTDATA("XQT4",'quangthanh (2016)'!$A$3,"MA_HT","DGT","MA_QH","DXH")</f>
        <v>0</v>
      </c>
      <c r="AL29" s="74">
        <f>+GETPIVOTDATA("XQT4",'quangthanh (2016)'!$A$3,"MA_HT","DGT","MA_QH","DCH")</f>
        <v>0</v>
      </c>
      <c r="AM29" s="74">
        <f>+GETPIVOTDATA("XQT4",'quangthanh (2016)'!$A$3,"MA_HT","DGT","MA_QH","DKG")</f>
        <v>0</v>
      </c>
      <c r="AN29" s="74">
        <f>+GETPIVOTDATA("XQT4",'quangthanh (2016)'!$A$3,"MA_HT","DGT","MA_QH","DDT")</f>
        <v>0</v>
      </c>
      <c r="AO29" s="74">
        <f>+GETPIVOTDATA("XQT4",'quangthanh (2016)'!$A$3,"MA_HT","DGT","MA_QH","DDL")</f>
        <v>0</v>
      </c>
      <c r="AP29" s="74">
        <f>+GETPIVOTDATA("XQT4",'quangthanh (2016)'!$A$3,"MA_HT","DGT","MA_QH","DRA")</f>
        <v>0</v>
      </c>
      <c r="AQ29" s="74">
        <f>+GETPIVOTDATA("XQT4",'quangthanh (2016)'!$A$3,"MA_HT","DGT","MA_QH","ONT")</f>
        <v>0</v>
      </c>
      <c r="AR29" s="74">
        <f>+GETPIVOTDATA("XQT4",'quangthanh (2016)'!$A$3,"MA_HT","DGT","MA_QH","ODT")</f>
        <v>0</v>
      </c>
      <c r="AS29" s="74">
        <f>+GETPIVOTDATA("XQT4",'quangthanh (2016)'!$A$3,"MA_HT","DGT","MA_QH","TSC")</f>
        <v>0</v>
      </c>
      <c r="AT29" s="74">
        <f>+GETPIVOTDATA("XQT4",'quangthanh (2016)'!$A$3,"MA_HT","DGT","MA_QH","DTS")</f>
        <v>0</v>
      </c>
      <c r="AU29" s="74">
        <f>+GETPIVOTDATA("XQT4",'quangthanh (2016)'!$A$3,"MA_HT","DGT","MA_QH","DNG")</f>
        <v>0</v>
      </c>
      <c r="AV29" s="74">
        <f>+GETPIVOTDATA("XQT4",'quangthanh (2016)'!$A$3,"MA_HT","DGT","MA_QH","TON")</f>
        <v>0</v>
      </c>
      <c r="AW29" s="74">
        <f>+GETPIVOTDATA("XQT4",'quangthanh (2016)'!$A$3,"MA_HT","DGT","MA_QH","NTD")</f>
        <v>0</v>
      </c>
      <c r="AX29" s="74">
        <f>+GETPIVOTDATA("XQT4",'quangthanh (2016)'!$A$3,"MA_HT","DGT","MA_QH","SKX")</f>
        <v>0</v>
      </c>
      <c r="AY29" s="74">
        <f>+GETPIVOTDATA("XQT4",'quangthanh (2016)'!$A$3,"MA_HT","DGT","MA_QH","DSH")</f>
        <v>0</v>
      </c>
      <c r="AZ29" s="74">
        <f>+GETPIVOTDATA("XQT4",'quangthanh (2016)'!$A$3,"MA_HT","DGT","MA_QH","DKV")</f>
        <v>0</v>
      </c>
      <c r="BA29" s="139">
        <f>+GETPIVOTDATA("XQT4",'quangthanh (2016)'!$A$3,"MA_HT","DGT","MA_QH","TIN")</f>
        <v>0</v>
      </c>
      <c r="BB29" s="74">
        <f>+GETPIVOTDATA("XQT4",'quangthanh (2016)'!$A$3,"MA_HT","DGT","MA_QH","SON")</f>
        <v>0</v>
      </c>
      <c r="BC29" s="74">
        <f>+GETPIVOTDATA("XQT4",'quangthanh (2016)'!$A$3,"MA_HT","DGT","MA_QH","MNC")</f>
        <v>0</v>
      </c>
      <c r="BD29" s="74">
        <f>+GETPIVOTDATA("XQT4",'quangthanh (2016)'!$A$3,"MA_HT","DGT","MA_QH","PNK")</f>
        <v>0</v>
      </c>
      <c r="BE29" s="102">
        <f>+GETPIVOTDATA("XQT4",'quangthanh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+GETPIVOTDATA("XQT4",'quangthanh (2016)'!$A$3,"MA_HT","DTL","MA_QH","LUC")</f>
        <v>0</v>
      </c>
      <c r="H30" s="74">
        <f>+GETPIVOTDATA("XQT4",'quangthanh (2016)'!$A$3,"MA_HT","DTL","MA_QH","LUK")</f>
        <v>0</v>
      </c>
      <c r="I30" s="74">
        <f>+GETPIVOTDATA("XQT4",'quangthanh (2016)'!$A$3,"MA_HT","DTL","MA_QH","LUN")</f>
        <v>0</v>
      </c>
      <c r="J30" s="74">
        <f>+GETPIVOTDATA("XQT4",'quangthanh (2016)'!$A$3,"MA_HT","DTL","MA_QH","HNK")</f>
        <v>0</v>
      </c>
      <c r="K30" s="74">
        <f>+GETPIVOTDATA("XQT4",'quangthanh (2016)'!$A$3,"MA_HT","DTL","MA_QH","CLN")</f>
        <v>0</v>
      </c>
      <c r="L30" s="74">
        <f>+GETPIVOTDATA("XQT4",'quangthanh (2016)'!$A$3,"MA_HT","DTL","MA_QH","RSX")</f>
        <v>0</v>
      </c>
      <c r="M30" s="74">
        <f>+GETPIVOTDATA("XQT4",'quangthanh (2016)'!$A$3,"MA_HT","DTL","MA_QH","RPH")</f>
        <v>0</v>
      </c>
      <c r="N30" s="74">
        <f>+GETPIVOTDATA("XQT4",'quangthanh (2016)'!$A$3,"MA_HT","DTL","MA_QH","RDD")</f>
        <v>0</v>
      </c>
      <c r="O30" s="74">
        <f>+GETPIVOTDATA("XQT4",'quangthanh (2016)'!$A$3,"MA_HT","DTL","MA_QH","NTS")</f>
        <v>0</v>
      </c>
      <c r="P30" s="74">
        <f>+GETPIVOTDATA("XQT4",'quangthanh (2016)'!$A$3,"MA_HT","DTL","MA_QH","LMU")</f>
        <v>0</v>
      </c>
      <c r="Q30" s="74">
        <f>+GETPIVOTDATA("XQT4",'quangthanh (2016)'!$A$3,"MA_HT","DTL","MA_QH","NKH")</f>
        <v>0</v>
      </c>
      <c r="R30" s="72">
        <f t="shared" ref="R30:R39" si="20">SUM(S30:AA30,AN30:BD30)</f>
        <v>0</v>
      </c>
      <c r="S30" s="74">
        <f>+GETPIVOTDATA("XQT4",'quangthanh (2016)'!$A$3,"MA_HT","DTL","MA_QH","CQP")</f>
        <v>0</v>
      </c>
      <c r="T30" s="74">
        <f>+GETPIVOTDATA("XQT4",'quangthanh (2016)'!$A$3,"MA_HT","DTL","MA_QH","CAN")</f>
        <v>0</v>
      </c>
      <c r="U30" s="74">
        <f>+GETPIVOTDATA("XQT4",'quangthanh (2016)'!$A$3,"MA_HT","DTL","MA_QH","SKK")</f>
        <v>0</v>
      </c>
      <c r="V30" s="74">
        <f>+GETPIVOTDATA("XQT4",'quangthanh (2016)'!$A$3,"MA_HT","DTL","MA_QH","SKT")</f>
        <v>0</v>
      </c>
      <c r="W30" s="74">
        <f>+GETPIVOTDATA("XQT4",'quangthanh (2016)'!$A$3,"MA_HT","DTL","MA_QH","SKN")</f>
        <v>0</v>
      </c>
      <c r="X30" s="74">
        <f>+GETPIVOTDATA("XQT4",'quangthanh (2016)'!$A$3,"MA_HT","DTL","MA_QH","TMD")</f>
        <v>0</v>
      </c>
      <c r="Y30" s="74">
        <f>+GETPIVOTDATA("XQT4",'quangthanh (2016)'!$A$3,"MA_HT","DTL","MA_QH","SKC")</f>
        <v>0</v>
      </c>
      <c r="Z30" s="74">
        <f>+GETPIVOTDATA("XQT4",'quangthanh (2016)'!$A$3,"MA_HT","DTL","MA_QH","SKS")</f>
        <v>0</v>
      </c>
      <c r="AA30" s="64">
        <f>+SUM(AB30,AD30:AM30)</f>
        <v>0</v>
      </c>
      <c r="AB30" s="74">
        <f>+GETPIVOTDATA("XQT4",'quangthanh (2016)'!$A$3,"MA_HT","DTL","MA_QH","DGT")</f>
        <v>0</v>
      </c>
      <c r="AC30" s="100" t="e">
        <f>$D30-$BF30</f>
        <v>#REF!</v>
      </c>
      <c r="AD30" s="74">
        <f>+GETPIVOTDATA("XQT4",'quangthanh (2016)'!$A$3,"MA_HT","DTL","MA_QH","DNL")</f>
        <v>0</v>
      </c>
      <c r="AE30" s="74">
        <f>+GETPIVOTDATA("XQT4",'quangthanh (2016)'!$A$3,"MA_HT","DTL","MA_QH","DBV")</f>
        <v>0</v>
      </c>
      <c r="AF30" s="74">
        <f>+GETPIVOTDATA("XQT4",'quangthanh (2016)'!$A$3,"MA_HT","DTL","MA_QH","DVH")</f>
        <v>0</v>
      </c>
      <c r="AG30" s="74">
        <f>+GETPIVOTDATA("XQT4",'quangthanh (2016)'!$A$3,"MA_HT","DTL","MA_QH","DYT")</f>
        <v>0</v>
      </c>
      <c r="AH30" s="74">
        <f>+GETPIVOTDATA("XQT4",'quangthanh (2016)'!$A$3,"MA_HT","DTL","MA_QH","DGD")</f>
        <v>0</v>
      </c>
      <c r="AI30" s="74">
        <f>+GETPIVOTDATA("XQT4",'quangthanh (2016)'!$A$3,"MA_HT","DTL","MA_QH","DTT")</f>
        <v>0</v>
      </c>
      <c r="AJ30" s="74">
        <f>+GETPIVOTDATA("XQT4",'quangthanh (2016)'!$A$3,"MA_HT","DTL","MA_QH","NCK")</f>
        <v>0</v>
      </c>
      <c r="AK30" s="74">
        <f>+GETPIVOTDATA("XQT4",'quangthanh (2016)'!$A$3,"MA_HT","DTL","MA_QH","DXH")</f>
        <v>0</v>
      </c>
      <c r="AL30" s="74">
        <f>+GETPIVOTDATA("XQT4",'quangthanh (2016)'!$A$3,"MA_HT","DTL","MA_QH","DCH")</f>
        <v>0</v>
      </c>
      <c r="AM30" s="74">
        <f>+GETPIVOTDATA("XQT4",'quangthanh (2016)'!$A$3,"MA_HT","DTL","MA_QH","DKG")</f>
        <v>0</v>
      </c>
      <c r="AN30" s="74">
        <f>+GETPIVOTDATA("XQT4",'quangthanh (2016)'!$A$3,"MA_HT","DTL","MA_QH","DDT")</f>
        <v>0</v>
      </c>
      <c r="AO30" s="74">
        <f>+GETPIVOTDATA("XQT4",'quangthanh (2016)'!$A$3,"MA_HT","DTL","MA_QH","DDL")</f>
        <v>0</v>
      </c>
      <c r="AP30" s="74">
        <f>+GETPIVOTDATA("XQT4",'quangthanh (2016)'!$A$3,"MA_HT","DTL","MA_QH","DRA")</f>
        <v>0</v>
      </c>
      <c r="AQ30" s="74">
        <f>+GETPIVOTDATA("XQT4",'quangthanh (2016)'!$A$3,"MA_HT","DTL","MA_QH","ONT")</f>
        <v>0</v>
      </c>
      <c r="AR30" s="74">
        <f>+GETPIVOTDATA("XQT4",'quangthanh (2016)'!$A$3,"MA_HT","DTL","MA_QH","ODT")</f>
        <v>0</v>
      </c>
      <c r="AS30" s="74">
        <f>+GETPIVOTDATA("XQT4",'quangthanh (2016)'!$A$3,"MA_HT","DTL","MA_QH","TSC")</f>
        <v>0</v>
      </c>
      <c r="AT30" s="74">
        <f>+GETPIVOTDATA("XQT4",'quangthanh (2016)'!$A$3,"MA_HT","DTL","MA_QH","DTS")</f>
        <v>0</v>
      </c>
      <c r="AU30" s="74">
        <f>+GETPIVOTDATA("XQT4",'quangthanh (2016)'!$A$3,"MA_HT","DTL","MA_QH","DNG")</f>
        <v>0</v>
      </c>
      <c r="AV30" s="74">
        <f>+GETPIVOTDATA("XQT4",'quangthanh (2016)'!$A$3,"MA_HT","DTL","MA_QH","TON")</f>
        <v>0</v>
      </c>
      <c r="AW30" s="74">
        <f>+GETPIVOTDATA("XQT4",'quangthanh (2016)'!$A$3,"MA_HT","DTL","MA_QH","NTD")</f>
        <v>0</v>
      </c>
      <c r="AX30" s="74">
        <f>+GETPIVOTDATA("XQT4",'quangthanh (2016)'!$A$3,"MA_HT","DTL","MA_QH","SKX")</f>
        <v>0</v>
      </c>
      <c r="AY30" s="74">
        <f>+GETPIVOTDATA("XQT4",'quangthanh (2016)'!$A$3,"MA_HT","DTL","MA_QH","DSH")</f>
        <v>0</v>
      </c>
      <c r="AZ30" s="74">
        <f>+GETPIVOTDATA("XQT4",'quangthanh (2016)'!$A$3,"MA_HT","DTL","MA_QH","DKV")</f>
        <v>0</v>
      </c>
      <c r="BA30" s="139">
        <f>+GETPIVOTDATA("XQT4",'quangthanh (2016)'!$A$3,"MA_HT","DTL","MA_QH","TIN")</f>
        <v>0</v>
      </c>
      <c r="BB30" s="74">
        <f>+GETPIVOTDATA("XQT4",'quangthanh (2016)'!$A$3,"MA_HT","DTL","MA_QH","SON")</f>
        <v>0</v>
      </c>
      <c r="BC30" s="74">
        <f>+GETPIVOTDATA("XQT4",'quangthanh (2016)'!$A$3,"MA_HT","DTL","MA_QH","MNC")</f>
        <v>0</v>
      </c>
      <c r="BD30" s="74">
        <f>+GETPIVOTDATA("XQT4",'quangthanh (2016)'!$A$3,"MA_HT","DTL","MA_QH","PNK")</f>
        <v>0</v>
      </c>
      <c r="BE30" s="102">
        <f>+GETPIVOTDATA("XQT4",'quangthanh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+GETPIVOTDATA("XQT4",'quangthanh (2016)'!$A$3,"MA_HT","DNL","MA_QH","LUC")</f>
        <v>0</v>
      </c>
      <c r="H31" s="74">
        <f>+GETPIVOTDATA("XQT4",'quangthanh (2016)'!$A$3,"MA_HT","DNL","MA_QH","LUK")</f>
        <v>0</v>
      </c>
      <c r="I31" s="74">
        <f>+GETPIVOTDATA("XQT4",'quangthanh (2016)'!$A$3,"MA_HT","DNL","MA_QH","LUN")</f>
        <v>0</v>
      </c>
      <c r="J31" s="74">
        <f>+GETPIVOTDATA("XQT4",'quangthanh (2016)'!$A$3,"MA_HT","DNL","MA_QH","HNK")</f>
        <v>0</v>
      </c>
      <c r="K31" s="74">
        <f>+GETPIVOTDATA("XQT4",'quangthanh (2016)'!$A$3,"MA_HT","DNL","MA_QH","CLN")</f>
        <v>0</v>
      </c>
      <c r="L31" s="74">
        <f>+GETPIVOTDATA("XQT4",'quangthanh (2016)'!$A$3,"MA_HT","DNL","MA_QH","RSX")</f>
        <v>0</v>
      </c>
      <c r="M31" s="74">
        <f>+GETPIVOTDATA("XQT4",'quangthanh (2016)'!$A$3,"MA_HT","DNL","MA_QH","RPH")</f>
        <v>0</v>
      </c>
      <c r="N31" s="74">
        <f>+GETPIVOTDATA("XQT4",'quangthanh (2016)'!$A$3,"MA_HT","DNL","MA_QH","RDD")</f>
        <v>0</v>
      </c>
      <c r="O31" s="74">
        <f>+GETPIVOTDATA("XQT4",'quangthanh (2016)'!$A$3,"MA_HT","DNL","MA_QH","NTS")</f>
        <v>0</v>
      </c>
      <c r="P31" s="74">
        <f>+GETPIVOTDATA("XQT4",'quangthanh (2016)'!$A$3,"MA_HT","DNL","MA_QH","LMU")</f>
        <v>0</v>
      </c>
      <c r="Q31" s="74">
        <f>+GETPIVOTDATA("XQT4",'quangthanh (2016)'!$A$3,"MA_HT","DNL","MA_QH","NKH")</f>
        <v>0</v>
      </c>
      <c r="R31" s="72">
        <f t="shared" si="20"/>
        <v>0</v>
      </c>
      <c r="S31" s="74">
        <f>+GETPIVOTDATA("XQT4",'quangthanh (2016)'!$A$3,"MA_HT","DNL","MA_QH","CQP")</f>
        <v>0</v>
      </c>
      <c r="T31" s="74">
        <f>+GETPIVOTDATA("XQT4",'quangthanh (2016)'!$A$3,"MA_HT","DNL","MA_QH","CAN")</f>
        <v>0</v>
      </c>
      <c r="U31" s="74">
        <f>+GETPIVOTDATA("XQT4",'quangthanh (2016)'!$A$3,"MA_HT","DNL","MA_QH","SKK")</f>
        <v>0</v>
      </c>
      <c r="V31" s="74">
        <f>+GETPIVOTDATA("XQT4",'quangthanh (2016)'!$A$3,"MA_HT","DNL","MA_QH","SKT")</f>
        <v>0</v>
      </c>
      <c r="W31" s="74">
        <f>+GETPIVOTDATA("XQT4",'quangthanh (2016)'!$A$3,"MA_HT","DNL","MA_QH","SKN")</f>
        <v>0</v>
      </c>
      <c r="X31" s="74">
        <f>+GETPIVOTDATA("XQT4",'quangthanh (2016)'!$A$3,"MA_HT","DNL","MA_QH","TMD")</f>
        <v>0</v>
      </c>
      <c r="Y31" s="74">
        <f>+GETPIVOTDATA("XQT4",'quangthanh (2016)'!$A$3,"MA_HT","DNL","MA_QH","SKC")</f>
        <v>0</v>
      </c>
      <c r="Z31" s="74">
        <f>+GETPIVOTDATA("XQT4",'quangthanh (2016)'!$A$3,"MA_HT","DNL","MA_QH","SKS")</f>
        <v>0</v>
      </c>
      <c r="AA31" s="64">
        <f>+SUM(AB31:AC31,AE31:AM31)</f>
        <v>0</v>
      </c>
      <c r="AB31" s="74">
        <f>+GETPIVOTDATA("XQT4",'quangthanh (2016)'!$A$3,"MA_HT","DNL","MA_QH","DGT")</f>
        <v>0</v>
      </c>
      <c r="AC31" s="74">
        <f>+GETPIVOTDATA("XQT4",'quangthanh (2016)'!$A$3,"MA_HT","DNL","MA_QH","DTL")</f>
        <v>0</v>
      </c>
      <c r="AD31" s="100" t="e">
        <f>$D31-$BF31</f>
        <v>#REF!</v>
      </c>
      <c r="AE31" s="74">
        <f>+GETPIVOTDATA("XQT4",'quangthanh (2016)'!$A$3,"MA_HT","DNL","MA_QH","DBV")</f>
        <v>0</v>
      </c>
      <c r="AF31" s="74">
        <f>+GETPIVOTDATA("XQT4",'quangthanh (2016)'!$A$3,"MA_HT","DNL","MA_QH","DVH")</f>
        <v>0</v>
      </c>
      <c r="AG31" s="74">
        <f>+GETPIVOTDATA("XQT4",'quangthanh (2016)'!$A$3,"MA_HT","DNL","MA_QH","DYT")</f>
        <v>0</v>
      </c>
      <c r="AH31" s="74">
        <f>+GETPIVOTDATA("XQT4",'quangthanh (2016)'!$A$3,"MA_HT","DNL","MA_QH","DGD")</f>
        <v>0</v>
      </c>
      <c r="AI31" s="74">
        <f>+GETPIVOTDATA("XQT4",'quangthanh (2016)'!$A$3,"MA_HT","DNL","MA_QH","DTT")</f>
        <v>0</v>
      </c>
      <c r="AJ31" s="74">
        <f>+GETPIVOTDATA("XQT4",'quangthanh (2016)'!$A$3,"MA_HT","DNL","MA_QH","NCK")</f>
        <v>0</v>
      </c>
      <c r="AK31" s="74">
        <f>+GETPIVOTDATA("XQT4",'quangthanh (2016)'!$A$3,"MA_HT","DNL","MA_QH","DXH")</f>
        <v>0</v>
      </c>
      <c r="AL31" s="74">
        <f>+GETPIVOTDATA("XQT4",'quangthanh (2016)'!$A$3,"MA_HT","DNL","MA_QH","DCH")</f>
        <v>0</v>
      </c>
      <c r="AM31" s="74">
        <f>+GETPIVOTDATA("XQT4",'quangthanh (2016)'!$A$3,"MA_HT","DNL","MA_QH","DKG")</f>
        <v>0</v>
      </c>
      <c r="AN31" s="74">
        <f>+GETPIVOTDATA("XQT4",'quangthanh (2016)'!$A$3,"MA_HT","DNL","MA_QH","DDT")</f>
        <v>0</v>
      </c>
      <c r="AO31" s="74">
        <f>+GETPIVOTDATA("XQT4",'quangthanh (2016)'!$A$3,"MA_HT","DNL","MA_QH","DDL")</f>
        <v>0</v>
      </c>
      <c r="AP31" s="74">
        <f>+GETPIVOTDATA("XQT4",'quangthanh (2016)'!$A$3,"MA_HT","DNL","MA_QH","DRA")</f>
        <v>0</v>
      </c>
      <c r="AQ31" s="74">
        <f>+GETPIVOTDATA("XQT4",'quangthanh (2016)'!$A$3,"MA_HT","DNL","MA_QH","ONT")</f>
        <v>0</v>
      </c>
      <c r="AR31" s="74">
        <f>+GETPIVOTDATA("XQT4",'quangthanh (2016)'!$A$3,"MA_HT","DNL","MA_QH","ODT")</f>
        <v>0</v>
      </c>
      <c r="AS31" s="74">
        <f>+GETPIVOTDATA("XQT4",'quangthanh (2016)'!$A$3,"MA_HT","DNL","MA_QH","TSC")</f>
        <v>0</v>
      </c>
      <c r="AT31" s="74">
        <f>+GETPIVOTDATA("XQT4",'quangthanh (2016)'!$A$3,"MA_HT","DNL","MA_QH","DTS")</f>
        <v>0</v>
      </c>
      <c r="AU31" s="74">
        <f>+GETPIVOTDATA("XQT4",'quangthanh (2016)'!$A$3,"MA_HT","DNL","MA_QH","DNG")</f>
        <v>0</v>
      </c>
      <c r="AV31" s="74">
        <f>+GETPIVOTDATA("XQT4",'quangthanh (2016)'!$A$3,"MA_HT","DNL","MA_QH","TON")</f>
        <v>0</v>
      </c>
      <c r="AW31" s="74">
        <f>+GETPIVOTDATA("XQT4",'quangthanh (2016)'!$A$3,"MA_HT","DNL","MA_QH","NTD")</f>
        <v>0</v>
      </c>
      <c r="AX31" s="74">
        <f>+GETPIVOTDATA("XQT4",'quangthanh (2016)'!$A$3,"MA_HT","DNL","MA_QH","SKX")</f>
        <v>0</v>
      </c>
      <c r="AY31" s="74">
        <f>+GETPIVOTDATA("XQT4",'quangthanh (2016)'!$A$3,"MA_HT","DNL","MA_QH","DSH")</f>
        <v>0</v>
      </c>
      <c r="AZ31" s="74">
        <f>+GETPIVOTDATA("XQT4",'quangthanh (2016)'!$A$3,"MA_HT","DNL","MA_QH","DKV")</f>
        <v>0</v>
      </c>
      <c r="BA31" s="139">
        <f>+GETPIVOTDATA("XQT4",'quangthanh (2016)'!$A$3,"MA_HT","DNL","MA_QH","TIN")</f>
        <v>0</v>
      </c>
      <c r="BB31" s="74">
        <f>+GETPIVOTDATA("XQT4",'quangthanh (2016)'!$A$3,"MA_HT","DNL","MA_QH","SON")</f>
        <v>0</v>
      </c>
      <c r="BC31" s="74">
        <f>+GETPIVOTDATA("XQT4",'quangthanh (2016)'!$A$3,"MA_HT","DNL","MA_QH","MNC")</f>
        <v>0</v>
      </c>
      <c r="BD31" s="74">
        <f>+GETPIVOTDATA("XQT4",'quangthanh (2016)'!$A$3,"MA_HT","DNL","MA_QH","PNK")</f>
        <v>0</v>
      </c>
      <c r="BE31" s="102">
        <f>+GETPIVOTDATA("XQT4",'quangthanh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+GETPIVOTDATA("XQT4",'quangthanh (2016)'!$A$3,"MA_HT","DBV","MA_QH","LUC")</f>
        <v>0</v>
      </c>
      <c r="H32" s="74">
        <f>+GETPIVOTDATA("XQT4",'quangthanh (2016)'!$A$3,"MA_HT","DBV","MA_QH","LUK")</f>
        <v>0</v>
      </c>
      <c r="I32" s="74">
        <f>+GETPIVOTDATA("XQT4",'quangthanh (2016)'!$A$3,"MA_HT","DBV","MA_QH","LUN")</f>
        <v>0</v>
      </c>
      <c r="J32" s="74">
        <f>+GETPIVOTDATA("XQT4",'quangthanh (2016)'!$A$3,"MA_HT","DBV","MA_QH","HNK")</f>
        <v>0</v>
      </c>
      <c r="K32" s="74">
        <f>+GETPIVOTDATA("XQT4",'quangthanh (2016)'!$A$3,"MA_HT","DBV","MA_QH","CLN")</f>
        <v>0</v>
      </c>
      <c r="L32" s="74">
        <f>+GETPIVOTDATA("XQT4",'quangthanh (2016)'!$A$3,"MA_HT","DBV","MA_QH","RSX")</f>
        <v>0</v>
      </c>
      <c r="M32" s="74">
        <f>+GETPIVOTDATA("XQT4",'quangthanh (2016)'!$A$3,"MA_HT","DBV","MA_QH","RPH")</f>
        <v>0</v>
      </c>
      <c r="N32" s="74">
        <f>+GETPIVOTDATA("XQT4",'quangthanh (2016)'!$A$3,"MA_HT","DBV","MA_QH","RDD")</f>
        <v>0</v>
      </c>
      <c r="O32" s="74">
        <f>+GETPIVOTDATA("XQT4",'quangthanh (2016)'!$A$3,"MA_HT","DBV","MA_QH","NTS")</f>
        <v>0</v>
      </c>
      <c r="P32" s="74">
        <f>+GETPIVOTDATA("XQT4",'quangthanh (2016)'!$A$3,"MA_HT","DBV","MA_QH","LMU")</f>
        <v>0</v>
      </c>
      <c r="Q32" s="74">
        <f>+GETPIVOTDATA("XQT4",'quangthanh (2016)'!$A$3,"MA_HT","DBV","MA_QH","NKH")</f>
        <v>0</v>
      </c>
      <c r="R32" s="72">
        <f t="shared" si="20"/>
        <v>0</v>
      </c>
      <c r="S32" s="74">
        <f>+GETPIVOTDATA("XQT4",'quangthanh (2016)'!$A$3,"MA_HT","DBV","MA_QH","CQP")</f>
        <v>0</v>
      </c>
      <c r="T32" s="74">
        <f>+GETPIVOTDATA("XQT4",'quangthanh (2016)'!$A$3,"MA_HT","DBV","MA_QH","CAN")</f>
        <v>0</v>
      </c>
      <c r="U32" s="74">
        <f>+GETPIVOTDATA("XQT4",'quangthanh (2016)'!$A$3,"MA_HT","DBV","MA_QH","SKK")</f>
        <v>0</v>
      </c>
      <c r="V32" s="74">
        <f>+GETPIVOTDATA("XQT4",'quangthanh (2016)'!$A$3,"MA_HT","DBV","MA_QH","SKT")</f>
        <v>0</v>
      </c>
      <c r="W32" s="74">
        <f>+GETPIVOTDATA("XQT4",'quangthanh (2016)'!$A$3,"MA_HT","DBV","MA_QH","SKN")</f>
        <v>0</v>
      </c>
      <c r="X32" s="74">
        <f>+GETPIVOTDATA("XQT4",'quangthanh (2016)'!$A$3,"MA_HT","DBV","MA_QH","TMD")</f>
        <v>0</v>
      </c>
      <c r="Y32" s="74">
        <f>+GETPIVOTDATA("XQT4",'quangthanh (2016)'!$A$3,"MA_HT","DBV","MA_QH","SKC")</f>
        <v>0</v>
      </c>
      <c r="Z32" s="74">
        <f>+GETPIVOTDATA("XQT4",'quangthanh (2016)'!$A$3,"MA_HT","DBV","MA_QH","SKS")</f>
        <v>0</v>
      </c>
      <c r="AA32" s="64">
        <f>+SUM(AB32:AD32,AF32:AM32)</f>
        <v>0</v>
      </c>
      <c r="AB32" s="74">
        <f>+GETPIVOTDATA("XQT4",'quangthanh (2016)'!$A$3,"MA_HT","DBV","MA_QH","DGT")</f>
        <v>0</v>
      </c>
      <c r="AC32" s="74">
        <f>+GETPIVOTDATA("XQT4",'quangthanh (2016)'!$A$3,"MA_HT","DBV","MA_QH","DTL")</f>
        <v>0</v>
      </c>
      <c r="AD32" s="74">
        <f>+GETPIVOTDATA("XQT4",'quangthanh (2016)'!$A$3,"MA_HT","DBV","MA_QH","DNL")</f>
        <v>0</v>
      </c>
      <c r="AE32" s="100" t="e">
        <f>$D32-$BF32</f>
        <v>#REF!</v>
      </c>
      <c r="AF32" s="74">
        <f>+GETPIVOTDATA("XQT4",'quangthanh (2016)'!$A$3,"MA_HT","DBV","MA_QH","DVH")</f>
        <v>0</v>
      </c>
      <c r="AG32" s="74">
        <f>+GETPIVOTDATA("XQT4",'quangthanh (2016)'!$A$3,"MA_HT","DBV","MA_QH","DYT")</f>
        <v>0</v>
      </c>
      <c r="AH32" s="74">
        <f>+GETPIVOTDATA("XQT4",'quangthanh (2016)'!$A$3,"MA_HT","DBV","MA_QH","DGD")</f>
        <v>0</v>
      </c>
      <c r="AI32" s="74">
        <f>+GETPIVOTDATA("XQT4",'quangthanh (2016)'!$A$3,"MA_HT","DBV","MA_QH","DTT")</f>
        <v>0</v>
      </c>
      <c r="AJ32" s="74">
        <f>+GETPIVOTDATA("XQT4",'quangthanh (2016)'!$A$3,"MA_HT","DBV","MA_QH","NCK")</f>
        <v>0</v>
      </c>
      <c r="AK32" s="74">
        <f>+GETPIVOTDATA("XQT4",'quangthanh (2016)'!$A$3,"MA_HT","DBV","MA_QH","DXH")</f>
        <v>0</v>
      </c>
      <c r="AL32" s="74">
        <f>+GETPIVOTDATA("XQT4",'quangthanh (2016)'!$A$3,"MA_HT","DBV","MA_QH","DCH")</f>
        <v>0</v>
      </c>
      <c r="AM32" s="74">
        <f>+GETPIVOTDATA("XQT4",'quangthanh (2016)'!$A$3,"MA_HT","DBV","MA_QH","DKG")</f>
        <v>0</v>
      </c>
      <c r="AN32" s="74">
        <f>+GETPIVOTDATA("XQT4",'quangthanh (2016)'!$A$3,"MA_HT","DBV","MA_QH","DDT")</f>
        <v>0</v>
      </c>
      <c r="AO32" s="74">
        <f>+GETPIVOTDATA("XQT4",'quangthanh (2016)'!$A$3,"MA_HT","DBV","MA_QH","DDL")</f>
        <v>0</v>
      </c>
      <c r="AP32" s="74">
        <f>+GETPIVOTDATA("XQT4",'quangthanh (2016)'!$A$3,"MA_HT","DBV","MA_QH","DRA")</f>
        <v>0</v>
      </c>
      <c r="AQ32" s="74">
        <f>+GETPIVOTDATA("XQT4",'quangthanh (2016)'!$A$3,"MA_HT","DBV","MA_QH","ONT")</f>
        <v>0</v>
      </c>
      <c r="AR32" s="74">
        <f>+GETPIVOTDATA("XQT4",'quangthanh (2016)'!$A$3,"MA_HT","DBV","MA_QH","ODT")</f>
        <v>0</v>
      </c>
      <c r="AS32" s="74">
        <f>+GETPIVOTDATA("XQT4",'quangthanh (2016)'!$A$3,"MA_HT","DBV","MA_QH","TSC")</f>
        <v>0</v>
      </c>
      <c r="AT32" s="74">
        <f>+GETPIVOTDATA("XQT4",'quangthanh (2016)'!$A$3,"MA_HT","DBV","MA_QH","DTS")</f>
        <v>0</v>
      </c>
      <c r="AU32" s="74">
        <f>+GETPIVOTDATA("XQT4",'quangthanh (2016)'!$A$3,"MA_HT","DBV","MA_QH","DNG")</f>
        <v>0</v>
      </c>
      <c r="AV32" s="74">
        <f>+GETPIVOTDATA("XQT4",'quangthanh (2016)'!$A$3,"MA_HT","DBV","MA_QH","TON")</f>
        <v>0</v>
      </c>
      <c r="AW32" s="74">
        <f>+GETPIVOTDATA("XQT4",'quangthanh (2016)'!$A$3,"MA_HT","DBV","MA_QH","NTD")</f>
        <v>0</v>
      </c>
      <c r="AX32" s="74">
        <f>+GETPIVOTDATA("XQT4",'quangthanh (2016)'!$A$3,"MA_HT","DBV","MA_QH","SKX")</f>
        <v>0</v>
      </c>
      <c r="AY32" s="74">
        <f>+GETPIVOTDATA("XQT4",'quangthanh (2016)'!$A$3,"MA_HT","DBV","MA_QH","DSH")</f>
        <v>0</v>
      </c>
      <c r="AZ32" s="74">
        <f>+GETPIVOTDATA("XQT4",'quangthanh (2016)'!$A$3,"MA_HT","DBV","MA_QH","DKV")</f>
        <v>0</v>
      </c>
      <c r="BA32" s="139">
        <f>+GETPIVOTDATA("XQT4",'quangthanh (2016)'!$A$3,"MA_HT","DBV","MA_QH","TIN")</f>
        <v>0</v>
      </c>
      <c r="BB32" s="74">
        <f>+GETPIVOTDATA("XQT4",'quangthanh (2016)'!$A$3,"MA_HT","DBV","MA_QH","SON")</f>
        <v>0</v>
      </c>
      <c r="BC32" s="74">
        <f>+GETPIVOTDATA("XQT4",'quangthanh (2016)'!$A$3,"MA_HT","DBV","MA_QH","MNC")</f>
        <v>0</v>
      </c>
      <c r="BD32" s="74">
        <f>+GETPIVOTDATA("XQT4",'quangthanh (2016)'!$A$3,"MA_HT","DBV","MA_QH","PNK")</f>
        <v>0</v>
      </c>
      <c r="BE32" s="102">
        <f>+GETPIVOTDATA("XQT4",'quangthanh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+GETPIVOTDATA("XQT4",'quangthanh (2016)'!$A$3,"MA_HT","DVH","MA_QH","LUC")</f>
        <v>0</v>
      </c>
      <c r="H33" s="74">
        <f>+GETPIVOTDATA("XQT4",'quangthanh (2016)'!$A$3,"MA_HT","DVH","MA_QH","LUK")</f>
        <v>0</v>
      </c>
      <c r="I33" s="74">
        <f>+GETPIVOTDATA("XQT4",'quangthanh (2016)'!$A$3,"MA_HT","DVH","MA_QH","LUN")</f>
        <v>0</v>
      </c>
      <c r="J33" s="74">
        <f>+GETPIVOTDATA("XQT4",'quangthanh (2016)'!$A$3,"MA_HT","DVH","MA_QH","HNK")</f>
        <v>0</v>
      </c>
      <c r="K33" s="74">
        <f>+GETPIVOTDATA("XQT4",'quangthanh (2016)'!$A$3,"MA_HT","DVH","MA_QH","CLN")</f>
        <v>0</v>
      </c>
      <c r="L33" s="74">
        <f>+GETPIVOTDATA("XQT4",'quangthanh (2016)'!$A$3,"MA_HT","DVH","MA_QH","RSX")</f>
        <v>0</v>
      </c>
      <c r="M33" s="74">
        <f>+GETPIVOTDATA("XQT4",'quangthanh (2016)'!$A$3,"MA_HT","DVH","MA_QH","RPH")</f>
        <v>0</v>
      </c>
      <c r="N33" s="74">
        <f>+GETPIVOTDATA("XQT4",'quangthanh (2016)'!$A$3,"MA_HT","DVH","MA_QH","RDD")</f>
        <v>0</v>
      </c>
      <c r="O33" s="74">
        <f>+GETPIVOTDATA("XQT4",'quangthanh (2016)'!$A$3,"MA_HT","DVH","MA_QH","NTS")</f>
        <v>0</v>
      </c>
      <c r="P33" s="74">
        <f>+GETPIVOTDATA("XQT4",'quangthanh (2016)'!$A$3,"MA_HT","DVH","MA_QH","LMU")</f>
        <v>0</v>
      </c>
      <c r="Q33" s="74">
        <f>+GETPIVOTDATA("XQT4",'quangthanh (2016)'!$A$3,"MA_HT","DVH","MA_QH","NKH")</f>
        <v>0</v>
      </c>
      <c r="R33" s="72">
        <f t="shared" si="20"/>
        <v>0</v>
      </c>
      <c r="S33" s="74">
        <f>+GETPIVOTDATA("XQT4",'quangthanh (2016)'!$A$3,"MA_HT","DVH","MA_QH","CQP")</f>
        <v>0</v>
      </c>
      <c r="T33" s="74">
        <f>+GETPIVOTDATA("XQT4",'quangthanh (2016)'!$A$3,"MA_HT","DVH","MA_QH","CAN")</f>
        <v>0</v>
      </c>
      <c r="U33" s="74">
        <f>+GETPIVOTDATA("XQT4",'quangthanh (2016)'!$A$3,"MA_HT","DVH","MA_QH","SKK")</f>
        <v>0</v>
      </c>
      <c r="V33" s="74">
        <f>+GETPIVOTDATA("XQT4",'quangthanh (2016)'!$A$3,"MA_HT","DVH","MA_QH","SKT")</f>
        <v>0</v>
      </c>
      <c r="W33" s="74">
        <f>+GETPIVOTDATA("XQT4",'quangthanh (2016)'!$A$3,"MA_HT","DVH","MA_QH","SKN")</f>
        <v>0</v>
      </c>
      <c r="X33" s="74">
        <f>+GETPIVOTDATA("XQT4",'quangthanh (2016)'!$A$3,"MA_HT","DVH","MA_QH","TMD")</f>
        <v>0</v>
      </c>
      <c r="Y33" s="74">
        <f>+GETPIVOTDATA("XQT4",'quangthanh (2016)'!$A$3,"MA_HT","DVH","MA_QH","SKC")</f>
        <v>0</v>
      </c>
      <c r="Z33" s="74">
        <f>+GETPIVOTDATA("XQT4",'quangthanh (2016)'!$A$3,"MA_HT","DVH","MA_QH","SKS")</f>
        <v>0</v>
      </c>
      <c r="AA33" s="64">
        <f>+SUM(AB33:AE33,AG33:AM33)</f>
        <v>0</v>
      </c>
      <c r="AB33" s="74">
        <f>+GETPIVOTDATA("XQT4",'quangthanh (2016)'!$A$3,"MA_HT","DVH","MA_QH","DGT")</f>
        <v>0</v>
      </c>
      <c r="AC33" s="74">
        <f>+GETPIVOTDATA("XQT4",'quangthanh (2016)'!$A$3,"MA_HT","DVH","MA_QH","DTL")</f>
        <v>0</v>
      </c>
      <c r="AD33" s="74">
        <f>+GETPIVOTDATA("XQT4",'quangthanh (2016)'!$A$3,"MA_HT","DVH","MA_QH","DNL")</f>
        <v>0</v>
      </c>
      <c r="AE33" s="74">
        <f>+GETPIVOTDATA("XQT4",'quangthanh (2016)'!$A$3,"MA_HT","DVH","MA_QH","DBV")</f>
        <v>0</v>
      </c>
      <c r="AF33" s="100" t="e">
        <f>$D33-$BF33</f>
        <v>#REF!</v>
      </c>
      <c r="AG33" s="74">
        <f>+GETPIVOTDATA("XQT4",'quangthanh (2016)'!$A$3,"MA_HT","DVH","MA_QH","DYT")</f>
        <v>0</v>
      </c>
      <c r="AH33" s="74">
        <f>+GETPIVOTDATA("XQT4",'quangthanh (2016)'!$A$3,"MA_HT","DVH","MA_QH","DGD")</f>
        <v>0</v>
      </c>
      <c r="AI33" s="74">
        <f>+GETPIVOTDATA("XQT4",'quangthanh (2016)'!$A$3,"MA_HT","DVH","MA_QH","DTT")</f>
        <v>0</v>
      </c>
      <c r="AJ33" s="74">
        <f>+GETPIVOTDATA("XQT4",'quangthanh (2016)'!$A$3,"MA_HT","DVH","MA_QH","NCK")</f>
        <v>0</v>
      </c>
      <c r="AK33" s="74">
        <f>+GETPIVOTDATA("XQT4",'quangthanh (2016)'!$A$3,"MA_HT","DVH","MA_QH","DXH")</f>
        <v>0</v>
      </c>
      <c r="AL33" s="74">
        <f>+GETPIVOTDATA("XQT4",'quangthanh (2016)'!$A$3,"MA_HT","DVH","MA_QH","DCH")</f>
        <v>0</v>
      </c>
      <c r="AM33" s="74">
        <f>+GETPIVOTDATA("XQT4",'quangthanh (2016)'!$A$3,"MA_HT","DVH","MA_QH","DKG")</f>
        <v>0</v>
      </c>
      <c r="AN33" s="74">
        <f>+GETPIVOTDATA("XQT4",'quangthanh (2016)'!$A$3,"MA_HT","DVH","MA_QH","DDT")</f>
        <v>0</v>
      </c>
      <c r="AO33" s="74">
        <f>+GETPIVOTDATA("XQT4",'quangthanh (2016)'!$A$3,"MA_HT","DVH","MA_QH","DDL")</f>
        <v>0</v>
      </c>
      <c r="AP33" s="74">
        <f>+GETPIVOTDATA("XQT4",'quangthanh (2016)'!$A$3,"MA_HT","DVH","MA_QH","DRA")</f>
        <v>0</v>
      </c>
      <c r="AQ33" s="74">
        <f>+GETPIVOTDATA("XQT4",'quangthanh (2016)'!$A$3,"MA_HT","DVH","MA_QH","ONT")</f>
        <v>0</v>
      </c>
      <c r="AR33" s="74">
        <f>+GETPIVOTDATA("XQT4",'quangthanh (2016)'!$A$3,"MA_HT","DVH","MA_QH","ODT")</f>
        <v>0</v>
      </c>
      <c r="AS33" s="74">
        <f>+GETPIVOTDATA("XQT4",'quangthanh (2016)'!$A$3,"MA_HT","DVH","MA_QH","TSC")</f>
        <v>0</v>
      </c>
      <c r="AT33" s="74">
        <f>+GETPIVOTDATA("XQT4",'quangthanh (2016)'!$A$3,"MA_HT","DVH","MA_QH","DTS")</f>
        <v>0</v>
      </c>
      <c r="AU33" s="74">
        <f>+GETPIVOTDATA("XQT4",'quangthanh (2016)'!$A$3,"MA_HT","DVH","MA_QH","DNG")</f>
        <v>0</v>
      </c>
      <c r="AV33" s="74">
        <f>+GETPIVOTDATA("XQT4",'quangthanh (2016)'!$A$3,"MA_HT","DVH","MA_QH","TON")</f>
        <v>0</v>
      </c>
      <c r="AW33" s="74">
        <f>+GETPIVOTDATA("XQT4",'quangthanh (2016)'!$A$3,"MA_HT","DVH","MA_QH","NTD")</f>
        <v>0</v>
      </c>
      <c r="AX33" s="74">
        <f>+GETPIVOTDATA("XQT4",'quangthanh (2016)'!$A$3,"MA_HT","DVH","MA_QH","SKX")</f>
        <v>0</v>
      </c>
      <c r="AY33" s="74">
        <f>+GETPIVOTDATA("XQT4",'quangthanh (2016)'!$A$3,"MA_HT","DVH","MA_QH","DSH")</f>
        <v>0</v>
      </c>
      <c r="AZ33" s="74">
        <f>+GETPIVOTDATA("XQT4",'quangthanh (2016)'!$A$3,"MA_HT","DVH","MA_QH","DKV")</f>
        <v>0</v>
      </c>
      <c r="BA33" s="139">
        <f>+GETPIVOTDATA("XQT4",'quangthanh (2016)'!$A$3,"MA_HT","DVH","MA_QH","TIN")</f>
        <v>0</v>
      </c>
      <c r="BB33" s="74">
        <f>+GETPIVOTDATA("XQT4",'quangthanh (2016)'!$A$3,"MA_HT","DVH","MA_QH","SON")</f>
        <v>0</v>
      </c>
      <c r="BC33" s="74">
        <f>+GETPIVOTDATA("XQT4",'quangthanh (2016)'!$A$3,"MA_HT","DVH","MA_QH","MNC")</f>
        <v>0</v>
      </c>
      <c r="BD33" s="74">
        <f>+GETPIVOTDATA("XQT4",'quangthanh (2016)'!$A$3,"MA_HT","DVH","MA_QH","PNK")</f>
        <v>0</v>
      </c>
      <c r="BE33" s="102">
        <f>+GETPIVOTDATA("XQT4",'quangthanh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+GETPIVOTDATA("XQT4",'quangthanh (2016)'!$A$3,"MA_HT","DYT","MA_QH","LUC")</f>
        <v>0</v>
      </c>
      <c r="H34" s="74">
        <f>+GETPIVOTDATA("XQT4",'quangthanh (2016)'!$A$3,"MA_HT","DYT","MA_QH","LUK")</f>
        <v>0</v>
      </c>
      <c r="I34" s="74">
        <f>+GETPIVOTDATA("XQT4",'quangthanh (2016)'!$A$3,"MA_HT","DYT","MA_QH","LUN")</f>
        <v>0</v>
      </c>
      <c r="J34" s="74">
        <f>+GETPIVOTDATA("XQT4",'quangthanh (2016)'!$A$3,"MA_HT","DYT","MA_QH","HNK")</f>
        <v>0</v>
      </c>
      <c r="K34" s="74">
        <f>+GETPIVOTDATA("XQT4",'quangthanh (2016)'!$A$3,"MA_HT","DYT","MA_QH","CLN")</f>
        <v>0</v>
      </c>
      <c r="L34" s="74">
        <f>+GETPIVOTDATA("XQT4",'quangthanh (2016)'!$A$3,"MA_HT","DYT","MA_QH","RSX")</f>
        <v>0</v>
      </c>
      <c r="M34" s="74">
        <f>+GETPIVOTDATA("XQT4",'quangthanh (2016)'!$A$3,"MA_HT","DYT","MA_QH","RPH")</f>
        <v>0</v>
      </c>
      <c r="N34" s="74">
        <f>+GETPIVOTDATA("XQT4",'quangthanh (2016)'!$A$3,"MA_HT","DYT","MA_QH","RDD")</f>
        <v>0</v>
      </c>
      <c r="O34" s="74">
        <f>+GETPIVOTDATA("XQT4",'quangthanh (2016)'!$A$3,"MA_HT","DYT","MA_QH","NTS")</f>
        <v>0</v>
      </c>
      <c r="P34" s="74">
        <f>+GETPIVOTDATA("XQT4",'quangthanh (2016)'!$A$3,"MA_HT","DYT","MA_QH","LMU")</f>
        <v>0</v>
      </c>
      <c r="Q34" s="74">
        <f>+GETPIVOTDATA("XQT4",'quangthanh (2016)'!$A$3,"MA_HT","DYT","MA_QH","NKH")</f>
        <v>0</v>
      </c>
      <c r="R34" s="72">
        <f t="shared" si="20"/>
        <v>0</v>
      </c>
      <c r="S34" s="74">
        <f>+GETPIVOTDATA("XQT4",'quangthanh (2016)'!$A$3,"MA_HT","DYT","MA_QH","CQP")</f>
        <v>0</v>
      </c>
      <c r="T34" s="74">
        <f>+GETPIVOTDATA("XQT4",'quangthanh (2016)'!$A$3,"MA_HT","DYT","MA_QH","CAN")</f>
        <v>0</v>
      </c>
      <c r="U34" s="74">
        <f>+GETPIVOTDATA("XQT4",'quangthanh (2016)'!$A$3,"MA_HT","DYT","MA_QH","SKK")</f>
        <v>0</v>
      </c>
      <c r="V34" s="74">
        <f>+GETPIVOTDATA("XQT4",'quangthanh (2016)'!$A$3,"MA_HT","DYT","MA_QH","SKT")</f>
        <v>0</v>
      </c>
      <c r="W34" s="74">
        <f>+GETPIVOTDATA("XQT4",'quangthanh (2016)'!$A$3,"MA_HT","DYT","MA_QH","SKN")</f>
        <v>0</v>
      </c>
      <c r="X34" s="74">
        <f>+GETPIVOTDATA("XQT4",'quangthanh (2016)'!$A$3,"MA_HT","DYT","MA_QH","TMD")</f>
        <v>0</v>
      </c>
      <c r="Y34" s="74">
        <f>+GETPIVOTDATA("XQT4",'quangthanh (2016)'!$A$3,"MA_HT","DYT","MA_QH","SKC")</f>
        <v>0</v>
      </c>
      <c r="Z34" s="74">
        <f>+GETPIVOTDATA("XQT4",'quangthanh (2016)'!$A$3,"MA_HT","DYT","MA_QH","SKS")</f>
        <v>0</v>
      </c>
      <c r="AA34" s="64">
        <f>+SUM(AB34:AF34,AH34:AM34)</f>
        <v>0</v>
      </c>
      <c r="AB34" s="74">
        <f>+GETPIVOTDATA("XQT4",'quangthanh (2016)'!$A$3,"MA_HT","DYT","MA_QH","DGT")</f>
        <v>0</v>
      </c>
      <c r="AC34" s="74">
        <f>+GETPIVOTDATA("XQT4",'quangthanh (2016)'!$A$3,"MA_HT","DYT","MA_QH","DTL")</f>
        <v>0</v>
      </c>
      <c r="AD34" s="74">
        <f>+GETPIVOTDATA("XQT4",'quangthanh (2016)'!$A$3,"MA_HT","DYT","MA_QH","DNL")</f>
        <v>0</v>
      </c>
      <c r="AE34" s="74">
        <f>+GETPIVOTDATA("XQT4",'quangthanh (2016)'!$A$3,"MA_HT","DYT","MA_QH","DBV")</f>
        <v>0</v>
      </c>
      <c r="AF34" s="74">
        <f>+GETPIVOTDATA("XQT4",'quangthanh (2016)'!$A$3,"MA_HT","DYT","MA_QH","DVH")</f>
        <v>0</v>
      </c>
      <c r="AG34" s="100" t="e">
        <f>$D34-$BF34</f>
        <v>#REF!</v>
      </c>
      <c r="AH34" s="74">
        <f>+GETPIVOTDATA("XQT4",'quangthanh (2016)'!$A$3,"MA_HT","DYT","MA_QH","DGD")</f>
        <v>0</v>
      </c>
      <c r="AI34" s="74">
        <f>+GETPIVOTDATA("XQT4",'quangthanh (2016)'!$A$3,"MA_HT","DYT","MA_QH","DTT")</f>
        <v>0</v>
      </c>
      <c r="AJ34" s="74">
        <f>+GETPIVOTDATA("XQT4",'quangthanh (2016)'!$A$3,"MA_HT","DYT","MA_QH","NCK")</f>
        <v>0</v>
      </c>
      <c r="AK34" s="74">
        <f>+GETPIVOTDATA("XQT4",'quangthanh (2016)'!$A$3,"MA_HT","DYT","MA_QH","DXH")</f>
        <v>0</v>
      </c>
      <c r="AL34" s="74">
        <f>+GETPIVOTDATA("XQT4",'quangthanh (2016)'!$A$3,"MA_HT","DYT","MA_QH","DCH")</f>
        <v>0</v>
      </c>
      <c r="AM34" s="74">
        <f>+GETPIVOTDATA("XQT4",'quangthanh (2016)'!$A$3,"MA_HT","DYT","MA_QH","DKG")</f>
        <v>0</v>
      </c>
      <c r="AN34" s="74">
        <f>+GETPIVOTDATA("XQT4",'quangthanh (2016)'!$A$3,"MA_HT","DYT","MA_QH","DDT")</f>
        <v>0</v>
      </c>
      <c r="AO34" s="74">
        <f>+GETPIVOTDATA("XQT4",'quangthanh (2016)'!$A$3,"MA_HT","DYT","MA_QH","DDL")</f>
        <v>0</v>
      </c>
      <c r="AP34" s="74">
        <f>+GETPIVOTDATA("XQT4",'quangthanh (2016)'!$A$3,"MA_HT","DYT","MA_QH","DRA")</f>
        <v>0</v>
      </c>
      <c r="AQ34" s="74">
        <f>+GETPIVOTDATA("XQT4",'quangthanh (2016)'!$A$3,"MA_HT","DYT","MA_QH","ONT")</f>
        <v>0</v>
      </c>
      <c r="AR34" s="74">
        <f>+GETPIVOTDATA("XQT4",'quangthanh (2016)'!$A$3,"MA_HT","DYT","MA_QH","ODT")</f>
        <v>0</v>
      </c>
      <c r="AS34" s="74">
        <f>+GETPIVOTDATA("XQT4",'quangthanh (2016)'!$A$3,"MA_HT","DYT","MA_QH","TSC")</f>
        <v>0</v>
      </c>
      <c r="AT34" s="74">
        <f>+GETPIVOTDATA("XQT4",'quangthanh (2016)'!$A$3,"MA_HT","DYT","MA_QH","DTS")</f>
        <v>0</v>
      </c>
      <c r="AU34" s="74">
        <f>+GETPIVOTDATA("XQT4",'quangthanh (2016)'!$A$3,"MA_HT","DYT","MA_QH","DNG")</f>
        <v>0</v>
      </c>
      <c r="AV34" s="74">
        <f>+GETPIVOTDATA("XQT4",'quangthanh (2016)'!$A$3,"MA_HT","DYT","MA_QH","TON")</f>
        <v>0</v>
      </c>
      <c r="AW34" s="74">
        <f>+GETPIVOTDATA("XQT4",'quangthanh (2016)'!$A$3,"MA_HT","DYT","MA_QH","NTD")</f>
        <v>0</v>
      </c>
      <c r="AX34" s="74">
        <f>+GETPIVOTDATA("XQT4",'quangthanh (2016)'!$A$3,"MA_HT","DYT","MA_QH","SKX")</f>
        <v>0</v>
      </c>
      <c r="AY34" s="74">
        <f>+GETPIVOTDATA("XQT4",'quangthanh (2016)'!$A$3,"MA_HT","DYT","MA_QH","DSH")</f>
        <v>0</v>
      </c>
      <c r="AZ34" s="74">
        <f>+GETPIVOTDATA("XQT4",'quangthanh (2016)'!$A$3,"MA_HT","DYT","MA_QH","DKV")</f>
        <v>0</v>
      </c>
      <c r="BA34" s="139">
        <f>+GETPIVOTDATA("XQT4",'quangthanh (2016)'!$A$3,"MA_HT","DYT","MA_QH","TIN")</f>
        <v>0</v>
      </c>
      <c r="BB34" s="74">
        <f>+GETPIVOTDATA("XQT4",'quangthanh (2016)'!$A$3,"MA_HT","DYT","MA_QH","SON")</f>
        <v>0</v>
      </c>
      <c r="BC34" s="74">
        <f>+GETPIVOTDATA("XQT4",'quangthanh (2016)'!$A$3,"MA_HT","DYT","MA_QH","MNC")</f>
        <v>0</v>
      </c>
      <c r="BD34" s="74">
        <f>+GETPIVOTDATA("XQT4",'quangthanh (2016)'!$A$3,"MA_HT","DYT","MA_QH","PNK")</f>
        <v>0</v>
      </c>
      <c r="BE34" s="102">
        <f>+GETPIVOTDATA("XQT4",'quangthanh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+GETPIVOTDATA("XQT4",'quangthanh (2016)'!$A$3,"MA_HT","DGD","MA_QH","LUC")</f>
        <v>0</v>
      </c>
      <c r="H35" s="74">
        <f>+GETPIVOTDATA("XQT4",'quangthanh (2016)'!$A$3,"MA_HT","DGD","MA_QH","LUK")</f>
        <v>0</v>
      </c>
      <c r="I35" s="74">
        <f>+GETPIVOTDATA("XQT4",'quangthanh (2016)'!$A$3,"MA_HT","DGD","MA_QH","LUN")</f>
        <v>0</v>
      </c>
      <c r="J35" s="74">
        <f>+GETPIVOTDATA("XQT4",'quangthanh (2016)'!$A$3,"MA_HT","DGD","MA_QH","HNK")</f>
        <v>0</v>
      </c>
      <c r="K35" s="74">
        <f>+GETPIVOTDATA("XQT4",'quangthanh (2016)'!$A$3,"MA_HT","DGD","MA_QH","CLN")</f>
        <v>0</v>
      </c>
      <c r="L35" s="74">
        <f>+GETPIVOTDATA("XQT4",'quangthanh (2016)'!$A$3,"MA_HT","DGD","MA_QH","RSX")</f>
        <v>0</v>
      </c>
      <c r="M35" s="74">
        <f>+GETPIVOTDATA("XQT4",'quangthanh (2016)'!$A$3,"MA_HT","DGD","MA_QH","RPH")</f>
        <v>0</v>
      </c>
      <c r="N35" s="74">
        <f>+GETPIVOTDATA("XQT4",'quangthanh (2016)'!$A$3,"MA_HT","DGD","MA_QH","RDD")</f>
        <v>0</v>
      </c>
      <c r="O35" s="74">
        <f>+GETPIVOTDATA("XQT4",'quangthanh (2016)'!$A$3,"MA_HT","DGD","MA_QH","NTS")</f>
        <v>0</v>
      </c>
      <c r="P35" s="74">
        <f>+GETPIVOTDATA("XQT4",'quangthanh (2016)'!$A$3,"MA_HT","DGD","MA_QH","LMU")</f>
        <v>0</v>
      </c>
      <c r="Q35" s="74">
        <f>+GETPIVOTDATA("XQT4",'quangthanh (2016)'!$A$3,"MA_HT","DGD","MA_QH","NKH")</f>
        <v>0</v>
      </c>
      <c r="R35" s="72">
        <f t="shared" si="20"/>
        <v>0</v>
      </c>
      <c r="S35" s="74">
        <f>+GETPIVOTDATA("XQT4",'quangthanh (2016)'!$A$3,"MA_HT","DGD","MA_QH","CQP")</f>
        <v>0</v>
      </c>
      <c r="T35" s="74">
        <f>+GETPIVOTDATA("XQT4",'quangthanh (2016)'!$A$3,"MA_HT","DGD","MA_QH","CAN")</f>
        <v>0</v>
      </c>
      <c r="U35" s="74">
        <f>+GETPIVOTDATA("XQT4",'quangthanh (2016)'!$A$3,"MA_HT","DGD","MA_QH","SKK")</f>
        <v>0</v>
      </c>
      <c r="V35" s="74">
        <f>+GETPIVOTDATA("XQT4",'quangthanh (2016)'!$A$3,"MA_HT","DGD","MA_QH","SKT")</f>
        <v>0</v>
      </c>
      <c r="W35" s="74">
        <f>+GETPIVOTDATA("XQT4",'quangthanh (2016)'!$A$3,"MA_HT","DGD","MA_QH","SKN")</f>
        <v>0</v>
      </c>
      <c r="X35" s="74">
        <f>+GETPIVOTDATA("XQT4",'quangthanh (2016)'!$A$3,"MA_HT","DGD","MA_QH","TMD")</f>
        <v>0</v>
      </c>
      <c r="Y35" s="74">
        <f>+GETPIVOTDATA("XQT4",'quangthanh (2016)'!$A$3,"MA_HT","DGD","MA_QH","SKC")</f>
        <v>0</v>
      </c>
      <c r="Z35" s="74">
        <f>+GETPIVOTDATA("XQT4",'quangthanh (2016)'!$A$3,"MA_HT","DGD","MA_QH","SKS")</f>
        <v>0</v>
      </c>
      <c r="AA35" s="64">
        <f>+SUM(AB35:AG35,AI35:AM35)</f>
        <v>0</v>
      </c>
      <c r="AB35" s="74">
        <f>+GETPIVOTDATA("XQT4",'quangthanh (2016)'!$A$3,"MA_HT","DGD","MA_QH","DGT")</f>
        <v>0</v>
      </c>
      <c r="AC35" s="74">
        <f>+GETPIVOTDATA("XQT4",'quangthanh (2016)'!$A$3,"MA_HT","DGD","MA_QH","DTL")</f>
        <v>0</v>
      </c>
      <c r="AD35" s="74">
        <f>+GETPIVOTDATA("XQT4",'quangthanh (2016)'!$A$3,"MA_HT","DGD","MA_QH","DNL")</f>
        <v>0</v>
      </c>
      <c r="AE35" s="74">
        <f>+GETPIVOTDATA("XQT4",'quangthanh (2016)'!$A$3,"MA_HT","DGD","MA_QH","DBV")</f>
        <v>0</v>
      </c>
      <c r="AF35" s="74">
        <f>+GETPIVOTDATA("XQT4",'quangthanh (2016)'!$A$3,"MA_HT","DGD","MA_QH","DVH")</f>
        <v>0</v>
      </c>
      <c r="AG35" s="74">
        <f>+GETPIVOTDATA("XQT4",'quangthanh (2016)'!$A$3,"MA_HT","DGD","MA_QH","DYT")</f>
        <v>0</v>
      </c>
      <c r="AH35" s="100" t="e">
        <f>$D35-$BF35</f>
        <v>#REF!</v>
      </c>
      <c r="AI35" s="74">
        <f>+GETPIVOTDATA("XQT4",'quangthanh (2016)'!$A$3,"MA_HT","DGD","MA_QH","DTT")</f>
        <v>0</v>
      </c>
      <c r="AJ35" s="74">
        <f>+GETPIVOTDATA("XQT4",'quangthanh (2016)'!$A$3,"MA_HT","DGD","MA_QH","NCK")</f>
        <v>0</v>
      </c>
      <c r="AK35" s="74">
        <f>+GETPIVOTDATA("XQT4",'quangthanh (2016)'!$A$3,"MA_HT","DGD","MA_QH","DXH")</f>
        <v>0</v>
      </c>
      <c r="AL35" s="74">
        <f>+GETPIVOTDATA("XQT4",'quangthanh (2016)'!$A$3,"MA_HT","DGD","MA_QH","DCH")</f>
        <v>0</v>
      </c>
      <c r="AM35" s="74">
        <f>+GETPIVOTDATA("XQT4",'quangthanh (2016)'!$A$3,"MA_HT","DGD","MA_QH","DKG")</f>
        <v>0</v>
      </c>
      <c r="AN35" s="74">
        <f>+GETPIVOTDATA("XQT4",'quangthanh (2016)'!$A$3,"MA_HT","DGD","MA_QH","DDT")</f>
        <v>0</v>
      </c>
      <c r="AO35" s="74">
        <f>+GETPIVOTDATA("XQT4",'quangthanh (2016)'!$A$3,"MA_HT","DGD","MA_QH","DDL")</f>
        <v>0</v>
      </c>
      <c r="AP35" s="74">
        <f>+GETPIVOTDATA("XQT4",'quangthanh (2016)'!$A$3,"MA_HT","DGD","MA_QH","DRA")</f>
        <v>0</v>
      </c>
      <c r="AQ35" s="74">
        <f>+GETPIVOTDATA("XQT4",'quangthanh (2016)'!$A$3,"MA_HT","DGD","MA_QH","ONT")</f>
        <v>0</v>
      </c>
      <c r="AR35" s="74">
        <f>+GETPIVOTDATA("XQT4",'quangthanh (2016)'!$A$3,"MA_HT","DGD","MA_QH","ODT")</f>
        <v>0</v>
      </c>
      <c r="AS35" s="74">
        <f>+GETPIVOTDATA("XQT4",'quangthanh (2016)'!$A$3,"MA_HT","DGD","MA_QH","TSC")</f>
        <v>0</v>
      </c>
      <c r="AT35" s="74">
        <f>+GETPIVOTDATA("XQT4",'quangthanh (2016)'!$A$3,"MA_HT","DGD","MA_QH","DTS")</f>
        <v>0</v>
      </c>
      <c r="AU35" s="74">
        <f>+GETPIVOTDATA("XQT4",'quangthanh (2016)'!$A$3,"MA_HT","DGD","MA_QH","DNG")</f>
        <v>0</v>
      </c>
      <c r="AV35" s="74">
        <f>+GETPIVOTDATA("XQT4",'quangthanh (2016)'!$A$3,"MA_HT","DGD","MA_QH","TON")</f>
        <v>0</v>
      </c>
      <c r="AW35" s="74">
        <f>+GETPIVOTDATA("XQT4",'quangthanh (2016)'!$A$3,"MA_HT","DGD","MA_QH","NTD")</f>
        <v>0</v>
      </c>
      <c r="AX35" s="74">
        <f>+GETPIVOTDATA("XQT4",'quangthanh (2016)'!$A$3,"MA_HT","DGD","MA_QH","SKX")</f>
        <v>0</v>
      </c>
      <c r="AY35" s="74">
        <f>+GETPIVOTDATA("XQT4",'quangthanh (2016)'!$A$3,"MA_HT","DGD","MA_QH","DSH")</f>
        <v>0</v>
      </c>
      <c r="AZ35" s="74">
        <f>+GETPIVOTDATA("XQT4",'quangthanh (2016)'!$A$3,"MA_HT","DGD","MA_QH","DKV")</f>
        <v>0</v>
      </c>
      <c r="BA35" s="139">
        <f>+GETPIVOTDATA("XQT4",'quangthanh (2016)'!$A$3,"MA_HT","DGD","MA_QH","TIN")</f>
        <v>0</v>
      </c>
      <c r="BB35" s="74">
        <f>+GETPIVOTDATA("XQT4",'quangthanh (2016)'!$A$3,"MA_HT","DGD","MA_QH","SON")</f>
        <v>0</v>
      </c>
      <c r="BC35" s="74">
        <f>+GETPIVOTDATA("XQT4",'quangthanh (2016)'!$A$3,"MA_HT","DGD","MA_QH","MNC")</f>
        <v>0</v>
      </c>
      <c r="BD35" s="74">
        <f>+GETPIVOTDATA("XQT4",'quangthanh (2016)'!$A$3,"MA_HT","DGD","MA_QH","PNK")</f>
        <v>0</v>
      </c>
      <c r="BE35" s="102">
        <f>+GETPIVOTDATA("XQT4",'quangthanh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+GETPIVOTDATA("XQT4",'quangthanh (2016)'!$A$3,"MA_HT","DTT","MA_QH","LUC")</f>
        <v>0</v>
      </c>
      <c r="H36" s="74">
        <f>+GETPIVOTDATA("XQT4",'quangthanh (2016)'!$A$3,"MA_HT","DTT","MA_QH","LUK")</f>
        <v>0</v>
      </c>
      <c r="I36" s="74">
        <f>+GETPIVOTDATA("XQT4",'quangthanh (2016)'!$A$3,"MA_HT","DTT","MA_QH","LUN")</f>
        <v>0</v>
      </c>
      <c r="J36" s="74">
        <f>+GETPIVOTDATA("XQT4",'quangthanh (2016)'!$A$3,"MA_HT","DTT","MA_QH","HNK")</f>
        <v>0</v>
      </c>
      <c r="K36" s="74">
        <f>+GETPIVOTDATA("XQT4",'quangthanh (2016)'!$A$3,"MA_HT","DTT","MA_QH","CLN")</f>
        <v>0</v>
      </c>
      <c r="L36" s="74">
        <f>+GETPIVOTDATA("XQT4",'quangthanh (2016)'!$A$3,"MA_HT","DTT","MA_QH","RSX")</f>
        <v>0</v>
      </c>
      <c r="M36" s="74">
        <f>+GETPIVOTDATA("XQT4",'quangthanh (2016)'!$A$3,"MA_HT","DTT","MA_QH","RPH")</f>
        <v>0</v>
      </c>
      <c r="N36" s="74">
        <f>+GETPIVOTDATA("XQT4",'quangthanh (2016)'!$A$3,"MA_HT","DTT","MA_QH","RDD")</f>
        <v>0</v>
      </c>
      <c r="O36" s="74">
        <f>+GETPIVOTDATA("XQT4",'quangthanh (2016)'!$A$3,"MA_HT","DTT","MA_QH","NTS")</f>
        <v>0</v>
      </c>
      <c r="P36" s="74">
        <f>+GETPIVOTDATA("XQT4",'quangthanh (2016)'!$A$3,"MA_HT","DTT","MA_QH","LMU")</f>
        <v>0</v>
      </c>
      <c r="Q36" s="74">
        <f>+GETPIVOTDATA("XQT4",'quangthanh (2016)'!$A$3,"MA_HT","DTT","MA_QH","NKH")</f>
        <v>0</v>
      </c>
      <c r="R36" s="72">
        <f>SUM(S36:AA36,AN36:BD36)</f>
        <v>0</v>
      </c>
      <c r="S36" s="74">
        <f>+GETPIVOTDATA("XQT4",'quangthanh (2016)'!$A$3,"MA_HT","DTT","MA_QH","CQP")</f>
        <v>0</v>
      </c>
      <c r="T36" s="74">
        <f>+GETPIVOTDATA("XQT4",'quangthanh (2016)'!$A$3,"MA_HT","DTT","MA_QH","CAN")</f>
        <v>0</v>
      </c>
      <c r="U36" s="74">
        <f>+GETPIVOTDATA("XQT4",'quangthanh (2016)'!$A$3,"MA_HT","DTT","MA_QH","SKK")</f>
        <v>0</v>
      </c>
      <c r="V36" s="74">
        <f>+GETPIVOTDATA("XQT4",'quangthanh (2016)'!$A$3,"MA_HT","DTT","MA_QH","SKT")</f>
        <v>0</v>
      </c>
      <c r="W36" s="74">
        <f>+GETPIVOTDATA("XQT4",'quangthanh (2016)'!$A$3,"MA_HT","DTT","MA_QH","SKN")</f>
        <v>0</v>
      </c>
      <c r="X36" s="74">
        <f>+GETPIVOTDATA("XQT4",'quangthanh (2016)'!$A$3,"MA_HT","DTT","MA_QH","TMD")</f>
        <v>0</v>
      </c>
      <c r="Y36" s="74">
        <f>+GETPIVOTDATA("XQT4",'quangthanh (2016)'!$A$3,"MA_HT","DTT","MA_QH","SKC")</f>
        <v>0</v>
      </c>
      <c r="Z36" s="74">
        <f>+GETPIVOTDATA("XQT4",'quangthanh (2016)'!$A$3,"MA_HT","DTT","MA_QH","SKS")</f>
        <v>0</v>
      </c>
      <c r="AA36" s="64">
        <f>+SUM(AB36:AH36,AJ36:AM36)</f>
        <v>0</v>
      </c>
      <c r="AB36" s="74">
        <f>+GETPIVOTDATA("XQT4",'quangthanh (2016)'!$A$3,"MA_HT","DTT","MA_QH","DGT")</f>
        <v>0</v>
      </c>
      <c r="AC36" s="74">
        <f>+GETPIVOTDATA("XQT4",'quangthanh (2016)'!$A$3,"MA_HT","DTT","MA_QH","DTL")</f>
        <v>0</v>
      </c>
      <c r="AD36" s="74">
        <f>+GETPIVOTDATA("XQT4",'quangthanh (2016)'!$A$3,"MA_HT","DTT","MA_QH","DNL")</f>
        <v>0</v>
      </c>
      <c r="AE36" s="74">
        <f>+GETPIVOTDATA("XQT4",'quangthanh (2016)'!$A$3,"MA_HT","DTT","MA_QH","DBV")</f>
        <v>0</v>
      </c>
      <c r="AF36" s="74">
        <f>+GETPIVOTDATA("XQT4",'quangthanh (2016)'!$A$3,"MA_HT","DTT","MA_QH","DVH")</f>
        <v>0</v>
      </c>
      <c r="AG36" s="74">
        <f>+GETPIVOTDATA("XQT4",'quangthanh (2016)'!$A$3,"MA_HT","DTT","MA_QH","DYT")</f>
        <v>0</v>
      </c>
      <c r="AH36" s="74">
        <f>+GETPIVOTDATA("XQT4",'quangthanh (2016)'!$A$3,"MA_HT","DTT","MA_QH","DGD")</f>
        <v>0</v>
      </c>
      <c r="AI36" s="100" t="e">
        <f>$D36-$BF36</f>
        <v>#REF!</v>
      </c>
      <c r="AJ36" s="74">
        <f>+GETPIVOTDATA("XQT4",'quangthanh (2016)'!$A$3,"MA_HT","DTT","MA_QH","NCK")</f>
        <v>0</v>
      </c>
      <c r="AK36" s="74">
        <f>+GETPIVOTDATA("XQT4",'quangthanh (2016)'!$A$3,"MA_HT","DTT","MA_QH","DXH")</f>
        <v>0</v>
      </c>
      <c r="AL36" s="74">
        <f>+GETPIVOTDATA("XQT4",'quangthanh (2016)'!$A$3,"MA_HT","DTT","MA_QH","DCH")</f>
        <v>0</v>
      </c>
      <c r="AM36" s="74">
        <f>+GETPIVOTDATA("XQT4",'quangthanh (2016)'!$A$3,"MA_HT","DTT","MA_QH","DKG")</f>
        <v>0</v>
      </c>
      <c r="AN36" s="74">
        <f>+GETPIVOTDATA("XQT4",'quangthanh (2016)'!$A$3,"MA_HT","DTT","MA_QH","DDT")</f>
        <v>0</v>
      </c>
      <c r="AO36" s="74">
        <f>+GETPIVOTDATA("XQT4",'quangthanh (2016)'!$A$3,"MA_HT","DTT","MA_QH","DDL")</f>
        <v>0</v>
      </c>
      <c r="AP36" s="74">
        <f>+GETPIVOTDATA("XQT4",'quangthanh (2016)'!$A$3,"MA_HT","DTT","MA_QH","DRA")</f>
        <v>0</v>
      </c>
      <c r="AQ36" s="74">
        <f>+GETPIVOTDATA("XQT4",'quangthanh (2016)'!$A$3,"MA_HT","DTT","MA_QH","ONT")</f>
        <v>0</v>
      </c>
      <c r="AR36" s="74">
        <f>+GETPIVOTDATA("XQT4",'quangthanh (2016)'!$A$3,"MA_HT","DTT","MA_QH","ODT")</f>
        <v>0</v>
      </c>
      <c r="AS36" s="74">
        <f>+GETPIVOTDATA("XQT4",'quangthanh (2016)'!$A$3,"MA_HT","DTT","MA_QH","TSC")</f>
        <v>0</v>
      </c>
      <c r="AT36" s="74">
        <f>+GETPIVOTDATA("XQT4",'quangthanh (2016)'!$A$3,"MA_HT","DTT","MA_QH","DTS")</f>
        <v>0</v>
      </c>
      <c r="AU36" s="74">
        <f>+GETPIVOTDATA("XQT4",'quangthanh (2016)'!$A$3,"MA_HT","DTT","MA_QH","DNG")</f>
        <v>0</v>
      </c>
      <c r="AV36" s="74">
        <f>+GETPIVOTDATA("XQT4",'quangthanh (2016)'!$A$3,"MA_HT","DTT","MA_QH","TON")</f>
        <v>0</v>
      </c>
      <c r="AW36" s="74">
        <f>+GETPIVOTDATA("XQT4",'quangthanh (2016)'!$A$3,"MA_HT","DTT","MA_QH","NTD")</f>
        <v>0</v>
      </c>
      <c r="AX36" s="74">
        <f>+GETPIVOTDATA("XQT4",'quangthanh (2016)'!$A$3,"MA_HT","DTT","MA_QH","SKX")</f>
        <v>0</v>
      </c>
      <c r="AY36" s="74">
        <f>+GETPIVOTDATA("XQT4",'quangthanh (2016)'!$A$3,"MA_HT","DTT","MA_QH","DSH")</f>
        <v>0</v>
      </c>
      <c r="AZ36" s="74">
        <f>+GETPIVOTDATA("XQT4",'quangthanh (2016)'!$A$3,"MA_HT","DTT","MA_QH","DKV")</f>
        <v>0</v>
      </c>
      <c r="BA36" s="139">
        <f>+GETPIVOTDATA("XQT4",'quangthanh (2016)'!$A$3,"MA_HT","DTT","MA_QH","TIN")</f>
        <v>0</v>
      </c>
      <c r="BB36" s="74">
        <f>+GETPIVOTDATA("XQT4",'quangthanh (2016)'!$A$3,"MA_HT","DTT","MA_QH","SON")</f>
        <v>0</v>
      </c>
      <c r="BC36" s="74">
        <f>+GETPIVOTDATA("XQT4",'quangthanh (2016)'!$A$3,"MA_HT","DTT","MA_QH","MNC")</f>
        <v>0</v>
      </c>
      <c r="BD36" s="74">
        <f>+GETPIVOTDATA("XQT4",'quangthanh (2016)'!$A$3,"MA_HT","DTT","MA_QH","PNK")</f>
        <v>0</v>
      </c>
      <c r="BE36" s="102">
        <f>+GETPIVOTDATA("XQT4",'quangthanh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+GETPIVOTDATA("XQT4",'quangthanh (2016)'!$A$3,"MA_HT","NCK","MA_QH","LUC")</f>
        <v>0</v>
      </c>
      <c r="H37" s="74">
        <f>+GETPIVOTDATA("XQT4",'quangthanh (2016)'!$A$3,"MA_HT","NCK","MA_QH","LUK")</f>
        <v>0</v>
      </c>
      <c r="I37" s="74">
        <f>+GETPIVOTDATA("XQT4",'quangthanh (2016)'!$A$3,"MA_HT","NCK","MA_QH","LUN")</f>
        <v>0</v>
      </c>
      <c r="J37" s="74">
        <f>+GETPIVOTDATA("XQT4",'quangthanh (2016)'!$A$3,"MA_HT","NCK","MA_QH","HNK")</f>
        <v>0</v>
      </c>
      <c r="K37" s="74">
        <f>+GETPIVOTDATA("XQT4",'quangthanh (2016)'!$A$3,"MA_HT","NCK","MA_QH","CLN")</f>
        <v>0</v>
      </c>
      <c r="L37" s="74">
        <f>+GETPIVOTDATA("XQT4",'quangthanh (2016)'!$A$3,"MA_HT","NCK","MA_QH","RSX")</f>
        <v>0</v>
      </c>
      <c r="M37" s="74">
        <f>+GETPIVOTDATA("XQT4",'quangthanh (2016)'!$A$3,"MA_HT","NCK","MA_QH","RPH")</f>
        <v>0</v>
      </c>
      <c r="N37" s="74">
        <f>+GETPIVOTDATA("XQT4",'quangthanh (2016)'!$A$3,"MA_HT","NCK","MA_QH","RDD")</f>
        <v>0</v>
      </c>
      <c r="O37" s="74">
        <f>+GETPIVOTDATA("XQT4",'quangthanh (2016)'!$A$3,"MA_HT","NCK","MA_QH","NTS")</f>
        <v>0</v>
      </c>
      <c r="P37" s="74">
        <f>+GETPIVOTDATA("XQT4",'quangthanh (2016)'!$A$3,"MA_HT","NCK","MA_QH","LMU")</f>
        <v>0</v>
      </c>
      <c r="Q37" s="74">
        <f>+GETPIVOTDATA("XQT4",'quangthanh (2016)'!$A$3,"MA_HT","NCK","MA_QH","NKH")</f>
        <v>0</v>
      </c>
      <c r="R37" s="72">
        <f t="shared" si="20"/>
        <v>0</v>
      </c>
      <c r="S37" s="74">
        <f>+GETPIVOTDATA("XQT4",'quangthanh (2016)'!$A$3,"MA_HT","NCK","MA_QH","CQP")</f>
        <v>0</v>
      </c>
      <c r="T37" s="74">
        <f>+GETPIVOTDATA("XQT4",'quangthanh (2016)'!$A$3,"MA_HT","NCK","MA_QH","CAN")</f>
        <v>0</v>
      </c>
      <c r="U37" s="74">
        <f>+GETPIVOTDATA("XQT4",'quangthanh (2016)'!$A$3,"MA_HT","NCK","MA_QH","SKK")</f>
        <v>0</v>
      </c>
      <c r="V37" s="74">
        <f>+GETPIVOTDATA("XQT4",'quangthanh (2016)'!$A$3,"MA_HT","NCK","MA_QH","SKT")</f>
        <v>0</v>
      </c>
      <c r="W37" s="74">
        <f>+GETPIVOTDATA("XQT4",'quangthanh (2016)'!$A$3,"MA_HT","NCK","MA_QH","SKN")</f>
        <v>0</v>
      </c>
      <c r="X37" s="74">
        <f>+GETPIVOTDATA("XQT4",'quangthanh (2016)'!$A$3,"MA_HT","NCK","MA_QH","TMD")</f>
        <v>0</v>
      </c>
      <c r="Y37" s="74">
        <f>+GETPIVOTDATA("XQT4",'quangthanh (2016)'!$A$3,"MA_HT","NCK","MA_QH","SKC")</f>
        <v>0</v>
      </c>
      <c r="Z37" s="74">
        <f>+GETPIVOTDATA("XQT4",'quangthanh (2016)'!$A$3,"MA_HT","NCK","MA_QH","SKS")</f>
        <v>0</v>
      </c>
      <c r="AA37" s="64">
        <f>+SUM(AB37:AI37,AK37:AM37)</f>
        <v>0</v>
      </c>
      <c r="AB37" s="74">
        <f>+GETPIVOTDATA("XQT4",'quangthanh (2016)'!$A$3,"MA_HT","NCK","MA_QH","DGT")</f>
        <v>0</v>
      </c>
      <c r="AC37" s="74">
        <f>+GETPIVOTDATA("XQT4",'quangthanh (2016)'!$A$3,"MA_HT","NCK","MA_QH","DTL")</f>
        <v>0</v>
      </c>
      <c r="AD37" s="74">
        <f>+GETPIVOTDATA("XQT4",'quangthanh (2016)'!$A$3,"MA_HT","NCK","MA_QH","DNL")</f>
        <v>0</v>
      </c>
      <c r="AE37" s="74">
        <f>+GETPIVOTDATA("XQT4",'quangthanh (2016)'!$A$3,"MA_HT","NCK","MA_QH","DBV")</f>
        <v>0</v>
      </c>
      <c r="AF37" s="74">
        <f>+GETPIVOTDATA("XQT4",'quangthanh (2016)'!$A$3,"MA_HT","NCK","MA_QH","DVH")</f>
        <v>0</v>
      </c>
      <c r="AG37" s="74">
        <f>+GETPIVOTDATA("XQT4",'quangthanh (2016)'!$A$3,"MA_HT","NCK","MA_QH","DYT")</f>
        <v>0</v>
      </c>
      <c r="AH37" s="74">
        <f>+GETPIVOTDATA("XQT4",'quangthanh (2016)'!$A$3,"MA_HT","NCK","MA_QH","DGD")</f>
        <v>0</v>
      </c>
      <c r="AI37" s="74">
        <f>+GETPIVOTDATA("XQT4",'quangthanh (2016)'!$A$3,"MA_HT","NCK","MA_QH","DTT")</f>
        <v>0</v>
      </c>
      <c r="AJ37" s="100" t="e">
        <f>$D37-$BF37</f>
        <v>#REF!</v>
      </c>
      <c r="AK37" s="74">
        <f>+GETPIVOTDATA("XQT4",'quangthanh (2016)'!$A$3,"MA_HT","NCK","MA_QH","DXH")</f>
        <v>0</v>
      </c>
      <c r="AL37" s="74">
        <f>+GETPIVOTDATA("XQT4",'quangthanh (2016)'!$A$3,"MA_HT","NCK","MA_QH","DCH")</f>
        <v>0</v>
      </c>
      <c r="AM37" s="74">
        <f>+GETPIVOTDATA("XQT4",'quangthanh (2016)'!$A$3,"MA_HT","NCK","MA_QH","DKG")</f>
        <v>0</v>
      </c>
      <c r="AN37" s="74">
        <f>+GETPIVOTDATA("XQT4",'quangthanh (2016)'!$A$3,"MA_HT","NCK","MA_QH","DDT")</f>
        <v>0</v>
      </c>
      <c r="AO37" s="74">
        <f>+GETPIVOTDATA("XQT4",'quangthanh (2016)'!$A$3,"MA_HT","NCK","MA_QH","DDL")</f>
        <v>0</v>
      </c>
      <c r="AP37" s="74">
        <f>+GETPIVOTDATA("XQT4",'quangthanh (2016)'!$A$3,"MA_HT","NCK","MA_QH","DRA")</f>
        <v>0</v>
      </c>
      <c r="AQ37" s="74">
        <f>+GETPIVOTDATA("XQT4",'quangthanh (2016)'!$A$3,"MA_HT","NCK","MA_QH","ONT")</f>
        <v>0</v>
      </c>
      <c r="AR37" s="74">
        <f>+GETPIVOTDATA("XQT4",'quangthanh (2016)'!$A$3,"MA_HT","NCK","MA_QH","ODT")</f>
        <v>0</v>
      </c>
      <c r="AS37" s="74">
        <f>+GETPIVOTDATA("XQT4",'quangthanh (2016)'!$A$3,"MA_HT","NCK","MA_QH","TSC")</f>
        <v>0</v>
      </c>
      <c r="AT37" s="74">
        <f>+GETPIVOTDATA("XQT4",'quangthanh (2016)'!$A$3,"MA_HT","NCK","MA_QH","DTS")</f>
        <v>0</v>
      </c>
      <c r="AU37" s="74">
        <f>+GETPIVOTDATA("XQT4",'quangthanh (2016)'!$A$3,"MA_HT","NCK","MA_QH","DNG")</f>
        <v>0</v>
      </c>
      <c r="AV37" s="74">
        <f>+GETPIVOTDATA("XQT4",'quangthanh (2016)'!$A$3,"MA_HT","NCK","MA_QH","TON")</f>
        <v>0</v>
      </c>
      <c r="AW37" s="74">
        <f>+GETPIVOTDATA("XQT4",'quangthanh (2016)'!$A$3,"MA_HT","NCK","MA_QH","NTD")</f>
        <v>0</v>
      </c>
      <c r="AX37" s="74">
        <f>+GETPIVOTDATA("XQT4",'quangthanh (2016)'!$A$3,"MA_HT","NCK","MA_QH","SKX")</f>
        <v>0</v>
      </c>
      <c r="AY37" s="74">
        <f>+GETPIVOTDATA("XQT4",'quangthanh (2016)'!$A$3,"MA_HT","NCK","MA_QH","DSH")</f>
        <v>0</v>
      </c>
      <c r="AZ37" s="74">
        <f>+GETPIVOTDATA("XQT4",'quangthanh (2016)'!$A$3,"MA_HT","NCK","MA_QH","DKV")</f>
        <v>0</v>
      </c>
      <c r="BA37" s="139">
        <f>+GETPIVOTDATA("XQT4",'quangthanh (2016)'!$A$3,"MA_HT","NCK","MA_QH","TIN")</f>
        <v>0</v>
      </c>
      <c r="BB37" s="74">
        <f>+GETPIVOTDATA("XQT4",'quangthanh (2016)'!$A$3,"MA_HT","NCK","MA_QH","SON")</f>
        <v>0</v>
      </c>
      <c r="BC37" s="74">
        <f>+GETPIVOTDATA("XQT4",'quangthanh (2016)'!$A$3,"MA_HT","NCK","MA_QH","MNC")</f>
        <v>0</v>
      </c>
      <c r="BD37" s="74">
        <f>+GETPIVOTDATA("XQT4",'quangthanh (2016)'!$A$3,"MA_HT","NCK","MA_QH","PNK")</f>
        <v>0</v>
      </c>
      <c r="BE37" s="102">
        <f>+GETPIVOTDATA("XQT4",'quangthanh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+GETPIVOTDATA("XQT4",'quangthanh (2016)'!$A$3,"MA_HT","DXH","MA_QH","LUC")</f>
        <v>0</v>
      </c>
      <c r="H38" s="74">
        <f>+GETPIVOTDATA("XQT4",'quangthanh (2016)'!$A$3,"MA_HT","DXH","MA_QH","LUK")</f>
        <v>0</v>
      </c>
      <c r="I38" s="74">
        <f>+GETPIVOTDATA("XQT4",'quangthanh (2016)'!$A$3,"MA_HT","DXH","MA_QH","LUN")</f>
        <v>0</v>
      </c>
      <c r="J38" s="74">
        <f>+GETPIVOTDATA("XQT4",'quangthanh (2016)'!$A$3,"MA_HT","DXH","MA_QH","HNK")</f>
        <v>0</v>
      </c>
      <c r="K38" s="74">
        <f>+GETPIVOTDATA("XQT4",'quangthanh (2016)'!$A$3,"MA_HT","DXH","MA_QH","CLN")</f>
        <v>0</v>
      </c>
      <c r="L38" s="74">
        <f>+GETPIVOTDATA("XQT4",'quangthanh (2016)'!$A$3,"MA_HT","DXH","MA_QH","RSX")</f>
        <v>0</v>
      </c>
      <c r="M38" s="74">
        <f>+GETPIVOTDATA("XQT4",'quangthanh (2016)'!$A$3,"MA_HT","DXH","MA_QH","RPH")</f>
        <v>0</v>
      </c>
      <c r="N38" s="74">
        <f>+GETPIVOTDATA("XQT4",'quangthanh (2016)'!$A$3,"MA_HT","DXH","MA_QH","RDD")</f>
        <v>0</v>
      </c>
      <c r="O38" s="74">
        <f>+GETPIVOTDATA("XQT4",'quangthanh (2016)'!$A$3,"MA_HT","DXH","MA_QH","NTS")</f>
        <v>0</v>
      </c>
      <c r="P38" s="74">
        <f>+GETPIVOTDATA("XQT4",'quangthanh (2016)'!$A$3,"MA_HT","DXH","MA_QH","LMU")</f>
        <v>0</v>
      </c>
      <c r="Q38" s="74">
        <f>+GETPIVOTDATA("XQT4",'quangthanh (2016)'!$A$3,"MA_HT","DXH","MA_QH","NKH")</f>
        <v>0</v>
      </c>
      <c r="R38" s="72">
        <f t="shared" si="20"/>
        <v>0</v>
      </c>
      <c r="S38" s="74">
        <f>+GETPIVOTDATA("XQT4",'quangthanh (2016)'!$A$3,"MA_HT","DXH","MA_QH","CQP")</f>
        <v>0</v>
      </c>
      <c r="T38" s="74">
        <f>+GETPIVOTDATA("XQT4",'quangthanh (2016)'!$A$3,"MA_HT","DXH","MA_QH","CAN")</f>
        <v>0</v>
      </c>
      <c r="U38" s="74">
        <f>+GETPIVOTDATA("XQT4",'quangthanh (2016)'!$A$3,"MA_HT","DXH","MA_QH","SKK")</f>
        <v>0</v>
      </c>
      <c r="V38" s="74">
        <f>+GETPIVOTDATA("XQT4",'quangthanh (2016)'!$A$3,"MA_HT","DXH","MA_QH","SKT")</f>
        <v>0</v>
      </c>
      <c r="W38" s="74">
        <f>+GETPIVOTDATA("XQT4",'quangthanh (2016)'!$A$3,"MA_HT","DXH","MA_QH","SKN")</f>
        <v>0</v>
      </c>
      <c r="X38" s="74">
        <f>+GETPIVOTDATA("XQT4",'quangthanh (2016)'!$A$3,"MA_HT","DXH","MA_QH","TMD")</f>
        <v>0</v>
      </c>
      <c r="Y38" s="74">
        <f>+GETPIVOTDATA("XQT4",'quangthanh (2016)'!$A$3,"MA_HT","DXH","MA_QH","SKC")</f>
        <v>0</v>
      </c>
      <c r="Z38" s="74">
        <f>+GETPIVOTDATA("XQT4",'quangthanh (2016)'!$A$3,"MA_HT","DXH","MA_QH","SKS")</f>
        <v>0</v>
      </c>
      <c r="AA38" s="64">
        <f>+SUM(AB38:AJ38,AL38:AM38)</f>
        <v>0</v>
      </c>
      <c r="AB38" s="74">
        <f>+GETPIVOTDATA("XQT4",'quangthanh (2016)'!$A$3,"MA_HT","DXH","MA_QH","DGT")</f>
        <v>0</v>
      </c>
      <c r="AC38" s="74">
        <f>+GETPIVOTDATA("XQT4",'quangthanh (2016)'!$A$3,"MA_HT","DXH","MA_QH","DTL")</f>
        <v>0</v>
      </c>
      <c r="AD38" s="74">
        <f>+GETPIVOTDATA("XQT4",'quangthanh (2016)'!$A$3,"MA_HT","DXH","MA_QH","DNL")</f>
        <v>0</v>
      </c>
      <c r="AE38" s="74">
        <f>+GETPIVOTDATA("XQT4",'quangthanh (2016)'!$A$3,"MA_HT","DXH","MA_QH","DBV")</f>
        <v>0</v>
      </c>
      <c r="AF38" s="74">
        <f>+GETPIVOTDATA("XQT4",'quangthanh (2016)'!$A$3,"MA_HT","DXH","MA_QH","DVH")</f>
        <v>0</v>
      </c>
      <c r="AG38" s="74">
        <f>+GETPIVOTDATA("XQT4",'quangthanh (2016)'!$A$3,"MA_HT","DXH","MA_QH","DYT")</f>
        <v>0</v>
      </c>
      <c r="AH38" s="74">
        <f>+GETPIVOTDATA("XQT4",'quangthanh (2016)'!$A$3,"MA_HT","DXH","MA_QH","DGD")</f>
        <v>0</v>
      </c>
      <c r="AI38" s="74">
        <f>+GETPIVOTDATA("XQT4",'quangthanh (2016)'!$A$3,"MA_HT","DXH","MA_QH","DTT")</f>
        <v>0</v>
      </c>
      <c r="AJ38" s="74">
        <f>+GETPIVOTDATA("XQT4",'quangthanh (2016)'!$A$3,"MA_HT","DXH","MA_QH","NCK")</f>
        <v>0</v>
      </c>
      <c r="AK38" s="100" t="e">
        <f>$D38-$BF38</f>
        <v>#REF!</v>
      </c>
      <c r="AL38" s="74">
        <f>+GETPIVOTDATA("XQT4",'quangthanh (2016)'!$A$3,"MA_HT","DXH","MA_QH","DCH")</f>
        <v>0</v>
      </c>
      <c r="AM38" s="74">
        <f>+GETPIVOTDATA("XQT4",'quangthanh (2016)'!$A$3,"MA_HT","DXH","MA_QH","DKG")</f>
        <v>0</v>
      </c>
      <c r="AN38" s="74">
        <f>+GETPIVOTDATA("XQT4",'quangthanh (2016)'!$A$3,"MA_HT","DXH","MA_QH","DDT")</f>
        <v>0</v>
      </c>
      <c r="AO38" s="74">
        <f>+GETPIVOTDATA("XQT4",'quangthanh (2016)'!$A$3,"MA_HT","DXH","MA_QH","DDL")</f>
        <v>0</v>
      </c>
      <c r="AP38" s="74">
        <f>+GETPIVOTDATA("XQT4",'quangthanh (2016)'!$A$3,"MA_HT","DXH","MA_QH","DRA")</f>
        <v>0</v>
      </c>
      <c r="AQ38" s="74">
        <f>+GETPIVOTDATA("XQT4",'quangthanh (2016)'!$A$3,"MA_HT","DXH","MA_QH","ONT")</f>
        <v>0</v>
      </c>
      <c r="AR38" s="74">
        <f>+GETPIVOTDATA("XQT4",'quangthanh (2016)'!$A$3,"MA_HT","DXH","MA_QH","ODT")</f>
        <v>0</v>
      </c>
      <c r="AS38" s="74">
        <f>+GETPIVOTDATA("XQT4",'quangthanh (2016)'!$A$3,"MA_HT","DXH","MA_QH","TSC")</f>
        <v>0</v>
      </c>
      <c r="AT38" s="74">
        <f>+GETPIVOTDATA("XQT4",'quangthanh (2016)'!$A$3,"MA_HT","DXH","MA_QH","DTS")</f>
        <v>0</v>
      </c>
      <c r="AU38" s="74">
        <f>+GETPIVOTDATA("XQT4",'quangthanh (2016)'!$A$3,"MA_HT","DXH","MA_QH","DNG")</f>
        <v>0</v>
      </c>
      <c r="AV38" s="74">
        <f>+GETPIVOTDATA("XQT4",'quangthanh (2016)'!$A$3,"MA_HT","DXH","MA_QH","TON")</f>
        <v>0</v>
      </c>
      <c r="AW38" s="74">
        <f>+GETPIVOTDATA("XQT4",'quangthanh (2016)'!$A$3,"MA_HT","DXH","MA_QH","NTD")</f>
        <v>0</v>
      </c>
      <c r="AX38" s="74">
        <f>+GETPIVOTDATA("XQT4",'quangthanh (2016)'!$A$3,"MA_HT","DXH","MA_QH","SKX")</f>
        <v>0</v>
      </c>
      <c r="AY38" s="74">
        <f>+GETPIVOTDATA("XQT4",'quangthanh (2016)'!$A$3,"MA_HT","DXH","MA_QH","DSH")</f>
        <v>0</v>
      </c>
      <c r="AZ38" s="74">
        <f>+GETPIVOTDATA("XQT4",'quangthanh (2016)'!$A$3,"MA_HT","DXH","MA_QH","DKV")</f>
        <v>0</v>
      </c>
      <c r="BA38" s="139">
        <f>+GETPIVOTDATA("XQT4",'quangthanh (2016)'!$A$3,"MA_HT","DXH","MA_QH","TIN")</f>
        <v>0</v>
      </c>
      <c r="BB38" s="74">
        <f>+GETPIVOTDATA("XQT4",'quangthanh (2016)'!$A$3,"MA_HT","DXH","MA_QH","SON")</f>
        <v>0</v>
      </c>
      <c r="BC38" s="74">
        <f>+GETPIVOTDATA("XQT4",'quangthanh (2016)'!$A$3,"MA_HT","DXH","MA_QH","MNC")</f>
        <v>0</v>
      </c>
      <c r="BD38" s="74">
        <f>+GETPIVOTDATA("XQT4",'quangthanh (2016)'!$A$3,"MA_HT","DXH","MA_QH","PNK")</f>
        <v>0</v>
      </c>
      <c r="BE38" s="102">
        <f>+GETPIVOTDATA("XQT4",'quangthanh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+GETPIVOTDATA("XQT4",'quangthanh (2016)'!$A$3,"MA_HT","DCH","MA_QH","LUC")</f>
        <v>0</v>
      </c>
      <c r="H39" s="74">
        <f>+GETPIVOTDATA("XQT4",'quangthanh (2016)'!$A$3,"MA_HT","DCH","MA_QH","LUK")</f>
        <v>0</v>
      </c>
      <c r="I39" s="74">
        <f>+GETPIVOTDATA("XQT4",'quangthanh (2016)'!$A$3,"MA_HT","DCH","MA_QH","LUN")</f>
        <v>0</v>
      </c>
      <c r="J39" s="74">
        <f>+GETPIVOTDATA("XQT4",'quangthanh (2016)'!$A$3,"MA_HT","DCH","MA_QH","HNK")</f>
        <v>0</v>
      </c>
      <c r="K39" s="74">
        <f>+GETPIVOTDATA("XQT4",'quangthanh (2016)'!$A$3,"MA_HT","DCH","MA_QH","CLN")</f>
        <v>0</v>
      </c>
      <c r="L39" s="74">
        <f>+GETPIVOTDATA("XQT4",'quangthanh (2016)'!$A$3,"MA_HT","DCH","MA_QH","RSX")</f>
        <v>0</v>
      </c>
      <c r="M39" s="74">
        <f>+GETPIVOTDATA("XQT4",'quangthanh (2016)'!$A$3,"MA_HT","DCH","MA_QH","RPH")</f>
        <v>0</v>
      </c>
      <c r="N39" s="74">
        <f>+GETPIVOTDATA("XQT4",'quangthanh (2016)'!$A$3,"MA_HT","DCH","MA_QH","RDD")</f>
        <v>0</v>
      </c>
      <c r="O39" s="74">
        <f>+GETPIVOTDATA("XQT4",'quangthanh (2016)'!$A$3,"MA_HT","DCH","MA_QH","NTS")</f>
        <v>0</v>
      </c>
      <c r="P39" s="74">
        <f>+GETPIVOTDATA("XQT4",'quangthanh (2016)'!$A$3,"MA_HT","DCH","MA_QH","LMU")</f>
        <v>0</v>
      </c>
      <c r="Q39" s="74">
        <f>+GETPIVOTDATA("XQT4",'quangthanh (2016)'!$A$3,"MA_HT","DCH","MA_QH","NKH")</f>
        <v>0</v>
      </c>
      <c r="R39" s="72">
        <f t="shared" si="20"/>
        <v>0</v>
      </c>
      <c r="S39" s="74">
        <f>+GETPIVOTDATA("XQT4",'quangthanh (2016)'!$A$3,"MA_HT","DCH","MA_QH","CQP")</f>
        <v>0</v>
      </c>
      <c r="T39" s="74">
        <f>+GETPIVOTDATA("XQT4",'quangthanh (2016)'!$A$3,"MA_HT","DCH","MA_QH","CAN")</f>
        <v>0</v>
      </c>
      <c r="U39" s="74">
        <f>+GETPIVOTDATA("XQT4",'quangthanh (2016)'!$A$3,"MA_HT","DCH","MA_QH","SKK")</f>
        <v>0</v>
      </c>
      <c r="V39" s="74">
        <f>+GETPIVOTDATA("XQT4",'quangthanh (2016)'!$A$3,"MA_HT","DCH","MA_QH","SKT")</f>
        <v>0</v>
      </c>
      <c r="W39" s="74">
        <f>+GETPIVOTDATA("XQT4",'quangthanh (2016)'!$A$3,"MA_HT","DCH","MA_QH","SKN")</f>
        <v>0</v>
      </c>
      <c r="X39" s="74">
        <f>+GETPIVOTDATA("XQT4",'quangthanh (2016)'!$A$3,"MA_HT","DCH","MA_QH","TMD")</f>
        <v>0</v>
      </c>
      <c r="Y39" s="74">
        <f>+GETPIVOTDATA("XQT4",'quangthanh (2016)'!$A$3,"MA_HT","DCH","MA_QH","SKC")</f>
        <v>0</v>
      </c>
      <c r="Z39" s="74">
        <f>+GETPIVOTDATA("XQT4",'quangthanh (2016)'!$A$3,"MA_HT","DCH","MA_QH","SKS")</f>
        <v>0</v>
      </c>
      <c r="AA39" s="64">
        <f>+SUM(AB39:AK39,AM39)</f>
        <v>0</v>
      </c>
      <c r="AB39" s="74">
        <f>+GETPIVOTDATA("XQT4",'quangthanh (2016)'!$A$3,"MA_HT","DCH","MA_QH","DGT")</f>
        <v>0</v>
      </c>
      <c r="AC39" s="74">
        <f>+GETPIVOTDATA("XQT4",'quangthanh (2016)'!$A$3,"MA_HT","DCH","MA_QH","DTL")</f>
        <v>0</v>
      </c>
      <c r="AD39" s="74">
        <f>+GETPIVOTDATA("XQT4",'quangthanh (2016)'!$A$3,"MA_HT","DCH","MA_QH","DNL")</f>
        <v>0</v>
      </c>
      <c r="AE39" s="74">
        <f>+GETPIVOTDATA("XQT4",'quangthanh (2016)'!$A$3,"MA_HT","DCH","MA_QH","DBV")</f>
        <v>0</v>
      </c>
      <c r="AF39" s="74">
        <f>+GETPIVOTDATA("XQT4",'quangthanh (2016)'!$A$3,"MA_HT","DCH","MA_QH","DVH")</f>
        <v>0</v>
      </c>
      <c r="AG39" s="74">
        <f>+GETPIVOTDATA("XQT4",'quangthanh (2016)'!$A$3,"MA_HT","DCH","MA_QH","DYT")</f>
        <v>0</v>
      </c>
      <c r="AH39" s="74">
        <f>+GETPIVOTDATA("XQT4",'quangthanh (2016)'!$A$3,"MA_HT","DCH","MA_QH","DGD")</f>
        <v>0</v>
      </c>
      <c r="AI39" s="74">
        <f>+GETPIVOTDATA("XQT4",'quangthanh (2016)'!$A$3,"MA_HT","DCH","MA_QH","DTT")</f>
        <v>0</v>
      </c>
      <c r="AJ39" s="74">
        <f>+GETPIVOTDATA("XQT4",'quangthanh (2016)'!$A$3,"MA_HT","DCH","MA_QH","NCK")</f>
        <v>0</v>
      </c>
      <c r="AK39" s="74">
        <f>+GETPIVOTDATA("XQT4",'quangthanh (2016)'!$A$3,"MA_HT","DCH","MA_QH","DXH")</f>
        <v>0</v>
      </c>
      <c r="AL39" s="100" t="e">
        <f>$D39-$BF39</f>
        <v>#REF!</v>
      </c>
      <c r="AM39" s="74">
        <f>+GETPIVOTDATA("XQT4",'quangthanh (2016)'!$A$3,"MA_HT","DXH","MA_QH","DKG")</f>
        <v>0</v>
      </c>
      <c r="AN39" s="74">
        <f>+GETPIVOTDATA("XQT4",'quangthanh (2016)'!$A$3,"MA_HT","DCH","MA_QH","DDT")</f>
        <v>0</v>
      </c>
      <c r="AO39" s="74">
        <f>+GETPIVOTDATA("XQT4",'quangthanh (2016)'!$A$3,"MA_HT","DCH","MA_QH","DDL")</f>
        <v>0</v>
      </c>
      <c r="AP39" s="74">
        <f>+GETPIVOTDATA("XQT4",'quangthanh (2016)'!$A$3,"MA_HT","DCH","MA_QH","DRA")</f>
        <v>0</v>
      </c>
      <c r="AQ39" s="74">
        <f>+GETPIVOTDATA("XQT4",'quangthanh (2016)'!$A$3,"MA_HT","DCH","MA_QH","ONT")</f>
        <v>0</v>
      </c>
      <c r="AR39" s="74">
        <f>+GETPIVOTDATA("XQT4",'quangthanh (2016)'!$A$3,"MA_HT","DCH","MA_QH","ODT")</f>
        <v>0</v>
      </c>
      <c r="AS39" s="74">
        <f>+GETPIVOTDATA("XQT4",'quangthanh (2016)'!$A$3,"MA_HT","DCH","MA_QH","TSC")</f>
        <v>0</v>
      </c>
      <c r="AT39" s="74">
        <f>+GETPIVOTDATA("XQT4",'quangthanh (2016)'!$A$3,"MA_HT","DCH","MA_QH","DTS")</f>
        <v>0</v>
      </c>
      <c r="AU39" s="74">
        <f>+GETPIVOTDATA("XQT4",'quangthanh (2016)'!$A$3,"MA_HT","DCH","MA_QH","DNG")</f>
        <v>0</v>
      </c>
      <c r="AV39" s="74">
        <f>+GETPIVOTDATA("XQT4",'quangthanh (2016)'!$A$3,"MA_HT","DCH","MA_QH","TON")</f>
        <v>0</v>
      </c>
      <c r="AW39" s="74">
        <f>+GETPIVOTDATA("XQT4",'quangthanh (2016)'!$A$3,"MA_HT","DCH","MA_QH","NTD")</f>
        <v>0</v>
      </c>
      <c r="AX39" s="74">
        <f>+GETPIVOTDATA("XQT4",'quangthanh (2016)'!$A$3,"MA_HT","DCH","MA_QH","SKX")</f>
        <v>0</v>
      </c>
      <c r="AY39" s="74">
        <f>+GETPIVOTDATA("XQT4",'quangthanh (2016)'!$A$3,"MA_HT","DCH","MA_QH","DSH")</f>
        <v>0</v>
      </c>
      <c r="AZ39" s="74">
        <f>+GETPIVOTDATA("XQT4",'quangthanh (2016)'!$A$3,"MA_HT","DCH","MA_QH","DKV")</f>
        <v>0</v>
      </c>
      <c r="BA39" s="139">
        <f>+GETPIVOTDATA("XQT4",'quangthanh (2016)'!$A$3,"MA_HT","DCH","MA_QH","TIN")</f>
        <v>0</v>
      </c>
      <c r="BB39" s="74">
        <f>+GETPIVOTDATA("XQT4",'quangthanh (2016)'!$A$3,"MA_HT","DCH","MA_QH","SON")</f>
        <v>0</v>
      </c>
      <c r="BC39" s="74">
        <f>+GETPIVOTDATA("XQT4",'quangthanh (2016)'!$A$3,"MA_HT","DCH","MA_QH","MNC")</f>
        <v>0</v>
      </c>
      <c r="BD39" s="74">
        <f>+GETPIVOTDATA("XQT4",'quangthanh (2016)'!$A$3,"MA_HT","DCH","MA_QH","PNK")</f>
        <v>0</v>
      </c>
      <c r="BE39" s="102">
        <f>+GETPIVOTDATA("XQT4",'quangthanh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+GETPIVOTDATA("XQT4",'quangthanh (2016)'!$A$3,"MA_HT","DKG","MA_QH","LUC")</f>
        <v>0</v>
      </c>
      <c r="H40" s="74">
        <f>+GETPIVOTDATA("XQT4",'quangthanh (2016)'!$A$3,"MA_HT","DKG","MA_QH","LUK")</f>
        <v>0</v>
      </c>
      <c r="I40" s="74">
        <f>+GETPIVOTDATA("XQT4",'quangthanh (2016)'!$A$3,"MA_HT","DKG","MA_QH","LUN")</f>
        <v>0</v>
      </c>
      <c r="J40" s="74">
        <f>+GETPIVOTDATA("XQT4",'quangthanh (2016)'!$A$3,"MA_HT","DKG","MA_QH","HNK")</f>
        <v>0</v>
      </c>
      <c r="K40" s="74">
        <f>+GETPIVOTDATA("XQT4",'quangthanh (2016)'!$A$3,"MA_HT","DKG","MA_QH","CLN")</f>
        <v>0</v>
      </c>
      <c r="L40" s="74">
        <f>+GETPIVOTDATA("XQT4",'quangthanh (2016)'!$A$3,"MA_HT","DKG","MA_QH","RSX")</f>
        <v>0</v>
      </c>
      <c r="M40" s="74">
        <f>+GETPIVOTDATA("XQT4",'quangthanh (2016)'!$A$3,"MA_HT","DKG","MA_QH","RPH")</f>
        <v>0</v>
      </c>
      <c r="N40" s="74">
        <f>+GETPIVOTDATA("XQT4",'quangthanh (2016)'!$A$3,"MA_HT","DKG","MA_QH","RDD")</f>
        <v>0</v>
      </c>
      <c r="O40" s="74">
        <f>+GETPIVOTDATA("XQT4",'quangthanh (2016)'!$A$3,"MA_HT","DKG","MA_QH","NTS")</f>
        <v>0</v>
      </c>
      <c r="P40" s="74">
        <f>+GETPIVOTDATA("XQT4",'quangthanh (2016)'!$A$3,"MA_HT","DKG","MA_QH","LMU")</f>
        <v>0</v>
      </c>
      <c r="Q40" s="74">
        <f>+GETPIVOTDATA("XQT4",'quangthanh (2016)'!$A$3,"MA_HT","DKG","MA_QH","NKH")</f>
        <v>0</v>
      </c>
      <c r="R40" s="72">
        <f>SUM(S40:AA40,AN40:BD40)</f>
        <v>0</v>
      </c>
      <c r="S40" s="74">
        <f>+GETPIVOTDATA("XQT4",'quangthanh (2016)'!$A$3,"MA_HT","DKG","MA_QH","CQP")</f>
        <v>0</v>
      </c>
      <c r="T40" s="74">
        <f>+GETPIVOTDATA("XQT4",'quangthanh (2016)'!$A$3,"MA_HT","DKG","MA_QH","CAN")</f>
        <v>0</v>
      </c>
      <c r="U40" s="74">
        <f>+GETPIVOTDATA("XQT4",'quangthanh (2016)'!$A$3,"MA_HT","DKG","MA_QH","SKK")</f>
        <v>0</v>
      </c>
      <c r="V40" s="74">
        <f>+GETPIVOTDATA("XQT4",'quangthanh (2016)'!$A$3,"MA_HT","DKG","MA_QH","SKT")</f>
        <v>0</v>
      </c>
      <c r="W40" s="74">
        <f>+GETPIVOTDATA("XQT4",'quangthanh (2016)'!$A$3,"MA_HT","DKG","MA_QH","SKN")</f>
        <v>0</v>
      </c>
      <c r="X40" s="74">
        <f>+GETPIVOTDATA("XQT4",'quangthanh (2016)'!$A$3,"MA_HT","DKG","MA_QH","TMD")</f>
        <v>0</v>
      </c>
      <c r="Y40" s="74">
        <f>+GETPIVOTDATA("XQT4",'quangthanh (2016)'!$A$3,"MA_HT","DKG","MA_QH","SKC")</f>
        <v>0</v>
      </c>
      <c r="Z40" s="74">
        <f>+GETPIVOTDATA("XQT4",'quangthanh (2016)'!$A$3,"MA_HT","DKG","MA_QH","SKS")</f>
        <v>0</v>
      </c>
      <c r="AA40" s="64">
        <f>+SUM(AB40:AL40)</f>
        <v>0</v>
      </c>
      <c r="AB40" s="74">
        <f>+GETPIVOTDATA("XQT4",'quangthanh (2016)'!$A$3,"MA_HT","DKG","MA_QH","DGT")</f>
        <v>0</v>
      </c>
      <c r="AC40" s="74">
        <f>+GETPIVOTDATA("XQT4",'quangthanh (2016)'!$A$3,"MA_HT","DKG","MA_QH","DTL")</f>
        <v>0</v>
      </c>
      <c r="AD40" s="74">
        <f>+GETPIVOTDATA("XQT4",'quangthanh (2016)'!$A$3,"MA_HT","DKG","MA_QH","DNL")</f>
        <v>0</v>
      </c>
      <c r="AE40" s="74">
        <f>+GETPIVOTDATA("XQT4",'quangthanh (2016)'!$A$3,"MA_HT","DKG","MA_QH","DBV")</f>
        <v>0</v>
      </c>
      <c r="AF40" s="74">
        <f>+GETPIVOTDATA("XQT4",'quangthanh (2016)'!$A$3,"MA_HT","DKG","MA_QH","DVH")</f>
        <v>0</v>
      </c>
      <c r="AG40" s="74">
        <f>+GETPIVOTDATA("XQT4",'quangthanh (2016)'!$A$3,"MA_HT","DKG","MA_QH","DYT")</f>
        <v>0</v>
      </c>
      <c r="AH40" s="74">
        <f>+GETPIVOTDATA("XQT4",'quangthanh (2016)'!$A$3,"MA_HT","DKG","MA_QH","DGD")</f>
        <v>0</v>
      </c>
      <c r="AI40" s="74">
        <f>+GETPIVOTDATA("XQT4",'quangthanh (2016)'!$A$3,"MA_HT","DKG","MA_QH","DTT")</f>
        <v>0</v>
      </c>
      <c r="AJ40" s="74">
        <f>+GETPIVOTDATA("XQT4",'quangthanh (2016)'!$A$3,"MA_HT","DKG","MA_QH","NCK")</f>
        <v>0</v>
      </c>
      <c r="AK40" s="74">
        <f>+GETPIVOTDATA("XQT4",'quangthanh (2016)'!$A$3,"MA_HT","DKG","MA_QH","DXH")</f>
        <v>0</v>
      </c>
      <c r="AL40" s="122">
        <f>+GETPIVOTDATA("XQT4",'quangthanh (2016)'!$A$3,"MA_HT","DDT","MA_QH","DKG")</f>
        <v>0</v>
      </c>
      <c r="AM40" s="100" t="e">
        <f>$D40-$BF40</f>
        <v>#REF!</v>
      </c>
      <c r="AN40" s="74">
        <f>+GETPIVOTDATA("XQT4",'quangthanh (2016)'!$A$3,"MA_HT","DKG","MA_QH","DDT")</f>
        <v>0</v>
      </c>
      <c r="AO40" s="74">
        <f>+GETPIVOTDATA("XQT4",'quangthanh (2016)'!$A$3,"MA_HT","DKG","MA_QH","DDL")</f>
        <v>0</v>
      </c>
      <c r="AP40" s="74">
        <f>+GETPIVOTDATA("XQT4",'quangthanh (2016)'!$A$3,"MA_HT","DKG","MA_QH","DRA")</f>
        <v>0</v>
      </c>
      <c r="AQ40" s="74">
        <f>+GETPIVOTDATA("XQT4",'quangthanh (2016)'!$A$3,"MA_HT","DKG","MA_QH","ONT")</f>
        <v>0</v>
      </c>
      <c r="AR40" s="74">
        <f>+GETPIVOTDATA("XQT4",'quangthanh (2016)'!$A$3,"MA_HT","DKG","MA_QH","ODT")</f>
        <v>0</v>
      </c>
      <c r="AS40" s="74">
        <f>+GETPIVOTDATA("XQT4",'quangthanh (2016)'!$A$3,"MA_HT","DKG","MA_QH","TSC")</f>
        <v>0</v>
      </c>
      <c r="AT40" s="74">
        <f>+GETPIVOTDATA("XQT4",'quangthanh (2016)'!$A$3,"MA_HT","DKG","MA_QH","DTS")</f>
        <v>0</v>
      </c>
      <c r="AU40" s="74">
        <f>+GETPIVOTDATA("XQT4",'quangthanh (2016)'!$A$3,"MA_HT","DKG","MA_QH","DNG")</f>
        <v>0</v>
      </c>
      <c r="AV40" s="74">
        <f>+GETPIVOTDATA("XQT4",'quangthanh (2016)'!$A$3,"MA_HT","DKG","MA_QH","TON")</f>
        <v>0</v>
      </c>
      <c r="AW40" s="74">
        <f>+GETPIVOTDATA("XQT4",'quangthanh (2016)'!$A$3,"MA_HT","DKG","MA_QH","NTD")</f>
        <v>0</v>
      </c>
      <c r="AX40" s="74">
        <f>+GETPIVOTDATA("XQT4",'quangthanh (2016)'!$A$3,"MA_HT","DKG","MA_QH","SKX")</f>
        <v>0</v>
      </c>
      <c r="AY40" s="74">
        <f>+GETPIVOTDATA("XQT4",'quangthanh (2016)'!$A$3,"MA_HT","DKG","MA_QH","DSH")</f>
        <v>0</v>
      </c>
      <c r="AZ40" s="74">
        <f>+GETPIVOTDATA("XQT4",'quangthanh (2016)'!$A$3,"MA_HT","DKG","MA_QH","DKV")</f>
        <v>0</v>
      </c>
      <c r="BA40" s="139">
        <f>+GETPIVOTDATA("XQT4",'quangthanh (2016)'!$A$3,"MA_HT","DKG","MA_QH","TIN")</f>
        <v>0</v>
      </c>
      <c r="BB40" s="74">
        <f>+GETPIVOTDATA("XQT4",'quangthanh (2016)'!$A$3,"MA_HT","DKG","MA_QH","SON")</f>
        <v>0</v>
      </c>
      <c r="BC40" s="74">
        <f>+GETPIVOTDATA("XQT4",'quangthanh (2016)'!$A$3,"MA_HT","DKG","MA_QH","MNC")</f>
        <v>0</v>
      </c>
      <c r="BD40" s="74">
        <f>+GETPIVOTDATA("XQT4",'quangthanh (2016)'!$A$3,"MA_HT","DKG","MA_QH","PNK")</f>
        <v>0</v>
      </c>
      <c r="BE40" s="102">
        <f>+GETPIVOTDATA("XQT4",'quangthanh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+GETPIVOTDATA("XQT4",'quangthanh (2016)'!$A$3,"MA_HT","DDT","MA_QH","LUC")</f>
        <v>0</v>
      </c>
      <c r="H41" s="122">
        <f>+GETPIVOTDATA("XQT4",'quangthanh (2016)'!$A$3,"MA_HT","DDT","MA_QH","LUK")</f>
        <v>0</v>
      </c>
      <c r="I41" s="122">
        <f>+GETPIVOTDATA("XQT4",'quangthanh (2016)'!$A$3,"MA_HT","DDT","MA_QH","LUN")</f>
        <v>0</v>
      </c>
      <c r="J41" s="122">
        <f>+GETPIVOTDATA("XQT4",'quangthanh (2016)'!$A$3,"MA_HT","DDT","MA_QH","HNK")</f>
        <v>0</v>
      </c>
      <c r="K41" s="122">
        <f>+GETPIVOTDATA("XQT4",'quangthanh (2016)'!$A$3,"MA_HT","DDT","MA_QH","CLN")</f>
        <v>0</v>
      </c>
      <c r="L41" s="122">
        <f>+GETPIVOTDATA("XQT4",'quangthanh (2016)'!$A$3,"MA_HT","DDT","MA_QH","RSX")</f>
        <v>0</v>
      </c>
      <c r="M41" s="122">
        <f>+GETPIVOTDATA("XQT4",'quangthanh (2016)'!$A$3,"MA_HT","DDT","MA_QH","RPH")</f>
        <v>0</v>
      </c>
      <c r="N41" s="122">
        <f>+GETPIVOTDATA("XQT4",'quangthanh (2016)'!$A$3,"MA_HT","DDT","MA_QH","RDD")</f>
        <v>0</v>
      </c>
      <c r="O41" s="122">
        <f>+GETPIVOTDATA("XQT4",'quangthanh (2016)'!$A$3,"MA_HT","DDT","MA_QH","NTS")</f>
        <v>0</v>
      </c>
      <c r="P41" s="122">
        <f>+GETPIVOTDATA("XQT4",'quangthanh (2016)'!$A$3,"MA_HT","DDT","MA_QH","LMU")</f>
        <v>0</v>
      </c>
      <c r="Q41" s="122">
        <f>+GETPIVOTDATA("XQT4",'quangthanh (2016)'!$A$3,"MA_HT","DDT","MA_QH","NKH")</f>
        <v>0</v>
      </c>
      <c r="R41" s="123">
        <f>SUM(S41:AA41,AO41:BD41)</f>
        <v>0</v>
      </c>
      <c r="S41" s="122">
        <f>+GETPIVOTDATA("XQT4",'quangthanh (2016)'!$A$3,"MA_HT","DDT","MA_QH","CQP")</f>
        <v>0</v>
      </c>
      <c r="T41" s="122">
        <f>+GETPIVOTDATA("XQT4",'quangthanh (2016)'!$A$3,"MA_HT","DDT","MA_QH","CAN")</f>
        <v>0</v>
      </c>
      <c r="U41" s="122">
        <f>+GETPIVOTDATA("XQT4",'quangthanh (2016)'!$A$3,"MA_HT","DDT","MA_QH","SKK")</f>
        <v>0</v>
      </c>
      <c r="V41" s="122">
        <f>+GETPIVOTDATA("XQT4",'quangthanh (2016)'!$A$3,"MA_HT","DDT","MA_QH","SKT")</f>
        <v>0</v>
      </c>
      <c r="W41" s="122">
        <f>+GETPIVOTDATA("XQT4",'quangthanh (2016)'!$A$3,"MA_HT","DDT","MA_QH","SKN")</f>
        <v>0</v>
      </c>
      <c r="X41" s="122">
        <f>+GETPIVOTDATA("XQT4",'quangthanh (2016)'!$A$3,"MA_HT","DDT","MA_QH","TMD")</f>
        <v>0</v>
      </c>
      <c r="Y41" s="122">
        <f>+GETPIVOTDATA("XQT4",'quangthanh (2016)'!$A$3,"MA_HT","DDT","MA_QH","SKC")</f>
        <v>0</v>
      </c>
      <c r="Z41" s="122">
        <f>+GETPIVOTDATA("XQT4",'quangthanh (2016)'!$A$3,"MA_HT","DDT","MA_QH","SKS")</f>
        <v>0</v>
      </c>
      <c r="AA41" s="121">
        <f t="shared" ref="AA41:AA58" si="21">+SUM(AB41:AM41)</f>
        <v>0</v>
      </c>
      <c r="AB41" s="122">
        <f>+GETPIVOTDATA("XQT4",'quangthanh (2016)'!$A$3,"MA_HT","DDT","MA_QH","DGT")</f>
        <v>0</v>
      </c>
      <c r="AC41" s="122">
        <f>+GETPIVOTDATA("XQT4",'quangthanh (2016)'!$A$3,"MA_HT","DDT","MA_QH","DTL")</f>
        <v>0</v>
      </c>
      <c r="AD41" s="122">
        <f>+GETPIVOTDATA("XQT4",'quangthanh (2016)'!$A$3,"MA_HT","DDT","MA_QH","DNL")</f>
        <v>0</v>
      </c>
      <c r="AE41" s="122">
        <f>+GETPIVOTDATA("XQT4",'quangthanh (2016)'!$A$3,"MA_HT","DDT","MA_QH","DBV")</f>
        <v>0</v>
      </c>
      <c r="AF41" s="122">
        <f>+GETPIVOTDATA("XQT4",'quangthanh (2016)'!$A$3,"MA_HT","DDT","MA_QH","DVH")</f>
        <v>0</v>
      </c>
      <c r="AG41" s="122">
        <f>+GETPIVOTDATA("XQT4",'quangthanh (2016)'!$A$3,"MA_HT","DDT","MA_QH","DYT")</f>
        <v>0</v>
      </c>
      <c r="AH41" s="122">
        <f>+GETPIVOTDATA("XQT4",'quangthanh (2016)'!$A$3,"MA_HT","DDT","MA_QH","DGD")</f>
        <v>0</v>
      </c>
      <c r="AI41" s="122">
        <f>+GETPIVOTDATA("XQT4",'quangthanh (2016)'!$A$3,"MA_HT","DDT","MA_QH","DTT")</f>
        <v>0</v>
      </c>
      <c r="AJ41" s="122">
        <f>+GETPIVOTDATA("XQT4",'quangthanh (2016)'!$A$3,"MA_HT","DDT","MA_QH","NCK")</f>
        <v>0</v>
      </c>
      <c r="AK41" s="122">
        <f>+GETPIVOTDATA("XQT4",'quangthanh (2016)'!$A$3,"MA_HT","DDT","MA_QH","DXH")</f>
        <v>0</v>
      </c>
      <c r="AL41" s="122">
        <f>+GETPIVOTDATA("XQT4",'quangthanh (2016)'!$A$3,"MA_HT","DDT","MA_QH","DCH")</f>
        <v>0</v>
      </c>
      <c r="AM41" s="122">
        <f>+GETPIVOTDATA("XQT4",'quangthanh (2016)'!$A$3,"MA_HT","DDT","MA_QH","DKG")</f>
        <v>0</v>
      </c>
      <c r="AN41" s="124" t="e">
        <f>$D41-$BF41</f>
        <v>#REF!</v>
      </c>
      <c r="AO41" s="122">
        <f>+GETPIVOTDATA("XQT4",'quangthanh (2016)'!$A$3,"MA_HT","DDT","MA_QH","DDL")</f>
        <v>0</v>
      </c>
      <c r="AP41" s="122">
        <f>+GETPIVOTDATA("XQT4",'quangthanh (2016)'!$A$3,"MA_HT","DDT","MA_QH","DRA")</f>
        <v>0</v>
      </c>
      <c r="AQ41" s="122">
        <f>+GETPIVOTDATA("XQT4",'quangthanh (2016)'!$A$3,"MA_HT","DDT","MA_QH","ONT")</f>
        <v>0</v>
      </c>
      <c r="AR41" s="122">
        <f>+GETPIVOTDATA("XQT4",'quangthanh (2016)'!$A$3,"MA_HT","DDT","MA_QH","ODT")</f>
        <v>0</v>
      </c>
      <c r="AS41" s="122">
        <f>+GETPIVOTDATA("XQT4",'quangthanh (2016)'!$A$3,"MA_HT","DDT","MA_QH","TSC")</f>
        <v>0</v>
      </c>
      <c r="AT41" s="122">
        <f>+GETPIVOTDATA("XQT4",'quangthanh (2016)'!$A$3,"MA_HT","DDT","MA_QH","DTS")</f>
        <v>0</v>
      </c>
      <c r="AU41" s="122">
        <f>+GETPIVOTDATA("XQT4",'quangthanh (2016)'!$A$3,"MA_HT","DDT","MA_QH","DNG")</f>
        <v>0</v>
      </c>
      <c r="AV41" s="122">
        <f>+GETPIVOTDATA("XQT4",'quangthanh (2016)'!$A$3,"MA_HT","DDT","MA_QH","TON")</f>
        <v>0</v>
      </c>
      <c r="AW41" s="122">
        <f>+GETPIVOTDATA("XQT4",'quangthanh (2016)'!$A$3,"MA_HT","DDT","MA_QH","NTD")</f>
        <v>0</v>
      </c>
      <c r="AX41" s="122">
        <f>+GETPIVOTDATA("XQT4",'quangthanh (2016)'!$A$3,"MA_HT","DDT","MA_QH","SKX")</f>
        <v>0</v>
      </c>
      <c r="AY41" s="122">
        <f>+GETPIVOTDATA("XQT4",'quangthanh (2016)'!$A$3,"MA_HT","DDT","MA_QH","DSH")</f>
        <v>0</v>
      </c>
      <c r="AZ41" s="122">
        <f>+GETPIVOTDATA("XQT4",'quangthanh (2016)'!$A$3,"MA_HT","DDT","MA_QH","DKV")</f>
        <v>0</v>
      </c>
      <c r="BA41" s="141">
        <f>+GETPIVOTDATA("XQT4",'quangthanh (2016)'!$A$3,"MA_HT","DDT","MA_QH","TIN")</f>
        <v>0</v>
      </c>
      <c r="BB41" s="125">
        <f>+GETPIVOTDATA("XQT4",'quangthanh (2016)'!$A$3,"MA_HT","DDT","MA_QH","SON")</f>
        <v>0</v>
      </c>
      <c r="BC41" s="125">
        <f>+GETPIVOTDATA("XQT4",'quangthanh (2016)'!$A$3,"MA_HT","DDT","MA_QH","MNC")</f>
        <v>0</v>
      </c>
      <c r="BD41" s="122">
        <f>+GETPIVOTDATA("XQT4",'quangthanh (2016)'!$A$3,"MA_HT","DDT","MA_QH","PNK")</f>
        <v>0</v>
      </c>
      <c r="BE41" s="126">
        <f>+GETPIVOTDATA("XQT4",'quangthanh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+GETPIVOTDATA("XQT4",'quangthanh (2016)'!$A$3,"MA_HT","DDL","MA_QH","LUC")</f>
        <v>0</v>
      </c>
      <c r="H42" s="35">
        <f>+GETPIVOTDATA("XQT4",'quangthanh (2016)'!$A$3,"MA_HT","DDL","MA_QH","LUK")</f>
        <v>0</v>
      </c>
      <c r="I42" s="35">
        <f>+GETPIVOTDATA("XQT4",'quangthanh (2016)'!$A$3,"MA_HT","DDL","MA_QH","LUN")</f>
        <v>0</v>
      </c>
      <c r="J42" s="35">
        <f>+GETPIVOTDATA("XQT4",'quangthanh (2016)'!$A$3,"MA_HT","DDL","MA_QH","HNK")</f>
        <v>0</v>
      </c>
      <c r="K42" s="35">
        <f>+GETPIVOTDATA("XQT4",'quangthanh (2016)'!$A$3,"MA_HT","DDL","MA_QH","CLN")</f>
        <v>0</v>
      </c>
      <c r="L42" s="35">
        <f>+GETPIVOTDATA("XQT4",'quangthanh (2016)'!$A$3,"MA_HT","DDL","MA_QH","RSX")</f>
        <v>0</v>
      </c>
      <c r="M42" s="35">
        <f>+GETPIVOTDATA("XQT4",'quangthanh (2016)'!$A$3,"MA_HT","DDL","MA_QH","RPH")</f>
        <v>0</v>
      </c>
      <c r="N42" s="35">
        <f>+GETPIVOTDATA("XQT4",'quangthanh (2016)'!$A$3,"MA_HT","DDL","MA_QH","RDD")</f>
        <v>0</v>
      </c>
      <c r="O42" s="35">
        <f>+GETPIVOTDATA("XQT4",'quangthanh (2016)'!$A$3,"MA_HT","DDL","MA_QH","NTS")</f>
        <v>0</v>
      </c>
      <c r="P42" s="35">
        <f>+GETPIVOTDATA("XQT4",'quangthanh (2016)'!$A$3,"MA_HT","DDL","MA_QH","LMU")</f>
        <v>0</v>
      </c>
      <c r="Q42" s="35">
        <f>+GETPIVOTDATA("XQT4",'quangthanh (2016)'!$A$3,"MA_HT","DDL","MA_QH","NKH")</f>
        <v>0</v>
      </c>
      <c r="R42" s="106">
        <f>SUM(S42:AA42,AN42,AP42:BD42)</f>
        <v>0</v>
      </c>
      <c r="S42" s="35">
        <f>+GETPIVOTDATA("XQT4",'quangthanh (2016)'!$A$3,"MA_HT","DDL","MA_QH","CQP")</f>
        <v>0</v>
      </c>
      <c r="T42" s="35">
        <f>+GETPIVOTDATA("XQT4",'quangthanh (2016)'!$A$3,"MA_HT","DDL","MA_QH","CAN")</f>
        <v>0</v>
      </c>
      <c r="U42" s="35">
        <f>+GETPIVOTDATA("XQT4",'quangthanh (2016)'!$A$3,"MA_HT","DDL","MA_QH","SKK")</f>
        <v>0</v>
      </c>
      <c r="V42" s="35">
        <f>+GETPIVOTDATA("XQT4",'quangthanh (2016)'!$A$3,"MA_HT","DDL","MA_QH","SKT")</f>
        <v>0</v>
      </c>
      <c r="W42" s="35">
        <f>+GETPIVOTDATA("XQT4",'quangthanh (2016)'!$A$3,"MA_HT","DDL","MA_QH","SKN")</f>
        <v>0</v>
      </c>
      <c r="X42" s="35">
        <f>+GETPIVOTDATA("XQT4",'quangthanh (2016)'!$A$3,"MA_HT","DDL","MA_QH","TMD")</f>
        <v>0</v>
      </c>
      <c r="Y42" s="35">
        <f>+GETPIVOTDATA("XQT4",'quangthanh (2016)'!$A$3,"MA_HT","DDL","MA_QH","SKC")</f>
        <v>0</v>
      </c>
      <c r="Z42" s="35">
        <f>+GETPIVOTDATA("XQT4",'quangthanh (2016)'!$A$3,"MA_HT","DDL","MA_QH","SKS")</f>
        <v>0</v>
      </c>
      <c r="AA42" s="64">
        <f t="shared" si="21"/>
        <v>0</v>
      </c>
      <c r="AB42" s="35">
        <f>+GETPIVOTDATA("XQT4",'quangthanh (2016)'!$A$3,"MA_HT","DDL","MA_QH","DGT")</f>
        <v>0</v>
      </c>
      <c r="AC42" s="35">
        <f>+GETPIVOTDATA("XQT4",'quangthanh (2016)'!$A$3,"MA_HT","DDL","MA_QH","DTL")</f>
        <v>0</v>
      </c>
      <c r="AD42" s="35">
        <f>+GETPIVOTDATA("XQT4",'quangthanh (2016)'!$A$3,"MA_HT","DDL","MA_QH","DNL")</f>
        <v>0</v>
      </c>
      <c r="AE42" s="35">
        <f>+GETPIVOTDATA("XQT4",'quangthanh (2016)'!$A$3,"MA_HT","DDL","MA_QH","DBV")</f>
        <v>0</v>
      </c>
      <c r="AF42" s="35">
        <f>+GETPIVOTDATA("XQT4",'quangthanh (2016)'!$A$3,"MA_HT","DDL","MA_QH","DVH")</f>
        <v>0</v>
      </c>
      <c r="AG42" s="35">
        <f>+GETPIVOTDATA("XQT4",'quangthanh (2016)'!$A$3,"MA_HT","DDL","MA_QH","DYT")</f>
        <v>0</v>
      </c>
      <c r="AH42" s="35">
        <f>+GETPIVOTDATA("XQT4",'quangthanh (2016)'!$A$3,"MA_HT","DDL","MA_QH","DGD")</f>
        <v>0</v>
      </c>
      <c r="AI42" s="35">
        <f>+GETPIVOTDATA("XQT4",'quangthanh (2016)'!$A$3,"MA_HT","DDL","MA_QH","DTT")</f>
        <v>0</v>
      </c>
      <c r="AJ42" s="35">
        <f>+GETPIVOTDATA("XQT4",'quangthanh (2016)'!$A$3,"MA_HT","DDL","MA_QH","NCK")</f>
        <v>0</v>
      </c>
      <c r="AK42" s="35">
        <f>+GETPIVOTDATA("XQT4",'quangthanh (2016)'!$A$3,"MA_HT","DDL","MA_QH","DXH")</f>
        <v>0</v>
      </c>
      <c r="AL42" s="35">
        <f>+GETPIVOTDATA("XQT4",'quangthanh (2016)'!$A$3,"MA_HT","DDL","MA_QH","DCH")</f>
        <v>0</v>
      </c>
      <c r="AM42" s="35">
        <f>+GETPIVOTDATA("XQT4",'quangthanh (2016)'!$A$3,"MA_HT","DDL","MA_QH","DKG")</f>
        <v>0</v>
      </c>
      <c r="AN42" s="35">
        <f>+GETPIVOTDATA("XQT4",'quangthanh (2016)'!$A$3,"MA_HT","DDL","MA_QH","DDT")</f>
        <v>0</v>
      </c>
      <c r="AO42" s="99" t="e">
        <f>$D42-$BF42</f>
        <v>#REF!</v>
      </c>
      <c r="AP42" s="35">
        <f>+GETPIVOTDATA("XQT4",'quangthanh (2016)'!$A$3,"MA_HT","DDL","MA_QH","DRA")</f>
        <v>0</v>
      </c>
      <c r="AQ42" s="35">
        <f>+GETPIVOTDATA("XQT4",'quangthanh (2016)'!$A$3,"MA_HT","DDL","MA_QH","ONT")</f>
        <v>0</v>
      </c>
      <c r="AR42" s="35">
        <f>+GETPIVOTDATA("XQT4",'quangthanh (2016)'!$A$3,"MA_HT","DDL","MA_QH","ODT")</f>
        <v>0</v>
      </c>
      <c r="AS42" s="35">
        <f>+GETPIVOTDATA("XQT4",'quangthanh (2016)'!$A$3,"MA_HT","DDL","MA_QH","TSC")</f>
        <v>0</v>
      </c>
      <c r="AT42" s="35">
        <f>+GETPIVOTDATA("XQT4",'quangthanh (2016)'!$A$3,"MA_HT","DDL","MA_QH","DTS")</f>
        <v>0</v>
      </c>
      <c r="AU42" s="35">
        <f>+GETPIVOTDATA("XQT4",'quangthanh (2016)'!$A$3,"MA_HT","DDL","MA_QH","DNG")</f>
        <v>0</v>
      </c>
      <c r="AV42" s="35">
        <f>+GETPIVOTDATA("XQT4",'quangthanh (2016)'!$A$3,"MA_HT","DDL","MA_QH","TON")</f>
        <v>0</v>
      </c>
      <c r="AW42" s="35">
        <f>+GETPIVOTDATA("XQT4",'quangthanh (2016)'!$A$3,"MA_HT","DDL","MA_QH","NTD")</f>
        <v>0</v>
      </c>
      <c r="AX42" s="35">
        <f>+GETPIVOTDATA("XQT4",'quangthanh (2016)'!$A$3,"MA_HT","DDL","MA_QH","SKX")</f>
        <v>0</v>
      </c>
      <c r="AY42" s="35">
        <f>+GETPIVOTDATA("XQT4",'quangthanh (2016)'!$A$3,"MA_HT","DDL","MA_QH","DSH")</f>
        <v>0</v>
      </c>
      <c r="AZ42" s="35">
        <f>+GETPIVOTDATA("XQT4",'quangthanh (2016)'!$A$3,"MA_HT","DDL","MA_QH","DKV")</f>
        <v>0</v>
      </c>
      <c r="BA42" s="140">
        <f>+GETPIVOTDATA("XQT4",'quangthanh (2016)'!$A$3,"MA_HT","DDL","MA_QH","TIN")</f>
        <v>0</v>
      </c>
      <c r="BB42" s="74">
        <f>+GETPIVOTDATA("XQT4",'quangthanh (2016)'!$A$3,"MA_HT","DDL","MA_QH","SON")</f>
        <v>0</v>
      </c>
      <c r="BC42" s="74">
        <f>+GETPIVOTDATA("XQT4",'quangthanh (2016)'!$A$3,"MA_HT","DDL","MA_QH","MNC")</f>
        <v>0</v>
      </c>
      <c r="BD42" s="35">
        <f>+GETPIVOTDATA("XQT4",'quangthanh (2016)'!$A$3,"MA_HT","DDL","MA_QH","PNK")</f>
        <v>0</v>
      </c>
      <c r="BE42" s="58">
        <f>+GETPIVOTDATA("XQT4",'quangthanh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+GETPIVOTDATA("XQT4",'quangthanh (2016)'!$A$3,"MA_HT","DRA","MA_QH","LUC")</f>
        <v>0</v>
      </c>
      <c r="H43" s="35">
        <f>+GETPIVOTDATA("XQT4",'quangthanh (2016)'!$A$3,"MA_HT","DRA","MA_QH","LUK")</f>
        <v>0</v>
      </c>
      <c r="I43" s="35">
        <f>+GETPIVOTDATA("XQT4",'quangthanh (2016)'!$A$3,"MA_HT","DRA","MA_QH","LUN")</f>
        <v>0</v>
      </c>
      <c r="J43" s="35">
        <f>+GETPIVOTDATA("XQT4",'quangthanh (2016)'!$A$3,"MA_HT","DRA","MA_QH","HNK")</f>
        <v>0</v>
      </c>
      <c r="K43" s="35">
        <f>+GETPIVOTDATA("XQT4",'quangthanh (2016)'!$A$3,"MA_HT","DRA","MA_QH","CLN")</f>
        <v>0</v>
      </c>
      <c r="L43" s="35">
        <f>+GETPIVOTDATA("XQT4",'quangthanh (2016)'!$A$3,"MA_HT","DRA","MA_QH","RSX")</f>
        <v>0</v>
      </c>
      <c r="M43" s="35">
        <f>+GETPIVOTDATA("XQT4",'quangthanh (2016)'!$A$3,"MA_HT","DRA","MA_QH","RPH")</f>
        <v>0</v>
      </c>
      <c r="N43" s="35">
        <f>+GETPIVOTDATA("XQT4",'quangthanh (2016)'!$A$3,"MA_HT","DRA","MA_QH","RDD")</f>
        <v>0</v>
      </c>
      <c r="O43" s="35">
        <f>+GETPIVOTDATA("XQT4",'quangthanh (2016)'!$A$3,"MA_HT","DRA","MA_QH","NTS")</f>
        <v>0</v>
      </c>
      <c r="P43" s="35">
        <f>+GETPIVOTDATA("XQT4",'quangthanh (2016)'!$A$3,"MA_HT","DRA","MA_QH","LMU")</f>
        <v>0</v>
      </c>
      <c r="Q43" s="35">
        <f>+GETPIVOTDATA("XQT4",'quangthanh (2016)'!$A$3,"MA_HT","DRA","MA_QH","NKH")</f>
        <v>0</v>
      </c>
      <c r="R43" s="106">
        <f>SUM(S43:AA43,AN43:AO43,AQ43:BD43)</f>
        <v>0</v>
      </c>
      <c r="S43" s="35">
        <f>+GETPIVOTDATA("XQT4",'quangthanh (2016)'!$A$3,"MA_HT","DRA","MA_QH","CQP")</f>
        <v>0</v>
      </c>
      <c r="T43" s="35">
        <f>+GETPIVOTDATA("XQT4",'quangthanh (2016)'!$A$3,"MA_HT","DRA","MA_QH","CAN")</f>
        <v>0</v>
      </c>
      <c r="U43" s="35">
        <f>+GETPIVOTDATA("XQT4",'quangthanh (2016)'!$A$3,"MA_HT","DRA","MA_QH","SKK")</f>
        <v>0</v>
      </c>
      <c r="V43" s="35">
        <f>+GETPIVOTDATA("XQT4",'quangthanh (2016)'!$A$3,"MA_HT","DRA","MA_QH","SKT")</f>
        <v>0</v>
      </c>
      <c r="W43" s="35">
        <f>+GETPIVOTDATA("XQT4",'quangthanh (2016)'!$A$3,"MA_HT","DRA","MA_QH","SKN")</f>
        <v>0</v>
      </c>
      <c r="X43" s="35">
        <f>+GETPIVOTDATA("XQT4",'quangthanh (2016)'!$A$3,"MA_HT","DRA","MA_QH","TMD")</f>
        <v>0</v>
      </c>
      <c r="Y43" s="35">
        <f>+GETPIVOTDATA("XQT4",'quangthanh (2016)'!$A$3,"MA_HT","DRA","MA_QH","SKC")</f>
        <v>0</v>
      </c>
      <c r="Z43" s="35">
        <f>+GETPIVOTDATA("XQT4",'quangthanh (2016)'!$A$3,"MA_HT","DRA","MA_QH","SKS")</f>
        <v>0</v>
      </c>
      <c r="AA43" s="64">
        <f t="shared" si="21"/>
        <v>0</v>
      </c>
      <c r="AB43" s="35">
        <f>+GETPIVOTDATA("XQT4",'quangthanh (2016)'!$A$3,"MA_HT","DRA","MA_QH","DGT")</f>
        <v>0</v>
      </c>
      <c r="AC43" s="35">
        <f>+GETPIVOTDATA("XQT4",'quangthanh (2016)'!$A$3,"MA_HT","DRA","MA_QH","DTL")</f>
        <v>0</v>
      </c>
      <c r="AD43" s="35">
        <f>+GETPIVOTDATA("XQT4",'quangthanh (2016)'!$A$3,"MA_HT","DRA","MA_QH","DNL")</f>
        <v>0</v>
      </c>
      <c r="AE43" s="35">
        <f>+GETPIVOTDATA("XQT4",'quangthanh (2016)'!$A$3,"MA_HT","DRA","MA_QH","DBV")</f>
        <v>0</v>
      </c>
      <c r="AF43" s="35">
        <f>+GETPIVOTDATA("XQT4",'quangthanh (2016)'!$A$3,"MA_HT","DRA","MA_QH","DVH")</f>
        <v>0</v>
      </c>
      <c r="AG43" s="35">
        <f>+GETPIVOTDATA("XQT4",'quangthanh (2016)'!$A$3,"MA_HT","DRA","MA_QH","DYT")</f>
        <v>0</v>
      </c>
      <c r="AH43" s="35">
        <f>+GETPIVOTDATA("XQT4",'quangthanh (2016)'!$A$3,"MA_HT","DRA","MA_QH","DGD")</f>
        <v>0</v>
      </c>
      <c r="AI43" s="35">
        <f>+GETPIVOTDATA("XQT4",'quangthanh (2016)'!$A$3,"MA_HT","DRA","MA_QH","DTT")</f>
        <v>0</v>
      </c>
      <c r="AJ43" s="35">
        <f>+GETPIVOTDATA("XQT4",'quangthanh (2016)'!$A$3,"MA_HT","DRA","MA_QH","NCK")</f>
        <v>0</v>
      </c>
      <c r="AK43" s="35">
        <f>+GETPIVOTDATA("XQT4",'quangthanh (2016)'!$A$3,"MA_HT","DRA","MA_QH","DXH")</f>
        <v>0</v>
      </c>
      <c r="AL43" s="35">
        <f>+GETPIVOTDATA("XQT4",'quangthanh (2016)'!$A$3,"MA_HT","DRA","MA_QH","DCH")</f>
        <v>0</v>
      </c>
      <c r="AM43" s="35">
        <f>+GETPIVOTDATA("XQT4",'quangthanh (2016)'!$A$3,"MA_HT","DRA","MA_QH","DKG")</f>
        <v>0</v>
      </c>
      <c r="AN43" s="35">
        <f>+GETPIVOTDATA("XQT4",'quangthanh (2016)'!$A$3,"MA_HT","DRA","MA_QH","DDT")</f>
        <v>0</v>
      </c>
      <c r="AO43" s="35">
        <f>+GETPIVOTDATA("XQT4",'quangthanh (2016)'!$A$3,"MA_HT","DRA","MA_QH","DDL")</f>
        <v>0</v>
      </c>
      <c r="AP43" s="99" t="e">
        <f>$D43-$BF43</f>
        <v>#REF!</v>
      </c>
      <c r="AQ43" s="35">
        <f>+GETPIVOTDATA("XQT4",'quangthanh (2016)'!$A$3,"MA_HT","DRA","MA_QH","ONT")</f>
        <v>0</v>
      </c>
      <c r="AR43" s="35">
        <f>+GETPIVOTDATA("XQT4",'quangthanh (2016)'!$A$3,"MA_HT","DRA","MA_QH","ODT")</f>
        <v>0</v>
      </c>
      <c r="AS43" s="35">
        <f>+GETPIVOTDATA("XQT4",'quangthanh (2016)'!$A$3,"MA_HT","DRA","MA_QH","TSC")</f>
        <v>0</v>
      </c>
      <c r="AT43" s="35">
        <f>+GETPIVOTDATA("XQT4",'quangthanh (2016)'!$A$3,"MA_HT","DRA","MA_QH","DTS")</f>
        <v>0</v>
      </c>
      <c r="AU43" s="35">
        <f>+GETPIVOTDATA("XQT4",'quangthanh (2016)'!$A$3,"MA_HT","DRA","MA_QH","DNG")</f>
        <v>0</v>
      </c>
      <c r="AV43" s="35">
        <f>+GETPIVOTDATA("XQT4",'quangthanh (2016)'!$A$3,"MA_HT","DRA","MA_QH","TON")</f>
        <v>0</v>
      </c>
      <c r="AW43" s="35">
        <f>+GETPIVOTDATA("XQT4",'quangthanh (2016)'!$A$3,"MA_HT","DRA","MA_QH","NTD")</f>
        <v>0</v>
      </c>
      <c r="AX43" s="35">
        <f>+GETPIVOTDATA("XQT4",'quangthanh (2016)'!$A$3,"MA_HT","DRA","MA_QH","SKX")</f>
        <v>0</v>
      </c>
      <c r="AY43" s="35">
        <f>+GETPIVOTDATA("XQT4",'quangthanh (2016)'!$A$3,"MA_HT","DRA","MA_QH","DSH")</f>
        <v>0</v>
      </c>
      <c r="AZ43" s="35">
        <f>+GETPIVOTDATA("XQT4",'quangthanh (2016)'!$A$3,"MA_HT","DRA","MA_QH","DKV")</f>
        <v>0</v>
      </c>
      <c r="BA43" s="140">
        <f>+GETPIVOTDATA("XQT4",'quangthanh (2016)'!$A$3,"MA_HT","DRA","MA_QH","TIN")</f>
        <v>0</v>
      </c>
      <c r="BB43" s="74">
        <f>+GETPIVOTDATA("XQT4",'quangthanh (2016)'!$A$3,"MA_HT","DRA","MA_QH","SON")</f>
        <v>0</v>
      </c>
      <c r="BC43" s="74">
        <f>+GETPIVOTDATA("XQT4",'quangthanh (2016)'!$A$3,"MA_HT","DRA","MA_QH","MNC")</f>
        <v>0</v>
      </c>
      <c r="BD43" s="35">
        <f>+GETPIVOTDATA("XQT4",'quangthanh (2016)'!$A$3,"MA_HT","DRA","MA_QH","PNK")</f>
        <v>0</v>
      </c>
      <c r="BE43" s="58">
        <f>+GETPIVOTDATA("XQT4",'quangthanh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+GETPIVOTDATA("XQT4",'quangthanh (2016)'!$A$3,"MA_HT","ONT","MA_QH","LUC")</f>
        <v>0</v>
      </c>
      <c r="H44" s="35">
        <f>+GETPIVOTDATA("XQT4",'quangthanh (2016)'!$A$3,"MA_HT","ONT","MA_QH","LUK")</f>
        <v>0</v>
      </c>
      <c r="I44" s="35">
        <f>+GETPIVOTDATA("XQT4",'quangthanh (2016)'!$A$3,"MA_HT","ONT","MA_QH","LUN")</f>
        <v>0</v>
      </c>
      <c r="J44" s="35">
        <f>+GETPIVOTDATA("XQT4",'quangthanh (2016)'!$A$3,"MA_HT","ONT","MA_QH","HNK")</f>
        <v>0</v>
      </c>
      <c r="K44" s="35">
        <f>+GETPIVOTDATA("XQT4",'quangthanh (2016)'!$A$3,"MA_HT","ONT","MA_QH","CLN")</f>
        <v>0</v>
      </c>
      <c r="L44" s="35">
        <f>+GETPIVOTDATA("XQT4",'quangthanh (2016)'!$A$3,"MA_HT","ONT","MA_QH","RSX")</f>
        <v>0</v>
      </c>
      <c r="M44" s="35">
        <f>+GETPIVOTDATA("XQT4",'quangthanh (2016)'!$A$3,"MA_HT","ONT","MA_QH","RPH")</f>
        <v>0</v>
      </c>
      <c r="N44" s="35">
        <f>+GETPIVOTDATA("XQT4",'quangthanh (2016)'!$A$3,"MA_HT","ONT","MA_QH","RDD")</f>
        <v>0</v>
      </c>
      <c r="O44" s="35">
        <f>+GETPIVOTDATA("XQT4",'quangthanh (2016)'!$A$3,"MA_HT","ONT","MA_QH","NTS")</f>
        <v>0</v>
      </c>
      <c r="P44" s="35">
        <f>+GETPIVOTDATA("XQT4",'quangthanh (2016)'!$A$3,"MA_HT","ONT","MA_QH","LMU")</f>
        <v>0</v>
      </c>
      <c r="Q44" s="35">
        <f>+GETPIVOTDATA("XQT4",'quangthanh (2016)'!$A$3,"MA_HT","ONT","MA_QH","NKH")</f>
        <v>0</v>
      </c>
      <c r="R44" s="106">
        <f>SUM(S44:AA44,AN44:AP44,AR44:BD44)</f>
        <v>0</v>
      </c>
      <c r="S44" s="35">
        <f>+GETPIVOTDATA("XQT4",'quangthanh (2016)'!$A$3,"MA_HT","ONT","MA_QH","CQP")</f>
        <v>0</v>
      </c>
      <c r="T44" s="35">
        <f>+GETPIVOTDATA("XQT4",'quangthanh (2016)'!$A$3,"MA_HT","ONT","MA_QH","CAN")</f>
        <v>0</v>
      </c>
      <c r="U44" s="35">
        <f>+GETPIVOTDATA("XQT4",'quangthanh (2016)'!$A$3,"MA_HT","ONT","MA_QH","SKK")</f>
        <v>0</v>
      </c>
      <c r="V44" s="35">
        <f>+GETPIVOTDATA("XQT4",'quangthanh (2016)'!$A$3,"MA_HT","ONT","MA_QH","SKT")</f>
        <v>0</v>
      </c>
      <c r="W44" s="35">
        <f>+GETPIVOTDATA("XQT4",'quangthanh (2016)'!$A$3,"MA_HT","ONT","MA_QH","SKN")</f>
        <v>0</v>
      </c>
      <c r="X44" s="35">
        <f>+GETPIVOTDATA("XQT4",'quangthanh (2016)'!$A$3,"MA_HT","ONT","MA_QH","TMD")</f>
        <v>0</v>
      </c>
      <c r="Y44" s="35">
        <f>+GETPIVOTDATA("XQT4",'quangthanh (2016)'!$A$3,"MA_HT","ONT","MA_QH","SKC")</f>
        <v>0</v>
      </c>
      <c r="Z44" s="35">
        <f>+GETPIVOTDATA("XQT4",'quangthanh (2016)'!$A$3,"MA_HT","ONT","MA_QH","SKS")</f>
        <v>0</v>
      </c>
      <c r="AA44" s="64">
        <f t="shared" si="21"/>
        <v>0</v>
      </c>
      <c r="AB44" s="35">
        <f>+GETPIVOTDATA("XQT4",'quangthanh (2016)'!$A$3,"MA_HT","ONT","MA_QH","DGT")</f>
        <v>0</v>
      </c>
      <c r="AC44" s="35">
        <f>+GETPIVOTDATA("XQT4",'quangthanh (2016)'!$A$3,"MA_HT","ONT","MA_QH","DTL")</f>
        <v>0</v>
      </c>
      <c r="AD44" s="35">
        <f>+GETPIVOTDATA("XQT4",'quangthanh (2016)'!$A$3,"MA_HT","ONT","MA_QH","DNL")</f>
        <v>0</v>
      </c>
      <c r="AE44" s="35">
        <f>+GETPIVOTDATA("XQT4",'quangthanh (2016)'!$A$3,"MA_HT","ONT","MA_QH","DBV")</f>
        <v>0</v>
      </c>
      <c r="AF44" s="35">
        <f>+GETPIVOTDATA("XQT4",'quangthanh (2016)'!$A$3,"MA_HT","ONT","MA_QH","DVH")</f>
        <v>0</v>
      </c>
      <c r="AG44" s="35">
        <f>+GETPIVOTDATA("XQT4",'quangthanh (2016)'!$A$3,"MA_HT","ONT","MA_QH","DYT")</f>
        <v>0</v>
      </c>
      <c r="AH44" s="35">
        <f>+GETPIVOTDATA("XQT4",'quangthanh (2016)'!$A$3,"MA_HT","ONT","MA_QH","DGD")</f>
        <v>0</v>
      </c>
      <c r="AI44" s="35">
        <f>+GETPIVOTDATA("XQT4",'quangthanh (2016)'!$A$3,"MA_HT","ONT","MA_QH","DTT")</f>
        <v>0</v>
      </c>
      <c r="AJ44" s="35">
        <f>+GETPIVOTDATA("XQT4",'quangthanh (2016)'!$A$3,"MA_HT","ONT","MA_QH","NCK")</f>
        <v>0</v>
      </c>
      <c r="AK44" s="35">
        <f>+GETPIVOTDATA("XQT4",'quangthanh (2016)'!$A$3,"MA_HT","ONT","MA_QH","DXH")</f>
        <v>0</v>
      </c>
      <c r="AL44" s="35">
        <f>+GETPIVOTDATA("XQT4",'quangthanh (2016)'!$A$3,"MA_HT","ONT","MA_QH","DCH")</f>
        <v>0</v>
      </c>
      <c r="AM44" s="35">
        <f>+GETPIVOTDATA("XQT4",'quangthanh (2016)'!$A$3,"MA_HT","ONT","MA_QH","DKG")</f>
        <v>0</v>
      </c>
      <c r="AN44" s="35">
        <f>+GETPIVOTDATA("XQT4",'quangthanh (2016)'!$A$3,"MA_HT","ONT","MA_QH","DDT")</f>
        <v>0</v>
      </c>
      <c r="AO44" s="35">
        <f>+GETPIVOTDATA("XQT4",'quangthanh (2016)'!$A$3,"MA_HT","ONT","MA_QH","DDL")</f>
        <v>0</v>
      </c>
      <c r="AP44" s="35">
        <f>+GETPIVOTDATA("XQT4",'quangthanh (2016)'!$A$3,"MA_HT","ONT","MA_QH","DRA")</f>
        <v>0</v>
      </c>
      <c r="AQ44" s="99" t="e">
        <f>$D44-$BF44</f>
        <v>#REF!</v>
      </c>
      <c r="AR44" s="35">
        <f>+GETPIVOTDATA("XQT4",'quangthanh (2016)'!$A$3,"MA_HT","ONT","MA_QH","ODT")</f>
        <v>0</v>
      </c>
      <c r="AS44" s="35">
        <f>+GETPIVOTDATA("XQT4",'quangthanh (2016)'!$A$3,"MA_HT","ONT","MA_QH","TSC")</f>
        <v>0</v>
      </c>
      <c r="AT44" s="35">
        <f>+GETPIVOTDATA("XQT4",'quangthanh (2016)'!$A$3,"MA_HT","ONT","MA_QH","DTS")</f>
        <v>0</v>
      </c>
      <c r="AU44" s="35">
        <f>+GETPIVOTDATA("XQT4",'quangthanh (2016)'!$A$3,"MA_HT","ONT","MA_QH","DNG")</f>
        <v>0</v>
      </c>
      <c r="AV44" s="35">
        <f>+GETPIVOTDATA("XQT4",'quangthanh (2016)'!$A$3,"MA_HT","ONT","MA_QH","TON")</f>
        <v>0</v>
      </c>
      <c r="AW44" s="35">
        <f>+GETPIVOTDATA("XQT4",'quangthanh (2016)'!$A$3,"MA_HT","ONT","MA_QH","NTD")</f>
        <v>0</v>
      </c>
      <c r="AX44" s="35">
        <f>+GETPIVOTDATA("XQT4",'quangthanh (2016)'!$A$3,"MA_HT","ONT","MA_QH","SKX")</f>
        <v>0</v>
      </c>
      <c r="AY44" s="35">
        <f>+GETPIVOTDATA("XQT4",'quangthanh (2016)'!$A$3,"MA_HT","ONT","MA_QH","DSH")</f>
        <v>0</v>
      </c>
      <c r="AZ44" s="35">
        <f>+GETPIVOTDATA("XQT4",'quangthanh (2016)'!$A$3,"MA_HT","ONT","MA_QH","DKV")</f>
        <v>0</v>
      </c>
      <c r="BA44" s="140">
        <f>+GETPIVOTDATA("XQT4",'quangthanh (2016)'!$A$3,"MA_HT","ONT","MA_QH","TIN")</f>
        <v>0</v>
      </c>
      <c r="BB44" s="74">
        <f>+GETPIVOTDATA("XQT4",'quangthanh (2016)'!$A$3,"MA_HT","ONT","MA_QH","SON")</f>
        <v>0</v>
      </c>
      <c r="BC44" s="74">
        <f>+GETPIVOTDATA("XQT4",'quangthanh (2016)'!$A$3,"MA_HT","ONT","MA_QH","MNC")</f>
        <v>0</v>
      </c>
      <c r="BD44" s="35">
        <f>+GETPIVOTDATA("XQT4",'quangthanh (2016)'!$A$3,"MA_HT","ONT","MA_QH","PNK")</f>
        <v>0</v>
      </c>
      <c r="BE44" s="58">
        <f>+GETPIVOTDATA("XQT4",'quangthanh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+GETPIVOTDATA("XQT4",'quangthanh (2016)'!$A$3,"MA_HT","ODT","MA_QH","LUC")</f>
        <v>0</v>
      </c>
      <c r="H45" s="111">
        <f>+GETPIVOTDATA("XQT4",'quangthanh (2016)'!$A$3,"MA_HT","ODT","MA_QH","LUK")</f>
        <v>0</v>
      </c>
      <c r="I45" s="111">
        <f>+GETPIVOTDATA("XQT4",'quangthanh (2016)'!$A$3,"MA_HT","ODT","MA_QH","LUN")</f>
        <v>0</v>
      </c>
      <c r="J45" s="111">
        <f>+GETPIVOTDATA("XQT4",'quangthanh (2016)'!$A$3,"MA_HT","ODT","MA_QH","HNK")</f>
        <v>0</v>
      </c>
      <c r="K45" s="111">
        <f>+GETPIVOTDATA("XQT4",'quangthanh (2016)'!$A$3,"MA_HT","ODT","MA_QH","CLN")</f>
        <v>0</v>
      </c>
      <c r="L45" s="111">
        <f>+GETPIVOTDATA("XQT4",'quangthanh (2016)'!$A$3,"MA_HT","ODT","MA_QH","RSX")</f>
        <v>0</v>
      </c>
      <c r="M45" s="111">
        <f>+GETPIVOTDATA("XQT4",'quangthanh (2016)'!$A$3,"MA_HT","ODT","MA_QH","RPH")</f>
        <v>0</v>
      </c>
      <c r="N45" s="111">
        <f>+GETPIVOTDATA("XQT4",'quangthanh (2016)'!$A$3,"MA_HT","ODT","MA_QH","RDD")</f>
        <v>0</v>
      </c>
      <c r="O45" s="111">
        <f>+GETPIVOTDATA("XQT4",'quangthanh (2016)'!$A$3,"MA_HT","ODT","MA_QH","NTS")</f>
        <v>0</v>
      </c>
      <c r="P45" s="111">
        <f>+GETPIVOTDATA("XQT4",'quangthanh (2016)'!$A$3,"MA_HT","ODT","MA_QH","LMU")</f>
        <v>0</v>
      </c>
      <c r="Q45" s="111">
        <f>+GETPIVOTDATA("XQT4",'quangthanh (2016)'!$A$3,"MA_HT","ODT","MA_QH","NKH")</f>
        <v>0</v>
      </c>
      <c r="R45" s="106">
        <f>SUM(S45:AA45,AN45:AQ45,AS45:BD45)</f>
        <v>0</v>
      </c>
      <c r="S45" s="111">
        <f>+GETPIVOTDATA("XQT4",'quangthanh (2016)'!$A$3,"MA_HT","ODT","MA_QH","CQP")</f>
        <v>0</v>
      </c>
      <c r="T45" s="111">
        <f>+GETPIVOTDATA("XQT4",'quangthanh (2016)'!$A$3,"MA_HT","ODT","MA_QH","CAN")</f>
        <v>0</v>
      </c>
      <c r="U45" s="111">
        <f>+GETPIVOTDATA("XQT4",'quangthanh (2016)'!$A$3,"MA_HT","ODT","MA_QH","SKK")</f>
        <v>0</v>
      </c>
      <c r="V45" s="111">
        <f>+GETPIVOTDATA("XQT4",'quangthanh (2016)'!$A$3,"MA_HT","ODT","MA_QH","SKT")</f>
        <v>0</v>
      </c>
      <c r="W45" s="111">
        <f>+GETPIVOTDATA("XQT4",'quangthanh (2016)'!$A$3,"MA_HT","ODT","MA_QH","SKN")</f>
        <v>0</v>
      </c>
      <c r="X45" s="111">
        <f>+GETPIVOTDATA("XQT4",'quangthanh (2016)'!$A$3,"MA_HT","ODT","MA_QH","TMD")</f>
        <v>0</v>
      </c>
      <c r="Y45" s="111">
        <f>+GETPIVOTDATA("XQT4",'quangthanh (2016)'!$A$3,"MA_HT","ODT","MA_QH","SKC")</f>
        <v>0</v>
      </c>
      <c r="Z45" s="111">
        <f>+GETPIVOTDATA("XQT4",'quangthanh (2016)'!$A$3,"MA_HT","ODT","MA_QH","SKS")</f>
        <v>0</v>
      </c>
      <c r="AA45" s="104">
        <f t="shared" si="21"/>
        <v>0</v>
      </c>
      <c r="AB45" s="111">
        <f>+GETPIVOTDATA("XQT4",'quangthanh (2016)'!$A$3,"MA_HT","ODT","MA_QH","DGT")</f>
        <v>0</v>
      </c>
      <c r="AC45" s="111">
        <f>+GETPIVOTDATA("XQT4",'quangthanh (2016)'!$A$3,"MA_HT","ODT","MA_QH","DTL")</f>
        <v>0</v>
      </c>
      <c r="AD45" s="111">
        <f>+GETPIVOTDATA("XQT4",'quangthanh (2016)'!$A$3,"MA_HT","ODT","MA_QH","DNL")</f>
        <v>0</v>
      </c>
      <c r="AE45" s="111">
        <f>+GETPIVOTDATA("XQT4",'quangthanh (2016)'!$A$3,"MA_HT","ODT","MA_QH","DBV")</f>
        <v>0</v>
      </c>
      <c r="AF45" s="111">
        <f>+GETPIVOTDATA("XQT4",'quangthanh (2016)'!$A$3,"MA_HT","ODT","MA_QH","DVH")</f>
        <v>0</v>
      </c>
      <c r="AG45" s="111">
        <f>+GETPIVOTDATA("XQT4",'quangthanh (2016)'!$A$3,"MA_HT","ODT","MA_QH","DYT")</f>
        <v>0</v>
      </c>
      <c r="AH45" s="111">
        <f>+GETPIVOTDATA("XQT4",'quangthanh (2016)'!$A$3,"MA_HT","ODT","MA_QH","DGD")</f>
        <v>0</v>
      </c>
      <c r="AI45" s="111">
        <f>+GETPIVOTDATA("XQT4",'quangthanh (2016)'!$A$3,"MA_HT","ODT","MA_QH","DTT")</f>
        <v>0</v>
      </c>
      <c r="AJ45" s="111">
        <f>+GETPIVOTDATA("XQT4",'quangthanh (2016)'!$A$3,"MA_HT","ODT","MA_QH","NCK")</f>
        <v>0</v>
      </c>
      <c r="AK45" s="111">
        <f>+GETPIVOTDATA("XQT4",'quangthanh (2016)'!$A$3,"MA_HT","ODT","MA_QH","DXH")</f>
        <v>0</v>
      </c>
      <c r="AL45" s="111">
        <f>+GETPIVOTDATA("XQT4",'quangthanh (2016)'!$A$3,"MA_HT","ODT","MA_QH","DCH")</f>
        <v>0</v>
      </c>
      <c r="AM45" s="111">
        <f>+GETPIVOTDATA("XQT4",'quangthanh (2016)'!$A$3,"MA_HT","ODT","MA_QH","DKG")</f>
        <v>0</v>
      </c>
      <c r="AN45" s="111">
        <f>+GETPIVOTDATA("XQT4",'quangthanh (2016)'!$A$3,"MA_HT","ODT","MA_QH","DDT")</f>
        <v>0</v>
      </c>
      <c r="AO45" s="111">
        <f>+GETPIVOTDATA("XQT4",'quangthanh (2016)'!$A$3,"MA_HT","ODT","MA_QH","DDL")</f>
        <v>0</v>
      </c>
      <c r="AP45" s="111">
        <f>+GETPIVOTDATA("XQT4",'quangthanh (2016)'!$A$3,"MA_HT","ODT","MA_QH","DRA")</f>
        <v>0</v>
      </c>
      <c r="AQ45" s="111">
        <f>+GETPIVOTDATA("XQT4",'quangthanh (2016)'!$A$3,"MA_HT","ODT","MA_QH","ONT")</f>
        <v>0</v>
      </c>
      <c r="AR45" s="112" t="e">
        <f>$D45-$BF45</f>
        <v>#REF!</v>
      </c>
      <c r="AS45" s="111">
        <f>+GETPIVOTDATA("XQT4",'quangthanh (2016)'!$A$3,"MA_HT","ODT","MA_QH","TSC")</f>
        <v>0</v>
      </c>
      <c r="AT45" s="111">
        <f>+GETPIVOTDATA("XQT4",'quangthanh (2016)'!$A$3,"MA_HT","ODT","MA_QH","DTS")</f>
        <v>0</v>
      </c>
      <c r="AU45" s="111">
        <f>+GETPIVOTDATA("XQT4",'quangthanh (2016)'!$A$3,"MA_HT","ODT","MA_QH","DNG")</f>
        <v>0</v>
      </c>
      <c r="AV45" s="111">
        <f>+GETPIVOTDATA("XQT4",'quangthanh (2016)'!$A$3,"MA_HT","ODT","MA_QH","TON")</f>
        <v>0</v>
      </c>
      <c r="AW45" s="111">
        <f>+GETPIVOTDATA("XQT4",'quangthanh (2016)'!$A$3,"MA_HT","ODT","MA_QH","NTD")</f>
        <v>0</v>
      </c>
      <c r="AX45" s="111">
        <f>+GETPIVOTDATA("XQT4",'quangthanh (2016)'!$A$3,"MA_HT","ODT","MA_QH","SKX")</f>
        <v>0</v>
      </c>
      <c r="AY45" s="111">
        <f>+GETPIVOTDATA("XQT4",'quangthanh (2016)'!$A$3,"MA_HT","ODT","MA_QH","DSH")</f>
        <v>0</v>
      </c>
      <c r="AZ45" s="111">
        <f>+GETPIVOTDATA("XQT4",'quangthanh (2016)'!$A$3,"MA_HT","ODT","MA_QH","DKV")</f>
        <v>0</v>
      </c>
      <c r="BA45" s="142">
        <f>+GETPIVOTDATA("XQT4",'quangthanh (2016)'!$A$3,"MA_HT","ODT","MA_QH","TIN")</f>
        <v>0</v>
      </c>
      <c r="BB45" s="105">
        <f>+GETPIVOTDATA("XQT4",'quangthanh (2016)'!$A$3,"MA_HT","ODT","MA_QH","SON")</f>
        <v>0</v>
      </c>
      <c r="BC45" s="105">
        <f>+GETPIVOTDATA("XQT4",'quangthanh (2016)'!$A$3,"MA_HT","ODT","MA_QH","MNC")</f>
        <v>0</v>
      </c>
      <c r="BD45" s="111">
        <f>+GETPIVOTDATA("XQT4",'quangthanh (2016)'!$A$3,"MA_HT","ODT","MA_QH","PNK")</f>
        <v>0</v>
      </c>
      <c r="BE45" s="113">
        <f>+GETPIVOTDATA("XQT4",'quangthanh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+GETPIVOTDATA("XQT4",'quangthanh (2016)'!$A$3,"MA_HT","TSC","MA_QH","LUC")</f>
        <v>0</v>
      </c>
      <c r="H46" s="35">
        <f>+GETPIVOTDATA("XQT4",'quangthanh (2016)'!$A$3,"MA_HT","TSC","MA_QH","LUK")</f>
        <v>0</v>
      </c>
      <c r="I46" s="35">
        <f>+GETPIVOTDATA("XQT4",'quangthanh (2016)'!$A$3,"MA_HT","TSC","MA_QH","LUN")</f>
        <v>0</v>
      </c>
      <c r="J46" s="35">
        <f>+GETPIVOTDATA("XQT4",'quangthanh (2016)'!$A$3,"MA_HT","TSC","MA_QH","HNK")</f>
        <v>0</v>
      </c>
      <c r="K46" s="35">
        <f>+GETPIVOTDATA("XQT4",'quangthanh (2016)'!$A$3,"MA_HT","TSC","MA_QH","CLN")</f>
        <v>0</v>
      </c>
      <c r="L46" s="35">
        <f>+GETPIVOTDATA("XQT4",'quangthanh (2016)'!$A$3,"MA_HT","TSC","MA_QH","RSX")</f>
        <v>0</v>
      </c>
      <c r="M46" s="35">
        <f>+GETPIVOTDATA("XQT4",'quangthanh (2016)'!$A$3,"MA_HT","TSC","MA_QH","RPH")</f>
        <v>0</v>
      </c>
      <c r="N46" s="35">
        <f>+GETPIVOTDATA("XQT4",'quangthanh (2016)'!$A$3,"MA_HT","TSC","MA_QH","RDD")</f>
        <v>0</v>
      </c>
      <c r="O46" s="35">
        <f>+GETPIVOTDATA("XQT4",'quangthanh (2016)'!$A$3,"MA_HT","TSC","MA_QH","NTS")</f>
        <v>0</v>
      </c>
      <c r="P46" s="35">
        <f>+GETPIVOTDATA("XQT4",'quangthanh (2016)'!$A$3,"MA_HT","TSC","MA_QH","LMU")</f>
        <v>0</v>
      </c>
      <c r="Q46" s="35">
        <f>+GETPIVOTDATA("XQT4",'quangthanh (2016)'!$A$3,"MA_HT","TSC","MA_QH","NKH")</f>
        <v>0</v>
      </c>
      <c r="R46" s="72">
        <f>SUM(S46:AA46,AN46:AR46,AT46:BD46)</f>
        <v>0</v>
      </c>
      <c r="S46" s="35">
        <f>+GETPIVOTDATA("XQT4",'quangthanh (2016)'!$A$3,"MA_HT","TSC","MA_QH","CQP")</f>
        <v>0</v>
      </c>
      <c r="T46" s="35">
        <f>+GETPIVOTDATA("XQT4",'quangthanh (2016)'!$A$3,"MA_HT","TSC","MA_QH","CAN")</f>
        <v>0</v>
      </c>
      <c r="U46" s="35">
        <f>+GETPIVOTDATA("XQT4",'quangthanh (2016)'!$A$3,"MA_HT","TSC","MA_QH","SKK")</f>
        <v>0</v>
      </c>
      <c r="V46" s="35">
        <f>+GETPIVOTDATA("XQT4",'quangthanh (2016)'!$A$3,"MA_HT","TSC","MA_QH","SKT")</f>
        <v>0</v>
      </c>
      <c r="W46" s="35">
        <f>+GETPIVOTDATA("XQT4",'quangthanh (2016)'!$A$3,"MA_HT","TSC","MA_QH","SKN")</f>
        <v>0</v>
      </c>
      <c r="X46" s="35">
        <f>+GETPIVOTDATA("XQT4",'quangthanh (2016)'!$A$3,"MA_HT","TSC","MA_QH","TMD")</f>
        <v>0</v>
      </c>
      <c r="Y46" s="35">
        <f>+GETPIVOTDATA("XQT4",'quangthanh (2016)'!$A$3,"MA_HT","TSC","MA_QH","SKC")</f>
        <v>0</v>
      </c>
      <c r="Z46" s="35">
        <f>+GETPIVOTDATA("XQT4",'quangthanh (2016)'!$A$3,"MA_HT","TSC","MA_QH","SKS")</f>
        <v>0</v>
      </c>
      <c r="AA46" s="64">
        <f t="shared" si="21"/>
        <v>0</v>
      </c>
      <c r="AB46" s="35">
        <f>+GETPIVOTDATA("XQT4",'quangthanh (2016)'!$A$3,"MA_HT","TSC","MA_QH","DGT")</f>
        <v>0</v>
      </c>
      <c r="AC46" s="35">
        <f>+GETPIVOTDATA("XQT4",'quangthanh (2016)'!$A$3,"MA_HT","TSC","MA_QH","DTL")</f>
        <v>0</v>
      </c>
      <c r="AD46" s="35">
        <f>+GETPIVOTDATA("XQT4",'quangthanh (2016)'!$A$3,"MA_HT","TSC","MA_QH","DNL")</f>
        <v>0</v>
      </c>
      <c r="AE46" s="35">
        <f>+GETPIVOTDATA("XQT4",'quangthanh (2016)'!$A$3,"MA_HT","TSC","MA_QH","DBV")</f>
        <v>0</v>
      </c>
      <c r="AF46" s="35">
        <f>+GETPIVOTDATA("XQT4",'quangthanh (2016)'!$A$3,"MA_HT","TSC","MA_QH","DVH")</f>
        <v>0</v>
      </c>
      <c r="AG46" s="35">
        <f>+GETPIVOTDATA("XQT4",'quangthanh (2016)'!$A$3,"MA_HT","TSC","MA_QH","DYT")</f>
        <v>0</v>
      </c>
      <c r="AH46" s="35">
        <f>+GETPIVOTDATA("XQT4",'quangthanh (2016)'!$A$3,"MA_HT","TSC","MA_QH","DGD")</f>
        <v>0</v>
      </c>
      <c r="AI46" s="35">
        <f>+GETPIVOTDATA("XQT4",'quangthanh (2016)'!$A$3,"MA_HT","TSC","MA_QH","DTT")</f>
        <v>0</v>
      </c>
      <c r="AJ46" s="35">
        <f>+GETPIVOTDATA("XQT4",'quangthanh (2016)'!$A$3,"MA_HT","TSC","MA_QH","NCK")</f>
        <v>0</v>
      </c>
      <c r="AK46" s="35">
        <f>+GETPIVOTDATA("XQT4",'quangthanh (2016)'!$A$3,"MA_HT","TSC","MA_QH","DXH")</f>
        <v>0</v>
      </c>
      <c r="AL46" s="35">
        <f>+GETPIVOTDATA("XQT4",'quangthanh (2016)'!$A$3,"MA_HT","TSC","MA_QH","DCH")</f>
        <v>0</v>
      </c>
      <c r="AM46" s="35">
        <f>+GETPIVOTDATA("XQT4",'quangthanh (2016)'!$A$3,"MA_HT","TSC","MA_QH","DKG")</f>
        <v>0</v>
      </c>
      <c r="AN46" s="35">
        <f>+GETPIVOTDATA("XQT4",'quangthanh (2016)'!$A$3,"MA_HT","TSC","MA_QH","DDT")</f>
        <v>0</v>
      </c>
      <c r="AO46" s="35">
        <f>+GETPIVOTDATA("XQT4",'quangthanh (2016)'!$A$3,"MA_HT","TSC","MA_QH","DDL")</f>
        <v>0</v>
      </c>
      <c r="AP46" s="35">
        <f>+GETPIVOTDATA("XQT4",'quangthanh (2016)'!$A$3,"MA_HT","TSC","MA_QH","DRA")</f>
        <v>0</v>
      </c>
      <c r="AQ46" s="35">
        <f>+GETPIVOTDATA("XQT4",'quangthanh (2016)'!$A$3,"MA_HT","TSC","MA_QH","ONT")</f>
        <v>0</v>
      </c>
      <c r="AR46" s="35">
        <f>+GETPIVOTDATA("XQT4",'quangthanh (2016)'!$A$3,"MA_HT","TSC","MA_QH","ODT")</f>
        <v>0</v>
      </c>
      <c r="AS46" s="99" t="e">
        <f>$D46-$BF46</f>
        <v>#REF!</v>
      </c>
      <c r="AT46" s="35">
        <f>+GETPIVOTDATA("XQT4",'quangthanh (2016)'!$A$3,"MA_HT","TSC","MA_QH","DTS")</f>
        <v>0</v>
      </c>
      <c r="AU46" s="35">
        <f>+GETPIVOTDATA("XQT4",'quangthanh (2016)'!$A$3,"MA_HT","TSC","MA_QH","DNG")</f>
        <v>0</v>
      </c>
      <c r="AV46" s="35">
        <f>+GETPIVOTDATA("XQT4",'quangthanh (2016)'!$A$3,"MA_HT","TSC","MA_QH","TON")</f>
        <v>0</v>
      </c>
      <c r="AW46" s="35">
        <f>+GETPIVOTDATA("XQT4",'quangthanh (2016)'!$A$3,"MA_HT","TSC","MA_QH","NTD")</f>
        <v>0</v>
      </c>
      <c r="AX46" s="35">
        <f>+GETPIVOTDATA("XQT4",'quangthanh (2016)'!$A$3,"MA_HT","TSC","MA_QH","SKX")</f>
        <v>0</v>
      </c>
      <c r="AY46" s="35">
        <f>+GETPIVOTDATA("XQT4",'quangthanh (2016)'!$A$3,"MA_HT","TSC","MA_QH","DSH")</f>
        <v>0</v>
      </c>
      <c r="AZ46" s="35">
        <f>+GETPIVOTDATA("XQT4",'quangthanh (2016)'!$A$3,"MA_HT","TSC","MA_QH","DKV")</f>
        <v>0</v>
      </c>
      <c r="BA46" s="140">
        <f>+GETPIVOTDATA("XQT4",'quangthanh (2016)'!$A$3,"MA_HT","TSC","MA_QH","TIN")</f>
        <v>0</v>
      </c>
      <c r="BB46" s="74">
        <f>+GETPIVOTDATA("XQT4",'quangthanh (2016)'!$A$3,"MA_HT","TSC","MA_QH","SON")</f>
        <v>0</v>
      </c>
      <c r="BC46" s="74">
        <f>+GETPIVOTDATA("XQT4",'quangthanh (2016)'!$A$3,"MA_HT","TSC","MA_QH","MNC")</f>
        <v>0</v>
      </c>
      <c r="BD46" s="35">
        <f>+GETPIVOTDATA("XQT4",'quangthanh (2016)'!$A$3,"MA_HT","TSC","MA_QH","PNK")</f>
        <v>0</v>
      </c>
      <c r="BE46" s="58">
        <f>+GETPIVOTDATA("XQT4",'quangthanh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+GETPIVOTDATA("XQT4",'quangthanh (2016)'!$A$3,"MA_HT","DTS","MA_QH","LUC")</f>
        <v>0</v>
      </c>
      <c r="H47" s="122">
        <f>+GETPIVOTDATA("XQT4",'quangthanh (2016)'!$A$3,"MA_HT","DTS","MA_QH","LUK")</f>
        <v>0</v>
      </c>
      <c r="I47" s="122">
        <f>+GETPIVOTDATA("XQT4",'quangthanh (2016)'!$A$3,"MA_HT","DTS","MA_QH","LUN")</f>
        <v>0</v>
      </c>
      <c r="J47" s="122">
        <f>+GETPIVOTDATA("XQT4",'quangthanh (2016)'!$A$3,"MA_HT","DTS","MA_QH","HNK")</f>
        <v>0</v>
      </c>
      <c r="K47" s="122">
        <f>+GETPIVOTDATA("XQT4",'quangthanh (2016)'!$A$3,"MA_HT","DTS","MA_QH","CLN")</f>
        <v>0</v>
      </c>
      <c r="L47" s="122">
        <f>+GETPIVOTDATA("XQT4",'quangthanh (2016)'!$A$3,"MA_HT","DTS","MA_QH","RSX")</f>
        <v>0</v>
      </c>
      <c r="M47" s="122">
        <f>+GETPIVOTDATA("XQT4",'quangthanh (2016)'!$A$3,"MA_HT","DTS","MA_QH","RPH")</f>
        <v>0</v>
      </c>
      <c r="N47" s="122">
        <f>+GETPIVOTDATA("XQT4",'quangthanh (2016)'!$A$3,"MA_HT","DTS","MA_QH","RDD")</f>
        <v>0</v>
      </c>
      <c r="O47" s="122">
        <f>+GETPIVOTDATA("XQT4",'quangthanh (2016)'!$A$3,"MA_HT","DTS","MA_QH","NTS")</f>
        <v>0</v>
      </c>
      <c r="P47" s="122">
        <f>+GETPIVOTDATA("XQT4",'quangthanh (2016)'!$A$3,"MA_HT","DTS","MA_QH","LMU")</f>
        <v>0</v>
      </c>
      <c r="Q47" s="122">
        <f>+GETPIVOTDATA("XQT4",'quangthanh (2016)'!$A$3,"MA_HT","DTS","MA_QH","NKH")</f>
        <v>0</v>
      </c>
      <c r="R47" s="123">
        <f>SUM(S47:AA47,AN47:AS47,AU47:BD47)</f>
        <v>0</v>
      </c>
      <c r="S47" s="122">
        <f>+GETPIVOTDATA("XQT4",'quangthanh (2016)'!$A$3,"MA_HT","DTS","MA_QH","CQP")</f>
        <v>0</v>
      </c>
      <c r="T47" s="122">
        <f>+GETPIVOTDATA("XQT4",'quangthanh (2016)'!$A$3,"MA_HT","DTS","MA_QH","CAN")</f>
        <v>0</v>
      </c>
      <c r="U47" s="122">
        <f>+GETPIVOTDATA("XQT4",'quangthanh (2016)'!$A$3,"MA_HT","DTS","MA_QH","SKK")</f>
        <v>0</v>
      </c>
      <c r="V47" s="122">
        <f>+GETPIVOTDATA("XQT4",'quangthanh (2016)'!$A$3,"MA_HT","DTS","MA_QH","SKT")</f>
        <v>0</v>
      </c>
      <c r="W47" s="122">
        <f>+GETPIVOTDATA("XQT4",'quangthanh (2016)'!$A$3,"MA_HT","DTS","MA_QH","SKN")</f>
        <v>0</v>
      </c>
      <c r="X47" s="122">
        <f>+GETPIVOTDATA("XQT4",'quangthanh (2016)'!$A$3,"MA_HT","DTS","MA_QH","TMD")</f>
        <v>0</v>
      </c>
      <c r="Y47" s="122">
        <f>+GETPIVOTDATA("XQT4",'quangthanh (2016)'!$A$3,"MA_HT","DTS","MA_QH","SKC")</f>
        <v>0</v>
      </c>
      <c r="Z47" s="122">
        <f>+GETPIVOTDATA("XQT4",'quangthanh (2016)'!$A$3,"MA_HT","DTS","MA_QH","SKS")</f>
        <v>0</v>
      </c>
      <c r="AA47" s="121">
        <f t="shared" si="21"/>
        <v>0</v>
      </c>
      <c r="AB47" s="122">
        <f>+GETPIVOTDATA("XQT4",'quangthanh (2016)'!$A$3,"MA_HT","DTS","MA_QH","DGT")</f>
        <v>0</v>
      </c>
      <c r="AC47" s="122">
        <f>+GETPIVOTDATA("XQT4",'quangthanh (2016)'!$A$3,"MA_HT","DTS","MA_QH","DTL")</f>
        <v>0</v>
      </c>
      <c r="AD47" s="122">
        <f>+GETPIVOTDATA("XQT4",'quangthanh (2016)'!$A$3,"MA_HT","DTS","MA_QH","DNL")</f>
        <v>0</v>
      </c>
      <c r="AE47" s="122">
        <f>+GETPIVOTDATA("XQT4",'quangthanh (2016)'!$A$3,"MA_HT","DTS","MA_QH","DBV")</f>
        <v>0</v>
      </c>
      <c r="AF47" s="122">
        <f>+GETPIVOTDATA("XQT4",'quangthanh (2016)'!$A$3,"MA_HT","DTS","MA_QH","DVH")</f>
        <v>0</v>
      </c>
      <c r="AG47" s="122">
        <f>+GETPIVOTDATA("XQT4",'quangthanh (2016)'!$A$3,"MA_HT","DTS","MA_QH","DYT")</f>
        <v>0</v>
      </c>
      <c r="AH47" s="122">
        <f>+GETPIVOTDATA("XQT4",'quangthanh (2016)'!$A$3,"MA_HT","DTS","MA_QH","DGD")</f>
        <v>0</v>
      </c>
      <c r="AI47" s="122">
        <f>+GETPIVOTDATA("XQT4",'quangthanh (2016)'!$A$3,"MA_HT","DTS","MA_QH","DTT")</f>
        <v>0</v>
      </c>
      <c r="AJ47" s="122">
        <f>+GETPIVOTDATA("XQT4",'quangthanh (2016)'!$A$3,"MA_HT","DTS","MA_QH","NCK")</f>
        <v>0</v>
      </c>
      <c r="AK47" s="122">
        <f>+GETPIVOTDATA("XQT4",'quangthanh (2016)'!$A$3,"MA_HT","DTS","MA_QH","DXH")</f>
        <v>0</v>
      </c>
      <c r="AL47" s="122">
        <f>+GETPIVOTDATA("XQT4",'quangthanh (2016)'!$A$3,"MA_HT","DTS","MA_QH","DCH")</f>
        <v>0</v>
      </c>
      <c r="AM47" s="122">
        <f>+GETPIVOTDATA("XQT4",'quangthanh (2016)'!$A$3,"MA_HT","DTS","MA_QH","DKG")</f>
        <v>0</v>
      </c>
      <c r="AN47" s="122">
        <f>+GETPIVOTDATA("XQT4",'quangthanh (2016)'!$A$3,"MA_HT","DTS","MA_QH","DDT")</f>
        <v>0</v>
      </c>
      <c r="AO47" s="122">
        <f>+GETPIVOTDATA("XQT4",'quangthanh (2016)'!$A$3,"MA_HT","DTS","MA_QH","DDL")</f>
        <v>0</v>
      </c>
      <c r="AP47" s="122">
        <f>+GETPIVOTDATA("XQT4",'quangthanh (2016)'!$A$3,"MA_HT","DTS","MA_QH","DRA")</f>
        <v>0</v>
      </c>
      <c r="AQ47" s="122">
        <f>+GETPIVOTDATA("XQT4",'quangthanh (2016)'!$A$3,"MA_HT","DTS","MA_QH","ONT")</f>
        <v>0</v>
      </c>
      <c r="AR47" s="122">
        <f>+GETPIVOTDATA("XQT4",'quangthanh (2016)'!$A$3,"MA_HT","DTS","MA_QH","ODT")</f>
        <v>0</v>
      </c>
      <c r="AS47" s="122">
        <f>+GETPIVOTDATA("XQT4",'quangthanh (2016)'!$A$3,"MA_HT","DTS","MA_QH","TSC")</f>
        <v>0</v>
      </c>
      <c r="AT47" s="124" t="e">
        <f>$D47-$BF47</f>
        <v>#REF!</v>
      </c>
      <c r="AU47" s="122">
        <f>+GETPIVOTDATA("XQT4",'quangthanh (2016)'!$A$3,"MA_HT","DTS","MA_QH","DNG")</f>
        <v>0</v>
      </c>
      <c r="AV47" s="122">
        <f>+GETPIVOTDATA("XQT4",'quangthanh (2016)'!$A$3,"MA_HT","DTS","MA_QH","TON")</f>
        <v>0</v>
      </c>
      <c r="AW47" s="122">
        <f>+GETPIVOTDATA("XQT4",'quangthanh (2016)'!$A$3,"MA_HT","DTS","MA_QH","NTD")</f>
        <v>0</v>
      </c>
      <c r="AX47" s="122">
        <f>+GETPIVOTDATA("XQT4",'quangthanh (2016)'!$A$3,"MA_HT","DTS","MA_QH","SKX")</f>
        <v>0</v>
      </c>
      <c r="AY47" s="122">
        <f>+GETPIVOTDATA("XQT4",'quangthanh (2016)'!$A$3,"MA_HT","DTS","MA_QH","DSH")</f>
        <v>0</v>
      </c>
      <c r="AZ47" s="122">
        <f>+GETPIVOTDATA("XQT4",'quangthanh (2016)'!$A$3,"MA_HT","DTS","MA_QH","DKV")</f>
        <v>0</v>
      </c>
      <c r="BA47" s="141">
        <f>+GETPIVOTDATA("XQT4",'quangthanh (2016)'!$A$3,"MA_HT","DTS","MA_QH","TIN")</f>
        <v>0</v>
      </c>
      <c r="BB47" s="125">
        <f>+GETPIVOTDATA("XQT4",'quangthanh (2016)'!$A$3,"MA_HT","DTS","MA_QH","SON")</f>
        <v>0</v>
      </c>
      <c r="BC47" s="125">
        <f>+GETPIVOTDATA("XQT4",'quangthanh (2016)'!$A$3,"MA_HT","DTS","MA_QH","MNC")</f>
        <v>0</v>
      </c>
      <c r="BD47" s="122">
        <f>+GETPIVOTDATA("XQT4",'quangthanh (2016)'!$A$3,"MA_HT","DTS","MA_QH","PNK")</f>
        <v>0</v>
      </c>
      <c r="BE47" s="126">
        <f>+GETPIVOTDATA("XQT4",'quangthanh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+GETPIVOTDATA("XQT4",'quangthanh (2016)'!$A$3,"MA_HT","DNG","MA_QH","LUC")</f>
        <v>0</v>
      </c>
      <c r="H48" s="35">
        <f>+GETPIVOTDATA("XQT4",'quangthanh (2016)'!$A$3,"MA_HT","DNG","MA_QH","LUK")</f>
        <v>0</v>
      </c>
      <c r="I48" s="35">
        <f>+GETPIVOTDATA("XQT4",'quangthanh (2016)'!$A$3,"MA_HT","DNG","MA_QH","LUN")</f>
        <v>0</v>
      </c>
      <c r="J48" s="35">
        <f>+GETPIVOTDATA("XQT4",'quangthanh (2016)'!$A$3,"MA_HT","DNG","MA_QH","HNK")</f>
        <v>0</v>
      </c>
      <c r="K48" s="35">
        <f>+GETPIVOTDATA("XQT4",'quangthanh (2016)'!$A$3,"MA_HT","DNG","MA_QH","CLN")</f>
        <v>0</v>
      </c>
      <c r="L48" s="35">
        <f>+GETPIVOTDATA("XQT4",'quangthanh (2016)'!$A$3,"MA_HT","DNG","MA_QH","RSX")</f>
        <v>0</v>
      </c>
      <c r="M48" s="35">
        <f>+GETPIVOTDATA("XQT4",'quangthanh (2016)'!$A$3,"MA_HT","DNG","MA_QH","RPH")</f>
        <v>0</v>
      </c>
      <c r="N48" s="35">
        <f>+GETPIVOTDATA("XQT4",'quangthanh (2016)'!$A$3,"MA_HT","DNG","MA_QH","RDD")</f>
        <v>0</v>
      </c>
      <c r="O48" s="35">
        <f>+GETPIVOTDATA("XQT4",'quangthanh (2016)'!$A$3,"MA_HT","DNG","MA_QH","NTS")</f>
        <v>0</v>
      </c>
      <c r="P48" s="35">
        <f>+GETPIVOTDATA("XQT4",'quangthanh (2016)'!$A$3,"MA_HT","DNG","MA_QH","LMU")</f>
        <v>0</v>
      </c>
      <c r="Q48" s="35">
        <f>+GETPIVOTDATA("XQT4",'quangthanh (2016)'!$A$3,"MA_HT","DNG","MA_QH","NKH")</f>
        <v>0</v>
      </c>
      <c r="R48" s="106">
        <f>SUM(S48:AA48,AN48:AT48,AV48:BD48)</f>
        <v>0</v>
      </c>
      <c r="S48" s="35">
        <f>+GETPIVOTDATA("XQT4",'quangthanh (2016)'!$A$3,"MA_HT","DNG","MA_QH","CQP")</f>
        <v>0</v>
      </c>
      <c r="T48" s="35">
        <f>+GETPIVOTDATA("XQT4",'quangthanh (2016)'!$A$3,"MA_HT","DNG","MA_QH","CAN")</f>
        <v>0</v>
      </c>
      <c r="U48" s="35">
        <f>+GETPIVOTDATA("XQT4",'quangthanh (2016)'!$A$3,"MA_HT","DNG","MA_QH","SKK")</f>
        <v>0</v>
      </c>
      <c r="V48" s="35">
        <f>+GETPIVOTDATA("XQT4",'quangthanh (2016)'!$A$3,"MA_HT","DNG","MA_QH","SKT")</f>
        <v>0</v>
      </c>
      <c r="W48" s="35">
        <f>+GETPIVOTDATA("XQT4",'quangthanh (2016)'!$A$3,"MA_HT","DNG","MA_QH","SKN")</f>
        <v>0</v>
      </c>
      <c r="X48" s="35">
        <f>+GETPIVOTDATA("XQT4",'quangthanh (2016)'!$A$3,"MA_HT","DNG","MA_QH","TMD")</f>
        <v>0</v>
      </c>
      <c r="Y48" s="35">
        <f>+GETPIVOTDATA("XQT4",'quangthanh (2016)'!$A$3,"MA_HT","DNG","MA_QH","SKC")</f>
        <v>0</v>
      </c>
      <c r="Z48" s="35">
        <f>+GETPIVOTDATA("XQT4",'quangthanh (2016)'!$A$3,"MA_HT","DNG","MA_QH","SKS")</f>
        <v>0</v>
      </c>
      <c r="AA48" s="64">
        <f t="shared" si="21"/>
        <v>0</v>
      </c>
      <c r="AB48" s="35">
        <f>+GETPIVOTDATA("XQT4",'quangthanh (2016)'!$A$3,"MA_HT","DNG","MA_QH","DGT")</f>
        <v>0</v>
      </c>
      <c r="AC48" s="35">
        <f>+GETPIVOTDATA("XQT4",'quangthanh (2016)'!$A$3,"MA_HT","DNG","MA_QH","DTL")</f>
        <v>0</v>
      </c>
      <c r="AD48" s="35">
        <f>+GETPIVOTDATA("XQT4",'quangthanh (2016)'!$A$3,"MA_HT","DNG","MA_QH","DNL")</f>
        <v>0</v>
      </c>
      <c r="AE48" s="35">
        <f>+GETPIVOTDATA("XQT4",'quangthanh (2016)'!$A$3,"MA_HT","DNG","MA_QH","DBV")</f>
        <v>0</v>
      </c>
      <c r="AF48" s="35">
        <f>+GETPIVOTDATA("XQT4",'quangthanh (2016)'!$A$3,"MA_HT","DNG","MA_QH","DVH")</f>
        <v>0</v>
      </c>
      <c r="AG48" s="35">
        <f>+GETPIVOTDATA("XQT4",'quangthanh (2016)'!$A$3,"MA_HT","DNG","MA_QH","DYT")</f>
        <v>0</v>
      </c>
      <c r="AH48" s="35">
        <f>+GETPIVOTDATA("XQT4",'quangthanh (2016)'!$A$3,"MA_HT","DNG","MA_QH","DGD")</f>
        <v>0</v>
      </c>
      <c r="AI48" s="35">
        <f>+GETPIVOTDATA("XQT4",'quangthanh (2016)'!$A$3,"MA_HT","DNG","MA_QH","DTT")</f>
        <v>0</v>
      </c>
      <c r="AJ48" s="35">
        <f>+GETPIVOTDATA("XQT4",'quangthanh (2016)'!$A$3,"MA_HT","DNG","MA_QH","NCK")</f>
        <v>0</v>
      </c>
      <c r="AK48" s="35">
        <f>+GETPIVOTDATA("XQT4",'quangthanh (2016)'!$A$3,"MA_HT","DNG","MA_QH","DXH")</f>
        <v>0</v>
      </c>
      <c r="AL48" s="35">
        <f>+GETPIVOTDATA("XQT4",'quangthanh (2016)'!$A$3,"MA_HT","DNG","MA_QH","DCH")</f>
        <v>0</v>
      </c>
      <c r="AM48" s="35">
        <f>+GETPIVOTDATA("XQT4",'quangthanh (2016)'!$A$3,"MA_HT","DNG","MA_QH","DKG")</f>
        <v>0</v>
      </c>
      <c r="AN48" s="35">
        <f>+GETPIVOTDATA("XQT4",'quangthanh (2016)'!$A$3,"MA_HT","DNG","MA_QH","DDT")</f>
        <v>0</v>
      </c>
      <c r="AO48" s="35">
        <f>+GETPIVOTDATA("XQT4",'quangthanh (2016)'!$A$3,"MA_HT","DNG","MA_QH","DDL")</f>
        <v>0</v>
      </c>
      <c r="AP48" s="35">
        <f>+GETPIVOTDATA("XQT4",'quangthanh (2016)'!$A$3,"MA_HT","DNG","MA_QH","DRA")</f>
        <v>0</v>
      </c>
      <c r="AQ48" s="35">
        <f>+GETPIVOTDATA("XQT4",'quangthanh (2016)'!$A$3,"MA_HT","DNG","MA_QH","ONT")</f>
        <v>0</v>
      </c>
      <c r="AR48" s="35">
        <f>+GETPIVOTDATA("XQT4",'quangthanh (2016)'!$A$3,"MA_HT","DNG","MA_QH","ODT")</f>
        <v>0</v>
      </c>
      <c r="AS48" s="35">
        <f>+GETPIVOTDATA("XQT4",'quangthanh (2016)'!$A$3,"MA_HT","DNG","MA_QH","TSC")</f>
        <v>0</v>
      </c>
      <c r="AT48" s="35">
        <f>+GETPIVOTDATA("XQT4",'quangthanh (2016)'!$A$3,"MA_HT","DNG","MA_QH","DTS")</f>
        <v>0</v>
      </c>
      <c r="AU48" s="99" t="e">
        <f>$D48-$BF48</f>
        <v>#REF!</v>
      </c>
      <c r="AV48" s="35">
        <f>+GETPIVOTDATA("XQT4",'quangthanh (2016)'!$A$3,"MA_HT","DNG","MA_QH","TON")</f>
        <v>0</v>
      </c>
      <c r="AW48" s="35">
        <f>+GETPIVOTDATA("XQT4",'quangthanh (2016)'!$A$3,"MA_HT","DNG","MA_QH","NTD")</f>
        <v>0</v>
      </c>
      <c r="AX48" s="35">
        <f>+GETPIVOTDATA("XQT4",'quangthanh (2016)'!$A$3,"MA_HT","DNG","MA_QH","SKX")</f>
        <v>0</v>
      </c>
      <c r="AY48" s="35">
        <f>+GETPIVOTDATA("XQT4",'quangthanh (2016)'!$A$3,"MA_HT","DNG","MA_QH","DSH")</f>
        <v>0</v>
      </c>
      <c r="AZ48" s="35">
        <f>+GETPIVOTDATA("XQT4",'quangthanh (2016)'!$A$3,"MA_HT","DNG","MA_QH","DKV")</f>
        <v>0</v>
      </c>
      <c r="BA48" s="140">
        <f>+GETPIVOTDATA("XQT4",'quangthanh (2016)'!$A$3,"MA_HT","DNG","MA_QH","TIN")</f>
        <v>0</v>
      </c>
      <c r="BB48" s="74">
        <f>+GETPIVOTDATA("XQT4",'quangthanh (2016)'!$A$3,"MA_HT","DNG","MA_QH","SON")</f>
        <v>0</v>
      </c>
      <c r="BC48" s="74">
        <f>+GETPIVOTDATA("XQT4",'quangthanh (2016)'!$A$3,"MA_HT","DNG","MA_QH","MNC")</f>
        <v>0</v>
      </c>
      <c r="BD48" s="35">
        <f>+GETPIVOTDATA("XQT4",'quangthanh (2016)'!$A$3,"MA_HT","DNG","MA_QH","PNK")</f>
        <v>0</v>
      </c>
      <c r="BE48" s="58">
        <f>+GETPIVOTDATA("XQT4",'quangthanh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+GETPIVOTDATA("XQT4",'quangthanh (2016)'!$A$3,"MA_HT","TON","MA_QH","LUC")</f>
        <v>0</v>
      </c>
      <c r="H49" s="35">
        <f>+GETPIVOTDATA("XQT4",'quangthanh (2016)'!$A$3,"MA_HT","TON","MA_QH","LUK")</f>
        <v>0</v>
      </c>
      <c r="I49" s="35">
        <f>+GETPIVOTDATA("XQT4",'quangthanh (2016)'!$A$3,"MA_HT","TON","MA_QH","LUN")</f>
        <v>0</v>
      </c>
      <c r="J49" s="35">
        <f>+GETPIVOTDATA("XQT4",'quangthanh (2016)'!$A$3,"MA_HT","TON","MA_QH","HNK")</f>
        <v>0</v>
      </c>
      <c r="K49" s="35">
        <f>+GETPIVOTDATA("XQT4",'quangthanh (2016)'!$A$3,"MA_HT","TON","MA_QH","CLN")</f>
        <v>0</v>
      </c>
      <c r="L49" s="35">
        <f>+GETPIVOTDATA("XQT4",'quangthanh (2016)'!$A$3,"MA_HT","TON","MA_QH","RSX")</f>
        <v>0</v>
      </c>
      <c r="M49" s="35">
        <f>+GETPIVOTDATA("XQT4",'quangthanh (2016)'!$A$3,"MA_HT","TON","MA_QH","RPH")</f>
        <v>0</v>
      </c>
      <c r="N49" s="35">
        <f>+GETPIVOTDATA("XQT4",'quangthanh (2016)'!$A$3,"MA_HT","TON","MA_QH","RDD")</f>
        <v>0</v>
      </c>
      <c r="O49" s="35">
        <f>+GETPIVOTDATA("XQT4",'quangthanh (2016)'!$A$3,"MA_HT","TON","MA_QH","NTS")</f>
        <v>0</v>
      </c>
      <c r="P49" s="35">
        <f>+GETPIVOTDATA("XQT4",'quangthanh (2016)'!$A$3,"MA_HT","TON","MA_QH","LMU")</f>
        <v>0</v>
      </c>
      <c r="Q49" s="35">
        <f>+GETPIVOTDATA("XQT4",'quangthanh (2016)'!$A$3,"MA_HT","TON","MA_QH","NKH")</f>
        <v>0</v>
      </c>
      <c r="R49" s="106">
        <f>SUM(S49:AA49,AN49:AU49,AW49:BD49)</f>
        <v>0</v>
      </c>
      <c r="S49" s="35">
        <f>+GETPIVOTDATA("XQT4",'quangthanh (2016)'!$A$3,"MA_HT","TON","MA_QH","CQP")</f>
        <v>0</v>
      </c>
      <c r="T49" s="35">
        <f>+GETPIVOTDATA("XQT4",'quangthanh (2016)'!$A$3,"MA_HT","TON","MA_QH","CAN")</f>
        <v>0</v>
      </c>
      <c r="U49" s="35">
        <f>+GETPIVOTDATA("XQT4",'quangthanh (2016)'!$A$3,"MA_HT","TON","MA_QH","SKK")</f>
        <v>0</v>
      </c>
      <c r="V49" s="35">
        <f>+GETPIVOTDATA("XQT4",'quangthanh (2016)'!$A$3,"MA_HT","TON","MA_QH","SKT")</f>
        <v>0</v>
      </c>
      <c r="W49" s="35">
        <f>+GETPIVOTDATA("XQT4",'quangthanh (2016)'!$A$3,"MA_HT","TON","MA_QH","SKN")</f>
        <v>0</v>
      </c>
      <c r="X49" s="35">
        <f>+GETPIVOTDATA("XQT4",'quangthanh (2016)'!$A$3,"MA_HT","TON","MA_QH","TMD")</f>
        <v>0</v>
      </c>
      <c r="Y49" s="35">
        <f>+GETPIVOTDATA("XQT4",'quangthanh (2016)'!$A$3,"MA_HT","TON","MA_QH","SKC")</f>
        <v>0</v>
      </c>
      <c r="Z49" s="35">
        <f>+GETPIVOTDATA("XQT4",'quangthanh (2016)'!$A$3,"MA_HT","TON","MA_QH","SKS")</f>
        <v>0</v>
      </c>
      <c r="AA49" s="64">
        <f t="shared" si="21"/>
        <v>0</v>
      </c>
      <c r="AB49" s="35">
        <f>+GETPIVOTDATA("XQT4",'quangthanh (2016)'!$A$3,"MA_HT","TON","MA_QH","DGT")</f>
        <v>0</v>
      </c>
      <c r="AC49" s="35">
        <f>+GETPIVOTDATA("XQT4",'quangthanh (2016)'!$A$3,"MA_HT","TON","MA_QH","DTL")</f>
        <v>0</v>
      </c>
      <c r="AD49" s="35">
        <f>+GETPIVOTDATA("XQT4",'quangthanh (2016)'!$A$3,"MA_HT","TON","MA_QH","DNL")</f>
        <v>0</v>
      </c>
      <c r="AE49" s="35">
        <f>+GETPIVOTDATA("XQT4",'quangthanh (2016)'!$A$3,"MA_HT","TON","MA_QH","DBV")</f>
        <v>0</v>
      </c>
      <c r="AF49" s="35">
        <f>+GETPIVOTDATA("XQT4",'quangthanh (2016)'!$A$3,"MA_HT","TON","MA_QH","DVH")</f>
        <v>0</v>
      </c>
      <c r="AG49" s="35">
        <f>+GETPIVOTDATA("XQT4",'quangthanh (2016)'!$A$3,"MA_HT","TON","MA_QH","DYT")</f>
        <v>0</v>
      </c>
      <c r="AH49" s="35">
        <f>+GETPIVOTDATA("XQT4",'quangthanh (2016)'!$A$3,"MA_HT","TON","MA_QH","DGD")</f>
        <v>0</v>
      </c>
      <c r="AI49" s="35">
        <f>+GETPIVOTDATA("XQT4",'quangthanh (2016)'!$A$3,"MA_HT","TON","MA_QH","DTT")</f>
        <v>0</v>
      </c>
      <c r="AJ49" s="35">
        <f>+GETPIVOTDATA("XQT4",'quangthanh (2016)'!$A$3,"MA_HT","TON","MA_QH","NCK")</f>
        <v>0</v>
      </c>
      <c r="AK49" s="35">
        <f>+GETPIVOTDATA("XQT4",'quangthanh (2016)'!$A$3,"MA_HT","TON","MA_QH","DXH")</f>
        <v>0</v>
      </c>
      <c r="AL49" s="35">
        <f>+GETPIVOTDATA("XQT4",'quangthanh (2016)'!$A$3,"MA_HT","TON","MA_QH","DCH")</f>
        <v>0</v>
      </c>
      <c r="AM49" s="35">
        <f>+GETPIVOTDATA("XQT4",'quangthanh (2016)'!$A$3,"MA_HT","TON","MA_QH","DKG")</f>
        <v>0</v>
      </c>
      <c r="AN49" s="35">
        <f>+GETPIVOTDATA("XQT4",'quangthanh (2016)'!$A$3,"MA_HT","TON","MA_QH","DDT")</f>
        <v>0</v>
      </c>
      <c r="AO49" s="35">
        <f>+GETPIVOTDATA("XQT4",'quangthanh (2016)'!$A$3,"MA_HT","TON","MA_QH","DDL")</f>
        <v>0</v>
      </c>
      <c r="AP49" s="35">
        <f>+GETPIVOTDATA("XQT4",'quangthanh (2016)'!$A$3,"MA_HT","TON","MA_QH","DRA")</f>
        <v>0</v>
      </c>
      <c r="AQ49" s="35">
        <f>+GETPIVOTDATA("XQT4",'quangthanh (2016)'!$A$3,"MA_HT","TON","MA_QH","ONT")</f>
        <v>0</v>
      </c>
      <c r="AR49" s="35">
        <f>+GETPIVOTDATA("XQT4",'quangthanh (2016)'!$A$3,"MA_HT","TON","MA_QH","ODT")</f>
        <v>0</v>
      </c>
      <c r="AS49" s="35">
        <f>+GETPIVOTDATA("XQT4",'quangthanh (2016)'!$A$3,"MA_HT","TON","MA_QH","TSC")</f>
        <v>0</v>
      </c>
      <c r="AT49" s="35">
        <f>+GETPIVOTDATA("XQT4",'quangthanh (2016)'!$A$3,"MA_HT","TON","MA_QH","DTS")</f>
        <v>0</v>
      </c>
      <c r="AU49" s="35">
        <f>+GETPIVOTDATA("XQT4",'quangthanh (2016)'!$A$3,"MA_HT","TON","MA_QH","DNG")</f>
        <v>0</v>
      </c>
      <c r="AV49" s="99" t="e">
        <f>$D49-$BF49</f>
        <v>#REF!</v>
      </c>
      <c r="AW49" s="35">
        <f>+GETPIVOTDATA("XQT4",'quangthanh (2016)'!$A$3,"MA_HT","TON","MA_QH","NTD")</f>
        <v>0</v>
      </c>
      <c r="AX49" s="35">
        <f>+GETPIVOTDATA("XQT4",'quangthanh (2016)'!$A$3,"MA_HT","TON","MA_QH","SKX")</f>
        <v>0</v>
      </c>
      <c r="AY49" s="35">
        <f>+GETPIVOTDATA("XQT4",'quangthanh (2016)'!$A$3,"MA_HT","TON","MA_QH","DSH")</f>
        <v>0</v>
      </c>
      <c r="AZ49" s="35">
        <f>+GETPIVOTDATA("XQT4",'quangthanh (2016)'!$A$3,"MA_HT","TON","MA_QH","DKV")</f>
        <v>0</v>
      </c>
      <c r="BA49" s="140">
        <f>+GETPIVOTDATA("XQT4",'quangthanh (2016)'!$A$3,"MA_HT","TON","MA_QH","TIN")</f>
        <v>0</v>
      </c>
      <c r="BB49" s="74">
        <f>+GETPIVOTDATA("XQT4",'quangthanh (2016)'!$A$3,"MA_HT","TON","MA_QH","SON")</f>
        <v>0</v>
      </c>
      <c r="BC49" s="74">
        <f>+GETPIVOTDATA("XQT4",'quangthanh (2016)'!$A$3,"MA_HT","TON","MA_QH","MNC")</f>
        <v>0</v>
      </c>
      <c r="BD49" s="35">
        <f>+GETPIVOTDATA("XQT4",'quangthanh (2016)'!$A$3,"MA_HT","TON","MA_QH","PNK")</f>
        <v>0</v>
      </c>
      <c r="BE49" s="58">
        <f>+GETPIVOTDATA("XQT4",'quangthanh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+GETPIVOTDATA("XQT4",'quangthanh (2016)'!$A$3,"MA_HT","NTD","MA_QH","LUC")</f>
        <v>0</v>
      </c>
      <c r="H50" s="35">
        <f>+GETPIVOTDATA("XQT4",'quangthanh (2016)'!$A$3,"MA_HT","NTD","MA_QH","LUK")</f>
        <v>0</v>
      </c>
      <c r="I50" s="35">
        <f>+GETPIVOTDATA("XQT4",'quangthanh (2016)'!$A$3,"MA_HT","NTD","MA_QH","LUN")</f>
        <v>0</v>
      </c>
      <c r="J50" s="35">
        <f>+GETPIVOTDATA("XQT4",'quangthanh (2016)'!$A$3,"MA_HT","NTD","MA_QH","HNK")</f>
        <v>0</v>
      </c>
      <c r="K50" s="35">
        <f>+GETPIVOTDATA("XQT4",'quangthanh (2016)'!$A$3,"MA_HT","NTD","MA_QH","CLN")</f>
        <v>0</v>
      </c>
      <c r="L50" s="35">
        <f>+GETPIVOTDATA("XQT4",'quangthanh (2016)'!$A$3,"MA_HT","NTD","MA_QH","RSX")</f>
        <v>0</v>
      </c>
      <c r="M50" s="35">
        <f>+GETPIVOTDATA("XQT4",'quangthanh (2016)'!$A$3,"MA_HT","NTD","MA_QH","RPH")</f>
        <v>0</v>
      </c>
      <c r="N50" s="35">
        <f>+GETPIVOTDATA("XQT4",'quangthanh (2016)'!$A$3,"MA_HT","NTD","MA_QH","RDD")</f>
        <v>0</v>
      </c>
      <c r="O50" s="35">
        <f>+GETPIVOTDATA("XQT4",'quangthanh (2016)'!$A$3,"MA_HT","NTD","MA_QH","NTS")</f>
        <v>0</v>
      </c>
      <c r="P50" s="35">
        <f>+GETPIVOTDATA("XQT4",'quangthanh (2016)'!$A$3,"MA_HT","NTD","MA_QH","LMU")</f>
        <v>0</v>
      </c>
      <c r="Q50" s="35">
        <f>+GETPIVOTDATA("XQT4",'quangthanh (2016)'!$A$3,"MA_HT","NTD","MA_QH","NKH")</f>
        <v>0</v>
      </c>
      <c r="R50" s="106">
        <f>SUM(S50:AA50,AN50:AV50,AX50:BD50)</f>
        <v>0</v>
      </c>
      <c r="S50" s="35">
        <f>+GETPIVOTDATA("XQT4",'quangthanh (2016)'!$A$3,"MA_HT","NTD","MA_QH","CQP")</f>
        <v>0</v>
      </c>
      <c r="T50" s="35">
        <f>+GETPIVOTDATA("XQT4",'quangthanh (2016)'!$A$3,"MA_HT","NTD","MA_QH","CAN")</f>
        <v>0</v>
      </c>
      <c r="U50" s="35">
        <f>+GETPIVOTDATA("XQT4",'quangthanh (2016)'!$A$3,"MA_HT","NTD","MA_QH","SKK")</f>
        <v>0</v>
      </c>
      <c r="V50" s="35">
        <f>+GETPIVOTDATA("XQT4",'quangthanh (2016)'!$A$3,"MA_HT","NTD","MA_QH","SKT")</f>
        <v>0</v>
      </c>
      <c r="W50" s="35">
        <f>+GETPIVOTDATA("XQT4",'quangthanh (2016)'!$A$3,"MA_HT","NTD","MA_QH","SKN")</f>
        <v>0</v>
      </c>
      <c r="X50" s="35">
        <f>+GETPIVOTDATA("XQT4",'quangthanh (2016)'!$A$3,"MA_HT","NTD","MA_QH","TMD")</f>
        <v>0</v>
      </c>
      <c r="Y50" s="35">
        <f>+GETPIVOTDATA("XQT4",'quangthanh (2016)'!$A$3,"MA_HT","NTD","MA_QH","SKC")</f>
        <v>0</v>
      </c>
      <c r="Z50" s="35">
        <f>+GETPIVOTDATA("XQT4",'quangthanh (2016)'!$A$3,"MA_HT","NTD","MA_QH","SKS")</f>
        <v>0</v>
      </c>
      <c r="AA50" s="64">
        <f t="shared" si="21"/>
        <v>0</v>
      </c>
      <c r="AB50" s="35">
        <f>+GETPIVOTDATA("XQT4",'quangthanh (2016)'!$A$3,"MA_HT","NTD","MA_QH","DGT")</f>
        <v>0</v>
      </c>
      <c r="AC50" s="35">
        <f>+GETPIVOTDATA("XQT4",'quangthanh (2016)'!$A$3,"MA_HT","NTD","MA_QH","DTL")</f>
        <v>0</v>
      </c>
      <c r="AD50" s="35">
        <f>+GETPIVOTDATA("XQT4",'quangthanh (2016)'!$A$3,"MA_HT","NTD","MA_QH","DNL")</f>
        <v>0</v>
      </c>
      <c r="AE50" s="35">
        <f>+GETPIVOTDATA("XQT4",'quangthanh (2016)'!$A$3,"MA_HT","NTD","MA_QH","DBV")</f>
        <v>0</v>
      </c>
      <c r="AF50" s="35">
        <f>+GETPIVOTDATA("XQT4",'quangthanh (2016)'!$A$3,"MA_HT","NTD","MA_QH","DVH")</f>
        <v>0</v>
      </c>
      <c r="AG50" s="35">
        <f>+GETPIVOTDATA("XQT4",'quangthanh (2016)'!$A$3,"MA_HT","NTD","MA_QH","DYT")</f>
        <v>0</v>
      </c>
      <c r="AH50" s="35">
        <f>+GETPIVOTDATA("XQT4",'quangthanh (2016)'!$A$3,"MA_HT","NTD","MA_QH","DGD")</f>
        <v>0</v>
      </c>
      <c r="AI50" s="35">
        <f>+GETPIVOTDATA("XQT4",'quangthanh (2016)'!$A$3,"MA_HT","NTD","MA_QH","DTT")</f>
        <v>0</v>
      </c>
      <c r="AJ50" s="35">
        <f>+GETPIVOTDATA("XQT4",'quangthanh (2016)'!$A$3,"MA_HT","NTD","MA_QH","NCK")</f>
        <v>0</v>
      </c>
      <c r="AK50" s="35">
        <f>+GETPIVOTDATA("XQT4",'quangthanh (2016)'!$A$3,"MA_HT","NTD","MA_QH","DXH")</f>
        <v>0</v>
      </c>
      <c r="AL50" s="35">
        <f>+GETPIVOTDATA("XQT4",'quangthanh (2016)'!$A$3,"MA_HT","NTD","MA_QH","DCH")</f>
        <v>0</v>
      </c>
      <c r="AM50" s="35">
        <f>+GETPIVOTDATA("XQT4",'quangthanh (2016)'!$A$3,"MA_HT","NTD","MA_QH","DKG")</f>
        <v>0</v>
      </c>
      <c r="AN50" s="35">
        <f>+GETPIVOTDATA("XQT4",'quangthanh (2016)'!$A$3,"MA_HT","NTD","MA_QH","DDT")</f>
        <v>0</v>
      </c>
      <c r="AO50" s="35">
        <f>+GETPIVOTDATA("XQT4",'quangthanh (2016)'!$A$3,"MA_HT","NTD","MA_QH","DDL")</f>
        <v>0</v>
      </c>
      <c r="AP50" s="35">
        <f>+GETPIVOTDATA("XQT4",'quangthanh (2016)'!$A$3,"MA_HT","NTD","MA_QH","DRA")</f>
        <v>0</v>
      </c>
      <c r="AQ50" s="35">
        <f>+GETPIVOTDATA("XQT4",'quangthanh (2016)'!$A$3,"MA_HT","NTD","MA_QH","ONT")</f>
        <v>0</v>
      </c>
      <c r="AR50" s="35">
        <f>+GETPIVOTDATA("XQT4",'quangthanh (2016)'!$A$3,"MA_HT","NTD","MA_QH","ODT")</f>
        <v>0</v>
      </c>
      <c r="AS50" s="35">
        <f>+GETPIVOTDATA("XQT4",'quangthanh (2016)'!$A$3,"MA_HT","NTD","MA_QH","TSC")</f>
        <v>0</v>
      </c>
      <c r="AT50" s="35">
        <f>+GETPIVOTDATA("XQT4",'quangthanh (2016)'!$A$3,"MA_HT","NTD","MA_QH","DTS")</f>
        <v>0</v>
      </c>
      <c r="AU50" s="35">
        <f>+GETPIVOTDATA("XQT4",'quangthanh (2016)'!$A$3,"MA_HT","NTD","MA_QH","DNG")</f>
        <v>0</v>
      </c>
      <c r="AV50" s="35">
        <f>+GETPIVOTDATA("XQT4",'quangthanh (2016)'!$A$3,"MA_HT","NTD","MA_QH","TON")</f>
        <v>0</v>
      </c>
      <c r="AW50" s="99" t="e">
        <f>$D50-$BF50</f>
        <v>#REF!</v>
      </c>
      <c r="AX50" s="35">
        <f>+GETPIVOTDATA("XQT4",'quangthanh (2016)'!$A$3,"MA_HT","NTD","MA_QH","SKX")</f>
        <v>0</v>
      </c>
      <c r="AY50" s="35">
        <f>+GETPIVOTDATA("XQT4",'quangthanh (2016)'!$A$3,"MA_HT","NTD","MA_QH","DSH")</f>
        <v>0</v>
      </c>
      <c r="AZ50" s="35">
        <f>+GETPIVOTDATA("XQT4",'quangthanh (2016)'!$A$3,"MA_HT","NTD","MA_QH","DKV")</f>
        <v>0</v>
      </c>
      <c r="BA50" s="140">
        <f>+GETPIVOTDATA("XQT4",'quangthanh (2016)'!$A$3,"MA_HT","NTD","MA_QH","TIN")</f>
        <v>0</v>
      </c>
      <c r="BB50" s="74">
        <f>+GETPIVOTDATA("XQT4",'quangthanh (2016)'!$A$3,"MA_HT","NTD","MA_QH","SON")</f>
        <v>0</v>
      </c>
      <c r="BC50" s="74">
        <f>+GETPIVOTDATA("XQT4",'quangthanh (2016)'!$A$3,"MA_HT","NTD","MA_QH","MNC")</f>
        <v>0</v>
      </c>
      <c r="BD50" s="35">
        <f>+GETPIVOTDATA("XQT4",'quangthanh (2016)'!$A$3,"MA_HT","NTD","MA_QH","PNK")</f>
        <v>0</v>
      </c>
      <c r="BE50" s="58">
        <f>+GETPIVOTDATA("XQT4",'quangthanh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+GETPIVOTDATA("XQT4",'quangthanh (2016)'!$A$3,"MA_HT","SKX","MA_QH","LUC")</f>
        <v>0</v>
      </c>
      <c r="H51" s="35">
        <f>+GETPIVOTDATA("XQT4",'quangthanh (2016)'!$A$3,"MA_HT","SKX","MA_QH","LUK")</f>
        <v>0</v>
      </c>
      <c r="I51" s="35">
        <f>+GETPIVOTDATA("XQT4",'quangthanh (2016)'!$A$3,"MA_HT","SKX","MA_QH","LUN")</f>
        <v>0</v>
      </c>
      <c r="J51" s="35">
        <f>+GETPIVOTDATA("XQT4",'quangthanh (2016)'!$A$3,"MA_HT","SKX","MA_QH","HNK")</f>
        <v>0</v>
      </c>
      <c r="K51" s="35">
        <f>+GETPIVOTDATA("XQT4",'quangthanh (2016)'!$A$3,"MA_HT","SKX","MA_QH","CLN")</f>
        <v>0</v>
      </c>
      <c r="L51" s="35">
        <f>+GETPIVOTDATA("XQT4",'quangthanh (2016)'!$A$3,"MA_HT","SKX","MA_QH","RSX")</f>
        <v>0</v>
      </c>
      <c r="M51" s="35">
        <f>+GETPIVOTDATA("XQT4",'quangthanh (2016)'!$A$3,"MA_HT","SKX","MA_QH","RPH")</f>
        <v>0</v>
      </c>
      <c r="N51" s="35">
        <f>+GETPIVOTDATA("XQT4",'quangthanh (2016)'!$A$3,"MA_HT","SKX","MA_QH","RDD")</f>
        <v>0</v>
      </c>
      <c r="O51" s="35">
        <f>+GETPIVOTDATA("XQT4",'quangthanh (2016)'!$A$3,"MA_HT","SKX","MA_QH","NTS")</f>
        <v>0</v>
      </c>
      <c r="P51" s="35">
        <f>+GETPIVOTDATA("XQT4",'quangthanh (2016)'!$A$3,"MA_HT","SKX","MA_QH","LMU")</f>
        <v>0</v>
      </c>
      <c r="Q51" s="35">
        <f>+GETPIVOTDATA("XQT4",'quangthanh (2016)'!$A$3,"MA_HT","SKX","MA_QH","NKH")</f>
        <v>0</v>
      </c>
      <c r="R51" s="106">
        <f>SUM(S51:AA51,AN51:AW51,AY51:BD51)</f>
        <v>0</v>
      </c>
      <c r="S51" s="35">
        <f>+GETPIVOTDATA("XQT4",'quangthanh (2016)'!$A$3,"MA_HT","SKX","MA_QH","CQP")</f>
        <v>0</v>
      </c>
      <c r="T51" s="35">
        <f>+GETPIVOTDATA("XQT4",'quangthanh (2016)'!$A$3,"MA_HT","SKX","MA_QH","CAN")</f>
        <v>0</v>
      </c>
      <c r="U51" s="35">
        <f>+GETPIVOTDATA("XQT4",'quangthanh (2016)'!$A$3,"MA_HT","SKX","MA_QH","SKK")</f>
        <v>0</v>
      </c>
      <c r="V51" s="35">
        <f>+GETPIVOTDATA("XQT4",'quangthanh (2016)'!$A$3,"MA_HT","SKX","MA_QH","SKT")</f>
        <v>0</v>
      </c>
      <c r="W51" s="35">
        <f>+GETPIVOTDATA("XQT4",'quangthanh (2016)'!$A$3,"MA_HT","SKX","MA_QH","SKN")</f>
        <v>0</v>
      </c>
      <c r="X51" s="35">
        <f>+GETPIVOTDATA("XQT4",'quangthanh (2016)'!$A$3,"MA_HT","SKX","MA_QH","TMD")</f>
        <v>0</v>
      </c>
      <c r="Y51" s="35">
        <f>+GETPIVOTDATA("XQT4",'quangthanh (2016)'!$A$3,"MA_HT","SKX","MA_QH","SKC")</f>
        <v>0</v>
      </c>
      <c r="Z51" s="35">
        <f>+GETPIVOTDATA("XQT4",'quangthanh (2016)'!$A$3,"MA_HT","SKX","MA_QH","SKS")</f>
        <v>0</v>
      </c>
      <c r="AA51" s="64">
        <f t="shared" si="21"/>
        <v>0</v>
      </c>
      <c r="AB51" s="35">
        <f>+GETPIVOTDATA("XQT4",'quangthanh (2016)'!$A$3,"MA_HT","SKX","MA_QH","DGT")</f>
        <v>0</v>
      </c>
      <c r="AC51" s="35">
        <f>+GETPIVOTDATA("XQT4",'quangthanh (2016)'!$A$3,"MA_HT","SKX","MA_QH","DTL")</f>
        <v>0</v>
      </c>
      <c r="AD51" s="35">
        <f>+GETPIVOTDATA("XQT4",'quangthanh (2016)'!$A$3,"MA_HT","SKX","MA_QH","DNL")</f>
        <v>0</v>
      </c>
      <c r="AE51" s="35">
        <f>+GETPIVOTDATA("XQT4",'quangthanh (2016)'!$A$3,"MA_HT","SKX","MA_QH","DBV")</f>
        <v>0</v>
      </c>
      <c r="AF51" s="35">
        <f>+GETPIVOTDATA("XQT4",'quangthanh (2016)'!$A$3,"MA_HT","SKX","MA_QH","DVH")</f>
        <v>0</v>
      </c>
      <c r="AG51" s="35">
        <f>+GETPIVOTDATA("XQT4",'quangthanh (2016)'!$A$3,"MA_HT","SKX","MA_QH","DYT")</f>
        <v>0</v>
      </c>
      <c r="AH51" s="35">
        <f>+GETPIVOTDATA("XQT4",'quangthanh (2016)'!$A$3,"MA_HT","SKX","MA_QH","DGD")</f>
        <v>0</v>
      </c>
      <c r="AI51" s="35">
        <f>+GETPIVOTDATA("XQT4",'quangthanh (2016)'!$A$3,"MA_HT","SKX","MA_QH","DTT")</f>
        <v>0</v>
      </c>
      <c r="AJ51" s="35">
        <f>+GETPIVOTDATA("XQT4",'quangthanh (2016)'!$A$3,"MA_HT","SKX","MA_QH","NCK")</f>
        <v>0</v>
      </c>
      <c r="AK51" s="35">
        <f>+GETPIVOTDATA("XQT4",'quangthanh (2016)'!$A$3,"MA_HT","SKX","MA_QH","DXH")</f>
        <v>0</v>
      </c>
      <c r="AL51" s="35">
        <f>+GETPIVOTDATA("XQT4",'quangthanh (2016)'!$A$3,"MA_HT","SKX","MA_QH","DCH")</f>
        <v>0</v>
      </c>
      <c r="AM51" s="35">
        <f>+GETPIVOTDATA("XQT4",'quangthanh (2016)'!$A$3,"MA_HT","SKX","MA_QH","DKG")</f>
        <v>0</v>
      </c>
      <c r="AN51" s="35">
        <f>+GETPIVOTDATA("XQT4",'quangthanh (2016)'!$A$3,"MA_HT","SKX","MA_QH","DDT")</f>
        <v>0</v>
      </c>
      <c r="AO51" s="35">
        <f>+GETPIVOTDATA("XQT4",'quangthanh (2016)'!$A$3,"MA_HT","SKX","MA_QH","DDL")</f>
        <v>0</v>
      </c>
      <c r="AP51" s="35">
        <f>+GETPIVOTDATA("XQT4",'quangthanh (2016)'!$A$3,"MA_HT","SKX","MA_QH","DRA")</f>
        <v>0</v>
      </c>
      <c r="AQ51" s="35">
        <f>+GETPIVOTDATA("XQT4",'quangthanh (2016)'!$A$3,"MA_HT","SKX","MA_QH","ONT")</f>
        <v>0</v>
      </c>
      <c r="AR51" s="35">
        <f>+GETPIVOTDATA("XQT4",'quangthanh (2016)'!$A$3,"MA_HT","SKX","MA_QH","ODT")</f>
        <v>0</v>
      </c>
      <c r="AS51" s="35">
        <f>+GETPIVOTDATA("XQT4",'quangthanh (2016)'!$A$3,"MA_HT","SKX","MA_QH","TSC")</f>
        <v>0</v>
      </c>
      <c r="AT51" s="35">
        <f>+GETPIVOTDATA("XQT4",'quangthanh (2016)'!$A$3,"MA_HT","SKX","MA_QH","DTS")</f>
        <v>0</v>
      </c>
      <c r="AU51" s="35">
        <f>+GETPIVOTDATA("XQT4",'quangthanh (2016)'!$A$3,"MA_HT","SKX","MA_QH","DNG")</f>
        <v>0</v>
      </c>
      <c r="AV51" s="35">
        <f>+GETPIVOTDATA("XQT4",'quangthanh (2016)'!$A$3,"MA_HT","SKX","MA_QH","TON")</f>
        <v>0</v>
      </c>
      <c r="AW51" s="35">
        <f>+GETPIVOTDATA("XQT4",'quangthanh (2016)'!$A$3,"MA_HT","SKX","MA_QH","NTD")</f>
        <v>0</v>
      </c>
      <c r="AX51" s="99" t="e">
        <f>$D51-$BF51</f>
        <v>#REF!</v>
      </c>
      <c r="AY51" s="35">
        <f>+GETPIVOTDATA("XQT4",'quangthanh (2016)'!$A$3,"MA_HT","SKX","MA_QH","DSH")</f>
        <v>0</v>
      </c>
      <c r="AZ51" s="35">
        <f>+GETPIVOTDATA("XQT4",'quangthanh (2016)'!$A$3,"MA_HT","SKX","MA_QH","DKV")</f>
        <v>0</v>
      </c>
      <c r="BA51" s="140">
        <f>+GETPIVOTDATA("XQT4",'quangthanh (2016)'!$A$3,"MA_HT","SKX","MA_QH","TIN")</f>
        <v>0</v>
      </c>
      <c r="BB51" s="74">
        <f>+GETPIVOTDATA("XQT4",'quangthanh (2016)'!$A$3,"MA_HT","SKX","MA_QH","SON")</f>
        <v>0</v>
      </c>
      <c r="BC51" s="74">
        <f>+GETPIVOTDATA("XQT4",'quangthanh (2016)'!$A$3,"MA_HT","SKX","MA_QH","MNC")</f>
        <v>0</v>
      </c>
      <c r="BD51" s="35">
        <f>+GETPIVOTDATA("XQT4",'quangthanh (2016)'!$A$3,"MA_HT","SKX","MA_QH","PNK")</f>
        <v>0</v>
      </c>
      <c r="BE51" s="58">
        <f>+GETPIVOTDATA("XQT4",'quangthanh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+GETPIVOTDATA("XQT4",'quangthanh (2016)'!$A$3,"MA_HT","DSH","MA_QH","LUC")</f>
        <v>0</v>
      </c>
      <c r="H52" s="35">
        <f>+GETPIVOTDATA("XQT4",'quangthanh (2016)'!$A$3,"MA_HT","DSH","MA_QH","LUK")</f>
        <v>0</v>
      </c>
      <c r="I52" s="35">
        <f>+GETPIVOTDATA("XQT4",'quangthanh (2016)'!$A$3,"MA_HT","DSH","MA_QH","LUN")</f>
        <v>0</v>
      </c>
      <c r="J52" s="35">
        <f>+GETPIVOTDATA("XQT4",'quangthanh (2016)'!$A$3,"MA_HT","DSH","MA_QH","HNK")</f>
        <v>0</v>
      </c>
      <c r="K52" s="35">
        <f>+GETPIVOTDATA("XQT4",'quangthanh (2016)'!$A$3,"MA_HT","DSH","MA_QH","CLN")</f>
        <v>0</v>
      </c>
      <c r="L52" s="35">
        <f>+GETPIVOTDATA("XQT4",'quangthanh (2016)'!$A$3,"MA_HT","DSH","MA_QH","RSX")</f>
        <v>0</v>
      </c>
      <c r="M52" s="35">
        <f>+GETPIVOTDATA("XQT4",'quangthanh (2016)'!$A$3,"MA_HT","DSH","MA_QH","RPH")</f>
        <v>0</v>
      </c>
      <c r="N52" s="35">
        <f>+GETPIVOTDATA("XQT4",'quangthanh (2016)'!$A$3,"MA_HT","DSH","MA_QH","RDD")</f>
        <v>0</v>
      </c>
      <c r="O52" s="35">
        <f>+GETPIVOTDATA("XQT4",'quangthanh (2016)'!$A$3,"MA_HT","DSH","MA_QH","NTS")</f>
        <v>0</v>
      </c>
      <c r="P52" s="35">
        <f>+GETPIVOTDATA("XQT4",'quangthanh (2016)'!$A$3,"MA_HT","DSH","MA_QH","LMU")</f>
        <v>0</v>
      </c>
      <c r="Q52" s="35">
        <f>+GETPIVOTDATA("XQT4",'quangthanh (2016)'!$A$3,"MA_HT","DSH","MA_QH","NKH")</f>
        <v>0</v>
      </c>
      <c r="R52" s="106">
        <f>SUM(S52:AA52,AN52:AX52,AZ52:BD52)</f>
        <v>0</v>
      </c>
      <c r="S52" s="35">
        <f>+GETPIVOTDATA("XQT4",'quangthanh (2016)'!$A$3,"MA_HT","DSH","MA_QH","CQP")</f>
        <v>0</v>
      </c>
      <c r="T52" s="35">
        <f>+GETPIVOTDATA("XQT4",'quangthanh (2016)'!$A$3,"MA_HT","DSH","MA_QH","CAN")</f>
        <v>0</v>
      </c>
      <c r="U52" s="35">
        <f>+GETPIVOTDATA("XQT4",'quangthanh (2016)'!$A$3,"MA_HT","DSH","MA_QH","SKK")</f>
        <v>0</v>
      </c>
      <c r="V52" s="35">
        <f>+GETPIVOTDATA("XQT4",'quangthanh (2016)'!$A$3,"MA_HT","DSH","MA_QH","SKT")</f>
        <v>0</v>
      </c>
      <c r="W52" s="35">
        <f>+GETPIVOTDATA("XQT4",'quangthanh (2016)'!$A$3,"MA_HT","DSH","MA_QH","SKN")</f>
        <v>0</v>
      </c>
      <c r="X52" s="35">
        <f>+GETPIVOTDATA("XQT4",'quangthanh (2016)'!$A$3,"MA_HT","DSH","MA_QH","TMD")</f>
        <v>0</v>
      </c>
      <c r="Y52" s="35">
        <f>+GETPIVOTDATA("XQT4",'quangthanh (2016)'!$A$3,"MA_HT","DSH","MA_QH","SKC")</f>
        <v>0</v>
      </c>
      <c r="Z52" s="35">
        <f>+GETPIVOTDATA("XQT4",'quangthanh (2016)'!$A$3,"MA_HT","DSH","MA_QH","SKS")</f>
        <v>0</v>
      </c>
      <c r="AA52" s="64">
        <f t="shared" si="21"/>
        <v>0</v>
      </c>
      <c r="AB52" s="35">
        <f>+GETPIVOTDATA("XQT4",'quangthanh (2016)'!$A$3,"MA_HT","DSH","MA_QH","DGT")</f>
        <v>0</v>
      </c>
      <c r="AC52" s="35">
        <f>+GETPIVOTDATA("XQT4",'quangthanh (2016)'!$A$3,"MA_HT","DSH","MA_QH","DTL")</f>
        <v>0</v>
      </c>
      <c r="AD52" s="35">
        <f>+GETPIVOTDATA("XQT4",'quangthanh (2016)'!$A$3,"MA_HT","DSH","MA_QH","DNL")</f>
        <v>0</v>
      </c>
      <c r="AE52" s="35">
        <f>+GETPIVOTDATA("XQT4",'quangthanh (2016)'!$A$3,"MA_HT","DSH","MA_QH","DBV")</f>
        <v>0</v>
      </c>
      <c r="AF52" s="35">
        <f>+GETPIVOTDATA("XQT4",'quangthanh (2016)'!$A$3,"MA_HT","DSH","MA_QH","DVH")</f>
        <v>0</v>
      </c>
      <c r="AG52" s="35">
        <f>+GETPIVOTDATA("XQT4",'quangthanh (2016)'!$A$3,"MA_HT","DSH","MA_QH","DYT")</f>
        <v>0</v>
      </c>
      <c r="AH52" s="35">
        <f>+GETPIVOTDATA("XQT4",'quangthanh (2016)'!$A$3,"MA_HT","DSH","MA_QH","DGD")</f>
        <v>0</v>
      </c>
      <c r="AI52" s="35">
        <f>+GETPIVOTDATA("XQT4",'quangthanh (2016)'!$A$3,"MA_HT","DSH","MA_QH","DTT")</f>
        <v>0</v>
      </c>
      <c r="AJ52" s="35">
        <f>+GETPIVOTDATA("XQT4",'quangthanh (2016)'!$A$3,"MA_HT","DSH","MA_QH","NCK")</f>
        <v>0</v>
      </c>
      <c r="AK52" s="35">
        <f>+GETPIVOTDATA("XQT4",'quangthanh (2016)'!$A$3,"MA_HT","DSH","MA_QH","DXH")</f>
        <v>0</v>
      </c>
      <c r="AL52" s="35">
        <f>+GETPIVOTDATA("XQT4",'quangthanh (2016)'!$A$3,"MA_HT","DSH","MA_QH","DCH")</f>
        <v>0</v>
      </c>
      <c r="AM52" s="35">
        <f>+GETPIVOTDATA("XQT4",'quangthanh (2016)'!$A$3,"MA_HT","DSH","MA_QH","DKG")</f>
        <v>0</v>
      </c>
      <c r="AN52" s="35">
        <f>+GETPIVOTDATA("XQT4",'quangthanh (2016)'!$A$3,"MA_HT","DSH","MA_QH","DDT")</f>
        <v>0</v>
      </c>
      <c r="AO52" s="35">
        <f>+GETPIVOTDATA("XQT4",'quangthanh (2016)'!$A$3,"MA_HT","DSH","MA_QH","DDL")</f>
        <v>0</v>
      </c>
      <c r="AP52" s="35">
        <f>+GETPIVOTDATA("XQT4",'quangthanh (2016)'!$A$3,"MA_HT","DSH","MA_QH","DRA")</f>
        <v>0</v>
      </c>
      <c r="AQ52" s="35">
        <f>+GETPIVOTDATA("XQT4",'quangthanh (2016)'!$A$3,"MA_HT","DSH","MA_QH","ONT")</f>
        <v>0</v>
      </c>
      <c r="AR52" s="35">
        <f>+GETPIVOTDATA("XQT4",'quangthanh (2016)'!$A$3,"MA_HT","DSH","MA_QH","ODT")</f>
        <v>0</v>
      </c>
      <c r="AS52" s="35">
        <f>+GETPIVOTDATA("XQT4",'quangthanh (2016)'!$A$3,"MA_HT","DSH","MA_QH","TSC")</f>
        <v>0</v>
      </c>
      <c r="AT52" s="35">
        <f>+GETPIVOTDATA("XQT4",'quangthanh (2016)'!$A$3,"MA_HT","DSH","MA_QH","DTS")</f>
        <v>0</v>
      </c>
      <c r="AU52" s="35">
        <f>+GETPIVOTDATA("XQT4",'quangthanh (2016)'!$A$3,"MA_HT","DSH","MA_QH","DNG")</f>
        <v>0</v>
      </c>
      <c r="AV52" s="35">
        <f>+GETPIVOTDATA("XQT4",'quangthanh (2016)'!$A$3,"MA_HT","DSH","MA_QH","TON")</f>
        <v>0</v>
      </c>
      <c r="AW52" s="35">
        <f>+GETPIVOTDATA("XQT4",'quangthanh (2016)'!$A$3,"MA_HT","DSH","MA_QH","NTD")</f>
        <v>0</v>
      </c>
      <c r="AX52" s="35">
        <f>+GETPIVOTDATA("XQT4",'quangthanh (2016)'!$A$3,"MA_HT","DSH","MA_QH","SKX")</f>
        <v>0</v>
      </c>
      <c r="AY52" s="99" t="e">
        <f>$D52-$BF52</f>
        <v>#REF!</v>
      </c>
      <c r="AZ52" s="35">
        <f>+GETPIVOTDATA("XQT4",'quangthanh (2016)'!$A$3,"MA_HT","DSH","MA_QH","DKV")</f>
        <v>0</v>
      </c>
      <c r="BA52" s="140">
        <f>+GETPIVOTDATA("XQT4",'quangthanh (2016)'!$A$3,"MA_HT","DSH","MA_QH","TIN")</f>
        <v>0</v>
      </c>
      <c r="BB52" s="74">
        <f>+GETPIVOTDATA("XQT4",'quangthanh (2016)'!$A$3,"MA_HT","DSH","MA_QH","SON")</f>
        <v>0</v>
      </c>
      <c r="BC52" s="74">
        <f>+GETPIVOTDATA("XQT4",'quangthanh (2016)'!$A$3,"MA_HT","DSH","MA_QH","MNC")</f>
        <v>0</v>
      </c>
      <c r="BD52" s="35">
        <f>+GETPIVOTDATA("XQT4",'quangthanh (2016)'!$A$3,"MA_HT","DSH","MA_QH","PNK")</f>
        <v>0</v>
      </c>
      <c r="BE52" s="58">
        <f>+GETPIVOTDATA("XQT4",'quangthanh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+GETPIVOTDATA("XQT4",'quangthanh (2016)'!$A$3,"MA_HT","DKV","MA_QH","LUC")</f>
        <v>0</v>
      </c>
      <c r="H53" s="35">
        <f>+GETPIVOTDATA("XQT4",'quangthanh (2016)'!$A$3,"MA_HT","DKV","MA_QH","LUK")</f>
        <v>0</v>
      </c>
      <c r="I53" s="35">
        <f>+GETPIVOTDATA("XQT4",'quangthanh (2016)'!$A$3,"MA_HT","DKV","MA_QH","LUN")</f>
        <v>0</v>
      </c>
      <c r="J53" s="35">
        <f>+GETPIVOTDATA("XQT4",'quangthanh (2016)'!$A$3,"MA_HT","DKV","MA_QH","HNK")</f>
        <v>0</v>
      </c>
      <c r="K53" s="35">
        <f>+GETPIVOTDATA("XQT4",'quangthanh (2016)'!$A$3,"MA_HT","DKV","MA_QH","CLN")</f>
        <v>0</v>
      </c>
      <c r="L53" s="35">
        <f>+GETPIVOTDATA("XQT4",'quangthanh (2016)'!$A$3,"MA_HT","DKV","MA_QH","RSX")</f>
        <v>0</v>
      </c>
      <c r="M53" s="35">
        <f>+GETPIVOTDATA("XQT4",'quangthanh (2016)'!$A$3,"MA_HT","DKV","MA_QH","RPH")</f>
        <v>0</v>
      </c>
      <c r="N53" s="35">
        <f>+GETPIVOTDATA("XQT4",'quangthanh (2016)'!$A$3,"MA_HT","DKV","MA_QH","RDD")</f>
        <v>0</v>
      </c>
      <c r="O53" s="35">
        <f>+GETPIVOTDATA("XQT4",'quangthanh (2016)'!$A$3,"MA_HT","DKV","MA_QH","NTS")</f>
        <v>0</v>
      </c>
      <c r="P53" s="35">
        <f>+GETPIVOTDATA("XQT4",'quangthanh (2016)'!$A$3,"MA_HT","DKV","MA_QH","LMU")</f>
        <v>0</v>
      </c>
      <c r="Q53" s="35">
        <f>+GETPIVOTDATA("XQT4",'quangthanh (2016)'!$A$3,"MA_HT","DKV","MA_QH","NKH")</f>
        <v>0</v>
      </c>
      <c r="R53" s="106">
        <f>SUM(S53:AA53,AN53:AY53,BB53:BD53)</f>
        <v>0</v>
      </c>
      <c r="S53" s="35">
        <f>+GETPIVOTDATA("XQT4",'quangthanh (2016)'!$A$3,"MA_HT","DKV","MA_QH","CQP")</f>
        <v>0</v>
      </c>
      <c r="T53" s="35">
        <f>+GETPIVOTDATA("XQT4",'quangthanh (2016)'!$A$3,"MA_HT","DKV","MA_QH","CAN")</f>
        <v>0</v>
      </c>
      <c r="U53" s="35">
        <f>+GETPIVOTDATA("XQT4",'quangthanh (2016)'!$A$3,"MA_HT","DKV","MA_QH","SKK")</f>
        <v>0</v>
      </c>
      <c r="V53" s="35">
        <f>+GETPIVOTDATA("XQT4",'quangthanh (2016)'!$A$3,"MA_HT","DKV","MA_QH","SKT")</f>
        <v>0</v>
      </c>
      <c r="W53" s="35">
        <f>+GETPIVOTDATA("XQT4",'quangthanh (2016)'!$A$3,"MA_HT","DKV","MA_QH","SKN")</f>
        <v>0</v>
      </c>
      <c r="X53" s="35">
        <f>+GETPIVOTDATA("XQT4",'quangthanh (2016)'!$A$3,"MA_HT","DKV","MA_QH","TMD")</f>
        <v>0</v>
      </c>
      <c r="Y53" s="35">
        <f>+GETPIVOTDATA("XQT4",'quangthanh (2016)'!$A$3,"MA_HT","DKV","MA_QH","SKC")</f>
        <v>0</v>
      </c>
      <c r="Z53" s="35">
        <f>+GETPIVOTDATA("XQT4",'quangthanh (2016)'!$A$3,"MA_HT","DKV","MA_QH","SKS")</f>
        <v>0</v>
      </c>
      <c r="AA53" s="64">
        <f t="shared" si="21"/>
        <v>0</v>
      </c>
      <c r="AB53" s="35">
        <f>+GETPIVOTDATA("XQT4",'quangthanh (2016)'!$A$3,"MA_HT","DKV","MA_QH","DGT")</f>
        <v>0</v>
      </c>
      <c r="AC53" s="35">
        <f>+GETPIVOTDATA("XQT4",'quangthanh (2016)'!$A$3,"MA_HT","DKV","MA_QH","DTL")</f>
        <v>0</v>
      </c>
      <c r="AD53" s="35">
        <f>+GETPIVOTDATA("XQT4",'quangthanh (2016)'!$A$3,"MA_HT","DKV","MA_QH","DNL")</f>
        <v>0</v>
      </c>
      <c r="AE53" s="35">
        <f>+GETPIVOTDATA("XQT4",'quangthanh (2016)'!$A$3,"MA_HT","DKV","MA_QH","DBV")</f>
        <v>0</v>
      </c>
      <c r="AF53" s="35">
        <f>+GETPIVOTDATA("XQT4",'quangthanh (2016)'!$A$3,"MA_HT","DKV","MA_QH","DVH")</f>
        <v>0</v>
      </c>
      <c r="AG53" s="35">
        <f>+GETPIVOTDATA("XQT4",'quangthanh (2016)'!$A$3,"MA_HT","DKV","MA_QH","DYT")</f>
        <v>0</v>
      </c>
      <c r="AH53" s="35">
        <f>+GETPIVOTDATA("XQT4",'quangthanh (2016)'!$A$3,"MA_HT","DKV","MA_QH","DGD")</f>
        <v>0</v>
      </c>
      <c r="AI53" s="35">
        <f>+GETPIVOTDATA("XQT4",'quangthanh (2016)'!$A$3,"MA_HT","DKV","MA_QH","DTT")</f>
        <v>0</v>
      </c>
      <c r="AJ53" s="35">
        <f>+GETPIVOTDATA("XQT4",'quangthanh (2016)'!$A$3,"MA_HT","DKV","MA_QH","NCK")</f>
        <v>0</v>
      </c>
      <c r="AK53" s="35">
        <f>+GETPIVOTDATA("XQT4",'quangthanh (2016)'!$A$3,"MA_HT","DKV","MA_QH","DXH")</f>
        <v>0</v>
      </c>
      <c r="AL53" s="35">
        <f>+GETPIVOTDATA("XQT4",'quangthanh (2016)'!$A$3,"MA_HT","DKV","MA_QH","DCH")</f>
        <v>0</v>
      </c>
      <c r="AM53" s="35">
        <f>+GETPIVOTDATA("XQT4",'quangthanh (2016)'!$A$3,"MA_HT","DKV","MA_QH","DKG")</f>
        <v>0</v>
      </c>
      <c r="AN53" s="35">
        <f>+GETPIVOTDATA("XQT4",'quangthanh (2016)'!$A$3,"MA_HT","DKV","MA_QH","DDT")</f>
        <v>0</v>
      </c>
      <c r="AO53" s="35">
        <f>+GETPIVOTDATA("XQT4",'quangthanh (2016)'!$A$3,"MA_HT","DKV","MA_QH","DDL")</f>
        <v>0</v>
      </c>
      <c r="AP53" s="35">
        <f>+GETPIVOTDATA("XQT4",'quangthanh (2016)'!$A$3,"MA_HT","DKV","MA_QH","DRA")</f>
        <v>0</v>
      </c>
      <c r="AQ53" s="35">
        <f>+GETPIVOTDATA("XQT4",'quangthanh (2016)'!$A$3,"MA_HT","DKV","MA_QH","ONT")</f>
        <v>0</v>
      </c>
      <c r="AR53" s="35">
        <f>+GETPIVOTDATA("XQT4",'quangthanh (2016)'!$A$3,"MA_HT","DKV","MA_QH","ODT")</f>
        <v>0</v>
      </c>
      <c r="AS53" s="35">
        <f>+GETPIVOTDATA("XQT4",'quangthanh (2016)'!$A$3,"MA_HT","DKV","MA_QH","TSC")</f>
        <v>0</v>
      </c>
      <c r="AT53" s="35">
        <f>+GETPIVOTDATA("XQT4",'quangthanh (2016)'!$A$3,"MA_HT","DKV","MA_QH","DTS")</f>
        <v>0</v>
      </c>
      <c r="AU53" s="35">
        <f>+GETPIVOTDATA("XQT4",'quangthanh (2016)'!$A$3,"MA_HT","DKV","MA_QH","DNG")</f>
        <v>0</v>
      </c>
      <c r="AV53" s="35">
        <f>+GETPIVOTDATA("XQT4",'quangthanh (2016)'!$A$3,"MA_HT","DKV","MA_QH","TON")</f>
        <v>0</v>
      </c>
      <c r="AW53" s="35">
        <f>+GETPIVOTDATA("XQT4",'quangthanh (2016)'!$A$3,"MA_HT","DKV","MA_QH","NTD")</f>
        <v>0</v>
      </c>
      <c r="AX53" s="35">
        <f>+GETPIVOTDATA("XQT4",'quangthanh (2016)'!$A$3,"MA_HT","DKV","MA_QH","SKX")</f>
        <v>0</v>
      </c>
      <c r="AY53" s="35">
        <f>+GETPIVOTDATA("XQT4",'quangthanh (2016)'!$A$3,"MA_HT","DKV","MA_QH","DSH")</f>
        <v>0</v>
      </c>
      <c r="AZ53" s="99" t="e">
        <f>$D53-$BF53</f>
        <v>#REF!</v>
      </c>
      <c r="BA53" s="140">
        <f>+GETPIVOTDATA("XQT4",'quangthanh (2016)'!$A$3,"MA_HT","DKV","MA_QH","TIN")</f>
        <v>0</v>
      </c>
      <c r="BB53" s="74">
        <f>+GETPIVOTDATA("XQT4",'quangthanh (2016)'!$A$3,"MA_HT","DKV","MA_QH","SON")</f>
        <v>0</v>
      </c>
      <c r="BC53" s="74">
        <f>+GETPIVOTDATA("XQT4",'quangthanh (2016)'!$A$3,"MA_HT","DKV","MA_QH","MNC")</f>
        <v>0</v>
      </c>
      <c r="BD53" s="35">
        <f>+GETPIVOTDATA("XQT4",'quangthanh (2016)'!$A$3,"MA_HT","DKV","MA_QH","PNK")</f>
        <v>0</v>
      </c>
      <c r="BE53" s="58">
        <f>+GETPIVOTDATA("XQT4",'quangthanh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+GETPIVOTDATA("XQT4",'quangthanh (2016)'!$A$3,"MA_HT","TIN","MA_QH","LUC")</f>
        <v>0</v>
      </c>
      <c r="H54" s="35">
        <f>+GETPIVOTDATA("XQT4",'quangthanh (2016)'!$A$3,"MA_HT","TIN","MA_QH","LUK")</f>
        <v>0</v>
      </c>
      <c r="I54" s="35">
        <f>+GETPIVOTDATA("XQT4",'quangthanh (2016)'!$A$3,"MA_HT","TIN","MA_QH","LUN")</f>
        <v>0</v>
      </c>
      <c r="J54" s="35">
        <f>+GETPIVOTDATA("XQT4",'quangthanh (2016)'!$A$3,"MA_HT","TIN","MA_QH","HNK")</f>
        <v>0</v>
      </c>
      <c r="K54" s="35">
        <f>+GETPIVOTDATA("XQT4",'quangthanh (2016)'!$A$3,"MA_HT","TIN","MA_QH","CLN")</f>
        <v>0</v>
      </c>
      <c r="L54" s="35">
        <f>+GETPIVOTDATA("XQT4",'quangthanh (2016)'!$A$3,"MA_HT","TIN","MA_QH","RSX")</f>
        <v>0</v>
      </c>
      <c r="M54" s="35">
        <f>+GETPIVOTDATA("XQT4",'quangthanh (2016)'!$A$3,"MA_HT","TIN","MA_QH","RPH")</f>
        <v>0</v>
      </c>
      <c r="N54" s="35">
        <f>+GETPIVOTDATA("XQT4",'quangthanh (2016)'!$A$3,"MA_HT","TIN","MA_QH","RDD")</f>
        <v>0</v>
      </c>
      <c r="O54" s="35">
        <f>+GETPIVOTDATA("XQT4",'quangthanh (2016)'!$A$3,"MA_HT","TIN","MA_QH","NTS")</f>
        <v>0</v>
      </c>
      <c r="P54" s="35">
        <f>+GETPIVOTDATA("XQT4",'quangthanh (2016)'!$A$3,"MA_HT","TIN","MA_QH","LMU")</f>
        <v>0</v>
      </c>
      <c r="Q54" s="35">
        <f>+GETPIVOTDATA("XQT4",'quangthanh (2016)'!$A$3,"MA_HT","TIN","MA_QH","NKH")</f>
        <v>0</v>
      </c>
      <c r="R54" s="106">
        <f>SUM(S54:AA54,AN54:AZ54,BB54:BD54)</f>
        <v>0</v>
      </c>
      <c r="S54" s="35">
        <f>+GETPIVOTDATA("XQT4",'quangthanh (2016)'!$A$3,"MA_HT","TIN","MA_QH","CQP")</f>
        <v>0</v>
      </c>
      <c r="T54" s="35">
        <f>+GETPIVOTDATA("XQT4",'quangthanh (2016)'!$A$3,"MA_HT","TIN","MA_QH","CAN")</f>
        <v>0</v>
      </c>
      <c r="U54" s="35">
        <f>+GETPIVOTDATA("XQT4",'quangthanh (2016)'!$A$3,"MA_HT","TIN","MA_QH","SKK")</f>
        <v>0</v>
      </c>
      <c r="V54" s="35">
        <f>+GETPIVOTDATA("XQT4",'quangthanh (2016)'!$A$3,"MA_HT","TIN","MA_QH","SKT")</f>
        <v>0</v>
      </c>
      <c r="W54" s="35">
        <f>+GETPIVOTDATA("XQT4",'quangthanh (2016)'!$A$3,"MA_HT","TIN","MA_QH","SKN")</f>
        <v>0</v>
      </c>
      <c r="X54" s="35">
        <f>+GETPIVOTDATA("XQT4",'quangthanh (2016)'!$A$3,"MA_HT","TIN","MA_QH","TMD")</f>
        <v>0</v>
      </c>
      <c r="Y54" s="35">
        <f>+GETPIVOTDATA("XQT4",'quangthanh (2016)'!$A$3,"MA_HT","TIN","MA_QH","SKC")</f>
        <v>0</v>
      </c>
      <c r="Z54" s="35">
        <f>+GETPIVOTDATA("XQT4",'quangthanh (2016)'!$A$3,"MA_HT","TIN","MA_QH","SKS")</f>
        <v>0</v>
      </c>
      <c r="AA54" s="64">
        <f t="shared" si="21"/>
        <v>0</v>
      </c>
      <c r="AB54" s="35">
        <f>+GETPIVOTDATA("XQT4",'quangthanh (2016)'!$A$3,"MA_HT","TIN","MA_QH","DGT")</f>
        <v>0</v>
      </c>
      <c r="AC54" s="35">
        <f>+GETPIVOTDATA("XQT4",'quangthanh (2016)'!$A$3,"MA_HT","TIN","MA_QH","DTL")</f>
        <v>0</v>
      </c>
      <c r="AD54" s="35">
        <f>+GETPIVOTDATA("XQT4",'quangthanh (2016)'!$A$3,"MA_HT","TIN","MA_QH","DNL")</f>
        <v>0</v>
      </c>
      <c r="AE54" s="35">
        <f>+GETPIVOTDATA("XQT4",'quangthanh (2016)'!$A$3,"MA_HT","TIN","MA_QH","DBV")</f>
        <v>0</v>
      </c>
      <c r="AF54" s="35">
        <f>+GETPIVOTDATA("XQT4",'quangthanh (2016)'!$A$3,"MA_HT","TIN","MA_QH","DVH")</f>
        <v>0</v>
      </c>
      <c r="AG54" s="35">
        <f>+GETPIVOTDATA("XQT4",'quangthanh (2016)'!$A$3,"MA_HT","TIN","MA_QH","DYT")</f>
        <v>0</v>
      </c>
      <c r="AH54" s="35">
        <f>+GETPIVOTDATA("XQT4",'quangthanh (2016)'!$A$3,"MA_HT","TIN","MA_QH","DGD")</f>
        <v>0</v>
      </c>
      <c r="AI54" s="35">
        <f>+GETPIVOTDATA("XQT4",'quangthanh (2016)'!$A$3,"MA_HT","TIN","MA_QH","DTT")</f>
        <v>0</v>
      </c>
      <c r="AJ54" s="35">
        <f>+GETPIVOTDATA("XQT4",'quangthanh (2016)'!$A$3,"MA_HT","TIN","MA_QH","NCK")</f>
        <v>0</v>
      </c>
      <c r="AK54" s="35">
        <f>+GETPIVOTDATA("XQT4",'quangthanh (2016)'!$A$3,"MA_HT","TIN","MA_QH","DXH")</f>
        <v>0</v>
      </c>
      <c r="AL54" s="35">
        <f>+GETPIVOTDATA("XQT4",'quangthanh (2016)'!$A$3,"MA_HT","TIN","MA_QH","DCH")</f>
        <v>0</v>
      </c>
      <c r="AM54" s="35">
        <f>+GETPIVOTDATA("XQT4",'quangthanh (2016)'!$A$3,"MA_HT","TIN","MA_QH","DKG")</f>
        <v>0</v>
      </c>
      <c r="AN54" s="35">
        <f>+GETPIVOTDATA("XQT4",'quangthanh (2016)'!$A$3,"MA_HT","TIN","MA_QH","DDT")</f>
        <v>0</v>
      </c>
      <c r="AO54" s="35">
        <f>+GETPIVOTDATA("XQT4",'quangthanh (2016)'!$A$3,"MA_HT","TIN","MA_QH","DDL")</f>
        <v>0</v>
      </c>
      <c r="AP54" s="35">
        <f>+GETPIVOTDATA("XQT4",'quangthanh (2016)'!$A$3,"MA_HT","TIN","MA_QH","DRA")</f>
        <v>0</v>
      </c>
      <c r="AQ54" s="35">
        <f>+GETPIVOTDATA("XQT4",'quangthanh (2016)'!$A$3,"MA_HT","TIN","MA_QH","ONT")</f>
        <v>0</v>
      </c>
      <c r="AR54" s="35">
        <f>+GETPIVOTDATA("XQT4",'quangthanh (2016)'!$A$3,"MA_HT","TIN","MA_QH","ODT")</f>
        <v>0</v>
      </c>
      <c r="AS54" s="35">
        <f>+GETPIVOTDATA("XQT4",'quangthanh (2016)'!$A$3,"MA_HT","TIN","MA_QH","TSC")</f>
        <v>0</v>
      </c>
      <c r="AT54" s="35">
        <f>+GETPIVOTDATA("XQT4",'quangthanh (2016)'!$A$3,"MA_HT","TIN","MA_QH","DTS")</f>
        <v>0</v>
      </c>
      <c r="AU54" s="35">
        <f>+GETPIVOTDATA("XQT4",'quangthanh (2016)'!$A$3,"MA_HT","TIN","MA_QH","DNG")</f>
        <v>0</v>
      </c>
      <c r="AV54" s="35">
        <f>+GETPIVOTDATA("XQT4",'quangthanh (2016)'!$A$3,"MA_HT","TIN","MA_QH","TON")</f>
        <v>0</v>
      </c>
      <c r="AW54" s="35">
        <f>+GETPIVOTDATA("XQT4",'quangthanh (2016)'!$A$3,"MA_HT","TIN","MA_QH","NTD")</f>
        <v>0</v>
      </c>
      <c r="AX54" s="35">
        <f>+GETPIVOTDATA("XQT4",'quangthanh (2016)'!$A$3,"MA_HT","TIN","MA_QH","SKX")</f>
        <v>0</v>
      </c>
      <c r="AY54" s="35">
        <f>+GETPIVOTDATA("XQT4",'quangthanh (2016)'!$A$3,"MA_HT","TIN","MA_QH","DSH")</f>
        <v>0</v>
      </c>
      <c r="AZ54" s="35">
        <f>+GETPIVOTDATA("XQT4",'quangthanh (2016)'!$A$3,"MA_HT","TIN","MA_QH","DKV")</f>
        <v>0</v>
      </c>
      <c r="BA54" s="99" t="e">
        <f>$D54-$BF54</f>
        <v>#REF!</v>
      </c>
      <c r="BB54" s="35">
        <f>+GETPIVOTDATA("XQT4",'quangthanh (2016)'!$A$3,"MA_HT","TIN","MA_QH","SON")</f>
        <v>0</v>
      </c>
      <c r="BC54" s="35">
        <f>+GETPIVOTDATA("XQT4",'quangthanh (2016)'!$A$3,"MA_HT","TIN","MA_QH","MNC")</f>
        <v>0</v>
      </c>
      <c r="BD54" s="35">
        <f>+GETPIVOTDATA("XQT4",'quangthanh (2016)'!$A$3,"MA_HT","TIN","MA_QH","PNK")</f>
        <v>0</v>
      </c>
      <c r="BE54" s="58">
        <f>+GETPIVOTDATA("XQT4",'quangthanh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+GETPIVOTDATA("XQT4",'quangthanh (2016)'!$A$3,"MA_HT","SON","MA_QH","LUC")</f>
        <v>0</v>
      </c>
      <c r="H55" s="35">
        <f>+GETPIVOTDATA("XQT4",'quangthanh (2016)'!$A$3,"MA_HT","SON","MA_QH","LUK")</f>
        <v>0</v>
      </c>
      <c r="I55" s="35">
        <f>+GETPIVOTDATA("XQT4",'quangthanh (2016)'!$A$3,"MA_HT","SON","MA_QH","LUN")</f>
        <v>0</v>
      </c>
      <c r="J55" s="35">
        <f>+GETPIVOTDATA("XQT4",'quangthanh (2016)'!$A$3,"MA_HT","SON","MA_QH","HNK")</f>
        <v>0</v>
      </c>
      <c r="K55" s="35">
        <f>+GETPIVOTDATA("XQT4",'quangthanh (2016)'!$A$3,"MA_HT","SON","MA_QH","CLN")</f>
        <v>0</v>
      </c>
      <c r="L55" s="35">
        <f>+GETPIVOTDATA("XQT4",'quangthanh (2016)'!$A$3,"MA_HT","SON","MA_QH","RSX")</f>
        <v>0</v>
      </c>
      <c r="M55" s="35">
        <f>+GETPIVOTDATA("XQT4",'quangthanh (2016)'!$A$3,"MA_HT","SON","MA_QH","RPH")</f>
        <v>0</v>
      </c>
      <c r="N55" s="35">
        <f>+GETPIVOTDATA("XQT4",'quangthanh (2016)'!$A$3,"MA_HT","SON","MA_QH","RDD")</f>
        <v>0</v>
      </c>
      <c r="O55" s="35">
        <f>+GETPIVOTDATA("XQT4",'quangthanh (2016)'!$A$3,"MA_HT","SON","MA_QH","NTS")</f>
        <v>0</v>
      </c>
      <c r="P55" s="35">
        <f>+GETPIVOTDATA("XQT4",'quangthanh (2016)'!$A$3,"MA_HT","SON","MA_QH","LMU")</f>
        <v>0</v>
      </c>
      <c r="Q55" s="35">
        <f>+GETPIVOTDATA("XQT4",'quangthanh (2016)'!$A$3,"MA_HT","SON","MA_QH","NKH")</f>
        <v>0</v>
      </c>
      <c r="R55" s="106">
        <f>SUM(S55:AA55,AN55:AZ55,BC55:BD55)</f>
        <v>0</v>
      </c>
      <c r="S55" s="35">
        <f>+GETPIVOTDATA("XQT4",'quangthanh (2016)'!$A$3,"MA_HT","SON","MA_QH","CQP")</f>
        <v>0</v>
      </c>
      <c r="T55" s="35">
        <f>+GETPIVOTDATA("XQT4",'quangthanh (2016)'!$A$3,"MA_HT","SON","MA_QH","CAN")</f>
        <v>0</v>
      </c>
      <c r="U55" s="35">
        <f>+GETPIVOTDATA("XQT4",'quangthanh (2016)'!$A$3,"MA_HT","SON","MA_QH","SKK")</f>
        <v>0</v>
      </c>
      <c r="V55" s="35">
        <f>+GETPIVOTDATA("XQT4",'quangthanh (2016)'!$A$3,"MA_HT","SON","MA_QH","SKT")</f>
        <v>0</v>
      </c>
      <c r="W55" s="35">
        <f>+GETPIVOTDATA("XQT4",'quangthanh (2016)'!$A$3,"MA_HT","SON","MA_QH","SKN")</f>
        <v>0</v>
      </c>
      <c r="X55" s="35">
        <f>+GETPIVOTDATA("XQT4",'quangthanh (2016)'!$A$3,"MA_HT","SON","MA_QH","TMD")</f>
        <v>0</v>
      </c>
      <c r="Y55" s="35">
        <f>+GETPIVOTDATA("XQT4",'quangthanh (2016)'!$A$3,"MA_HT","SON","MA_QH","SKC")</f>
        <v>0</v>
      </c>
      <c r="Z55" s="35">
        <f>+GETPIVOTDATA("XQT4",'quangthanh (2016)'!$A$3,"MA_HT","SON","MA_QH","SKS")</f>
        <v>0</v>
      </c>
      <c r="AA55" s="64">
        <f t="shared" si="21"/>
        <v>0</v>
      </c>
      <c r="AB55" s="35">
        <f>+GETPIVOTDATA("XQT4",'quangthanh (2016)'!$A$3,"MA_HT","SON","MA_QH","DGT")</f>
        <v>0</v>
      </c>
      <c r="AC55" s="35">
        <f>+GETPIVOTDATA("XQT4",'quangthanh (2016)'!$A$3,"MA_HT","SON","MA_QH","DTL")</f>
        <v>0</v>
      </c>
      <c r="AD55" s="35">
        <f>+GETPIVOTDATA("XQT4",'quangthanh (2016)'!$A$3,"MA_HT","SON","MA_QH","DNL")</f>
        <v>0</v>
      </c>
      <c r="AE55" s="35">
        <f>+GETPIVOTDATA("XQT4",'quangthanh (2016)'!$A$3,"MA_HT","SON","MA_QH","DBV")</f>
        <v>0</v>
      </c>
      <c r="AF55" s="35">
        <f>+GETPIVOTDATA("XQT4",'quangthanh (2016)'!$A$3,"MA_HT","SON","MA_QH","DVH")</f>
        <v>0</v>
      </c>
      <c r="AG55" s="35">
        <f>+GETPIVOTDATA("XQT4",'quangthanh (2016)'!$A$3,"MA_HT","SON","MA_QH","DYT")</f>
        <v>0</v>
      </c>
      <c r="AH55" s="35">
        <f>+GETPIVOTDATA("XQT4",'quangthanh (2016)'!$A$3,"MA_HT","SON","MA_QH","DGD")</f>
        <v>0</v>
      </c>
      <c r="AI55" s="35">
        <f>+GETPIVOTDATA("XQT4",'quangthanh (2016)'!$A$3,"MA_HT","SON","MA_QH","DTT")</f>
        <v>0</v>
      </c>
      <c r="AJ55" s="35">
        <f>+GETPIVOTDATA("XQT4",'quangthanh (2016)'!$A$3,"MA_HT","SON","MA_QH","NCK")</f>
        <v>0</v>
      </c>
      <c r="AK55" s="35">
        <f>+GETPIVOTDATA("XQT4",'quangthanh (2016)'!$A$3,"MA_HT","SON","MA_QH","DXH")</f>
        <v>0</v>
      </c>
      <c r="AL55" s="35">
        <f>+GETPIVOTDATA("XQT4",'quangthanh (2016)'!$A$3,"MA_HT","SON","MA_QH","DCH")</f>
        <v>0</v>
      </c>
      <c r="AM55" s="35">
        <f>+GETPIVOTDATA("XQT4",'quangthanh (2016)'!$A$3,"MA_HT","SON","MA_QH","DKG")</f>
        <v>0</v>
      </c>
      <c r="AN55" s="35">
        <f>+GETPIVOTDATA("XQT4",'quangthanh (2016)'!$A$3,"MA_HT","SON","MA_QH","DDT")</f>
        <v>0</v>
      </c>
      <c r="AO55" s="35">
        <f>+GETPIVOTDATA("XQT4",'quangthanh (2016)'!$A$3,"MA_HT","SON","MA_QH","DDL")</f>
        <v>0</v>
      </c>
      <c r="AP55" s="35">
        <f>+GETPIVOTDATA("XQT4",'quangthanh (2016)'!$A$3,"MA_HT","SON","MA_QH","DRA")</f>
        <v>0</v>
      </c>
      <c r="AQ55" s="35">
        <f>+GETPIVOTDATA("XQT4",'quangthanh (2016)'!$A$3,"MA_HT","SON","MA_QH","ONT")</f>
        <v>0</v>
      </c>
      <c r="AR55" s="35">
        <f>+GETPIVOTDATA("XQT4",'quangthanh (2016)'!$A$3,"MA_HT","SON","MA_QH","ODT")</f>
        <v>0</v>
      </c>
      <c r="AS55" s="35">
        <f>+GETPIVOTDATA("XQT4",'quangthanh (2016)'!$A$3,"MA_HT","SON","MA_QH","TSC")</f>
        <v>0</v>
      </c>
      <c r="AT55" s="35">
        <f>+GETPIVOTDATA("XQT4",'quangthanh (2016)'!$A$3,"MA_HT","SON","MA_QH","DTS")</f>
        <v>0</v>
      </c>
      <c r="AU55" s="35">
        <f>+GETPIVOTDATA("XQT4",'quangthanh (2016)'!$A$3,"MA_HT","SON","MA_QH","DNG")</f>
        <v>0</v>
      </c>
      <c r="AV55" s="35">
        <f>+GETPIVOTDATA("XQT4",'quangthanh (2016)'!$A$3,"MA_HT","SON","MA_QH","TON")</f>
        <v>0</v>
      </c>
      <c r="AW55" s="35">
        <f>+GETPIVOTDATA("XQT4",'quangthanh (2016)'!$A$3,"MA_HT","SON","MA_QH","NTD")</f>
        <v>0</v>
      </c>
      <c r="AX55" s="35">
        <f>+GETPIVOTDATA("XQT4",'quangthanh (2016)'!$A$3,"MA_HT","SON","MA_QH","SKX")</f>
        <v>0</v>
      </c>
      <c r="AY55" s="35">
        <f>+GETPIVOTDATA("XQT4",'quangthanh (2016)'!$A$3,"MA_HT","SON","MA_QH","DSH")</f>
        <v>0</v>
      </c>
      <c r="AZ55" s="35">
        <f>+GETPIVOTDATA("XQT4",'quangthanh (2016)'!$A$3,"MA_HT","SON","MA_QH","DKV")</f>
        <v>0</v>
      </c>
      <c r="BA55" s="140">
        <f>+GETPIVOTDATA("XQT4",'quangthanh (2016)'!$A$3,"MA_HT","SON","MA_QH","TIN")</f>
        <v>0</v>
      </c>
      <c r="BB55" s="99" t="e">
        <f>$D55-$BF55</f>
        <v>#REF!</v>
      </c>
      <c r="BC55" s="74">
        <f>+GETPIVOTDATA("XQT4",'quangthanh (2016)'!$A$3,"MA_HT","SON","MA_QH","MNC")</f>
        <v>0</v>
      </c>
      <c r="BD55" s="35">
        <f>+GETPIVOTDATA("XQT4",'quangthanh (2016)'!$A$3,"MA_HT","SON","MA_QH","PNK")</f>
        <v>0</v>
      </c>
      <c r="BE55" s="58">
        <f>+GETPIVOTDATA("XQT4",'quangthanh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+GETPIVOTDATA("XQT4",'quangthanh (2016)'!$A$3,"MA_HT","MNC","MA_QH","LUC")</f>
        <v>0</v>
      </c>
      <c r="H56" s="35">
        <f>+GETPIVOTDATA("XQT4",'quangthanh (2016)'!$A$3,"MA_HT","MNC","MA_QH","LUK")</f>
        <v>0</v>
      </c>
      <c r="I56" s="35">
        <f>+GETPIVOTDATA("XQT4",'quangthanh (2016)'!$A$3,"MA_HT","MNC","MA_QH","LUN")</f>
        <v>0</v>
      </c>
      <c r="J56" s="35">
        <f>+GETPIVOTDATA("XQT4",'quangthanh (2016)'!$A$3,"MA_HT","MNC","MA_QH","HNK")</f>
        <v>0</v>
      </c>
      <c r="K56" s="35">
        <f>+GETPIVOTDATA("XQT4",'quangthanh (2016)'!$A$3,"MA_HT","MNC","MA_QH","CLN")</f>
        <v>0</v>
      </c>
      <c r="L56" s="35">
        <f>+GETPIVOTDATA("XQT4",'quangthanh (2016)'!$A$3,"MA_HT","MNC","MA_QH","RSX")</f>
        <v>0</v>
      </c>
      <c r="M56" s="35">
        <f>+GETPIVOTDATA("XQT4",'quangthanh (2016)'!$A$3,"MA_HT","MNC","MA_QH","RPH")</f>
        <v>0</v>
      </c>
      <c r="N56" s="35">
        <f>+GETPIVOTDATA("XQT4",'quangthanh (2016)'!$A$3,"MA_HT","MNC","MA_QH","RDD")</f>
        <v>0</v>
      </c>
      <c r="O56" s="35">
        <f>+GETPIVOTDATA("XQT4",'quangthanh (2016)'!$A$3,"MA_HT","MNC","MA_QH","NTS")</f>
        <v>0</v>
      </c>
      <c r="P56" s="35">
        <f>+GETPIVOTDATA("XQT4",'quangthanh (2016)'!$A$3,"MA_HT","MNC","MA_QH","LMU")</f>
        <v>0</v>
      </c>
      <c r="Q56" s="35">
        <f>+GETPIVOTDATA("XQT4",'quangthanh (2016)'!$A$3,"MA_HT","MNC","MA_QH","NKH")</f>
        <v>0</v>
      </c>
      <c r="R56" s="106">
        <f>SUM(S56:AA56,AN56:BB56,BD56)</f>
        <v>0</v>
      </c>
      <c r="S56" s="35">
        <f>+GETPIVOTDATA("XQT4",'quangthanh (2016)'!$A$3,"MA_HT","MNC","MA_QH","CQP")</f>
        <v>0</v>
      </c>
      <c r="T56" s="35">
        <f>+GETPIVOTDATA("XQT4",'quangthanh (2016)'!$A$3,"MA_HT","MNC","MA_QH","CAN")</f>
        <v>0</v>
      </c>
      <c r="U56" s="35">
        <f>+GETPIVOTDATA("XQT4",'quangthanh (2016)'!$A$3,"MA_HT","MNC","MA_QH","SKK")</f>
        <v>0</v>
      </c>
      <c r="V56" s="35">
        <f>+GETPIVOTDATA("XQT4",'quangthanh (2016)'!$A$3,"MA_HT","MNC","MA_QH","SKT")</f>
        <v>0</v>
      </c>
      <c r="W56" s="35">
        <f>+GETPIVOTDATA("XQT4",'quangthanh (2016)'!$A$3,"MA_HT","MNC","MA_QH","SKN")</f>
        <v>0</v>
      </c>
      <c r="X56" s="35">
        <f>+GETPIVOTDATA("XQT4",'quangthanh (2016)'!$A$3,"MA_HT","MNC","MA_QH","TMD")</f>
        <v>0</v>
      </c>
      <c r="Y56" s="35">
        <f>+GETPIVOTDATA("XQT4",'quangthanh (2016)'!$A$3,"MA_HT","MNC","MA_QH","SKC")</f>
        <v>0</v>
      </c>
      <c r="Z56" s="35">
        <f>+GETPIVOTDATA("XQT4",'quangthanh (2016)'!$A$3,"MA_HT","MNC","MA_QH","SKS")</f>
        <v>0</v>
      </c>
      <c r="AA56" s="64">
        <f t="shared" si="21"/>
        <v>0</v>
      </c>
      <c r="AB56" s="35">
        <f>+GETPIVOTDATA("XQT4",'quangthanh (2016)'!$A$3,"MA_HT","MNC","MA_QH","DGT")</f>
        <v>0</v>
      </c>
      <c r="AC56" s="35">
        <f>+GETPIVOTDATA("XQT4",'quangthanh (2016)'!$A$3,"MA_HT","MNC","MA_QH","DTL")</f>
        <v>0</v>
      </c>
      <c r="AD56" s="35">
        <f>+GETPIVOTDATA("XQT4",'quangthanh (2016)'!$A$3,"MA_HT","MNC","MA_QH","DNL")</f>
        <v>0</v>
      </c>
      <c r="AE56" s="35">
        <f>+GETPIVOTDATA("XQT4",'quangthanh (2016)'!$A$3,"MA_HT","MNC","MA_QH","DBV")</f>
        <v>0</v>
      </c>
      <c r="AF56" s="35">
        <f>+GETPIVOTDATA("XQT4",'quangthanh (2016)'!$A$3,"MA_HT","MNC","MA_QH","DVH")</f>
        <v>0</v>
      </c>
      <c r="AG56" s="35">
        <f>+GETPIVOTDATA("XQT4",'quangthanh (2016)'!$A$3,"MA_HT","MNC","MA_QH","DYT")</f>
        <v>0</v>
      </c>
      <c r="AH56" s="35">
        <f>+GETPIVOTDATA("XQT4",'quangthanh (2016)'!$A$3,"MA_HT","MNC","MA_QH","DGD")</f>
        <v>0</v>
      </c>
      <c r="AI56" s="35">
        <f>+GETPIVOTDATA("XQT4",'quangthanh (2016)'!$A$3,"MA_HT","MNC","MA_QH","DTT")</f>
        <v>0</v>
      </c>
      <c r="AJ56" s="35">
        <f>+GETPIVOTDATA("XQT4",'quangthanh (2016)'!$A$3,"MA_HT","MNC","MA_QH","NCK")</f>
        <v>0</v>
      </c>
      <c r="AK56" s="35">
        <f>+GETPIVOTDATA("XQT4",'quangthanh (2016)'!$A$3,"MA_HT","MNC","MA_QH","DXH")</f>
        <v>0</v>
      </c>
      <c r="AL56" s="35">
        <f>+GETPIVOTDATA("XQT4",'quangthanh (2016)'!$A$3,"MA_HT","MNC","MA_QH","DCH")</f>
        <v>0</v>
      </c>
      <c r="AM56" s="35">
        <f>+GETPIVOTDATA("XQT4",'quangthanh (2016)'!$A$3,"MA_HT","MNC","MA_QH","DKG")</f>
        <v>0</v>
      </c>
      <c r="AN56" s="35">
        <f>+GETPIVOTDATA("XQT4",'quangthanh (2016)'!$A$3,"MA_HT","MNC","MA_QH","DDT")</f>
        <v>0</v>
      </c>
      <c r="AO56" s="35">
        <f>+GETPIVOTDATA("XQT4",'quangthanh (2016)'!$A$3,"MA_HT","MNC","MA_QH","DDL")</f>
        <v>0</v>
      </c>
      <c r="AP56" s="35">
        <f>+GETPIVOTDATA("XQT4",'quangthanh (2016)'!$A$3,"MA_HT","MNC","MA_QH","DRA")</f>
        <v>0</v>
      </c>
      <c r="AQ56" s="35">
        <f>+GETPIVOTDATA("XQT4",'quangthanh (2016)'!$A$3,"MA_HT","MNC","MA_QH","ONT")</f>
        <v>0</v>
      </c>
      <c r="AR56" s="35">
        <f>+GETPIVOTDATA("XQT4",'quangthanh (2016)'!$A$3,"MA_HT","MNC","MA_QH","ODT")</f>
        <v>0</v>
      </c>
      <c r="AS56" s="35">
        <f>+GETPIVOTDATA("XQT4",'quangthanh (2016)'!$A$3,"MA_HT","MNC","MA_QH","TSC")</f>
        <v>0</v>
      </c>
      <c r="AT56" s="35">
        <f>+GETPIVOTDATA("XQT4",'quangthanh (2016)'!$A$3,"MA_HT","MNC","MA_QH","DTS")</f>
        <v>0</v>
      </c>
      <c r="AU56" s="35">
        <f>+GETPIVOTDATA("XQT4",'quangthanh (2016)'!$A$3,"MA_HT","MNC","MA_QH","DNG")</f>
        <v>0</v>
      </c>
      <c r="AV56" s="35">
        <f>+GETPIVOTDATA("XQT4",'quangthanh (2016)'!$A$3,"MA_HT","MNC","MA_QH","TON")</f>
        <v>0</v>
      </c>
      <c r="AW56" s="35">
        <f>+GETPIVOTDATA("XQT4",'quangthanh (2016)'!$A$3,"MA_HT","MNC","MA_QH","NTD")</f>
        <v>0</v>
      </c>
      <c r="AX56" s="35">
        <f>+GETPIVOTDATA("XQT4",'quangthanh (2016)'!$A$3,"MA_HT","MNC","MA_QH","SKX")</f>
        <v>0</v>
      </c>
      <c r="AY56" s="35">
        <f>+GETPIVOTDATA("XQT4",'quangthanh (2016)'!$A$3,"MA_HT","MNC","MA_QH","DSH")</f>
        <v>0</v>
      </c>
      <c r="AZ56" s="35">
        <f>+GETPIVOTDATA("XQT4",'quangthanh (2016)'!$A$3,"MA_HT","MNC","MA_QH","DKV")</f>
        <v>0</v>
      </c>
      <c r="BA56" s="140">
        <f>+GETPIVOTDATA("XQT4",'quangthanh (2016)'!$A$3,"MA_HT","MNC","MA_QH","TIN")</f>
        <v>0</v>
      </c>
      <c r="BB56" s="74">
        <f>+GETPIVOTDATA("XQT4",'quangthanh (2016)'!$A$3,"MA_HT","MNC","MA_QH","SON")</f>
        <v>0</v>
      </c>
      <c r="BC56" s="99" t="e">
        <f>$D56-$BF56</f>
        <v>#REF!</v>
      </c>
      <c r="BD56" s="35">
        <f>+GETPIVOTDATA("XQT4",'quangthanh (2016)'!$A$3,"MA_HT","MNC","MA_QH","PNK")</f>
        <v>0</v>
      </c>
      <c r="BE56" s="58">
        <f>+GETPIVOTDATA("XQT4",'quangthanh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+GETPIVOTDATA("XQT4",'quangthanh (2016)'!$A$3,"MA_HT","PNK","MA_QH","LUC")</f>
        <v>0</v>
      </c>
      <c r="H57" s="35">
        <f>+GETPIVOTDATA("XQT4",'quangthanh (2016)'!$A$3,"MA_HT","PNK","MA_QH","LUK")</f>
        <v>0</v>
      </c>
      <c r="I57" s="35">
        <f>+GETPIVOTDATA("XQT4",'quangthanh (2016)'!$A$3,"MA_HT","PNK","MA_QH","LUN")</f>
        <v>0</v>
      </c>
      <c r="J57" s="35">
        <f>+GETPIVOTDATA("XQT4",'quangthanh (2016)'!$A$3,"MA_HT","PNK","MA_QH","HNK")</f>
        <v>0</v>
      </c>
      <c r="K57" s="35">
        <f>+GETPIVOTDATA("XQT4",'quangthanh (2016)'!$A$3,"MA_HT","PNK","MA_QH","CLN")</f>
        <v>0</v>
      </c>
      <c r="L57" s="35">
        <f>+GETPIVOTDATA("XQT4",'quangthanh (2016)'!$A$3,"MA_HT","PNK","MA_QH","RSX")</f>
        <v>0</v>
      </c>
      <c r="M57" s="35">
        <f>+GETPIVOTDATA("XQT4",'quangthanh (2016)'!$A$3,"MA_HT","PNK","MA_QH","RPH")</f>
        <v>0</v>
      </c>
      <c r="N57" s="35">
        <f>+GETPIVOTDATA("XQT4",'quangthanh (2016)'!$A$3,"MA_HT","PNK","MA_QH","RDD")</f>
        <v>0</v>
      </c>
      <c r="O57" s="35">
        <f>+GETPIVOTDATA("XQT4",'quangthanh (2016)'!$A$3,"MA_HT","PNK","MA_QH","NTS")</f>
        <v>0</v>
      </c>
      <c r="P57" s="35">
        <f>+GETPIVOTDATA("XQT4",'quangthanh (2016)'!$A$3,"MA_HT","PNK","MA_QH","LMU")</f>
        <v>0</v>
      </c>
      <c r="Q57" s="35">
        <f>+GETPIVOTDATA("XQT4",'quangthanh (2016)'!$A$3,"MA_HT","PNK","MA_QH","NKH")</f>
        <v>0</v>
      </c>
      <c r="R57" s="106">
        <f>SUM(S57:AA57,AN57:BC57)</f>
        <v>0</v>
      </c>
      <c r="S57" s="35">
        <f>+GETPIVOTDATA("XQT4",'quangthanh (2016)'!$A$3,"MA_HT","PNK","MA_QH","CQP")</f>
        <v>0</v>
      </c>
      <c r="T57" s="35">
        <f>+GETPIVOTDATA("XQT4",'quangthanh (2016)'!$A$3,"MA_HT","PNK","MA_QH","CAN")</f>
        <v>0</v>
      </c>
      <c r="U57" s="35">
        <f>+GETPIVOTDATA("XQT4",'quangthanh (2016)'!$A$3,"MA_HT","PNK","MA_QH","SKK")</f>
        <v>0</v>
      </c>
      <c r="V57" s="35">
        <f>+GETPIVOTDATA("XQT4",'quangthanh (2016)'!$A$3,"MA_HT","PNK","MA_QH","SKT")</f>
        <v>0</v>
      </c>
      <c r="W57" s="35">
        <f>+GETPIVOTDATA("XQT4",'quangthanh (2016)'!$A$3,"MA_HT","PNK","MA_QH","SKN")</f>
        <v>0</v>
      </c>
      <c r="X57" s="35">
        <f>+GETPIVOTDATA("XQT4",'quangthanh (2016)'!$A$3,"MA_HT","PNK","MA_QH","TMD")</f>
        <v>0</v>
      </c>
      <c r="Y57" s="35">
        <f>+GETPIVOTDATA("XQT4",'quangthanh (2016)'!$A$3,"MA_HT","PNK","MA_QH","SKC")</f>
        <v>0</v>
      </c>
      <c r="Z57" s="35">
        <f>+GETPIVOTDATA("XQT4",'quangthanh (2016)'!$A$3,"MA_HT","PNK","MA_QH","SKS")</f>
        <v>0</v>
      </c>
      <c r="AA57" s="64">
        <f t="shared" si="21"/>
        <v>0</v>
      </c>
      <c r="AB57" s="35">
        <f>+GETPIVOTDATA("XQT4",'quangthanh (2016)'!$A$3,"MA_HT","PNK","MA_QH","DGT")</f>
        <v>0</v>
      </c>
      <c r="AC57" s="35">
        <f>+GETPIVOTDATA("XQT4",'quangthanh (2016)'!$A$3,"MA_HT","PNK","MA_QH","DTL")</f>
        <v>0</v>
      </c>
      <c r="AD57" s="35">
        <f>+GETPIVOTDATA("XQT4",'quangthanh (2016)'!$A$3,"MA_HT","PNK","MA_QH","DNL")</f>
        <v>0</v>
      </c>
      <c r="AE57" s="35">
        <f>+GETPIVOTDATA("XQT4",'quangthanh (2016)'!$A$3,"MA_HT","PNK","MA_QH","DBV")</f>
        <v>0</v>
      </c>
      <c r="AF57" s="35">
        <f>+GETPIVOTDATA("XQT4",'quangthanh (2016)'!$A$3,"MA_HT","PNK","MA_QH","DVH")</f>
        <v>0</v>
      </c>
      <c r="AG57" s="35">
        <f>+GETPIVOTDATA("XQT4",'quangthanh (2016)'!$A$3,"MA_HT","PNK","MA_QH","DYT")</f>
        <v>0</v>
      </c>
      <c r="AH57" s="35">
        <f>+GETPIVOTDATA("XQT4",'quangthanh (2016)'!$A$3,"MA_HT","PNK","MA_QH","DGD")</f>
        <v>0</v>
      </c>
      <c r="AI57" s="35">
        <f>+GETPIVOTDATA("XQT4",'quangthanh (2016)'!$A$3,"MA_HT","PNK","MA_QH","DTT")</f>
        <v>0</v>
      </c>
      <c r="AJ57" s="35">
        <f>+GETPIVOTDATA("XQT4",'quangthanh (2016)'!$A$3,"MA_HT","PNK","MA_QH","NCK")</f>
        <v>0</v>
      </c>
      <c r="AK57" s="35">
        <f>+GETPIVOTDATA("XQT4",'quangthanh (2016)'!$A$3,"MA_HT","PNK","MA_QH","DXH")</f>
        <v>0</v>
      </c>
      <c r="AL57" s="35">
        <f>+GETPIVOTDATA("XQT4",'quangthanh (2016)'!$A$3,"MA_HT","PNK","MA_QH","DCH")</f>
        <v>0</v>
      </c>
      <c r="AM57" s="35">
        <f>+GETPIVOTDATA("XQT4",'quangthanh (2016)'!$A$3,"MA_HT","PNK","MA_QH","DKG")</f>
        <v>0</v>
      </c>
      <c r="AN57" s="35">
        <f>+GETPIVOTDATA("XQT4",'quangthanh (2016)'!$A$3,"MA_HT","PNK","MA_QH","DDT")</f>
        <v>0</v>
      </c>
      <c r="AO57" s="35">
        <f>+GETPIVOTDATA("XQT4",'quangthanh (2016)'!$A$3,"MA_HT","PNK","MA_QH","DDL")</f>
        <v>0</v>
      </c>
      <c r="AP57" s="35">
        <f>+GETPIVOTDATA("XQT4",'quangthanh (2016)'!$A$3,"MA_HT","PNK","MA_QH","DRA")</f>
        <v>0</v>
      </c>
      <c r="AQ57" s="35">
        <f>+GETPIVOTDATA("XQT4",'quangthanh (2016)'!$A$3,"MA_HT","PNK","MA_QH","ONT")</f>
        <v>0</v>
      </c>
      <c r="AR57" s="35">
        <f>+GETPIVOTDATA("XQT4",'quangthanh (2016)'!$A$3,"MA_HT","PNK","MA_QH","ODT")</f>
        <v>0</v>
      </c>
      <c r="AS57" s="35">
        <f>+GETPIVOTDATA("XQT4",'quangthanh (2016)'!$A$3,"MA_HT","PNK","MA_QH","TSC")</f>
        <v>0</v>
      </c>
      <c r="AT57" s="35">
        <f>+GETPIVOTDATA("XQT4",'quangthanh (2016)'!$A$3,"MA_HT","PNK","MA_QH","DTS")</f>
        <v>0</v>
      </c>
      <c r="AU57" s="35">
        <f>+GETPIVOTDATA("XQT4",'quangthanh (2016)'!$A$3,"MA_HT","PNK","MA_QH","DNG")</f>
        <v>0</v>
      </c>
      <c r="AV57" s="35">
        <f>+GETPIVOTDATA("XQT4",'quangthanh (2016)'!$A$3,"MA_HT","PNK","MA_QH","TON")</f>
        <v>0</v>
      </c>
      <c r="AW57" s="35">
        <f>+GETPIVOTDATA("XQT4",'quangthanh (2016)'!$A$3,"MA_HT","PNK","MA_QH","NTD")</f>
        <v>0</v>
      </c>
      <c r="AX57" s="35">
        <f>+GETPIVOTDATA("XQT4",'quangthanh (2016)'!$A$3,"MA_HT","PNK","MA_QH","SKX")</f>
        <v>0</v>
      </c>
      <c r="AY57" s="35">
        <f>+GETPIVOTDATA("XQT4",'quangthanh (2016)'!$A$3,"MA_HT","PNK","MA_QH","DSH")</f>
        <v>0</v>
      </c>
      <c r="AZ57" s="35">
        <f>+GETPIVOTDATA("XQT4",'quangthanh (2016)'!$A$3,"MA_HT","PNK","MA_QH","DKV")</f>
        <v>0</v>
      </c>
      <c r="BA57" s="140">
        <f>+GETPIVOTDATA("XQT4",'quangthanh (2016)'!$A$3,"MA_HT","PNK","MA_QH","TIN")</f>
        <v>0</v>
      </c>
      <c r="BB57" s="74">
        <f>+GETPIVOTDATA("XQT4",'quangthanh (2016)'!$A$3,"MA_HT","PNK","MA_QH","SON")</f>
        <v>0</v>
      </c>
      <c r="BC57" s="74">
        <f>+GETPIVOTDATA("XQT4",'quangthanh (2016)'!$A$3,"MA_HT","PNK","MA_QH","MNC")</f>
        <v>0</v>
      </c>
      <c r="BD57" s="99" t="e">
        <f>$D57-$BF57</f>
        <v>#REF!</v>
      </c>
      <c r="BE57" s="58">
        <f>+GETPIVOTDATA("XQT4",'quangthanh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+GETPIVOTDATA("XQT4",'quangthanh (2016)'!$A$3,"MA_HT","CSD","MA_QH","LUC")</f>
        <v>0</v>
      </c>
      <c r="H58" s="58">
        <f>+GETPIVOTDATA("XQT4",'quangthanh (2016)'!$A$3,"MA_HT","CSD","MA_QH","LUK")</f>
        <v>0</v>
      </c>
      <c r="I58" s="58">
        <f>+GETPIVOTDATA("XQT4",'quangthanh (2016)'!$A$3,"MA_HT","CSD","MA_QH","LUN")</f>
        <v>0</v>
      </c>
      <c r="J58" s="58">
        <f>+GETPIVOTDATA("XQT4",'quangthanh (2016)'!$A$3,"MA_HT","CSD","MA_QH","HNK")</f>
        <v>0</v>
      </c>
      <c r="K58" s="58">
        <f>+GETPIVOTDATA("XQT4",'quangthanh (2016)'!$A$3,"MA_HT","CSD","MA_QH","CLN")</f>
        <v>0</v>
      </c>
      <c r="L58" s="58">
        <f>+GETPIVOTDATA("XQT4",'quangthanh (2016)'!$A$3,"MA_HT","CSD","MA_QH","RSX")</f>
        <v>0</v>
      </c>
      <c r="M58" s="58">
        <f>+GETPIVOTDATA("XQT4",'quangthanh (2016)'!$A$3,"MA_HT","CSD","MA_QH","RPH")</f>
        <v>0</v>
      </c>
      <c r="N58" s="58">
        <f>+GETPIVOTDATA("XQT4",'quangthanh (2016)'!$A$3,"MA_HT","CSD","MA_QH","RDD")</f>
        <v>0</v>
      </c>
      <c r="O58" s="58">
        <f>+GETPIVOTDATA("XQT4",'quangthanh (2016)'!$A$3,"MA_HT","CSD","MA_QH","NTS")</f>
        <v>0</v>
      </c>
      <c r="P58" s="58">
        <f>+GETPIVOTDATA("XQT4",'quangthanh (2016)'!$A$3,"MA_HT","CSD","MA_QH","LMU")</f>
        <v>0</v>
      </c>
      <c r="Q58" s="58">
        <f>+GETPIVOTDATA("XQT4",'quangthanh (2016)'!$A$3,"MA_HT","CSD","MA_QH","NKH")</f>
        <v>0</v>
      </c>
      <c r="R58" s="106">
        <f>SUM(S58:AA58,AN58:BD58)</f>
        <v>0</v>
      </c>
      <c r="S58" s="102">
        <f>+GETPIVOTDATA("XQT4",'quangthanh (2016)'!$A$3,"MA_HT","CSD","MA_QH","CQP")</f>
        <v>0</v>
      </c>
      <c r="T58" s="102">
        <f>+GETPIVOTDATA("XQT4",'quangthanh (2016)'!$A$3,"MA_HT","CSD","MA_QH","CAN")</f>
        <v>0</v>
      </c>
      <c r="U58" s="58">
        <f>+GETPIVOTDATA("XQT4",'quangthanh (2016)'!$A$3,"MA_HT","CSD","MA_QH","SKK")</f>
        <v>0</v>
      </c>
      <c r="V58" s="58">
        <f>+GETPIVOTDATA("XQT4",'quangthanh (2016)'!$A$3,"MA_HT","CSD","MA_QH","SKT")</f>
        <v>0</v>
      </c>
      <c r="W58" s="58">
        <f>+GETPIVOTDATA("XQT4",'quangthanh (2016)'!$A$3,"MA_HT","CSD","MA_QH","SKN")</f>
        <v>0</v>
      </c>
      <c r="X58" s="58">
        <f>+GETPIVOTDATA("XQT4",'quangthanh (2016)'!$A$3,"MA_HT","CSD","MA_QH","TMD")</f>
        <v>0</v>
      </c>
      <c r="Y58" s="58">
        <f>+GETPIVOTDATA("XQT4",'quangthanh (2016)'!$A$3,"MA_HT","CSD","MA_QH","SKC")</f>
        <v>0</v>
      </c>
      <c r="Z58" s="58">
        <f>+GETPIVOTDATA("XQT4",'quangthanh (2016)'!$A$3,"MA_HT","CSD","MA_QH","SKS")</f>
        <v>0</v>
      </c>
      <c r="AA58" s="64">
        <f t="shared" si="21"/>
        <v>0</v>
      </c>
      <c r="AB58" s="102">
        <f>+GETPIVOTDATA("XQT4",'quangthanh (2016)'!$A$3,"MA_HT","CSD","MA_QH","DGT")</f>
        <v>0</v>
      </c>
      <c r="AC58" s="102">
        <f>+GETPIVOTDATA("XQT4",'quangthanh (2016)'!$A$3,"MA_HT","CSD","MA_QH","DTL")</f>
        <v>0</v>
      </c>
      <c r="AD58" s="102">
        <f>+GETPIVOTDATA("XQT4",'quangthanh (2016)'!$A$3,"MA_HT","CSD","MA_QH","DNL")</f>
        <v>0</v>
      </c>
      <c r="AE58" s="102">
        <f>+GETPIVOTDATA("XQT4",'quangthanh (2016)'!$A$3,"MA_HT","CSD","MA_QH","DBV")</f>
        <v>0</v>
      </c>
      <c r="AF58" s="102">
        <f>+GETPIVOTDATA("XQT4",'quangthanh (2016)'!$A$3,"MA_HT","CSD","MA_QH","DVH")</f>
        <v>0</v>
      </c>
      <c r="AG58" s="102">
        <f>+GETPIVOTDATA("XQT4",'quangthanh (2016)'!$A$3,"MA_HT","CSD","MA_QH","DYT")</f>
        <v>0</v>
      </c>
      <c r="AH58" s="102">
        <f>+GETPIVOTDATA("XQT4",'quangthanh (2016)'!$A$3,"MA_HT","CSD","MA_QH","DGD")</f>
        <v>0</v>
      </c>
      <c r="AI58" s="102">
        <f>+GETPIVOTDATA("XQT4",'quangthanh (2016)'!$A$3,"MA_HT","CSD","MA_QH","DTT")</f>
        <v>0</v>
      </c>
      <c r="AJ58" s="102">
        <f>+GETPIVOTDATA("XQT4",'quangthanh (2016)'!$A$3,"MA_HT","CSD","MA_QH","NCK")</f>
        <v>0</v>
      </c>
      <c r="AK58" s="102">
        <f>+GETPIVOTDATA("XQT4",'quangthanh (2016)'!$A$3,"MA_HT","CSD","MA_QH","DXH")</f>
        <v>0</v>
      </c>
      <c r="AL58" s="102">
        <f>+GETPIVOTDATA("XQT4",'quangthanh (2016)'!$A$3,"MA_HT","CSD","MA_QH","DCH")</f>
        <v>0</v>
      </c>
      <c r="AM58" s="102">
        <f>+GETPIVOTDATA("XQT4",'quangthanh (2016)'!$A$3,"MA_HT","CSD","MA_QH","DKG")</f>
        <v>0</v>
      </c>
      <c r="AN58" s="58">
        <f>+GETPIVOTDATA("XQT4",'quangthanh (2016)'!$A$3,"MA_HT","CSD","MA_QH","DDT")</f>
        <v>0</v>
      </c>
      <c r="AO58" s="58">
        <f>+GETPIVOTDATA("XQT4",'quangthanh (2016)'!$A$3,"MA_HT","CSD","MA_QH","DDL")</f>
        <v>0</v>
      </c>
      <c r="AP58" s="58">
        <f>+GETPIVOTDATA("XQT4",'quangthanh (2016)'!$A$3,"MA_HT","CSD","MA_QH","DRA")</f>
        <v>0</v>
      </c>
      <c r="AQ58" s="58">
        <f>+GETPIVOTDATA("XQT4",'quangthanh (2016)'!$A$3,"MA_HT","CSD","MA_QH","ONT")</f>
        <v>0</v>
      </c>
      <c r="AR58" s="58">
        <f>+GETPIVOTDATA("XQT4",'quangthanh (2016)'!$A$3,"MA_HT","CSD","MA_QH","ODT")</f>
        <v>0</v>
      </c>
      <c r="AS58" s="58">
        <f>+GETPIVOTDATA("XQT4",'quangthanh (2016)'!$A$3,"MA_HT","CSD","MA_QH","TSC")</f>
        <v>0</v>
      </c>
      <c r="AT58" s="58">
        <f>+GETPIVOTDATA("XQT4",'quangthanh (2016)'!$A$3,"MA_HT","CSD","MA_QH","DTS")</f>
        <v>0</v>
      </c>
      <c r="AU58" s="58">
        <f>+GETPIVOTDATA("XQT4",'quangthanh (2016)'!$A$3,"MA_HT","CSD","MA_QH","DNG")</f>
        <v>0</v>
      </c>
      <c r="AV58" s="58">
        <f>+GETPIVOTDATA("XQT4",'quangthanh (2016)'!$A$3,"MA_HT","CSD","MA_QH","TON")</f>
        <v>0</v>
      </c>
      <c r="AW58" s="58">
        <f>+GETPIVOTDATA("XQT4",'quangthanh (2016)'!$A$3,"MA_HT","CSD","MA_QH","NTD")</f>
        <v>0</v>
      </c>
      <c r="AX58" s="58">
        <f>+GETPIVOTDATA("XQT4",'quangthanh (2016)'!$A$3,"MA_HT","CSD","MA_QH","SKX")</f>
        <v>0</v>
      </c>
      <c r="AY58" s="58">
        <f>+GETPIVOTDATA("XQT4",'quangthanh (2016)'!$A$3,"MA_HT","CSD","MA_QH","DSH")</f>
        <v>0</v>
      </c>
      <c r="AZ58" s="58">
        <f>+GETPIVOTDATA("XQT4",'quangthanh (2016)'!$A$3,"MA_HT","CSD","MA_QH","DKV")</f>
        <v>0</v>
      </c>
      <c r="BA58" s="140">
        <f>+GETPIVOTDATA("XQT4",'quangthanh (2016)'!$A$3,"MA_HT","CSD","MA_QH","TIN")</f>
        <v>0</v>
      </c>
      <c r="BB58" s="102">
        <f>+GETPIVOTDATA("XQT4",'quangthanh (2016)'!$A$3,"MA_HT","CSD","MA_QH","SON")</f>
        <v>0</v>
      </c>
      <c r="BC58" s="102">
        <f>+GETPIVOTDATA("XQT4",'quangthanh (2016)'!$A$3,"MA_HT","CSD","MA_QH","MNC")</f>
        <v>0</v>
      </c>
      <c r="BD58" s="58">
        <f>+GETPIVOTDATA("XQT4",'quangthanh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90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+GETPIVOTDATA("XSB4",'sonbinh (2016)'!$A$3,"MA_HT","LUC","MA_QH","LUK")</f>
        <v>0</v>
      </c>
      <c r="I8" s="74">
        <f>+GETPIVOTDATA("XSB4",'sonbinh (2016)'!$A$3,"MA_HT","LUC","MA_QH","LUN")</f>
        <v>0</v>
      </c>
      <c r="J8" s="74">
        <f>+GETPIVOTDATA("XSB4",'sonbinh (2016)'!$A$3,"MA_HT","LUC","MA_QH","HNK")</f>
        <v>0</v>
      </c>
      <c r="K8" s="74">
        <f>+GETPIVOTDATA("XSB4",'sonbinh (2016)'!$A$3,"MA_HT","LUC","MA_QH","CLN")</f>
        <v>0</v>
      </c>
      <c r="L8" s="74">
        <f>+GETPIVOTDATA("XSB4",'sonbinh (2016)'!$A$3,"MA_HT","LUC","MA_QH","RSX")</f>
        <v>0</v>
      </c>
      <c r="M8" s="74">
        <f>+GETPIVOTDATA("XSB4",'sonbinh (2016)'!$A$3,"MA_HT","LUC","MA_QH","RPH")</f>
        <v>0</v>
      </c>
      <c r="N8" s="74">
        <f>+GETPIVOTDATA("XSB4",'sonbinh (2016)'!$A$3,"MA_HT","LUC","MA_QH","RDD")</f>
        <v>0</v>
      </c>
      <c r="O8" s="74">
        <f>+GETPIVOTDATA("XSB4",'sonbinh (2016)'!$A$3,"MA_HT","LUC","MA_QH","NTS")</f>
        <v>0</v>
      </c>
      <c r="P8" s="74">
        <f>+GETPIVOTDATA("XSB4",'sonbinh (2016)'!$A$3,"MA_HT","LUC","MA_QH","LMU")</f>
        <v>0</v>
      </c>
      <c r="Q8" s="74">
        <f>+GETPIVOTDATA("XSB4",'sonbinh (2016)'!$A$3,"MA_HT","LUC","MA_QH","NKH")</f>
        <v>0</v>
      </c>
      <c r="R8" s="72">
        <f>SUM(S8:AA8,AN8:BD8)</f>
        <v>0</v>
      </c>
      <c r="S8" s="74">
        <f>+GETPIVOTDATA("XSB4",'sonbinh (2016)'!$A$3,"MA_HT","LUC","MA_QH","CQP")</f>
        <v>0</v>
      </c>
      <c r="T8" s="74">
        <f>+GETPIVOTDATA("XSB4",'sonbinh (2016)'!$A$3,"MA_HT","LUC","MA_QH","CAN")</f>
        <v>0</v>
      </c>
      <c r="U8" s="74">
        <f>+GETPIVOTDATA("XSB4",'sonbinh (2016)'!$A$3,"MA_HT","LUC","MA_QH","SKK")</f>
        <v>0</v>
      </c>
      <c r="V8" s="74">
        <f>+GETPIVOTDATA("XSB4",'sonbinh (2016)'!$A$3,"MA_HT","LUC","MA_QH","SKT")</f>
        <v>0</v>
      </c>
      <c r="W8" s="74">
        <f>+GETPIVOTDATA("XSB4",'sonbinh (2016)'!$A$3,"MA_HT","LUC","MA_QH","SKN")</f>
        <v>0</v>
      </c>
      <c r="X8" s="74">
        <f>+GETPIVOTDATA("XSB4",'sonbinh (2016)'!$A$3,"MA_HT","LUC","MA_QH","TMD")</f>
        <v>0</v>
      </c>
      <c r="Y8" s="74">
        <f>+GETPIVOTDATA("XSB4",'sonbinh (2016)'!$A$3,"MA_HT","LUC","MA_QH","SKC")</f>
        <v>0</v>
      </c>
      <c r="Z8" s="74">
        <f>+GETPIVOTDATA("XSB4",'sonbinh (2016)'!$A$3,"MA_HT","LUC","MA_QH","SKS")</f>
        <v>0</v>
      </c>
      <c r="AA8" s="64">
        <f t="shared" si="4"/>
        <v>0</v>
      </c>
      <c r="AB8" s="74">
        <f>+GETPIVOTDATA("XSB4",'sonbinh (2016)'!$A$3,"MA_HT","LUC","MA_QH","DGT")</f>
        <v>0</v>
      </c>
      <c r="AC8" s="74">
        <f>+GETPIVOTDATA("XSB4",'sonbinh (2016)'!$A$3,"MA_HT","LUC","MA_QH","DTL")</f>
        <v>0</v>
      </c>
      <c r="AD8" s="74">
        <f>+GETPIVOTDATA("XSB4",'sonbinh (2016)'!$A$3,"MA_HT","LUC","MA_QH","DNL")</f>
        <v>0</v>
      </c>
      <c r="AE8" s="74">
        <f>+GETPIVOTDATA("XSB4",'sonbinh (2016)'!$A$3,"MA_HT","LUC","MA_QH","DBV")</f>
        <v>0</v>
      </c>
      <c r="AF8" s="74">
        <f>+GETPIVOTDATA("XSB4",'sonbinh (2016)'!$A$3,"MA_HT","LUC","MA_QH","DVH")</f>
        <v>0</v>
      </c>
      <c r="AG8" s="74">
        <f>+GETPIVOTDATA("XSB4",'sonbinh (2016)'!$A$3,"MA_HT","LUC","MA_QH","DYT")</f>
        <v>0</v>
      </c>
      <c r="AH8" s="74">
        <f>+GETPIVOTDATA("XSB4",'sonbinh (2016)'!$A$3,"MA_HT","LUC","MA_QH","DGD")</f>
        <v>0</v>
      </c>
      <c r="AI8" s="74">
        <f>+GETPIVOTDATA("XSB4",'sonbinh (2016)'!$A$3,"MA_HT","LUC","MA_QH","DTT")</f>
        <v>0</v>
      </c>
      <c r="AJ8" s="74">
        <f>+GETPIVOTDATA("XSB4",'sonbinh (2016)'!$A$3,"MA_HT","LUC","MA_QH","NCK")</f>
        <v>0</v>
      </c>
      <c r="AK8" s="74">
        <f>+GETPIVOTDATA("XSB4",'sonbinh (2016)'!$A$3,"MA_HT","LUC","MA_QH","DXH")</f>
        <v>0</v>
      </c>
      <c r="AL8" s="74">
        <f>+GETPIVOTDATA("XSB4",'sonbinh (2016)'!$A$3,"MA_HT","LUC","MA_QH","DCH")</f>
        <v>0</v>
      </c>
      <c r="AM8" s="74">
        <f>+GETPIVOTDATA("XSB4",'sonbinh (2016)'!$A$3,"MA_HT","LUC","MA_QH","DKG")</f>
        <v>0</v>
      </c>
      <c r="AN8" s="74">
        <f>+GETPIVOTDATA("XSB4",'sonbinh (2016)'!$A$3,"MA_HT","LUC","MA_QH","DDT")</f>
        <v>0</v>
      </c>
      <c r="AO8" s="74">
        <f>+GETPIVOTDATA("XSB4",'sonbinh (2016)'!$A$3,"MA_HT","LUC","MA_QH","DDL")</f>
        <v>0</v>
      </c>
      <c r="AP8" s="74">
        <f>+GETPIVOTDATA("XSB4",'sonbinh (2016)'!$A$3,"MA_HT","LUC","MA_QH","DRA")</f>
        <v>0</v>
      </c>
      <c r="AQ8" s="74">
        <f>+GETPIVOTDATA("XSB4",'sonbinh (2016)'!$A$3,"MA_HT","LUC","MA_QH","ONT")</f>
        <v>0</v>
      </c>
      <c r="AR8" s="74">
        <f>+GETPIVOTDATA("XSB4",'sonbinh (2016)'!$A$3,"MA_HT","LUC","MA_QH","ODT")</f>
        <v>0</v>
      </c>
      <c r="AS8" s="74">
        <f>+GETPIVOTDATA("XSB4",'sonbinh (2016)'!$A$3,"MA_HT","LUC","MA_QH","TSC")</f>
        <v>0</v>
      </c>
      <c r="AT8" s="74">
        <f>+GETPIVOTDATA("XSB4",'sonbinh (2016)'!$A$3,"MA_HT","LUC","MA_QH","DTS")</f>
        <v>0</v>
      </c>
      <c r="AU8" s="74">
        <f>+GETPIVOTDATA("XSB4",'sonbinh (2016)'!$A$3,"MA_HT","LUC","MA_QH","DNG")</f>
        <v>0</v>
      </c>
      <c r="AV8" s="74">
        <f>+GETPIVOTDATA("XSB4",'sonbinh (2016)'!$A$3,"MA_HT","LUC","MA_QH","TON")</f>
        <v>0</v>
      </c>
      <c r="AW8" s="74">
        <f>+GETPIVOTDATA("XSB4",'sonbinh (2016)'!$A$3,"MA_HT","LUC","MA_QH","NTD")</f>
        <v>0</v>
      </c>
      <c r="AX8" s="74">
        <f>+GETPIVOTDATA("XSB4",'sonbinh (2016)'!$A$3,"MA_HT","LUC","MA_QH","SKX")</f>
        <v>0</v>
      </c>
      <c r="AY8" s="74">
        <f>+GETPIVOTDATA("XSB4",'sonbinh (2016)'!$A$3,"MA_HT","LUC","MA_QH","DSH")</f>
        <v>0</v>
      </c>
      <c r="AZ8" s="74">
        <f>+GETPIVOTDATA("XSB4",'sonbinh (2016)'!$A$3,"MA_HT","LUC","MA_QH","DKV")</f>
        <v>0</v>
      </c>
      <c r="BA8" s="139">
        <f>+GETPIVOTDATA("XSB4",'sonbinh (2016)'!$A$3,"MA_HT","LUC","MA_QH","TIN")</f>
        <v>0</v>
      </c>
      <c r="BB8" s="74">
        <f>+GETPIVOTDATA("XSB4",'sonbinh (2016)'!$A$3,"MA_HT","LUC","MA_QH","SON")</f>
        <v>0</v>
      </c>
      <c r="BC8" s="74">
        <f>+GETPIVOTDATA("XSB4",'sonbinh (2016)'!$A$3,"MA_HT","LUC","MA_QH","MNC")</f>
        <v>0</v>
      </c>
      <c r="BD8" s="74">
        <f>+GETPIVOTDATA("XSB4",'sonbinh (2016)'!$A$3,"MA_HT","LUC","MA_QH","PNK")</f>
        <v>0</v>
      </c>
      <c r="BE8" s="102">
        <f>+GETPIVOTDATA("XSB4",'sonbinh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+GETPIVOTDATA("XSB4",'sonbinh (2016)'!$A$3,"MA_HT","LUK","MA_QH","LUC")</f>
        <v>0</v>
      </c>
      <c r="H9" s="100" t="e">
        <f>$D9-$BF9</f>
        <v>#REF!</v>
      </c>
      <c r="I9" s="74">
        <f>+GETPIVOTDATA("XSB4",'sonbinh (2016)'!$A$3,"MA_HT","LUK","MA_QH","LUN")</f>
        <v>0</v>
      </c>
      <c r="J9" s="74">
        <f>+GETPIVOTDATA("XSB4",'sonbinh (2016)'!$A$3,"MA_HT","LUK","MA_QH","HNK")</f>
        <v>0</v>
      </c>
      <c r="K9" s="74">
        <f>+GETPIVOTDATA("XSB4",'sonbinh (2016)'!$A$3,"MA_HT","LUK","MA_QH","CLN")</f>
        <v>0</v>
      </c>
      <c r="L9" s="74">
        <f>+GETPIVOTDATA("XSB4",'sonbinh (2016)'!$A$3,"MA_HT","LUK","MA_QH","RSX")</f>
        <v>0</v>
      </c>
      <c r="M9" s="74">
        <f>+GETPIVOTDATA("XSB4",'sonbinh (2016)'!$A$3,"MA_HT","LUK","MA_QH","RPH")</f>
        <v>0</v>
      </c>
      <c r="N9" s="74">
        <f>+GETPIVOTDATA("XSB4",'sonbinh (2016)'!$A$3,"MA_HT","LUK","MA_QH","RDD")</f>
        <v>0</v>
      </c>
      <c r="O9" s="74">
        <f>+GETPIVOTDATA("XSB4",'sonbinh (2016)'!$A$3,"MA_HT","LUK","MA_QH","NTS")</f>
        <v>0</v>
      </c>
      <c r="P9" s="74">
        <f>+GETPIVOTDATA("XSB4",'sonbinh (2016)'!$A$3,"MA_HT","LUK","MA_QH","LMU")</f>
        <v>0</v>
      </c>
      <c r="Q9" s="74">
        <f>+GETPIVOTDATA("XSB4",'sonbinh (2016)'!$A$3,"MA_HT","LUK","MA_QH","NKH")</f>
        <v>0</v>
      </c>
      <c r="R9" s="72">
        <f t="shared" si="2"/>
        <v>0</v>
      </c>
      <c r="S9" s="74">
        <f>+GETPIVOTDATA("XSB4",'sonbinh (2016)'!$A$3,"MA_HT","LUK","MA_QH","CQP")</f>
        <v>0</v>
      </c>
      <c r="T9" s="74">
        <f>+GETPIVOTDATA("XSB4",'sonbinh (2016)'!$A$3,"MA_HT","LUK","MA_QH","CAN")</f>
        <v>0</v>
      </c>
      <c r="U9" s="74">
        <f>+GETPIVOTDATA("XSB4",'sonbinh (2016)'!$A$3,"MA_HT","LUK","MA_QH","SKK")</f>
        <v>0</v>
      </c>
      <c r="V9" s="74">
        <f>+GETPIVOTDATA("XSB4",'sonbinh (2016)'!$A$3,"MA_HT","LUK","MA_QH","SKT")</f>
        <v>0</v>
      </c>
      <c r="W9" s="74">
        <f>+GETPIVOTDATA("XSB4",'sonbinh (2016)'!$A$3,"MA_HT","LUK","MA_QH","SKN")</f>
        <v>0</v>
      </c>
      <c r="X9" s="74">
        <f>+GETPIVOTDATA("XSB4",'sonbinh (2016)'!$A$3,"MA_HT","LUK","MA_QH","TMD")</f>
        <v>0</v>
      </c>
      <c r="Y9" s="74">
        <f>+GETPIVOTDATA("XSB4",'sonbinh (2016)'!$A$3,"MA_HT","LUK","MA_QH","SKC")</f>
        <v>0</v>
      </c>
      <c r="Z9" s="74">
        <f>+GETPIVOTDATA("XSB4",'sonbinh (2016)'!$A$3,"MA_HT","LUK","MA_QH","SKS")</f>
        <v>0</v>
      </c>
      <c r="AA9" s="64">
        <f t="shared" si="4"/>
        <v>0</v>
      </c>
      <c r="AB9" s="74">
        <f>+GETPIVOTDATA("XSB4",'sonbinh (2016)'!$A$3,"MA_HT","LUK","MA_QH","DGT")</f>
        <v>0</v>
      </c>
      <c r="AC9" s="74">
        <f>+GETPIVOTDATA("XSB4",'sonbinh (2016)'!$A$3,"MA_HT","LUK","MA_QH","DTL")</f>
        <v>0</v>
      </c>
      <c r="AD9" s="74">
        <f>+GETPIVOTDATA("XSB4",'sonbinh (2016)'!$A$3,"MA_HT","LUK","MA_QH","DNL")</f>
        <v>0</v>
      </c>
      <c r="AE9" s="74">
        <f>+GETPIVOTDATA("XSB4",'sonbinh (2016)'!$A$3,"MA_HT","LUK","MA_QH","DBV")</f>
        <v>0</v>
      </c>
      <c r="AF9" s="74">
        <f>+GETPIVOTDATA("XSB4",'sonbinh (2016)'!$A$3,"MA_HT","LUK","MA_QH","DVH")</f>
        <v>0</v>
      </c>
      <c r="AG9" s="74">
        <f>+GETPIVOTDATA("XSB4",'sonbinh (2016)'!$A$3,"MA_HT","LUK","MA_QH","DYT")</f>
        <v>0</v>
      </c>
      <c r="AH9" s="74">
        <f>+GETPIVOTDATA("XSB4",'sonbinh (2016)'!$A$3,"MA_HT","LUK","MA_QH","DGD")</f>
        <v>0</v>
      </c>
      <c r="AI9" s="74">
        <f>+GETPIVOTDATA("XSB4",'sonbinh (2016)'!$A$3,"MA_HT","LUK","MA_QH","DTT")</f>
        <v>0</v>
      </c>
      <c r="AJ9" s="74">
        <f>+GETPIVOTDATA("XSB4",'sonbinh (2016)'!$A$3,"MA_HT","LUK","MA_QH","NCK")</f>
        <v>0</v>
      </c>
      <c r="AK9" s="74">
        <f>+GETPIVOTDATA("XSB4",'sonbinh (2016)'!$A$3,"MA_HT","LUK","MA_QH","DXH")</f>
        <v>0</v>
      </c>
      <c r="AL9" s="74">
        <f>+GETPIVOTDATA("XSB4",'sonbinh (2016)'!$A$3,"MA_HT","LUK","MA_QH","DCH")</f>
        <v>0</v>
      </c>
      <c r="AM9" s="74">
        <f>+GETPIVOTDATA("XSB4",'sonbinh (2016)'!$A$3,"MA_HT","LUK","MA_QH","DKG")</f>
        <v>0</v>
      </c>
      <c r="AN9" s="74">
        <f>+GETPIVOTDATA("XSB4",'sonbinh (2016)'!$A$3,"MA_HT","LUK","MA_QH","DDT")</f>
        <v>0</v>
      </c>
      <c r="AO9" s="74">
        <f>+GETPIVOTDATA("XSB4",'sonbinh (2016)'!$A$3,"MA_HT","LUK","MA_QH","DDL")</f>
        <v>0</v>
      </c>
      <c r="AP9" s="74">
        <f>+GETPIVOTDATA("XSB4",'sonbinh (2016)'!$A$3,"MA_HT","LUK","MA_QH","DRA")</f>
        <v>0</v>
      </c>
      <c r="AQ9" s="74">
        <f>+GETPIVOTDATA("XSB4",'sonbinh (2016)'!$A$3,"MA_HT","LUK","MA_QH","ONT")</f>
        <v>0</v>
      </c>
      <c r="AR9" s="74">
        <f>+GETPIVOTDATA("XSB4",'sonbinh (2016)'!$A$3,"MA_HT","LUK","MA_QH","ODT")</f>
        <v>0</v>
      </c>
      <c r="AS9" s="74">
        <f>+GETPIVOTDATA("XSB4",'sonbinh (2016)'!$A$3,"MA_HT","LUK","MA_QH","TSC")</f>
        <v>0</v>
      </c>
      <c r="AT9" s="74">
        <f>+GETPIVOTDATA("XSB4",'sonbinh (2016)'!$A$3,"MA_HT","LUK","MA_QH","DTS")</f>
        <v>0</v>
      </c>
      <c r="AU9" s="74">
        <f>+GETPIVOTDATA("XSB4",'sonbinh (2016)'!$A$3,"MA_HT","LUK","MA_QH","DNG")</f>
        <v>0</v>
      </c>
      <c r="AV9" s="74">
        <f>+GETPIVOTDATA("XSB4",'sonbinh (2016)'!$A$3,"MA_HT","LUK","MA_QH","TON")</f>
        <v>0</v>
      </c>
      <c r="AW9" s="74">
        <f>+GETPIVOTDATA("XSB4",'sonbinh (2016)'!$A$3,"MA_HT","LUK","MA_QH","NTD")</f>
        <v>0</v>
      </c>
      <c r="AX9" s="74">
        <f>+GETPIVOTDATA("XSB4",'sonbinh (2016)'!$A$3,"MA_HT","LUK","MA_QH","SKX")</f>
        <v>0</v>
      </c>
      <c r="AY9" s="74">
        <f>+GETPIVOTDATA("XSB4",'sonbinh (2016)'!$A$3,"MA_HT","LUK","MA_QH","DSH")</f>
        <v>0</v>
      </c>
      <c r="AZ9" s="74">
        <f>+GETPIVOTDATA("XSB4",'sonbinh (2016)'!$A$3,"MA_HT","LUK","MA_QH","DKV")</f>
        <v>0</v>
      </c>
      <c r="BA9" s="139">
        <f>+GETPIVOTDATA("XSB4",'sonbinh (2016)'!$A$3,"MA_HT","LUK","MA_QH","TIN")</f>
        <v>0</v>
      </c>
      <c r="BB9" s="74">
        <f>+GETPIVOTDATA("XSB4",'sonbinh (2016)'!$A$3,"MA_HT","LUK","MA_QH","SON")</f>
        <v>0</v>
      </c>
      <c r="BC9" s="74">
        <f>+GETPIVOTDATA("XSB4",'sonbinh (2016)'!$A$3,"MA_HT","LUK","MA_QH","MNC")</f>
        <v>0</v>
      </c>
      <c r="BD9" s="74">
        <f>+GETPIVOTDATA("XSB4",'sonbinh (2016)'!$A$3,"MA_HT","LUK","MA_QH","PNK")</f>
        <v>0</v>
      </c>
      <c r="BE9" s="102">
        <f>+GETPIVOTDATA("XSB4",'sonbinh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+GETPIVOTDATA("XSB4",'sonbinh (2016)'!$A$3,"MA_HT","LUN","MA_QH","LUC")</f>
        <v>0</v>
      </c>
      <c r="H10" s="74">
        <f>+GETPIVOTDATA("XSB4",'sonbinh (2016)'!$A$3,"MA_HT","LUN","MA_QH","LUK")</f>
        <v>0</v>
      </c>
      <c r="I10" s="100" t="e">
        <f>$D10-$BF10</f>
        <v>#REF!</v>
      </c>
      <c r="J10" s="74">
        <f>+GETPIVOTDATA("XSB4",'sonbinh (2016)'!$A$3,"MA_HT","LUN","MA_QH","HNK")</f>
        <v>0</v>
      </c>
      <c r="K10" s="74">
        <f>+GETPIVOTDATA("XSB4",'sonbinh (2016)'!$A$3,"MA_HT","LUN","MA_QH","CLN")</f>
        <v>0</v>
      </c>
      <c r="L10" s="74">
        <f>+GETPIVOTDATA("XSB4",'sonbinh (2016)'!$A$3,"MA_HT","LUN","MA_QH","RSX")</f>
        <v>0</v>
      </c>
      <c r="M10" s="74">
        <f>+GETPIVOTDATA("XSB4",'sonbinh (2016)'!$A$3,"MA_HT","LUN","MA_QH","RPH")</f>
        <v>0</v>
      </c>
      <c r="N10" s="74">
        <f>+GETPIVOTDATA("XSB4",'sonbinh (2016)'!$A$3,"MA_HT","LUN","MA_QH","RDD")</f>
        <v>0</v>
      </c>
      <c r="O10" s="74">
        <f>+GETPIVOTDATA("XSB4",'sonbinh (2016)'!$A$3,"MA_HT","LUN","MA_QH","NTS")</f>
        <v>0</v>
      </c>
      <c r="P10" s="74">
        <f>+GETPIVOTDATA("XSB4",'sonbinh (2016)'!$A$3,"MA_HT","LUN","MA_QH","LMU")</f>
        <v>0</v>
      </c>
      <c r="Q10" s="74">
        <f>+GETPIVOTDATA("XSB4",'sonbinh (2016)'!$A$3,"MA_HT","LUN","MA_QH","NKH")</f>
        <v>0</v>
      </c>
      <c r="R10" s="72">
        <f t="shared" si="2"/>
        <v>0</v>
      </c>
      <c r="S10" s="74">
        <f>+GETPIVOTDATA("XSB4",'sonbinh (2016)'!$A$3,"MA_HT","LUN","MA_QH","CQP")</f>
        <v>0</v>
      </c>
      <c r="T10" s="74">
        <f>+GETPIVOTDATA("XSB4",'sonbinh (2016)'!$A$3,"MA_HT","LUN","MA_QH","CAN")</f>
        <v>0</v>
      </c>
      <c r="U10" s="74">
        <f>+GETPIVOTDATA("XSB4",'sonbinh (2016)'!$A$3,"MA_HT","LUN","MA_QH","SKK")</f>
        <v>0</v>
      </c>
      <c r="V10" s="74">
        <f>+GETPIVOTDATA("XSB4",'sonbinh (2016)'!$A$3,"MA_HT","LUN","MA_QH","SKT")</f>
        <v>0</v>
      </c>
      <c r="W10" s="74">
        <f>+GETPIVOTDATA("XSB4",'sonbinh (2016)'!$A$3,"MA_HT","LUN","MA_QH","SKN")</f>
        <v>0</v>
      </c>
      <c r="X10" s="74">
        <f>+GETPIVOTDATA("XSB4",'sonbinh (2016)'!$A$3,"MA_HT","LUN","MA_QH","TMD")</f>
        <v>0</v>
      </c>
      <c r="Y10" s="74">
        <f>+GETPIVOTDATA("XSB4",'sonbinh (2016)'!$A$3,"MA_HT","LUN","MA_QH","SKC")</f>
        <v>0</v>
      </c>
      <c r="Z10" s="74">
        <f>+GETPIVOTDATA("XSB4",'sonbinh (2016)'!$A$3,"MA_HT","LUN","MA_QH","SKS")</f>
        <v>0</v>
      </c>
      <c r="AA10" s="64">
        <f t="shared" si="4"/>
        <v>0</v>
      </c>
      <c r="AB10" s="74">
        <f>+GETPIVOTDATA("XSB4",'sonbinh (2016)'!$A$3,"MA_HT","LUN","MA_QH","DGT")</f>
        <v>0</v>
      </c>
      <c r="AC10" s="74">
        <f>+GETPIVOTDATA("XSB4",'sonbinh (2016)'!$A$3,"MA_HT","LUN","MA_QH","DTL")</f>
        <v>0</v>
      </c>
      <c r="AD10" s="74">
        <f>+GETPIVOTDATA("XSB4",'sonbinh (2016)'!$A$3,"MA_HT","LUN","MA_QH","DNL")</f>
        <v>0</v>
      </c>
      <c r="AE10" s="74">
        <f>+GETPIVOTDATA("XSB4",'sonbinh (2016)'!$A$3,"MA_HT","LUN","MA_QH","DBV")</f>
        <v>0</v>
      </c>
      <c r="AF10" s="74">
        <f>+GETPIVOTDATA("XSB4",'sonbinh (2016)'!$A$3,"MA_HT","LUN","MA_QH","DVH")</f>
        <v>0</v>
      </c>
      <c r="AG10" s="74">
        <f>+GETPIVOTDATA("XSB4",'sonbinh (2016)'!$A$3,"MA_HT","LUN","MA_QH","DYT")</f>
        <v>0</v>
      </c>
      <c r="AH10" s="74">
        <f>+GETPIVOTDATA("XSB4",'sonbinh (2016)'!$A$3,"MA_HT","LUN","MA_QH","DGD")</f>
        <v>0</v>
      </c>
      <c r="AI10" s="74">
        <f>+GETPIVOTDATA("XSB4",'sonbinh (2016)'!$A$3,"MA_HT","LUN","MA_QH","DTT")</f>
        <v>0</v>
      </c>
      <c r="AJ10" s="74">
        <f>+GETPIVOTDATA("XSB4",'sonbinh (2016)'!$A$3,"MA_HT","LUN","MA_QH","NCK")</f>
        <v>0</v>
      </c>
      <c r="AK10" s="74">
        <f>+GETPIVOTDATA("XSB4",'sonbinh (2016)'!$A$3,"MA_HT","LUN","MA_QH","DXH")</f>
        <v>0</v>
      </c>
      <c r="AL10" s="74">
        <f>+GETPIVOTDATA("XSB4",'sonbinh (2016)'!$A$3,"MA_HT","LUN","MA_QH","DCH")</f>
        <v>0</v>
      </c>
      <c r="AM10" s="74">
        <f>+GETPIVOTDATA("XSB4",'sonbinh (2016)'!$A$3,"MA_HT","LUN","MA_QH","DKG")</f>
        <v>0</v>
      </c>
      <c r="AN10" s="74">
        <f>+GETPIVOTDATA("XSB4",'sonbinh (2016)'!$A$3,"MA_HT","LUN","MA_QH","DDT")</f>
        <v>0</v>
      </c>
      <c r="AO10" s="74">
        <f>+GETPIVOTDATA("XSB4",'sonbinh (2016)'!$A$3,"MA_HT","LUN","MA_QH","DDL")</f>
        <v>0</v>
      </c>
      <c r="AP10" s="74">
        <f>+GETPIVOTDATA("XSB4",'sonbinh (2016)'!$A$3,"MA_HT","LUN","MA_QH","DRA")</f>
        <v>0</v>
      </c>
      <c r="AQ10" s="74">
        <f>+GETPIVOTDATA("XSB4",'sonbinh (2016)'!$A$3,"MA_HT","LUN","MA_QH","ONT")</f>
        <v>0</v>
      </c>
      <c r="AR10" s="74">
        <f>+GETPIVOTDATA("XSB4",'sonbinh (2016)'!$A$3,"MA_HT","LUN","MA_QH","ODT")</f>
        <v>0</v>
      </c>
      <c r="AS10" s="74">
        <f>+GETPIVOTDATA("XSB4",'sonbinh (2016)'!$A$3,"MA_HT","LUN","MA_QH","TSC")</f>
        <v>0</v>
      </c>
      <c r="AT10" s="74">
        <f>+GETPIVOTDATA("XSB4",'sonbinh (2016)'!$A$3,"MA_HT","LUN","MA_QH","DTS")</f>
        <v>0</v>
      </c>
      <c r="AU10" s="74">
        <f>+GETPIVOTDATA("XSB4",'sonbinh (2016)'!$A$3,"MA_HT","LUN","MA_QH","DNG")</f>
        <v>0</v>
      </c>
      <c r="AV10" s="74">
        <f>+GETPIVOTDATA("XSB4",'sonbinh (2016)'!$A$3,"MA_HT","LUN","MA_QH","TON")</f>
        <v>0</v>
      </c>
      <c r="AW10" s="74">
        <f>+GETPIVOTDATA("XSB4",'sonbinh (2016)'!$A$3,"MA_HT","LUN","MA_QH","NTD")</f>
        <v>0</v>
      </c>
      <c r="AX10" s="74">
        <f>+GETPIVOTDATA("XSB4",'sonbinh (2016)'!$A$3,"MA_HT","LUN","MA_QH","SKX")</f>
        <v>0</v>
      </c>
      <c r="AY10" s="74">
        <f>+GETPIVOTDATA("XSB4",'sonbinh (2016)'!$A$3,"MA_HT","LUN","MA_QH","DSH")</f>
        <v>0</v>
      </c>
      <c r="AZ10" s="74">
        <f>+GETPIVOTDATA("XSB4",'sonbinh (2016)'!$A$3,"MA_HT","LUN","MA_QH","DKV")</f>
        <v>0</v>
      </c>
      <c r="BA10" s="139">
        <f>+GETPIVOTDATA("XSB4",'sonbinh (2016)'!$A$3,"MA_HT","LUN","MA_QH","TIN")</f>
        <v>0</v>
      </c>
      <c r="BB10" s="74">
        <f>+GETPIVOTDATA("XSB4",'sonbinh (2016)'!$A$3,"MA_HT","LUN","MA_QH","SON")</f>
        <v>0</v>
      </c>
      <c r="BC10" s="74">
        <f>+GETPIVOTDATA("XSB4",'sonbinh (2016)'!$A$3,"MA_HT","LUN","MA_QH","MNC")</f>
        <v>0</v>
      </c>
      <c r="BD10" s="74">
        <f>+GETPIVOTDATA("XSB4",'sonbinh (2016)'!$A$3,"MA_HT","LUN","MA_QH","PNK")</f>
        <v>0</v>
      </c>
      <c r="BE10" s="102">
        <f>+GETPIVOTDATA("XSB4",'sonbinh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+GETPIVOTDATA("XSB4",'sonbinh (2016)'!$A$3,"MA_HT","HNK","MA_QH","LUC")</f>
        <v>0</v>
      </c>
      <c r="H11" s="35">
        <f>+GETPIVOTDATA("XSB4",'sonbinh (2016)'!$A$3,"MA_HT","HNK","MA_QH","LUK")</f>
        <v>0</v>
      </c>
      <c r="I11" s="35">
        <f>+GETPIVOTDATA("XSB4",'sonbinh (2016)'!$A$3,"MA_HT","HNK","MA_QH","LUN")</f>
        <v>0</v>
      </c>
      <c r="J11" s="99" t="e">
        <f>$D11-$BF11</f>
        <v>#REF!</v>
      </c>
      <c r="K11" s="35">
        <f>+GETPIVOTDATA("XSB4",'sonbinh (2016)'!$A$3,"MA_HT","HNK","MA_QH","CLN")</f>
        <v>0</v>
      </c>
      <c r="L11" s="35">
        <f>+GETPIVOTDATA("XSB4",'sonbinh (2016)'!$A$3,"MA_HT","HNK","MA_QH","RSX")</f>
        <v>0</v>
      </c>
      <c r="M11" s="35">
        <f>+GETPIVOTDATA("XSB4",'sonbinh (2016)'!$A$3,"MA_HT","HNK","MA_QH","RPH")</f>
        <v>0</v>
      </c>
      <c r="N11" s="35">
        <f>+GETPIVOTDATA("XSB4",'sonbinh (2016)'!$A$3,"MA_HT","HNK","MA_QH","RDD")</f>
        <v>0</v>
      </c>
      <c r="O11" s="35">
        <f>+GETPIVOTDATA("XSB4",'sonbinh (2016)'!$A$3,"MA_HT","HNK","MA_QH","NTS")</f>
        <v>0</v>
      </c>
      <c r="P11" s="35">
        <f>+GETPIVOTDATA("XSB4",'sonbinh (2016)'!$A$3,"MA_HT","HNK","MA_QH","LMU")</f>
        <v>0</v>
      </c>
      <c r="Q11" s="35">
        <f>+GETPIVOTDATA("XSB4",'sonbinh (2016)'!$A$3,"MA_HT","HNK","MA_QH","NKH")</f>
        <v>0</v>
      </c>
      <c r="R11" s="63">
        <f t="shared" si="2"/>
        <v>0</v>
      </c>
      <c r="S11" s="35">
        <f>+GETPIVOTDATA("XSB4",'sonbinh (2016)'!$A$3,"MA_HT","HNK","MA_QH","CQP")</f>
        <v>0</v>
      </c>
      <c r="T11" s="35">
        <f>+GETPIVOTDATA("XSB4",'sonbinh (2016)'!$A$3,"MA_HT","HNK","MA_QH","CAN")</f>
        <v>0</v>
      </c>
      <c r="U11" s="35">
        <f>+GETPIVOTDATA("XSB4",'sonbinh (2016)'!$A$3,"MA_HT","HNK","MA_QH","SKK")</f>
        <v>0</v>
      </c>
      <c r="V11" s="35">
        <f>+GETPIVOTDATA("XSB4",'sonbinh (2016)'!$A$3,"MA_HT","HNK","MA_QH","SKT")</f>
        <v>0</v>
      </c>
      <c r="W11" s="35">
        <f>+GETPIVOTDATA("XSB4",'sonbinh (2016)'!$A$3,"MA_HT","HNK","MA_QH","SKN")</f>
        <v>0</v>
      </c>
      <c r="X11" s="35">
        <f>+GETPIVOTDATA("XSB4",'sonbinh (2016)'!$A$3,"MA_HT","HNK","MA_QH","TMD")</f>
        <v>0</v>
      </c>
      <c r="Y11" s="35">
        <f>+GETPIVOTDATA("XSB4",'sonbinh (2016)'!$A$3,"MA_HT","HNK","MA_QH","SKC")</f>
        <v>0</v>
      </c>
      <c r="Z11" s="35">
        <f>+GETPIVOTDATA("XSB4",'sonbinh (2016)'!$A$3,"MA_HT","HNK","MA_QH","SKS")</f>
        <v>0</v>
      </c>
      <c r="AA11" s="64">
        <f t="shared" si="4"/>
        <v>0</v>
      </c>
      <c r="AB11" s="35">
        <f>+GETPIVOTDATA("XSB4",'sonbinh (2016)'!$A$3,"MA_HT","HNK","MA_QH","DGT")</f>
        <v>0</v>
      </c>
      <c r="AC11" s="35">
        <f>+GETPIVOTDATA("XSB4",'sonbinh (2016)'!$A$3,"MA_HT","HNK","MA_QH","DTL")</f>
        <v>0</v>
      </c>
      <c r="AD11" s="35">
        <f>+GETPIVOTDATA("XSB4",'sonbinh (2016)'!$A$3,"MA_HT","HNK","MA_QH","DNL")</f>
        <v>0</v>
      </c>
      <c r="AE11" s="35">
        <f>+GETPIVOTDATA("XSB4",'sonbinh (2016)'!$A$3,"MA_HT","HNK","MA_QH","DBV")</f>
        <v>0</v>
      </c>
      <c r="AF11" s="35">
        <f>+GETPIVOTDATA("XSB4",'sonbinh (2016)'!$A$3,"MA_HT","HNK","MA_QH","DVH")</f>
        <v>0</v>
      </c>
      <c r="AG11" s="35">
        <f>+GETPIVOTDATA("XSB4",'sonbinh (2016)'!$A$3,"MA_HT","HNK","MA_QH","DYT")</f>
        <v>0</v>
      </c>
      <c r="AH11" s="35">
        <f>+GETPIVOTDATA("XSB4",'sonbinh (2016)'!$A$3,"MA_HT","HNK","MA_QH","DGD")</f>
        <v>0</v>
      </c>
      <c r="AI11" s="35">
        <f>+GETPIVOTDATA("XSB4",'sonbinh (2016)'!$A$3,"MA_HT","HNK","MA_QH","DTT")</f>
        <v>0</v>
      </c>
      <c r="AJ11" s="35">
        <f>+GETPIVOTDATA("XSB4",'sonbinh (2016)'!$A$3,"MA_HT","HNK","MA_QH","NCK")</f>
        <v>0</v>
      </c>
      <c r="AK11" s="35">
        <f>+GETPIVOTDATA("XSB4",'sonbinh (2016)'!$A$3,"MA_HT","HNK","MA_QH","DXH")</f>
        <v>0</v>
      </c>
      <c r="AL11" s="35">
        <f>+GETPIVOTDATA("XSB4",'sonbinh (2016)'!$A$3,"MA_HT","HNK","MA_QH","DCH")</f>
        <v>0</v>
      </c>
      <c r="AM11" s="35">
        <f>+GETPIVOTDATA("XSB4",'sonbinh (2016)'!$A$3,"MA_HT","HNK","MA_QH","DKG")</f>
        <v>0</v>
      </c>
      <c r="AN11" s="35">
        <f>+GETPIVOTDATA("XSB4",'sonbinh (2016)'!$A$3,"MA_HT","HNK","MA_QH","DDT")</f>
        <v>0</v>
      </c>
      <c r="AO11" s="35">
        <f>+GETPIVOTDATA("XSB4",'sonbinh (2016)'!$A$3,"MA_HT","HNK","MA_QH","DDL")</f>
        <v>0</v>
      </c>
      <c r="AP11" s="35">
        <f>+GETPIVOTDATA("XSB4",'sonbinh (2016)'!$A$3,"MA_HT","HNK","MA_QH","DRA")</f>
        <v>0</v>
      </c>
      <c r="AQ11" s="35">
        <f>+GETPIVOTDATA("XSB4",'sonbinh (2016)'!$A$3,"MA_HT","HNK","MA_QH","ONT")</f>
        <v>0</v>
      </c>
      <c r="AR11" s="35">
        <f>+GETPIVOTDATA("XSB4",'sonbinh (2016)'!$A$3,"MA_HT","HNK","MA_QH","ODT")</f>
        <v>0</v>
      </c>
      <c r="AS11" s="35">
        <f>+GETPIVOTDATA("XSB4",'sonbinh (2016)'!$A$3,"MA_HT","HNK","MA_QH","TSC")</f>
        <v>0</v>
      </c>
      <c r="AT11" s="35">
        <f>+GETPIVOTDATA("XSB4",'sonbinh (2016)'!$A$3,"MA_HT","HNK","MA_QH","DTS")</f>
        <v>0</v>
      </c>
      <c r="AU11" s="35">
        <f>+GETPIVOTDATA("XSB4",'sonbinh (2016)'!$A$3,"MA_HT","HNK","MA_QH","DNG")</f>
        <v>0</v>
      </c>
      <c r="AV11" s="35">
        <f>+GETPIVOTDATA("XSB4",'sonbinh (2016)'!$A$3,"MA_HT","HNK","MA_QH","TON")</f>
        <v>0</v>
      </c>
      <c r="AW11" s="35">
        <f>+GETPIVOTDATA("XSB4",'sonbinh (2016)'!$A$3,"MA_HT","HNK","MA_QH","NTD")</f>
        <v>0</v>
      </c>
      <c r="AX11" s="35">
        <f>+GETPIVOTDATA("XSB4",'sonbinh (2016)'!$A$3,"MA_HT","HNK","MA_QH","SKX")</f>
        <v>0</v>
      </c>
      <c r="AY11" s="35">
        <f>+GETPIVOTDATA("XSB4",'sonbinh (2016)'!$A$3,"MA_HT","HNK","MA_QH","DSH")</f>
        <v>0</v>
      </c>
      <c r="AZ11" s="35">
        <f>+GETPIVOTDATA("XSB4",'sonbinh (2016)'!$A$3,"MA_HT","HNK","MA_QH","DKV")</f>
        <v>0</v>
      </c>
      <c r="BA11" s="140">
        <f>+GETPIVOTDATA("XSB4",'sonbinh (2016)'!$A$3,"MA_HT","HNK","MA_QH","TIN")</f>
        <v>0</v>
      </c>
      <c r="BB11" s="74">
        <f>+GETPIVOTDATA("XSB4",'sonbinh (2016)'!$A$3,"MA_HT","HNK","MA_QH","SON")</f>
        <v>0</v>
      </c>
      <c r="BC11" s="74">
        <f>+GETPIVOTDATA("XSB4",'sonbinh (2016)'!$A$3,"MA_HT","HNK","MA_QH","MNC")</f>
        <v>0</v>
      </c>
      <c r="BD11" s="35">
        <f>+GETPIVOTDATA("XSB4",'sonbinh (2016)'!$A$3,"MA_HT","HNK","MA_QH","PNK")</f>
        <v>0</v>
      </c>
      <c r="BE11" s="58">
        <f>+GETPIVOTDATA("XSB4",'sonbinh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+GETPIVOTDATA("XSB4",'sonbinh (2016)'!$A$3,"MA_HT","CLN","MA_QH","LUC")</f>
        <v>0</v>
      </c>
      <c r="H12" s="35">
        <f>+GETPIVOTDATA("XSB4",'sonbinh (2016)'!$A$3,"MA_HT","CLN","MA_QH","LUK")</f>
        <v>0</v>
      </c>
      <c r="I12" s="35">
        <f>+GETPIVOTDATA("XSB4",'sonbinh (2016)'!$A$3,"MA_HT","CLN","MA_QH","LUN")</f>
        <v>0</v>
      </c>
      <c r="J12" s="35">
        <f>+GETPIVOTDATA("XSB4",'sonbinh (2016)'!$A$3,"MA_HT","CLN","MA_QH","HNK")</f>
        <v>0</v>
      </c>
      <c r="K12" s="99" t="e">
        <f>$D12-$BF12</f>
        <v>#REF!</v>
      </c>
      <c r="L12" s="35">
        <f>+GETPIVOTDATA("XSB4",'sonbinh (2016)'!$A$3,"MA_HT","CLN","MA_QH","RSX")</f>
        <v>0</v>
      </c>
      <c r="M12" s="35">
        <f>+GETPIVOTDATA("XSB4",'sonbinh (2016)'!$A$3,"MA_HT","CLN","MA_QH","RPH")</f>
        <v>0</v>
      </c>
      <c r="N12" s="35">
        <f>+GETPIVOTDATA("XSB4",'sonbinh (2016)'!$A$3,"MA_HT","CLN","MA_QH","RDD")</f>
        <v>0</v>
      </c>
      <c r="O12" s="35">
        <f>+GETPIVOTDATA("XSB4",'sonbinh (2016)'!$A$3,"MA_HT","CLN","MA_QH","NTS")</f>
        <v>0</v>
      </c>
      <c r="P12" s="35">
        <f>+GETPIVOTDATA("XSB4",'sonbinh (2016)'!$A$3,"MA_HT","CLN","MA_QH","LMU")</f>
        <v>0</v>
      </c>
      <c r="Q12" s="35">
        <f>+GETPIVOTDATA("XSB4",'sonbinh (2016)'!$A$3,"MA_HT","CLN","MA_QH","NKH")</f>
        <v>0</v>
      </c>
      <c r="R12" s="63">
        <f t="shared" si="2"/>
        <v>0</v>
      </c>
      <c r="S12" s="35">
        <f>+GETPIVOTDATA("XSB4",'sonbinh (2016)'!$A$3,"MA_HT","CLN","MA_QH","CQP")</f>
        <v>0</v>
      </c>
      <c r="T12" s="35">
        <f>+GETPIVOTDATA("XSB4",'sonbinh (2016)'!$A$3,"MA_HT","CLN","MA_QH","CAN")</f>
        <v>0</v>
      </c>
      <c r="U12" s="35">
        <f>+GETPIVOTDATA("XSB4",'sonbinh (2016)'!$A$3,"MA_HT","CLN","MA_QH","SKK")</f>
        <v>0</v>
      </c>
      <c r="V12" s="35">
        <f>+GETPIVOTDATA("XSB4",'sonbinh (2016)'!$A$3,"MA_HT","CLN","MA_QH","SKT")</f>
        <v>0</v>
      </c>
      <c r="W12" s="35">
        <f>+GETPIVOTDATA("XSB4",'sonbinh (2016)'!$A$3,"MA_HT","CLN","MA_QH","SKN")</f>
        <v>0</v>
      </c>
      <c r="X12" s="35">
        <f>+GETPIVOTDATA("XSB4",'sonbinh (2016)'!$A$3,"MA_HT","CLN","MA_QH","TMD")</f>
        <v>0</v>
      </c>
      <c r="Y12" s="35">
        <f>+GETPIVOTDATA("XSB4",'sonbinh (2016)'!$A$3,"MA_HT","CLN","MA_QH","SKC")</f>
        <v>0</v>
      </c>
      <c r="Z12" s="35">
        <f>+GETPIVOTDATA("XSB4",'sonbinh (2016)'!$A$3,"MA_HT","CLN","MA_QH","SKS")</f>
        <v>0</v>
      </c>
      <c r="AA12" s="64">
        <f t="shared" si="4"/>
        <v>0</v>
      </c>
      <c r="AB12" s="35">
        <f>+GETPIVOTDATA("XSB4",'sonbinh (2016)'!$A$3,"MA_HT","CLN","MA_QH","DGT")</f>
        <v>0</v>
      </c>
      <c r="AC12" s="35">
        <f>+GETPIVOTDATA("XSB4",'sonbinh (2016)'!$A$3,"MA_HT","CLN","MA_QH","DTL")</f>
        <v>0</v>
      </c>
      <c r="AD12" s="35">
        <f>+GETPIVOTDATA("XSB4",'sonbinh (2016)'!$A$3,"MA_HT","CLN","MA_QH","DNL")</f>
        <v>0</v>
      </c>
      <c r="AE12" s="35">
        <f>+GETPIVOTDATA("XSB4",'sonbinh (2016)'!$A$3,"MA_HT","CLN","MA_QH","DBV")</f>
        <v>0</v>
      </c>
      <c r="AF12" s="35">
        <f>+GETPIVOTDATA("XSB4",'sonbinh (2016)'!$A$3,"MA_HT","CLN","MA_QH","DVH")</f>
        <v>0</v>
      </c>
      <c r="AG12" s="35">
        <f>+GETPIVOTDATA("XSB4",'sonbinh (2016)'!$A$3,"MA_HT","CLN","MA_QH","DYT")</f>
        <v>0</v>
      </c>
      <c r="AH12" s="35">
        <f>+GETPIVOTDATA("XSB4",'sonbinh (2016)'!$A$3,"MA_HT","CLN","MA_QH","DGD")</f>
        <v>0</v>
      </c>
      <c r="AI12" s="35">
        <f>+GETPIVOTDATA("XSB4",'sonbinh (2016)'!$A$3,"MA_HT","CLN","MA_QH","DTT")</f>
        <v>0</v>
      </c>
      <c r="AJ12" s="35">
        <f>+GETPIVOTDATA("XSB4",'sonbinh (2016)'!$A$3,"MA_HT","CLN","MA_QH","NCK")</f>
        <v>0</v>
      </c>
      <c r="AK12" s="35">
        <f>+GETPIVOTDATA("XSB4",'sonbinh (2016)'!$A$3,"MA_HT","CLN","MA_QH","DXH")</f>
        <v>0</v>
      </c>
      <c r="AL12" s="35">
        <f>+GETPIVOTDATA("XSB4",'sonbinh (2016)'!$A$3,"MA_HT","CLN","MA_QH","DCH")</f>
        <v>0</v>
      </c>
      <c r="AM12" s="35">
        <f>+GETPIVOTDATA("XSB4",'sonbinh (2016)'!$A$3,"MA_HT","CLN","MA_QH","DKG")</f>
        <v>0</v>
      </c>
      <c r="AN12" s="35">
        <f>+GETPIVOTDATA("XSB4",'sonbinh (2016)'!$A$3,"MA_HT","CLN","MA_QH","DDT")</f>
        <v>0</v>
      </c>
      <c r="AO12" s="35">
        <f>+GETPIVOTDATA("XSB4",'sonbinh (2016)'!$A$3,"MA_HT","CLN","MA_QH","DDL")</f>
        <v>0</v>
      </c>
      <c r="AP12" s="35">
        <f>+GETPIVOTDATA("XSB4",'sonbinh (2016)'!$A$3,"MA_HT","CLN","MA_QH","DRA")</f>
        <v>0</v>
      </c>
      <c r="AQ12" s="35">
        <f>+GETPIVOTDATA("XSB4",'sonbinh (2016)'!$A$3,"MA_HT","CLN","MA_QH","ONT")</f>
        <v>0</v>
      </c>
      <c r="AR12" s="35">
        <f>+GETPIVOTDATA("XSB4",'sonbinh (2016)'!$A$3,"MA_HT","CLN","MA_QH","ODT")</f>
        <v>0</v>
      </c>
      <c r="AS12" s="35">
        <f>+GETPIVOTDATA("XSB4",'sonbinh (2016)'!$A$3,"MA_HT","CLN","MA_QH","TSC")</f>
        <v>0</v>
      </c>
      <c r="AT12" s="35">
        <f>+GETPIVOTDATA("XSB4",'sonbinh (2016)'!$A$3,"MA_HT","CLN","MA_QH","DTS")</f>
        <v>0</v>
      </c>
      <c r="AU12" s="35">
        <f>+GETPIVOTDATA("XSB4",'sonbinh (2016)'!$A$3,"MA_HT","CLN","MA_QH","DNG")</f>
        <v>0</v>
      </c>
      <c r="AV12" s="35">
        <f>+GETPIVOTDATA("XSB4",'sonbinh (2016)'!$A$3,"MA_HT","CLN","MA_QH","TON")</f>
        <v>0</v>
      </c>
      <c r="AW12" s="35">
        <f>+GETPIVOTDATA("XSB4",'sonbinh (2016)'!$A$3,"MA_HT","CLN","MA_QH","NTD")</f>
        <v>0</v>
      </c>
      <c r="AX12" s="35">
        <f>+GETPIVOTDATA("XSB4",'sonbinh (2016)'!$A$3,"MA_HT","CLN","MA_QH","SKX")</f>
        <v>0</v>
      </c>
      <c r="AY12" s="35">
        <f>+GETPIVOTDATA("XSB4",'sonbinh (2016)'!$A$3,"MA_HT","CLN","MA_QH","DSH")</f>
        <v>0</v>
      </c>
      <c r="AZ12" s="35">
        <f>+GETPIVOTDATA("XSB4",'sonbinh (2016)'!$A$3,"MA_HT","CLN","MA_QH","DKV")</f>
        <v>0</v>
      </c>
      <c r="BA12" s="140">
        <f>+GETPIVOTDATA("XSB4",'sonbinh (2016)'!$A$3,"MA_HT","CLN","MA_QH","TIN")</f>
        <v>0</v>
      </c>
      <c r="BB12" s="74">
        <f>+GETPIVOTDATA("XSB4",'sonbinh (2016)'!$A$3,"MA_HT","CLN","MA_QH","SON")</f>
        <v>0</v>
      </c>
      <c r="BC12" s="74">
        <f>+GETPIVOTDATA("XSB4",'sonbinh (2016)'!$A$3,"MA_HT","CLN","MA_QH","MNC")</f>
        <v>0</v>
      </c>
      <c r="BD12" s="35">
        <f>+GETPIVOTDATA("XSB4",'sonbinh (2016)'!$A$3,"MA_HT","CLN","MA_QH","PNK")</f>
        <v>0</v>
      </c>
      <c r="BE12" s="58">
        <f>+GETPIVOTDATA("XSB4",'sonbinh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+GETPIVOTDATA("XSB4",'sonbinh (2016)'!$A$3,"MA_HT","RSX","MA_QH","LUC")</f>
        <v>0</v>
      </c>
      <c r="H13" s="35">
        <f>+GETPIVOTDATA("XSB4",'sonbinh (2016)'!$A$3,"MA_HT","RSX","MA_QH","LUK")</f>
        <v>0</v>
      </c>
      <c r="I13" s="35">
        <f>+GETPIVOTDATA("XSB4",'sonbinh (2016)'!$A$3,"MA_HT","RSX","MA_QH","LUN")</f>
        <v>0</v>
      </c>
      <c r="J13" s="35">
        <f>+GETPIVOTDATA("XSB4",'sonbinh (2016)'!$A$3,"MA_HT","RSX","MA_QH","HNK")</f>
        <v>0</v>
      </c>
      <c r="K13" s="35">
        <f>+GETPIVOTDATA("XSB4",'sonbinh (2016)'!$A$3,"MA_HT","RSX","MA_QH","CLN")</f>
        <v>0</v>
      </c>
      <c r="L13" s="99" t="e">
        <f>$D13-$BF13</f>
        <v>#REF!</v>
      </c>
      <c r="M13" s="35">
        <f>+GETPIVOTDATA("XSB4",'sonbinh (2016)'!$A$3,"MA_HT","RSX","MA_QH","RPH")</f>
        <v>0</v>
      </c>
      <c r="N13" s="35">
        <f>+GETPIVOTDATA("XSB4",'sonbinh (2016)'!$A$3,"MA_HT","RSX","MA_QH","RDD")</f>
        <v>0</v>
      </c>
      <c r="O13" s="35">
        <f>+GETPIVOTDATA("XSB4",'sonbinh (2016)'!$A$3,"MA_HT","RSX","MA_QH","NTS")</f>
        <v>0</v>
      </c>
      <c r="P13" s="35">
        <f>+GETPIVOTDATA("XSB4",'sonbinh (2016)'!$A$3,"MA_HT","RSX","MA_QH","LMU")</f>
        <v>0</v>
      </c>
      <c r="Q13" s="35">
        <f>+GETPIVOTDATA("XSB4",'sonbinh (2016)'!$A$3,"MA_HT","RSX","MA_QH","NKH")</f>
        <v>0</v>
      </c>
      <c r="R13" s="63">
        <f t="shared" si="2"/>
        <v>0</v>
      </c>
      <c r="S13" s="35">
        <f>+GETPIVOTDATA("XSB4",'sonbinh (2016)'!$A$3,"MA_HT","RSX","MA_QH","CQP")</f>
        <v>0</v>
      </c>
      <c r="T13" s="35">
        <f>+GETPIVOTDATA("XSB4",'sonbinh (2016)'!$A$3,"MA_HT","RSX","MA_QH","CAN")</f>
        <v>0</v>
      </c>
      <c r="U13" s="35">
        <f>+GETPIVOTDATA("XSB4",'sonbinh (2016)'!$A$3,"MA_HT","RSX","MA_QH","SKK")</f>
        <v>0</v>
      </c>
      <c r="V13" s="35">
        <f>+GETPIVOTDATA("XSB4",'sonbinh (2016)'!$A$3,"MA_HT","RSX","MA_QH","SKT")</f>
        <v>0</v>
      </c>
      <c r="W13" s="35">
        <f>+GETPIVOTDATA("XSB4",'sonbinh (2016)'!$A$3,"MA_HT","RSX","MA_QH","SKN")</f>
        <v>0</v>
      </c>
      <c r="X13" s="35">
        <f>+GETPIVOTDATA("XSB4",'sonbinh (2016)'!$A$3,"MA_HT","RSX","MA_QH","TMD")</f>
        <v>0</v>
      </c>
      <c r="Y13" s="35">
        <f>+GETPIVOTDATA("XSB4",'sonbinh (2016)'!$A$3,"MA_HT","RSX","MA_QH","SKC")</f>
        <v>0</v>
      </c>
      <c r="Z13" s="35">
        <f>+GETPIVOTDATA("XSB4",'sonbinh (2016)'!$A$3,"MA_HT","RSX","MA_QH","SKS")</f>
        <v>0</v>
      </c>
      <c r="AA13" s="64">
        <f t="shared" si="4"/>
        <v>0</v>
      </c>
      <c r="AB13" s="35">
        <f>+GETPIVOTDATA("XSB4",'sonbinh (2016)'!$A$3,"MA_HT","RSX","MA_QH","DGT")</f>
        <v>0</v>
      </c>
      <c r="AC13" s="35">
        <f>+GETPIVOTDATA("XSB4",'sonbinh (2016)'!$A$3,"MA_HT","RSX","MA_QH","DTL")</f>
        <v>0</v>
      </c>
      <c r="AD13" s="35">
        <f>+GETPIVOTDATA("XSB4",'sonbinh (2016)'!$A$3,"MA_HT","RSX","MA_QH","DNL")</f>
        <v>0</v>
      </c>
      <c r="AE13" s="35">
        <f>+GETPIVOTDATA("XSB4",'sonbinh (2016)'!$A$3,"MA_HT","RSX","MA_QH","DBV")</f>
        <v>0</v>
      </c>
      <c r="AF13" s="35">
        <f>+GETPIVOTDATA("XSB4",'sonbinh (2016)'!$A$3,"MA_HT","RSX","MA_QH","DVH")</f>
        <v>0</v>
      </c>
      <c r="AG13" s="35">
        <f>+GETPIVOTDATA("XSB4",'sonbinh (2016)'!$A$3,"MA_HT","RSX","MA_QH","DYT")</f>
        <v>0</v>
      </c>
      <c r="AH13" s="35">
        <f>+GETPIVOTDATA("XSB4",'sonbinh (2016)'!$A$3,"MA_HT","RSX","MA_QH","DGD")</f>
        <v>0</v>
      </c>
      <c r="AI13" s="35">
        <f>+GETPIVOTDATA("XSB4",'sonbinh (2016)'!$A$3,"MA_HT","RSX","MA_QH","DTT")</f>
        <v>0</v>
      </c>
      <c r="AJ13" s="35">
        <f>+GETPIVOTDATA("XSB4",'sonbinh (2016)'!$A$3,"MA_HT","RSX","MA_QH","NCK")</f>
        <v>0</v>
      </c>
      <c r="AK13" s="35">
        <f>+GETPIVOTDATA("XSB4",'sonbinh (2016)'!$A$3,"MA_HT","RSX","MA_QH","DXH")</f>
        <v>0</v>
      </c>
      <c r="AL13" s="35">
        <f>+GETPIVOTDATA("XSB4",'sonbinh (2016)'!$A$3,"MA_HT","RSX","MA_QH","DCH")</f>
        <v>0</v>
      </c>
      <c r="AM13" s="35">
        <f>+GETPIVOTDATA("XSB4",'sonbinh (2016)'!$A$3,"MA_HT","RSX","MA_QH","DKG")</f>
        <v>0</v>
      </c>
      <c r="AN13" s="35">
        <f>+GETPIVOTDATA("XSB4",'sonbinh (2016)'!$A$3,"MA_HT","RSX","MA_QH","DDT")</f>
        <v>0</v>
      </c>
      <c r="AO13" s="35">
        <f>+GETPIVOTDATA("XSB4",'sonbinh (2016)'!$A$3,"MA_HT","RSX","MA_QH","DDL")</f>
        <v>0</v>
      </c>
      <c r="AP13" s="35">
        <f>+GETPIVOTDATA("XSB4",'sonbinh (2016)'!$A$3,"MA_HT","RSX","MA_QH","DRA")</f>
        <v>0</v>
      </c>
      <c r="AQ13" s="35">
        <f>+GETPIVOTDATA("XSB4",'sonbinh (2016)'!$A$3,"MA_HT","RSX","MA_QH","ONT")</f>
        <v>0</v>
      </c>
      <c r="AR13" s="35">
        <f>+GETPIVOTDATA("XSB4",'sonbinh (2016)'!$A$3,"MA_HT","RSX","MA_QH","ODT")</f>
        <v>0</v>
      </c>
      <c r="AS13" s="35">
        <f>+GETPIVOTDATA("XSB4",'sonbinh (2016)'!$A$3,"MA_HT","RSX","MA_QH","TSC")</f>
        <v>0</v>
      </c>
      <c r="AT13" s="35">
        <f>+GETPIVOTDATA("XSB4",'sonbinh (2016)'!$A$3,"MA_HT","RSX","MA_QH","DTS")</f>
        <v>0</v>
      </c>
      <c r="AU13" s="35">
        <f>+GETPIVOTDATA("XSB4",'sonbinh (2016)'!$A$3,"MA_HT","RSX","MA_QH","DNG")</f>
        <v>0</v>
      </c>
      <c r="AV13" s="35">
        <f>+GETPIVOTDATA("XSB4",'sonbinh (2016)'!$A$3,"MA_HT","RSX","MA_QH","TON")</f>
        <v>0</v>
      </c>
      <c r="AW13" s="35">
        <f>+GETPIVOTDATA("XSB4",'sonbinh (2016)'!$A$3,"MA_HT","RSX","MA_QH","NTD")</f>
        <v>0</v>
      </c>
      <c r="AX13" s="35">
        <f>+GETPIVOTDATA("XSB4",'sonbinh (2016)'!$A$3,"MA_HT","RSX","MA_QH","SKX")</f>
        <v>0</v>
      </c>
      <c r="AY13" s="35">
        <f>+GETPIVOTDATA("XSB4",'sonbinh (2016)'!$A$3,"MA_HT","RSX","MA_QH","DSH")</f>
        <v>0</v>
      </c>
      <c r="AZ13" s="35">
        <f>+GETPIVOTDATA("XSB4",'sonbinh (2016)'!$A$3,"MA_HT","RSX","MA_QH","DKV")</f>
        <v>0</v>
      </c>
      <c r="BA13" s="140">
        <f>+GETPIVOTDATA("XSB4",'sonbinh (2016)'!$A$3,"MA_HT","RSX","MA_QH","TIN")</f>
        <v>0</v>
      </c>
      <c r="BB13" s="74">
        <f>+GETPIVOTDATA("XSB4",'sonbinh (2016)'!$A$3,"MA_HT","RSX","MA_QH","SON")</f>
        <v>0</v>
      </c>
      <c r="BC13" s="74">
        <f>+GETPIVOTDATA("XSB4",'sonbinh (2016)'!$A$3,"MA_HT","RSX","MA_QH","MNC")</f>
        <v>0</v>
      </c>
      <c r="BD13" s="35">
        <f>+GETPIVOTDATA("XSB4",'sonbinh (2016)'!$A$3,"MA_HT","RSX","MA_QH","PNK")</f>
        <v>0</v>
      </c>
      <c r="BE13" s="58">
        <f>+GETPIVOTDATA("XSB4",'sonbinh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+GETPIVOTDATA("XSB4",'sonbinh (2016)'!$A$3,"MA_HT","RPH","MA_QH","LUC")</f>
        <v>0</v>
      </c>
      <c r="H14" s="35">
        <f>+GETPIVOTDATA("XSB4",'sonbinh (2016)'!$A$3,"MA_HT","RPH","MA_QH","LUK")</f>
        <v>0</v>
      </c>
      <c r="I14" s="35">
        <f>+GETPIVOTDATA("XSB4",'sonbinh (2016)'!$A$3,"MA_HT","RPH","MA_QH","LUN")</f>
        <v>0</v>
      </c>
      <c r="J14" s="35">
        <f>+GETPIVOTDATA("XSB4",'sonbinh (2016)'!$A$3,"MA_HT","RPH","MA_QH","HNK")</f>
        <v>0</v>
      </c>
      <c r="K14" s="35">
        <f>+GETPIVOTDATA("XSB4",'sonbinh (2016)'!$A$3,"MA_HT","RPH","MA_QH","CLN")</f>
        <v>0</v>
      </c>
      <c r="L14" s="35">
        <f>+GETPIVOTDATA("XSB4",'sonbinh (2016)'!$A$3,"MA_HT","RPH","MA_QH","RSX")</f>
        <v>0</v>
      </c>
      <c r="M14" s="99" t="e">
        <f>$D14-$BF14</f>
        <v>#REF!</v>
      </c>
      <c r="N14" s="35">
        <f>+GETPIVOTDATA("XSB4",'sonbinh (2016)'!$A$3,"MA_HT","RPH","MA_QH","RDD")</f>
        <v>0</v>
      </c>
      <c r="O14" s="35">
        <f>+GETPIVOTDATA("XSB4",'sonbinh (2016)'!$A$3,"MA_HT","RPH","MA_QH","NTS")</f>
        <v>0</v>
      </c>
      <c r="P14" s="35">
        <f>+GETPIVOTDATA("XSB4",'sonbinh (2016)'!$A$3,"MA_HT","RPH","MA_QH","LMU")</f>
        <v>0</v>
      </c>
      <c r="Q14" s="35">
        <f>+GETPIVOTDATA("XSB4",'sonbinh (2016)'!$A$3,"MA_HT","RPH","MA_QH","NKH")</f>
        <v>0</v>
      </c>
      <c r="R14" s="63">
        <f t="shared" si="2"/>
        <v>0</v>
      </c>
      <c r="S14" s="35">
        <f>+GETPIVOTDATA("XSB4",'sonbinh (2016)'!$A$3,"MA_HT","RPH","MA_QH","CQP")</f>
        <v>0</v>
      </c>
      <c r="T14" s="35">
        <f>+GETPIVOTDATA("XSB4",'sonbinh (2016)'!$A$3,"MA_HT","RPH","MA_QH","CAN")</f>
        <v>0</v>
      </c>
      <c r="U14" s="35">
        <f>+GETPIVOTDATA("XSB4",'sonbinh (2016)'!$A$3,"MA_HT","RPH","MA_QH","SKK")</f>
        <v>0</v>
      </c>
      <c r="V14" s="35">
        <f>+GETPIVOTDATA("XSB4",'sonbinh (2016)'!$A$3,"MA_HT","RPH","MA_QH","SKT")</f>
        <v>0</v>
      </c>
      <c r="W14" s="35">
        <f>+GETPIVOTDATA("XSB4",'sonbinh (2016)'!$A$3,"MA_HT","RPH","MA_QH","SKN")</f>
        <v>0</v>
      </c>
      <c r="X14" s="35">
        <f>+GETPIVOTDATA("XSB4",'sonbinh (2016)'!$A$3,"MA_HT","RPH","MA_QH","TMD")</f>
        <v>0</v>
      </c>
      <c r="Y14" s="35">
        <f>+GETPIVOTDATA("XSB4",'sonbinh (2016)'!$A$3,"MA_HT","RPH","MA_QH","SKC")</f>
        <v>0</v>
      </c>
      <c r="Z14" s="35">
        <f>+GETPIVOTDATA("XSB4",'sonbinh (2016)'!$A$3,"MA_HT","RPH","MA_QH","SKS")</f>
        <v>0</v>
      </c>
      <c r="AA14" s="64">
        <f t="shared" si="4"/>
        <v>0</v>
      </c>
      <c r="AB14" s="35">
        <f>+GETPIVOTDATA("XSB4",'sonbinh (2016)'!$A$3,"MA_HT","RPH","MA_QH","DGT")</f>
        <v>0</v>
      </c>
      <c r="AC14" s="35">
        <f>+GETPIVOTDATA("XSB4",'sonbinh (2016)'!$A$3,"MA_HT","RPH","MA_QH","DTL")</f>
        <v>0</v>
      </c>
      <c r="AD14" s="35">
        <f>+GETPIVOTDATA("XSB4",'sonbinh (2016)'!$A$3,"MA_HT","RPH","MA_QH","DNL")</f>
        <v>0</v>
      </c>
      <c r="AE14" s="35">
        <f>+GETPIVOTDATA("XSB4",'sonbinh (2016)'!$A$3,"MA_HT","RPH","MA_QH","DBV")</f>
        <v>0</v>
      </c>
      <c r="AF14" s="35">
        <f>+GETPIVOTDATA("XSB4",'sonbinh (2016)'!$A$3,"MA_HT","RPH","MA_QH","DVH")</f>
        <v>0</v>
      </c>
      <c r="AG14" s="35">
        <f>+GETPIVOTDATA("XSB4",'sonbinh (2016)'!$A$3,"MA_HT","RPH","MA_QH","DYT")</f>
        <v>0</v>
      </c>
      <c r="AH14" s="35">
        <f>+GETPIVOTDATA("XSB4",'sonbinh (2016)'!$A$3,"MA_HT","RPH","MA_QH","DGD")</f>
        <v>0</v>
      </c>
      <c r="AI14" s="35">
        <f>+GETPIVOTDATA("XSB4",'sonbinh (2016)'!$A$3,"MA_HT","RPH","MA_QH","DTT")</f>
        <v>0</v>
      </c>
      <c r="AJ14" s="35">
        <f>+GETPIVOTDATA("XSB4",'sonbinh (2016)'!$A$3,"MA_HT","RPH","MA_QH","NCK")</f>
        <v>0</v>
      </c>
      <c r="AK14" s="35">
        <f>+GETPIVOTDATA("XSB4",'sonbinh (2016)'!$A$3,"MA_HT","RPH","MA_QH","DXH")</f>
        <v>0</v>
      </c>
      <c r="AL14" s="35">
        <f>+GETPIVOTDATA("XSB4",'sonbinh (2016)'!$A$3,"MA_HT","RPH","MA_QH","DCH")</f>
        <v>0</v>
      </c>
      <c r="AM14" s="35">
        <f>+GETPIVOTDATA("XSB4",'sonbinh (2016)'!$A$3,"MA_HT","RPH","MA_QH","DKG")</f>
        <v>0</v>
      </c>
      <c r="AN14" s="35">
        <f>+GETPIVOTDATA("XSB4",'sonbinh (2016)'!$A$3,"MA_HT","RPH","MA_QH","DDT")</f>
        <v>0</v>
      </c>
      <c r="AO14" s="35">
        <f>+GETPIVOTDATA("XSB4",'sonbinh (2016)'!$A$3,"MA_HT","RPH","MA_QH","DDL")</f>
        <v>0</v>
      </c>
      <c r="AP14" s="35">
        <f>+GETPIVOTDATA("XSB4",'sonbinh (2016)'!$A$3,"MA_HT","RPH","MA_QH","DRA")</f>
        <v>0</v>
      </c>
      <c r="AQ14" s="35">
        <f>+GETPIVOTDATA("XSB4",'sonbinh (2016)'!$A$3,"MA_HT","RPH","MA_QH","ONT")</f>
        <v>0</v>
      </c>
      <c r="AR14" s="35">
        <f>+GETPIVOTDATA("XSB4",'sonbinh (2016)'!$A$3,"MA_HT","RPH","MA_QH","ODT")</f>
        <v>0</v>
      </c>
      <c r="AS14" s="35">
        <f>+GETPIVOTDATA("XSB4",'sonbinh (2016)'!$A$3,"MA_HT","RPH","MA_QH","TSC")</f>
        <v>0</v>
      </c>
      <c r="AT14" s="35">
        <f>+GETPIVOTDATA("XSB4",'sonbinh (2016)'!$A$3,"MA_HT","RPH","MA_QH","DTS")</f>
        <v>0</v>
      </c>
      <c r="AU14" s="35">
        <f>+GETPIVOTDATA("XSB4",'sonbinh (2016)'!$A$3,"MA_HT","RPH","MA_QH","DNG")</f>
        <v>0</v>
      </c>
      <c r="AV14" s="35">
        <f>+GETPIVOTDATA("XSB4",'sonbinh (2016)'!$A$3,"MA_HT","RPH","MA_QH","TON")</f>
        <v>0</v>
      </c>
      <c r="AW14" s="35">
        <f>+GETPIVOTDATA("XSB4",'sonbinh (2016)'!$A$3,"MA_HT","RPH","MA_QH","NTD")</f>
        <v>0</v>
      </c>
      <c r="AX14" s="35">
        <f>+GETPIVOTDATA("XSB4",'sonbinh (2016)'!$A$3,"MA_HT","RPH","MA_QH","SKX")</f>
        <v>0</v>
      </c>
      <c r="AY14" s="35">
        <f>+GETPIVOTDATA("XSB4",'sonbinh (2016)'!$A$3,"MA_HT","RPH","MA_QH","DSH")</f>
        <v>0</v>
      </c>
      <c r="AZ14" s="35">
        <f>+GETPIVOTDATA("XSB4",'sonbinh (2016)'!$A$3,"MA_HT","RPH","MA_QH","DKV")</f>
        <v>0</v>
      </c>
      <c r="BA14" s="140">
        <f>+GETPIVOTDATA("XSB4",'sonbinh (2016)'!$A$3,"MA_HT","RPH","MA_QH","TIN")</f>
        <v>0</v>
      </c>
      <c r="BB14" s="74">
        <f>+GETPIVOTDATA("XSB4",'sonbinh (2016)'!$A$3,"MA_HT","RPH","MA_QH","SON")</f>
        <v>0</v>
      </c>
      <c r="BC14" s="74">
        <f>+GETPIVOTDATA("XSB4",'sonbinh (2016)'!$A$3,"MA_HT","RPH","MA_QH","MNC")</f>
        <v>0</v>
      </c>
      <c r="BD14" s="35">
        <f>+GETPIVOTDATA("XSB4",'sonbinh (2016)'!$A$3,"MA_HT","RPH","MA_QH","PNK")</f>
        <v>0</v>
      </c>
      <c r="BE14" s="58">
        <f>+GETPIVOTDATA("XSB4",'sonbinh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+GETPIVOTDATA("XSB4",'sonbinh (2016)'!$A$3,"MA_HT","RDD","MA_QH","LUC")</f>
        <v>0</v>
      </c>
      <c r="H15" s="35">
        <f>+GETPIVOTDATA("XSB4",'sonbinh (2016)'!$A$3,"MA_HT","RDD","MA_QH","LUK")</f>
        <v>0</v>
      </c>
      <c r="I15" s="35">
        <f>+GETPIVOTDATA("XSB4",'sonbinh (2016)'!$A$3,"MA_HT","RDD","MA_QH","LUN")</f>
        <v>0</v>
      </c>
      <c r="J15" s="35">
        <f>+GETPIVOTDATA("XSB4",'sonbinh (2016)'!$A$3,"MA_HT","RDD","MA_QH","HNK")</f>
        <v>0</v>
      </c>
      <c r="K15" s="35">
        <f>+GETPIVOTDATA("XSB4",'sonbinh (2016)'!$A$3,"MA_HT","RDD","MA_QH","CLN")</f>
        <v>0</v>
      </c>
      <c r="L15" s="35">
        <f>+GETPIVOTDATA("XSB4",'sonbinh (2016)'!$A$3,"MA_HT","RDD","MA_QH","RSX")</f>
        <v>0</v>
      </c>
      <c r="M15" s="35">
        <f>+GETPIVOTDATA("XSB4",'sonbinh (2016)'!$A$3,"MA_HT","RDD","MA_QH","RPH")</f>
        <v>0</v>
      </c>
      <c r="N15" s="99" t="e">
        <f>$D15-$BF15</f>
        <v>#REF!</v>
      </c>
      <c r="O15" s="35">
        <f>+GETPIVOTDATA("XSB4",'sonbinh (2016)'!$A$3,"MA_HT","RDD","MA_QH","NTS")</f>
        <v>0</v>
      </c>
      <c r="P15" s="35">
        <f>+GETPIVOTDATA("XSB4",'sonbinh (2016)'!$A$3,"MA_HT","RDD","MA_QH","LMU")</f>
        <v>0</v>
      </c>
      <c r="Q15" s="35">
        <f>+GETPIVOTDATA("XSB4",'sonbinh (2016)'!$A$3,"MA_HT","RDD","MA_QH","NKH")</f>
        <v>0</v>
      </c>
      <c r="R15" s="63">
        <f t="shared" si="2"/>
        <v>0</v>
      </c>
      <c r="S15" s="35">
        <f>+GETPIVOTDATA("XSB4",'sonbinh (2016)'!$A$3,"MA_HT","RDD","MA_QH","CQP")</f>
        <v>0</v>
      </c>
      <c r="T15" s="35">
        <f>+GETPIVOTDATA("XSB4",'sonbinh (2016)'!$A$3,"MA_HT","RDD","MA_QH","CAN")</f>
        <v>0</v>
      </c>
      <c r="U15" s="35">
        <f>+GETPIVOTDATA("XSB4",'sonbinh (2016)'!$A$3,"MA_HT","RDD","MA_QH","SKK")</f>
        <v>0</v>
      </c>
      <c r="V15" s="35">
        <f>+GETPIVOTDATA("XSB4",'sonbinh (2016)'!$A$3,"MA_HT","RDD","MA_QH","SKT")</f>
        <v>0</v>
      </c>
      <c r="W15" s="35">
        <f>+GETPIVOTDATA("XSB4",'sonbinh (2016)'!$A$3,"MA_HT","RDD","MA_QH","SKN")</f>
        <v>0</v>
      </c>
      <c r="X15" s="35">
        <f>+GETPIVOTDATA("XSB4",'sonbinh (2016)'!$A$3,"MA_HT","RDD","MA_QH","TMD")</f>
        <v>0</v>
      </c>
      <c r="Y15" s="35">
        <f>+GETPIVOTDATA("XSB4",'sonbinh (2016)'!$A$3,"MA_HT","RDD","MA_QH","SKC")</f>
        <v>0</v>
      </c>
      <c r="Z15" s="35">
        <f>+GETPIVOTDATA("XSB4",'sonbinh (2016)'!$A$3,"MA_HT","RDD","MA_QH","SKS")</f>
        <v>0</v>
      </c>
      <c r="AA15" s="64">
        <f t="shared" si="4"/>
        <v>0</v>
      </c>
      <c r="AB15" s="35">
        <f>+GETPIVOTDATA("XSB4",'sonbinh (2016)'!$A$3,"MA_HT","RDD","MA_QH","DGT")</f>
        <v>0</v>
      </c>
      <c r="AC15" s="35">
        <f>+GETPIVOTDATA("XSB4",'sonbinh (2016)'!$A$3,"MA_HT","RDD","MA_QH","DTL")</f>
        <v>0</v>
      </c>
      <c r="AD15" s="35">
        <f>+GETPIVOTDATA("XSB4",'sonbinh (2016)'!$A$3,"MA_HT","RDD","MA_QH","DNL")</f>
        <v>0</v>
      </c>
      <c r="AE15" s="35">
        <f>+GETPIVOTDATA("XSB4",'sonbinh (2016)'!$A$3,"MA_HT","RDD","MA_QH","DBV")</f>
        <v>0</v>
      </c>
      <c r="AF15" s="35">
        <f>+GETPIVOTDATA("XSB4",'sonbinh (2016)'!$A$3,"MA_HT","RDD","MA_QH","DVH")</f>
        <v>0</v>
      </c>
      <c r="AG15" s="35">
        <f>+GETPIVOTDATA("XSB4",'sonbinh (2016)'!$A$3,"MA_HT","RDD","MA_QH","DYT")</f>
        <v>0</v>
      </c>
      <c r="AH15" s="35">
        <f>+GETPIVOTDATA("XSB4",'sonbinh (2016)'!$A$3,"MA_HT","RDD","MA_QH","DGD")</f>
        <v>0</v>
      </c>
      <c r="AI15" s="35">
        <f>+GETPIVOTDATA("XSB4",'sonbinh (2016)'!$A$3,"MA_HT","RDD","MA_QH","DTT")</f>
        <v>0</v>
      </c>
      <c r="AJ15" s="35">
        <f>+GETPIVOTDATA("XSB4",'sonbinh (2016)'!$A$3,"MA_HT","RDD","MA_QH","NCK")</f>
        <v>0</v>
      </c>
      <c r="AK15" s="35">
        <f>+GETPIVOTDATA("XSB4",'sonbinh (2016)'!$A$3,"MA_HT","RDD","MA_QH","DXH")</f>
        <v>0</v>
      </c>
      <c r="AL15" s="35">
        <f>+GETPIVOTDATA("XSB4",'sonbinh (2016)'!$A$3,"MA_HT","RDD","MA_QH","DCH")</f>
        <v>0</v>
      </c>
      <c r="AM15" s="35">
        <f>+GETPIVOTDATA("XSB4",'sonbinh (2016)'!$A$3,"MA_HT","RDD","MA_QH","DKG")</f>
        <v>0</v>
      </c>
      <c r="AN15" s="35">
        <f>+GETPIVOTDATA("XSB4",'sonbinh (2016)'!$A$3,"MA_HT","RDD","MA_QH","DDT")</f>
        <v>0</v>
      </c>
      <c r="AO15" s="35">
        <f>+GETPIVOTDATA("XSB4",'sonbinh (2016)'!$A$3,"MA_HT","RDD","MA_QH","DDL")</f>
        <v>0</v>
      </c>
      <c r="AP15" s="35">
        <f>+GETPIVOTDATA("XSB4",'sonbinh (2016)'!$A$3,"MA_HT","RDD","MA_QH","DRA")</f>
        <v>0</v>
      </c>
      <c r="AQ15" s="35">
        <f>+GETPIVOTDATA("XSB4",'sonbinh (2016)'!$A$3,"MA_HT","RDD","MA_QH","ONT")</f>
        <v>0</v>
      </c>
      <c r="AR15" s="35">
        <f>+GETPIVOTDATA("XSB4",'sonbinh (2016)'!$A$3,"MA_HT","RDD","MA_QH","ODT")</f>
        <v>0</v>
      </c>
      <c r="AS15" s="35">
        <f>+GETPIVOTDATA("XSB4",'sonbinh (2016)'!$A$3,"MA_HT","RDD","MA_QH","TSC")</f>
        <v>0</v>
      </c>
      <c r="AT15" s="35">
        <f>+GETPIVOTDATA("XSB4",'sonbinh (2016)'!$A$3,"MA_HT","RDD","MA_QH","DTS")</f>
        <v>0</v>
      </c>
      <c r="AU15" s="35">
        <f>+GETPIVOTDATA("XSB4",'sonbinh (2016)'!$A$3,"MA_HT","RDD","MA_QH","DNG")</f>
        <v>0</v>
      </c>
      <c r="AV15" s="35">
        <f>+GETPIVOTDATA("XSB4",'sonbinh (2016)'!$A$3,"MA_HT","RDD","MA_QH","TON")</f>
        <v>0</v>
      </c>
      <c r="AW15" s="35">
        <f>+GETPIVOTDATA("XSB4",'sonbinh (2016)'!$A$3,"MA_HT","RDD","MA_QH","NTD")</f>
        <v>0</v>
      </c>
      <c r="AX15" s="35">
        <f>+GETPIVOTDATA("XSB4",'sonbinh (2016)'!$A$3,"MA_HT","RDD","MA_QH","SKX")</f>
        <v>0</v>
      </c>
      <c r="AY15" s="35">
        <f>+GETPIVOTDATA("XSB4",'sonbinh (2016)'!$A$3,"MA_HT","RDD","MA_QH","DSH")</f>
        <v>0</v>
      </c>
      <c r="AZ15" s="35">
        <f>+GETPIVOTDATA("XSB4",'sonbinh (2016)'!$A$3,"MA_HT","RDD","MA_QH","DKV")</f>
        <v>0</v>
      </c>
      <c r="BA15" s="140">
        <f>+GETPIVOTDATA("XSB4",'sonbinh (2016)'!$A$3,"MA_HT","RDD","MA_QH","TIN")</f>
        <v>0</v>
      </c>
      <c r="BB15" s="74">
        <f>+GETPIVOTDATA("XSB4",'sonbinh (2016)'!$A$3,"MA_HT","RDD","MA_QH","SON")</f>
        <v>0</v>
      </c>
      <c r="BC15" s="74">
        <f>+GETPIVOTDATA("XSB4",'sonbinh (2016)'!$A$3,"MA_HT","RDD","MA_QH","MNC")</f>
        <v>0</v>
      </c>
      <c r="BD15" s="35">
        <f>+GETPIVOTDATA("XSB4",'sonbinh (2016)'!$A$3,"MA_HT","RDD","MA_QH","PNK")</f>
        <v>0</v>
      </c>
      <c r="BE15" s="58">
        <f>+GETPIVOTDATA("XSB4",'sonbinh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+GETPIVOTDATA("XSB4",'sonbinh (2016)'!$A$3,"MA_HT","NTS","MA_QH","LUC")</f>
        <v>0</v>
      </c>
      <c r="H16" s="35">
        <f>+GETPIVOTDATA("XSB4",'sonbinh (2016)'!$A$3,"MA_HT","NTS","MA_QH","LUK")</f>
        <v>0</v>
      </c>
      <c r="I16" s="35">
        <f>+GETPIVOTDATA("XSB4",'sonbinh (2016)'!$A$3,"MA_HT","NTS","MA_QH","LUN")</f>
        <v>0</v>
      </c>
      <c r="J16" s="35">
        <f>+GETPIVOTDATA("XSB4",'sonbinh (2016)'!$A$3,"MA_HT","NTS","MA_QH","HNK")</f>
        <v>0</v>
      </c>
      <c r="K16" s="35">
        <f>+GETPIVOTDATA("XSB4",'sonbinh (2016)'!$A$3,"MA_HT","NTS","MA_QH","CLN")</f>
        <v>0</v>
      </c>
      <c r="L16" s="35">
        <f>+GETPIVOTDATA("XSB4",'sonbinh (2016)'!$A$3,"MA_HT","NTS","MA_QH","RSX")</f>
        <v>0</v>
      </c>
      <c r="M16" s="35">
        <f>+GETPIVOTDATA("XSB4",'sonbinh (2016)'!$A$3,"MA_HT","NTS","MA_QH","RPH")</f>
        <v>0</v>
      </c>
      <c r="N16" s="35">
        <f>+GETPIVOTDATA("XSB4",'sonbinh (2016)'!$A$3,"MA_HT","NTS","MA_QH","RDD")</f>
        <v>0</v>
      </c>
      <c r="O16" s="99" t="e">
        <f>$D16-$BF16</f>
        <v>#REF!</v>
      </c>
      <c r="P16" s="35">
        <f>+GETPIVOTDATA("XSB4",'sonbinh (2016)'!$A$3,"MA_HT","NTS","MA_QH","LMU")</f>
        <v>0</v>
      </c>
      <c r="Q16" s="35">
        <f>+GETPIVOTDATA("XSB4",'sonbinh (2016)'!$A$3,"MA_HT","NTS","MA_QH","NKH")</f>
        <v>0</v>
      </c>
      <c r="R16" s="63">
        <f t="shared" si="2"/>
        <v>0</v>
      </c>
      <c r="S16" s="35">
        <f>+GETPIVOTDATA("XSB4",'sonbinh (2016)'!$A$3,"MA_HT","NTS","MA_QH","CQP")</f>
        <v>0</v>
      </c>
      <c r="T16" s="35">
        <f>+GETPIVOTDATA("XSB4",'sonbinh (2016)'!$A$3,"MA_HT","NTS","MA_QH","CAN")</f>
        <v>0</v>
      </c>
      <c r="U16" s="35">
        <f>+GETPIVOTDATA("XSB4",'sonbinh (2016)'!$A$3,"MA_HT","NTS","MA_QH","SKK")</f>
        <v>0</v>
      </c>
      <c r="V16" s="35">
        <f>+GETPIVOTDATA("XSB4",'sonbinh (2016)'!$A$3,"MA_HT","NTS","MA_QH","SKT")</f>
        <v>0</v>
      </c>
      <c r="W16" s="35">
        <f>+GETPIVOTDATA("XSB4",'sonbinh (2016)'!$A$3,"MA_HT","NTS","MA_QH","SKN")</f>
        <v>0</v>
      </c>
      <c r="X16" s="35">
        <f>+GETPIVOTDATA("XSB4",'sonbinh (2016)'!$A$3,"MA_HT","NTS","MA_QH","TMD")</f>
        <v>0</v>
      </c>
      <c r="Y16" s="35">
        <f>+GETPIVOTDATA("XSB4",'sonbinh (2016)'!$A$3,"MA_HT","NTS","MA_QH","SKC")</f>
        <v>0</v>
      </c>
      <c r="Z16" s="35">
        <f>+GETPIVOTDATA("XSB4",'sonbinh (2016)'!$A$3,"MA_HT","NTS","MA_QH","SKS")</f>
        <v>0</v>
      </c>
      <c r="AA16" s="64">
        <f t="shared" si="4"/>
        <v>0</v>
      </c>
      <c r="AB16" s="35">
        <f>+GETPIVOTDATA("XSB4",'sonbinh (2016)'!$A$3,"MA_HT","NTS","MA_QH","DGT")</f>
        <v>0</v>
      </c>
      <c r="AC16" s="35">
        <f>+GETPIVOTDATA("XSB4",'sonbinh (2016)'!$A$3,"MA_HT","NTS","MA_QH","DTL")</f>
        <v>0</v>
      </c>
      <c r="AD16" s="35">
        <f>+GETPIVOTDATA("XSB4",'sonbinh (2016)'!$A$3,"MA_HT","NTS","MA_QH","DNL")</f>
        <v>0</v>
      </c>
      <c r="AE16" s="35">
        <f>+GETPIVOTDATA("XSB4",'sonbinh (2016)'!$A$3,"MA_HT","NTS","MA_QH","DBV")</f>
        <v>0</v>
      </c>
      <c r="AF16" s="35">
        <f>+GETPIVOTDATA("XSB4",'sonbinh (2016)'!$A$3,"MA_HT","NTS","MA_QH","DVH")</f>
        <v>0</v>
      </c>
      <c r="AG16" s="35">
        <f>+GETPIVOTDATA("XSB4",'sonbinh (2016)'!$A$3,"MA_HT","NTS","MA_QH","DYT")</f>
        <v>0</v>
      </c>
      <c r="AH16" s="35">
        <f>+GETPIVOTDATA("XSB4",'sonbinh (2016)'!$A$3,"MA_HT","NTS","MA_QH","DGD")</f>
        <v>0</v>
      </c>
      <c r="AI16" s="35">
        <f>+GETPIVOTDATA("XSB4",'sonbinh (2016)'!$A$3,"MA_HT","NTS","MA_QH","DTT")</f>
        <v>0</v>
      </c>
      <c r="AJ16" s="35">
        <f>+GETPIVOTDATA("XSB4",'sonbinh (2016)'!$A$3,"MA_HT","NTS","MA_QH","NCK")</f>
        <v>0</v>
      </c>
      <c r="AK16" s="35">
        <f>+GETPIVOTDATA("XSB4",'sonbinh (2016)'!$A$3,"MA_HT","NTS","MA_QH","DXH")</f>
        <v>0</v>
      </c>
      <c r="AL16" s="35">
        <f>+GETPIVOTDATA("XSB4",'sonbinh (2016)'!$A$3,"MA_HT","NTS","MA_QH","DCH")</f>
        <v>0</v>
      </c>
      <c r="AM16" s="35">
        <f>+GETPIVOTDATA("XSB4",'sonbinh (2016)'!$A$3,"MA_HT","NTS","MA_QH","DKG")</f>
        <v>0</v>
      </c>
      <c r="AN16" s="35">
        <f>+GETPIVOTDATA("XSB4",'sonbinh (2016)'!$A$3,"MA_HT","NTS","MA_QH","DDT")</f>
        <v>0</v>
      </c>
      <c r="AO16" s="35">
        <f>+GETPIVOTDATA("XSB4",'sonbinh (2016)'!$A$3,"MA_HT","NTS","MA_QH","DDL")</f>
        <v>0</v>
      </c>
      <c r="AP16" s="35">
        <f>+GETPIVOTDATA("XSB4",'sonbinh (2016)'!$A$3,"MA_HT","NTS","MA_QH","DRA")</f>
        <v>0</v>
      </c>
      <c r="AQ16" s="35">
        <f>+GETPIVOTDATA("XSB4",'sonbinh (2016)'!$A$3,"MA_HT","NTS","MA_QH","ONT")</f>
        <v>0</v>
      </c>
      <c r="AR16" s="35">
        <f>+GETPIVOTDATA("XSB4",'sonbinh (2016)'!$A$3,"MA_HT","NTS","MA_QH","ODT")</f>
        <v>0</v>
      </c>
      <c r="AS16" s="35">
        <f>+GETPIVOTDATA("XSB4",'sonbinh (2016)'!$A$3,"MA_HT","NTS","MA_QH","TSC")</f>
        <v>0</v>
      </c>
      <c r="AT16" s="35">
        <f>+GETPIVOTDATA("XSB4",'sonbinh (2016)'!$A$3,"MA_HT","NTS","MA_QH","DTS")</f>
        <v>0</v>
      </c>
      <c r="AU16" s="35">
        <f>+GETPIVOTDATA("XSB4",'sonbinh (2016)'!$A$3,"MA_HT","NTS","MA_QH","DNG")</f>
        <v>0</v>
      </c>
      <c r="AV16" s="35">
        <f>+GETPIVOTDATA("XSB4",'sonbinh (2016)'!$A$3,"MA_HT","NTS","MA_QH","TON")</f>
        <v>0</v>
      </c>
      <c r="AW16" s="35">
        <f>+GETPIVOTDATA("XSB4",'sonbinh (2016)'!$A$3,"MA_HT","NTS","MA_QH","NTD")</f>
        <v>0</v>
      </c>
      <c r="AX16" s="35">
        <f>+GETPIVOTDATA("XSB4",'sonbinh (2016)'!$A$3,"MA_HT","NTS","MA_QH","SKX")</f>
        <v>0</v>
      </c>
      <c r="AY16" s="35">
        <f>+GETPIVOTDATA("XSB4",'sonbinh (2016)'!$A$3,"MA_HT","NTS","MA_QH","DSH")</f>
        <v>0</v>
      </c>
      <c r="AZ16" s="35">
        <f>+GETPIVOTDATA("XSB4",'sonbinh (2016)'!$A$3,"MA_HT","NTS","MA_QH","DKV")</f>
        <v>0</v>
      </c>
      <c r="BA16" s="140">
        <f>+GETPIVOTDATA("XSB4",'sonbinh (2016)'!$A$3,"MA_HT","NTS","MA_QH","TIN")</f>
        <v>0</v>
      </c>
      <c r="BB16" s="74">
        <f>+GETPIVOTDATA("XSB4",'sonbinh (2016)'!$A$3,"MA_HT","NTS","MA_QH","SON")</f>
        <v>0</v>
      </c>
      <c r="BC16" s="74">
        <f>+GETPIVOTDATA("XSB4",'sonbinh (2016)'!$A$3,"MA_HT","NTS","MA_QH","MNC")</f>
        <v>0</v>
      </c>
      <c r="BD16" s="35">
        <f>+GETPIVOTDATA("XSB4",'sonbinh (2016)'!$A$3,"MA_HT","NTS","MA_QH","PNK")</f>
        <v>0</v>
      </c>
      <c r="BE16" s="58">
        <f>+GETPIVOTDATA("XSB4",'sonbinh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+GETPIVOTDATA("XSB4",'sonbinh (2016)'!$A$3,"MA_HT","LMU","MA_QH","LUC")</f>
        <v>0</v>
      </c>
      <c r="H17" s="35">
        <f>+GETPIVOTDATA("XSB4",'sonbinh (2016)'!$A$3,"MA_HT","LMU","MA_QH","LUK")</f>
        <v>0</v>
      </c>
      <c r="I17" s="35">
        <f>+GETPIVOTDATA("XSB4",'sonbinh (2016)'!$A$3,"MA_HT","LMU","MA_QH","LUN")</f>
        <v>0</v>
      </c>
      <c r="J17" s="35">
        <f>+GETPIVOTDATA("XSB4",'sonbinh (2016)'!$A$3,"MA_HT","LMU","MA_QH","HNK")</f>
        <v>0</v>
      </c>
      <c r="K17" s="35">
        <f>+GETPIVOTDATA("XSB4",'sonbinh (2016)'!$A$3,"MA_HT","LMU","MA_QH","CLN")</f>
        <v>0</v>
      </c>
      <c r="L17" s="35">
        <f>+GETPIVOTDATA("XSB4",'sonbinh (2016)'!$A$3,"MA_HT","LMU","MA_QH","RSX")</f>
        <v>0</v>
      </c>
      <c r="M17" s="35">
        <f>+GETPIVOTDATA("XSB4",'sonbinh (2016)'!$A$3,"MA_HT","LMU","MA_QH","RPH")</f>
        <v>0</v>
      </c>
      <c r="N17" s="35">
        <f>+GETPIVOTDATA("XSB4",'sonbinh (2016)'!$A$3,"MA_HT","LMU","MA_QH","RDD")</f>
        <v>0</v>
      </c>
      <c r="O17" s="35">
        <f>+GETPIVOTDATA("XSB4",'sonbinh (2016)'!$A$3,"MA_HT","LMU","MA_QH","NTS")</f>
        <v>0</v>
      </c>
      <c r="P17" s="99" t="e">
        <f>$D17-$BF17</f>
        <v>#REF!</v>
      </c>
      <c r="Q17" s="35">
        <f>+GETPIVOTDATA("XSB4",'sonbinh (2016)'!$A$3,"MA_HT","LMU","MA_QH","NKH")</f>
        <v>0</v>
      </c>
      <c r="R17" s="63">
        <f t="shared" si="2"/>
        <v>0</v>
      </c>
      <c r="S17" s="35">
        <f>+GETPIVOTDATA("XSB4",'sonbinh (2016)'!$A$3,"MA_HT","LMU","MA_QH","CQP")</f>
        <v>0</v>
      </c>
      <c r="T17" s="35">
        <f>+GETPIVOTDATA("XSB4",'sonbinh (2016)'!$A$3,"MA_HT","LMU","MA_QH","CAN")</f>
        <v>0</v>
      </c>
      <c r="U17" s="35">
        <f>+GETPIVOTDATA("XSB4",'sonbinh (2016)'!$A$3,"MA_HT","LMU","MA_QH","SKK")</f>
        <v>0</v>
      </c>
      <c r="V17" s="35">
        <f>+GETPIVOTDATA("XSB4",'sonbinh (2016)'!$A$3,"MA_HT","LMU","MA_QH","SKT")</f>
        <v>0</v>
      </c>
      <c r="W17" s="35">
        <f>+GETPIVOTDATA("XSB4",'sonbinh (2016)'!$A$3,"MA_HT","LMU","MA_QH","SKN")</f>
        <v>0</v>
      </c>
      <c r="X17" s="35">
        <f>+GETPIVOTDATA("XSB4",'sonbinh (2016)'!$A$3,"MA_HT","LMU","MA_QH","TMD")</f>
        <v>0</v>
      </c>
      <c r="Y17" s="35">
        <f>+GETPIVOTDATA("XSB4",'sonbinh (2016)'!$A$3,"MA_HT","LMU","MA_QH","SKC")</f>
        <v>0</v>
      </c>
      <c r="Z17" s="35">
        <f>+GETPIVOTDATA("XSB4",'sonbinh (2016)'!$A$3,"MA_HT","LMU","MA_QH","SKS")</f>
        <v>0</v>
      </c>
      <c r="AA17" s="64">
        <f t="shared" si="4"/>
        <v>0</v>
      </c>
      <c r="AB17" s="35">
        <f>+GETPIVOTDATA("XSB4",'sonbinh (2016)'!$A$3,"MA_HT","LMU","MA_QH","DGT")</f>
        <v>0</v>
      </c>
      <c r="AC17" s="35">
        <f>+GETPIVOTDATA("XSB4",'sonbinh (2016)'!$A$3,"MA_HT","LMU","MA_QH","DTL")</f>
        <v>0</v>
      </c>
      <c r="AD17" s="35">
        <f>+GETPIVOTDATA("XSB4",'sonbinh (2016)'!$A$3,"MA_HT","LMU","MA_QH","DNL")</f>
        <v>0</v>
      </c>
      <c r="AE17" s="35">
        <f>+GETPIVOTDATA("XSB4",'sonbinh (2016)'!$A$3,"MA_HT","LMU","MA_QH","DBV")</f>
        <v>0</v>
      </c>
      <c r="AF17" s="35">
        <f>+GETPIVOTDATA("XSB4",'sonbinh (2016)'!$A$3,"MA_HT","LMU","MA_QH","DVH")</f>
        <v>0</v>
      </c>
      <c r="AG17" s="35">
        <f>+GETPIVOTDATA("XSB4",'sonbinh (2016)'!$A$3,"MA_HT","LMU","MA_QH","DYT")</f>
        <v>0</v>
      </c>
      <c r="AH17" s="35">
        <f>+GETPIVOTDATA("XSB4",'sonbinh (2016)'!$A$3,"MA_HT","LMU","MA_QH","DGD")</f>
        <v>0</v>
      </c>
      <c r="AI17" s="35">
        <f>+GETPIVOTDATA("XSB4",'sonbinh (2016)'!$A$3,"MA_HT","LMU","MA_QH","DTT")</f>
        <v>0</v>
      </c>
      <c r="AJ17" s="35">
        <f>+GETPIVOTDATA("XSB4",'sonbinh (2016)'!$A$3,"MA_HT","LMU","MA_QH","NCK")</f>
        <v>0</v>
      </c>
      <c r="AK17" s="35">
        <f>+GETPIVOTDATA("XSB4",'sonbinh (2016)'!$A$3,"MA_HT","LMU","MA_QH","DXH")</f>
        <v>0</v>
      </c>
      <c r="AL17" s="35">
        <f>+GETPIVOTDATA("XSB4",'sonbinh (2016)'!$A$3,"MA_HT","LMU","MA_QH","DCH")</f>
        <v>0</v>
      </c>
      <c r="AM17" s="35">
        <f>+GETPIVOTDATA("XSB4",'sonbinh (2016)'!$A$3,"MA_HT","LMU","MA_QH","DKG")</f>
        <v>0</v>
      </c>
      <c r="AN17" s="35">
        <f>+GETPIVOTDATA("XSB4",'sonbinh (2016)'!$A$3,"MA_HT","LMU","MA_QH","DDT")</f>
        <v>0</v>
      </c>
      <c r="AO17" s="35">
        <f>+GETPIVOTDATA("XSB4",'sonbinh (2016)'!$A$3,"MA_HT","LMU","MA_QH","DDL")</f>
        <v>0</v>
      </c>
      <c r="AP17" s="35">
        <f>+GETPIVOTDATA("XSB4",'sonbinh (2016)'!$A$3,"MA_HT","LMU","MA_QH","DRA")</f>
        <v>0</v>
      </c>
      <c r="AQ17" s="35">
        <f>+GETPIVOTDATA("XSB4",'sonbinh (2016)'!$A$3,"MA_HT","LMU","MA_QH","ONT")</f>
        <v>0</v>
      </c>
      <c r="AR17" s="35">
        <f>+GETPIVOTDATA("XSB4",'sonbinh (2016)'!$A$3,"MA_HT","LMU","MA_QH","ODT")</f>
        <v>0</v>
      </c>
      <c r="AS17" s="35">
        <f>+GETPIVOTDATA("XSB4",'sonbinh (2016)'!$A$3,"MA_HT","LMU","MA_QH","TSC")</f>
        <v>0</v>
      </c>
      <c r="AT17" s="35">
        <f>+GETPIVOTDATA("XSB4",'sonbinh (2016)'!$A$3,"MA_HT","LMU","MA_QH","DTS")</f>
        <v>0</v>
      </c>
      <c r="AU17" s="35">
        <f>+GETPIVOTDATA("XSB4",'sonbinh (2016)'!$A$3,"MA_HT","LMU","MA_QH","DNG")</f>
        <v>0</v>
      </c>
      <c r="AV17" s="35">
        <f>+GETPIVOTDATA("XSB4",'sonbinh (2016)'!$A$3,"MA_HT","LMU","MA_QH","TON")</f>
        <v>0</v>
      </c>
      <c r="AW17" s="35">
        <f>+GETPIVOTDATA("XSB4",'sonbinh (2016)'!$A$3,"MA_HT","LMU","MA_QH","NTD")</f>
        <v>0</v>
      </c>
      <c r="AX17" s="35">
        <f>+GETPIVOTDATA("XSB4",'sonbinh (2016)'!$A$3,"MA_HT","LMU","MA_QH","SKX")</f>
        <v>0</v>
      </c>
      <c r="AY17" s="35">
        <f>+GETPIVOTDATA("XSB4",'sonbinh (2016)'!$A$3,"MA_HT","LMU","MA_QH","DSH")</f>
        <v>0</v>
      </c>
      <c r="AZ17" s="35">
        <f>+GETPIVOTDATA("XSB4",'sonbinh (2016)'!$A$3,"MA_HT","LMU","MA_QH","DKV")</f>
        <v>0</v>
      </c>
      <c r="BA17" s="140">
        <f>+GETPIVOTDATA("XSB4",'sonbinh (2016)'!$A$3,"MA_HT","LMU","MA_QH","TIN")</f>
        <v>0</v>
      </c>
      <c r="BB17" s="74">
        <f>+GETPIVOTDATA("XSB4",'sonbinh (2016)'!$A$3,"MA_HT","LMU","MA_QH","SON")</f>
        <v>0</v>
      </c>
      <c r="BC17" s="74">
        <f>+GETPIVOTDATA("XSB4",'sonbinh (2016)'!$A$3,"MA_HT","LMU","MA_QH","MNC")</f>
        <v>0</v>
      </c>
      <c r="BD17" s="35">
        <f>+GETPIVOTDATA("XSB4",'sonbinh (2016)'!$A$3,"MA_HT","LMU","MA_QH","PNK")</f>
        <v>0</v>
      </c>
      <c r="BE17" s="58">
        <f>+GETPIVOTDATA("XSB4",'sonbinh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+GETPIVOTDATA("XSB4",'sonbinh (2016)'!$A$3,"MA_HT","NKH","MA_QH","LUC")</f>
        <v>0</v>
      </c>
      <c r="H18" s="35">
        <f>+GETPIVOTDATA("XSB4",'sonbinh (2016)'!$A$3,"MA_HT","NKH","MA_QH","LUK")</f>
        <v>0</v>
      </c>
      <c r="I18" s="35">
        <f>+GETPIVOTDATA("XSB4",'sonbinh (2016)'!$A$3,"MA_HT","NKH","MA_QH","LUN")</f>
        <v>0</v>
      </c>
      <c r="J18" s="35">
        <f>+GETPIVOTDATA("XSB4",'sonbinh (2016)'!$A$3,"MA_HT","NKH","MA_QH","HNK")</f>
        <v>0</v>
      </c>
      <c r="K18" s="35">
        <f>+GETPIVOTDATA("XSB4",'sonbinh (2016)'!$A$3,"MA_HT","NKH","MA_QH","CLN")</f>
        <v>0</v>
      </c>
      <c r="L18" s="35">
        <f>+GETPIVOTDATA("XSB4",'sonbinh (2016)'!$A$3,"MA_HT","NKH","MA_QH","RSX")</f>
        <v>0</v>
      </c>
      <c r="M18" s="35">
        <f>+GETPIVOTDATA("XSB4",'sonbinh (2016)'!$A$3,"MA_HT","NKH","MA_QH","RPH")</f>
        <v>0</v>
      </c>
      <c r="N18" s="35">
        <f>+GETPIVOTDATA("XSB4",'sonbinh (2016)'!$A$3,"MA_HT","NKH","MA_QH","RDD")</f>
        <v>0</v>
      </c>
      <c r="O18" s="35">
        <f>+GETPIVOTDATA("XSB4",'sonbinh (2016)'!$A$3,"MA_HT","NKH","MA_QH","NTS")</f>
        <v>0</v>
      </c>
      <c r="P18" s="35">
        <f>+GETPIVOTDATA("XSB4",'sonbinh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+GETPIVOTDATA("XSB4",'sonbinh (2016)'!$A$3,"MA_HT","NKH","MA_QH","CQP")</f>
        <v>0</v>
      </c>
      <c r="T18" s="35">
        <f>+GETPIVOTDATA("XSB4",'sonbinh (2016)'!$A$3,"MA_HT","NKH","MA_QH","CAN")</f>
        <v>0</v>
      </c>
      <c r="U18" s="35">
        <f>+GETPIVOTDATA("XSB4",'sonbinh (2016)'!$A$3,"MA_HT","NKH","MA_QH","SKK")</f>
        <v>0</v>
      </c>
      <c r="V18" s="35">
        <f>+GETPIVOTDATA("XSB4",'sonbinh (2016)'!$A$3,"MA_HT","NKH","MA_QH","SKT")</f>
        <v>0</v>
      </c>
      <c r="W18" s="35">
        <f>+GETPIVOTDATA("XSB4",'sonbinh (2016)'!$A$3,"MA_HT","NKH","MA_QH","SKN")</f>
        <v>0</v>
      </c>
      <c r="X18" s="35">
        <f>+GETPIVOTDATA("XSB4",'sonbinh (2016)'!$A$3,"MA_HT","NKH","MA_QH","TMD")</f>
        <v>0</v>
      </c>
      <c r="Y18" s="35">
        <f>+GETPIVOTDATA("XSB4",'sonbinh (2016)'!$A$3,"MA_HT","NKH","MA_QH","SKC")</f>
        <v>0</v>
      </c>
      <c r="Z18" s="35">
        <f>+GETPIVOTDATA("XSB4",'sonbinh (2016)'!$A$3,"MA_HT","NKH","MA_QH","SKS")</f>
        <v>0</v>
      </c>
      <c r="AA18" s="64">
        <f t="shared" si="4"/>
        <v>0</v>
      </c>
      <c r="AB18" s="35">
        <f>+GETPIVOTDATA("XSB4",'sonbinh (2016)'!$A$3,"MA_HT","NKH","MA_QH","DGT")</f>
        <v>0</v>
      </c>
      <c r="AC18" s="35">
        <f>+GETPIVOTDATA("XSB4",'sonbinh (2016)'!$A$3,"MA_HT","NKH","MA_QH","DTL")</f>
        <v>0</v>
      </c>
      <c r="AD18" s="35">
        <f>+GETPIVOTDATA("XSB4",'sonbinh (2016)'!$A$3,"MA_HT","NKH","MA_QH","DNL")</f>
        <v>0</v>
      </c>
      <c r="AE18" s="35">
        <f>+GETPIVOTDATA("XSB4",'sonbinh (2016)'!$A$3,"MA_HT","NKH","MA_QH","DBV")</f>
        <v>0</v>
      </c>
      <c r="AF18" s="35">
        <f>+GETPIVOTDATA("XSB4",'sonbinh (2016)'!$A$3,"MA_HT","NKH","MA_QH","DVH")</f>
        <v>0</v>
      </c>
      <c r="AG18" s="35">
        <f>+GETPIVOTDATA("XSB4",'sonbinh (2016)'!$A$3,"MA_HT","NKH","MA_QH","DYT")</f>
        <v>0</v>
      </c>
      <c r="AH18" s="35">
        <f>+GETPIVOTDATA("XSB4",'sonbinh (2016)'!$A$3,"MA_HT","NKH","MA_QH","DGD")</f>
        <v>0</v>
      </c>
      <c r="AI18" s="35">
        <f>+GETPIVOTDATA("XSB4",'sonbinh (2016)'!$A$3,"MA_HT","NKH","MA_QH","DTT")</f>
        <v>0</v>
      </c>
      <c r="AJ18" s="35">
        <f>+GETPIVOTDATA("XSB4",'sonbinh (2016)'!$A$3,"MA_HT","NKH","MA_QH","NCK")</f>
        <v>0</v>
      </c>
      <c r="AK18" s="35">
        <f>+GETPIVOTDATA("XSB4",'sonbinh (2016)'!$A$3,"MA_HT","NKH","MA_QH","DXH")</f>
        <v>0</v>
      </c>
      <c r="AL18" s="35">
        <f>+GETPIVOTDATA("XSB4",'sonbinh (2016)'!$A$3,"MA_HT","NKH","MA_QH","DCH")</f>
        <v>0</v>
      </c>
      <c r="AM18" s="35">
        <f>+GETPIVOTDATA("XSB4",'sonbinh (2016)'!$A$3,"MA_HT","NKH","MA_QH","DKG")</f>
        <v>0</v>
      </c>
      <c r="AN18" s="35">
        <f>+GETPIVOTDATA("XSB4",'sonbinh (2016)'!$A$3,"MA_HT","NKH","MA_QH","DDT")</f>
        <v>0</v>
      </c>
      <c r="AO18" s="35">
        <f>+GETPIVOTDATA("XSB4",'sonbinh (2016)'!$A$3,"MA_HT","NKH","MA_QH","DDL")</f>
        <v>0</v>
      </c>
      <c r="AP18" s="35">
        <f>+GETPIVOTDATA("XSB4",'sonbinh (2016)'!$A$3,"MA_HT","NKH","MA_QH","DRA")</f>
        <v>0</v>
      </c>
      <c r="AQ18" s="35">
        <f>+GETPIVOTDATA("XSB4",'sonbinh (2016)'!$A$3,"MA_HT","NKH","MA_QH","ONT")</f>
        <v>0</v>
      </c>
      <c r="AR18" s="35">
        <f>+GETPIVOTDATA("XSB4",'sonbinh (2016)'!$A$3,"MA_HT","NKH","MA_QH","ODT")</f>
        <v>0</v>
      </c>
      <c r="AS18" s="35">
        <f>+GETPIVOTDATA("XSB4",'sonbinh (2016)'!$A$3,"MA_HT","NKH","MA_QH","TSC")</f>
        <v>0</v>
      </c>
      <c r="AT18" s="35">
        <f>+GETPIVOTDATA("XSB4",'sonbinh (2016)'!$A$3,"MA_HT","NKH","MA_QH","DTS")</f>
        <v>0</v>
      </c>
      <c r="AU18" s="35">
        <f>+GETPIVOTDATA("XSB4",'sonbinh (2016)'!$A$3,"MA_HT","NKH","MA_QH","DNG")</f>
        <v>0</v>
      </c>
      <c r="AV18" s="35">
        <f>+GETPIVOTDATA("XSB4",'sonbinh (2016)'!$A$3,"MA_HT","NKH","MA_QH","TON")</f>
        <v>0</v>
      </c>
      <c r="AW18" s="35">
        <f>+GETPIVOTDATA("XSB4",'sonbinh (2016)'!$A$3,"MA_HT","NKH","MA_QH","NTD")</f>
        <v>0</v>
      </c>
      <c r="AX18" s="35">
        <f>+GETPIVOTDATA("XSB4",'sonbinh (2016)'!$A$3,"MA_HT","NKH","MA_QH","SKX")</f>
        <v>0</v>
      </c>
      <c r="AY18" s="35">
        <f>+GETPIVOTDATA("XSB4",'sonbinh (2016)'!$A$3,"MA_HT","NKH","MA_QH","DSH")</f>
        <v>0</v>
      </c>
      <c r="AZ18" s="35">
        <f>+GETPIVOTDATA("XSB4",'sonbinh (2016)'!$A$3,"MA_HT","NKH","MA_QH","DKV")</f>
        <v>0</v>
      </c>
      <c r="BA18" s="140">
        <f>+GETPIVOTDATA("XSB4",'sonbinh (2016)'!$A$3,"MA_HT","NKH","MA_QH","TIN")</f>
        <v>0</v>
      </c>
      <c r="BB18" s="74">
        <f>+GETPIVOTDATA("XSB4",'sonbinh (2016)'!$A$3,"MA_HT","NKH","MA_QH","SON")</f>
        <v>0</v>
      </c>
      <c r="BC18" s="74">
        <f>+GETPIVOTDATA("XSB4",'sonbinh (2016)'!$A$3,"MA_HT","NKH","MA_QH","MNC")</f>
        <v>0</v>
      </c>
      <c r="BD18" s="35">
        <f>+GETPIVOTDATA("XSB4",'sonbinh (2016)'!$A$3,"MA_HT","NKH","MA_QH","PNK")</f>
        <v>0</v>
      </c>
      <c r="BE18" s="58">
        <f>+GETPIVOTDATA("XSB4",'sonbinh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+GETPIVOTDATA("XSB4",'sonbinh (2016)'!$A$3,"MA_HT","CQP","MA_QH","LUC")</f>
        <v>0</v>
      </c>
      <c r="H20" s="35">
        <f>+GETPIVOTDATA("XSB4",'sonbinh (2016)'!$A$3,"MA_HT","CQP","MA_QH","LUK")</f>
        <v>0</v>
      </c>
      <c r="I20" s="35">
        <f>+GETPIVOTDATA("XSB4",'sonbinh (2016)'!$A$3,"MA_HT","CQP","MA_QH","LUN")</f>
        <v>0</v>
      </c>
      <c r="J20" s="35">
        <f>+GETPIVOTDATA("XSB4",'sonbinh (2016)'!$A$3,"MA_HT","CQP","MA_QH","HNK")</f>
        <v>0</v>
      </c>
      <c r="K20" s="35">
        <f>+GETPIVOTDATA("XSB4",'sonbinh (2016)'!$A$3,"MA_HT","CQP","MA_QH","CLN")</f>
        <v>0</v>
      </c>
      <c r="L20" s="35">
        <f>+GETPIVOTDATA("XSB4",'sonbinh (2016)'!$A$3,"MA_HT","CQP","MA_QH","RSX")</f>
        <v>0</v>
      </c>
      <c r="M20" s="35">
        <f>+GETPIVOTDATA("XSB4",'sonbinh (2016)'!$A$3,"MA_HT","CQP","MA_QH","RPH")</f>
        <v>0</v>
      </c>
      <c r="N20" s="35">
        <f>+GETPIVOTDATA("XSB4",'sonbinh (2016)'!$A$3,"MA_HT","CQP","MA_QH","RDD")</f>
        <v>0</v>
      </c>
      <c r="O20" s="35">
        <f>+GETPIVOTDATA("XSB4",'sonbinh (2016)'!$A$3,"MA_HT","CQP","MA_QH","NTS")</f>
        <v>0</v>
      </c>
      <c r="P20" s="35">
        <f>+GETPIVOTDATA("XSB4",'sonbinh (2016)'!$A$3,"MA_HT","CQP","MA_QH","LMU")</f>
        <v>0</v>
      </c>
      <c r="Q20" s="35">
        <f>+GETPIVOTDATA("XSB4",'sonbinh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+GETPIVOTDATA("XSB4",'sonbinh (2016)'!$A$3,"MA_HT","CQP","MA_QH","CAN")</f>
        <v>0</v>
      </c>
      <c r="U20" s="35">
        <f>+GETPIVOTDATA("XSB4",'sonbinh (2016)'!$A$3,"MA_HT","CQP","MA_QH","SKK")</f>
        <v>0</v>
      </c>
      <c r="V20" s="35">
        <f>+GETPIVOTDATA("XSB4",'sonbinh (2016)'!$A$3,"MA_HT","CQP","MA_QH","SKT")</f>
        <v>0</v>
      </c>
      <c r="W20" s="35">
        <f>+GETPIVOTDATA("XSB4",'sonbinh (2016)'!$A$3,"MA_HT","CQP","MA_QH","SKN")</f>
        <v>0</v>
      </c>
      <c r="X20" s="35">
        <f>+GETPIVOTDATA("XSB4",'sonbinh (2016)'!$A$3,"MA_HT","CQP","MA_QH","TMD")</f>
        <v>0</v>
      </c>
      <c r="Y20" s="35">
        <f>+GETPIVOTDATA("XSB4",'sonbinh (2016)'!$A$3,"MA_HT","CQP","MA_QH","SKC")</f>
        <v>0</v>
      </c>
      <c r="Z20" s="35">
        <f>+GETPIVOTDATA("XSB4",'sonbinh (2016)'!$A$3,"MA_HT","CQP","MA_QH","SKS")</f>
        <v>0</v>
      </c>
      <c r="AA20" s="64">
        <f t="shared" ref="AA20:AA27" si="12">+SUM(AB20:AM20)</f>
        <v>0</v>
      </c>
      <c r="AB20" s="35">
        <f>+GETPIVOTDATA("XSB4",'sonbinh (2016)'!$A$3,"MA_HT","CQP","MA_QH","DGT")</f>
        <v>0</v>
      </c>
      <c r="AC20" s="35">
        <f>+GETPIVOTDATA("XSB4",'sonbinh (2016)'!$A$3,"MA_HT","CQP","MA_QH","DTL")</f>
        <v>0</v>
      </c>
      <c r="AD20" s="35">
        <f>+GETPIVOTDATA("XSB4",'sonbinh (2016)'!$A$3,"MA_HT","CQP","MA_QH","DNL")</f>
        <v>0</v>
      </c>
      <c r="AE20" s="35">
        <f>+GETPIVOTDATA("XSB4",'sonbinh (2016)'!$A$3,"MA_HT","CQP","MA_QH","DBV")</f>
        <v>0</v>
      </c>
      <c r="AF20" s="35">
        <f>+GETPIVOTDATA("XSB4",'sonbinh (2016)'!$A$3,"MA_HT","CQP","MA_QH","DVH")</f>
        <v>0</v>
      </c>
      <c r="AG20" s="35">
        <f>+GETPIVOTDATA("XSB4",'sonbinh (2016)'!$A$3,"MA_HT","CQP","MA_QH","DYT")</f>
        <v>0</v>
      </c>
      <c r="AH20" s="35">
        <f>+GETPIVOTDATA("XSB4",'sonbinh (2016)'!$A$3,"MA_HT","CQP","MA_QH","DGD")</f>
        <v>0</v>
      </c>
      <c r="AI20" s="35">
        <f>+GETPIVOTDATA("XSB4",'sonbinh (2016)'!$A$3,"MA_HT","CQP","MA_QH","DTT")</f>
        <v>0</v>
      </c>
      <c r="AJ20" s="35">
        <f>+GETPIVOTDATA("XSB4",'sonbinh (2016)'!$A$3,"MA_HT","CQP","MA_QH","NCK")</f>
        <v>0</v>
      </c>
      <c r="AK20" s="35">
        <f>+GETPIVOTDATA("XSB4",'sonbinh (2016)'!$A$3,"MA_HT","CQP","MA_QH","DXH")</f>
        <v>0</v>
      </c>
      <c r="AL20" s="35">
        <f>+GETPIVOTDATA("XSB4",'sonbinh (2016)'!$A$3,"MA_HT","CQP","MA_QH","DCH")</f>
        <v>0</v>
      </c>
      <c r="AM20" s="35">
        <f>+GETPIVOTDATA("XSB4",'sonbinh (2016)'!$A$3,"MA_HT","CQP","MA_QH","DKG")</f>
        <v>0</v>
      </c>
      <c r="AN20" s="35">
        <f>+GETPIVOTDATA("XSB4",'sonbinh (2016)'!$A$3,"MA_HT","CQP","MA_QH","DDT")</f>
        <v>0</v>
      </c>
      <c r="AO20" s="35">
        <f>+GETPIVOTDATA("XSB4",'sonbinh (2016)'!$A$3,"MA_HT","CQP","MA_QH","DDL")</f>
        <v>0</v>
      </c>
      <c r="AP20" s="35">
        <f>+GETPIVOTDATA("XSB4",'sonbinh (2016)'!$A$3,"MA_HT","CQP","MA_QH","DRA")</f>
        <v>0</v>
      </c>
      <c r="AQ20" s="35">
        <f>+GETPIVOTDATA("XSB4",'sonbinh (2016)'!$A$3,"MA_HT","CQP","MA_QH","ONT")</f>
        <v>0</v>
      </c>
      <c r="AR20" s="35">
        <f>+GETPIVOTDATA("XSB4",'sonbinh (2016)'!$A$3,"MA_HT","CQP","MA_QH","ODT")</f>
        <v>0</v>
      </c>
      <c r="AS20" s="35">
        <f>+GETPIVOTDATA("XSB4",'sonbinh (2016)'!$A$3,"MA_HT","CQP","MA_QH","TSC")</f>
        <v>0</v>
      </c>
      <c r="AT20" s="35">
        <f>+GETPIVOTDATA("XSB4",'sonbinh (2016)'!$A$3,"MA_HT","CQP","MA_QH","DTS")</f>
        <v>0</v>
      </c>
      <c r="AU20" s="35">
        <f>+GETPIVOTDATA("XSB4",'sonbinh (2016)'!$A$3,"MA_HT","CQP","MA_QH","DNG")</f>
        <v>0</v>
      </c>
      <c r="AV20" s="35">
        <f>+GETPIVOTDATA("XSB4",'sonbinh (2016)'!$A$3,"MA_HT","CQP","MA_QH","TON")</f>
        <v>0</v>
      </c>
      <c r="AW20" s="35">
        <f>+GETPIVOTDATA("XSB4",'sonbinh (2016)'!$A$3,"MA_HT","CQP","MA_QH","NTD")</f>
        <v>0</v>
      </c>
      <c r="AX20" s="35">
        <f>+GETPIVOTDATA("XSB4",'sonbinh (2016)'!$A$3,"MA_HT","CQP","MA_QH","SKX")</f>
        <v>0</v>
      </c>
      <c r="AY20" s="35">
        <f>+GETPIVOTDATA("XSB4",'sonbinh (2016)'!$A$3,"MA_HT","CQP","MA_QH","DSH")</f>
        <v>0</v>
      </c>
      <c r="AZ20" s="35">
        <f>+GETPIVOTDATA("XSB4",'sonbinh (2016)'!$A$3,"MA_HT","CQP","MA_QH","DKV")</f>
        <v>0</v>
      </c>
      <c r="BA20" s="140">
        <f>+GETPIVOTDATA("XSB4",'sonbinh (2016)'!$A$3,"MA_HT","CQP","MA_QH","TIN")</f>
        <v>0</v>
      </c>
      <c r="BB20" s="74">
        <f>+GETPIVOTDATA("XSB4",'sonbinh (2016)'!$A$3,"MA_HT","CQP","MA_QH","SON")</f>
        <v>0</v>
      </c>
      <c r="BC20" s="74">
        <f>+GETPIVOTDATA("XSB4",'sonbinh (2016)'!$A$3,"MA_HT","CQP","MA_QH","MNC")</f>
        <v>0</v>
      </c>
      <c r="BD20" s="35">
        <f>+GETPIVOTDATA("XSB4",'sonbinh (2016)'!$A$3,"MA_HT","CQP","MA_QH","PNK")</f>
        <v>0</v>
      </c>
      <c r="BE20" s="58">
        <f>+GETPIVOTDATA("XSB4",'sonbinh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+GETPIVOTDATA("XSB4",'sonbinh (2016)'!$A$3,"MA_HT","CAN","MA_QH","LUC")</f>
        <v>0</v>
      </c>
      <c r="H21" s="35">
        <f>+GETPIVOTDATA("XSB4",'sonbinh (2016)'!$A$3,"MA_HT","CAN","MA_QH","LUK")</f>
        <v>0</v>
      </c>
      <c r="I21" s="35">
        <f>+GETPIVOTDATA("XSB4",'sonbinh (2016)'!$A$3,"MA_HT","CAN","MA_QH","LUN")</f>
        <v>0</v>
      </c>
      <c r="J21" s="35">
        <f>+GETPIVOTDATA("XSB4",'sonbinh (2016)'!$A$3,"MA_HT","CAN","MA_QH","HNK")</f>
        <v>0</v>
      </c>
      <c r="K21" s="35">
        <f>+GETPIVOTDATA("XSB4",'sonbinh (2016)'!$A$3,"MA_HT","CAN","MA_QH","CLN")</f>
        <v>0</v>
      </c>
      <c r="L21" s="35">
        <f>+GETPIVOTDATA("XSB4",'sonbinh (2016)'!$A$3,"MA_HT","CAN","MA_QH","RSX")</f>
        <v>0</v>
      </c>
      <c r="M21" s="35">
        <f>+GETPIVOTDATA("XSB4",'sonbinh (2016)'!$A$3,"MA_HT","CAN","MA_QH","RPH")</f>
        <v>0</v>
      </c>
      <c r="N21" s="35">
        <f>+GETPIVOTDATA("XSB4",'sonbinh (2016)'!$A$3,"MA_HT","CAN","MA_QH","RDD")</f>
        <v>0</v>
      </c>
      <c r="O21" s="35">
        <f>+GETPIVOTDATA("XSB4",'sonbinh (2016)'!$A$3,"MA_HT","CAN","MA_QH","NTS")</f>
        <v>0</v>
      </c>
      <c r="P21" s="35">
        <f>+GETPIVOTDATA("XSB4",'sonbinh (2016)'!$A$3,"MA_HT","CAN","MA_QH","LMU")</f>
        <v>0</v>
      </c>
      <c r="Q21" s="35">
        <f>+GETPIVOTDATA("XSB4",'sonbinh (2016)'!$A$3,"MA_HT","CAN","MA_QH","NKH")</f>
        <v>0</v>
      </c>
      <c r="R21" s="63">
        <f>SUM(S21,U21:AA21,AN21:BD21)</f>
        <v>0</v>
      </c>
      <c r="S21" s="35">
        <f>+GETPIVOTDATA("XSB4",'sonbinh (2016)'!$A$3,"MA_HT","CAN","MA_QH","CQP")</f>
        <v>0</v>
      </c>
      <c r="T21" s="99" t="e">
        <f>$D21-$BF21</f>
        <v>#REF!</v>
      </c>
      <c r="U21" s="35">
        <f>+GETPIVOTDATA("XSB4",'sonbinh (2016)'!$A$3,"MA_HT","CAN","MA_QH","SKK")</f>
        <v>0</v>
      </c>
      <c r="V21" s="35">
        <f>+GETPIVOTDATA("XSB4",'sonbinh (2016)'!$A$3,"MA_HT","CAN","MA_QH","SKT")</f>
        <v>0</v>
      </c>
      <c r="W21" s="35">
        <f>+GETPIVOTDATA("XSB4",'sonbinh (2016)'!$A$3,"MA_HT","CAN","MA_QH","SKN")</f>
        <v>0</v>
      </c>
      <c r="X21" s="35">
        <f>+GETPIVOTDATA("XSB4",'sonbinh (2016)'!$A$3,"MA_HT","CAN","MA_QH","TMD")</f>
        <v>0</v>
      </c>
      <c r="Y21" s="35">
        <f>+GETPIVOTDATA("XSB4",'sonbinh (2016)'!$A$3,"MA_HT","CAN","MA_QH","SKC")</f>
        <v>0</v>
      </c>
      <c r="Z21" s="35">
        <f>+GETPIVOTDATA("XSB4",'sonbinh (2016)'!$A$3,"MA_HT","CAN","MA_QH","SKS")</f>
        <v>0</v>
      </c>
      <c r="AA21" s="64">
        <f t="shared" si="12"/>
        <v>0</v>
      </c>
      <c r="AB21" s="35">
        <f>+GETPIVOTDATA("XSB4",'sonbinh (2016)'!$A$3,"MA_HT","CAN","MA_QH","DGT")</f>
        <v>0</v>
      </c>
      <c r="AC21" s="35">
        <f>+GETPIVOTDATA("XSB4",'sonbinh (2016)'!$A$3,"MA_HT","CAN","MA_QH","DTL")</f>
        <v>0</v>
      </c>
      <c r="AD21" s="35">
        <f>+GETPIVOTDATA("XSB4",'sonbinh (2016)'!$A$3,"MA_HT","CAN","MA_QH","DNL")</f>
        <v>0</v>
      </c>
      <c r="AE21" s="35">
        <f>+GETPIVOTDATA("XSB4",'sonbinh (2016)'!$A$3,"MA_HT","CAN","MA_QH","DBV")</f>
        <v>0</v>
      </c>
      <c r="AF21" s="35">
        <f>+GETPIVOTDATA("XSB4",'sonbinh (2016)'!$A$3,"MA_HT","CAN","MA_QH","DVH")</f>
        <v>0</v>
      </c>
      <c r="AG21" s="35">
        <f>+GETPIVOTDATA("XSB4",'sonbinh (2016)'!$A$3,"MA_HT","CAN","MA_QH","DYT")</f>
        <v>0</v>
      </c>
      <c r="AH21" s="35">
        <f>+GETPIVOTDATA("XSB4",'sonbinh (2016)'!$A$3,"MA_HT","CAN","MA_QH","DGD")</f>
        <v>0</v>
      </c>
      <c r="AI21" s="35">
        <f>+GETPIVOTDATA("XSB4",'sonbinh (2016)'!$A$3,"MA_HT","CAN","MA_QH","DTT")</f>
        <v>0</v>
      </c>
      <c r="AJ21" s="35">
        <f>+GETPIVOTDATA("XSB4",'sonbinh (2016)'!$A$3,"MA_HT","CAN","MA_QH","NCK")</f>
        <v>0</v>
      </c>
      <c r="AK21" s="35">
        <f>+GETPIVOTDATA("XSB4",'sonbinh (2016)'!$A$3,"MA_HT","CAN","MA_QH","DXH")</f>
        <v>0</v>
      </c>
      <c r="AL21" s="35">
        <f>+GETPIVOTDATA("XSB4",'sonbinh (2016)'!$A$3,"MA_HT","CAN","MA_QH","DCH")</f>
        <v>0</v>
      </c>
      <c r="AM21" s="35">
        <f>+GETPIVOTDATA("XSB4",'sonbinh (2016)'!$A$3,"MA_HT","CAN","MA_QH","DKG")</f>
        <v>0</v>
      </c>
      <c r="AN21" s="35">
        <f>+GETPIVOTDATA("XSB4",'sonbinh (2016)'!$A$3,"MA_HT","CAN","MA_QH","DDT")</f>
        <v>0</v>
      </c>
      <c r="AO21" s="35">
        <f>+GETPIVOTDATA("XSB4",'sonbinh (2016)'!$A$3,"MA_HT","CAN","MA_QH","DDL")</f>
        <v>0</v>
      </c>
      <c r="AP21" s="35">
        <f>+GETPIVOTDATA("XSB4",'sonbinh (2016)'!$A$3,"MA_HT","CAN","MA_QH","DRA")</f>
        <v>0</v>
      </c>
      <c r="AQ21" s="35">
        <f>+GETPIVOTDATA("XSB4",'sonbinh (2016)'!$A$3,"MA_HT","CAN","MA_QH","ONT")</f>
        <v>0</v>
      </c>
      <c r="AR21" s="35">
        <f>+GETPIVOTDATA("XSB4",'sonbinh (2016)'!$A$3,"MA_HT","CAN","MA_QH","ODT")</f>
        <v>0</v>
      </c>
      <c r="AS21" s="35">
        <f>+GETPIVOTDATA("XSB4",'sonbinh (2016)'!$A$3,"MA_HT","CAN","MA_QH","TSC")</f>
        <v>0</v>
      </c>
      <c r="AT21" s="35">
        <f>+GETPIVOTDATA("XSB4",'sonbinh (2016)'!$A$3,"MA_HT","CAN","MA_QH","DTS")</f>
        <v>0</v>
      </c>
      <c r="AU21" s="35">
        <f>+GETPIVOTDATA("XSB4",'sonbinh (2016)'!$A$3,"MA_HT","CAN","MA_QH","DNG")</f>
        <v>0</v>
      </c>
      <c r="AV21" s="35">
        <f>+GETPIVOTDATA("XSB4",'sonbinh (2016)'!$A$3,"MA_HT","CAN","MA_QH","TON")</f>
        <v>0</v>
      </c>
      <c r="AW21" s="35">
        <f>+GETPIVOTDATA("XSB4",'sonbinh (2016)'!$A$3,"MA_HT","CAN","MA_QH","NTD")</f>
        <v>0</v>
      </c>
      <c r="AX21" s="35">
        <f>+GETPIVOTDATA("XSB4",'sonbinh (2016)'!$A$3,"MA_HT","CAN","MA_QH","SKX")</f>
        <v>0</v>
      </c>
      <c r="AY21" s="35">
        <f>+GETPIVOTDATA("XSB4",'sonbinh (2016)'!$A$3,"MA_HT","CAN","MA_QH","DSH")</f>
        <v>0</v>
      </c>
      <c r="AZ21" s="35">
        <f>+GETPIVOTDATA("XSB4",'sonbinh (2016)'!$A$3,"MA_HT","CAN","MA_QH","DKV")</f>
        <v>0</v>
      </c>
      <c r="BA21" s="140">
        <f>+GETPIVOTDATA("XSB4",'sonbinh (2016)'!$A$3,"MA_HT","CAN","MA_QH","TIN")</f>
        <v>0</v>
      </c>
      <c r="BB21" s="74">
        <f>+GETPIVOTDATA("XSB4",'sonbinh (2016)'!$A$3,"MA_HT","CAN","MA_QH","SON")</f>
        <v>0</v>
      </c>
      <c r="BC21" s="74">
        <f>+GETPIVOTDATA("XSB4",'sonbinh (2016)'!$A$3,"MA_HT","CAN","MA_QH","MNC")</f>
        <v>0</v>
      </c>
      <c r="BD21" s="35">
        <f>+GETPIVOTDATA("XSB4",'sonbinh (2016)'!$A$3,"MA_HT","CAN","MA_QH","PNK")</f>
        <v>0</v>
      </c>
      <c r="BE21" s="58">
        <f>+GETPIVOTDATA("XSB4",'sonbinh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+GETPIVOTDATA("XSB4",'sonbinh (2016)'!$A$3,"MA_HT","SKK","MA_QH","LUC")</f>
        <v>0</v>
      </c>
      <c r="H22" s="35">
        <f>+GETPIVOTDATA("XSB4",'sonbinh (2016)'!$A$3,"MA_HT","SKK","MA_QH","LUK")</f>
        <v>0</v>
      </c>
      <c r="I22" s="35">
        <f>+GETPIVOTDATA("XSB4",'sonbinh (2016)'!$A$3,"MA_HT","SKK","MA_QH","LUN")</f>
        <v>0</v>
      </c>
      <c r="J22" s="35">
        <f>+GETPIVOTDATA("XSB4",'sonbinh (2016)'!$A$3,"MA_HT","SKK","MA_QH","HNK")</f>
        <v>0</v>
      </c>
      <c r="K22" s="35">
        <f>+GETPIVOTDATA("XSB4",'sonbinh (2016)'!$A$3,"MA_HT","SKK","MA_QH","CLN")</f>
        <v>0</v>
      </c>
      <c r="L22" s="35">
        <f>+GETPIVOTDATA("XSB4",'sonbinh (2016)'!$A$3,"MA_HT","SKK","MA_QH","RSX")</f>
        <v>0</v>
      </c>
      <c r="M22" s="35">
        <f>+GETPIVOTDATA("XSB4",'sonbinh (2016)'!$A$3,"MA_HT","SKK","MA_QH","RPH")</f>
        <v>0</v>
      </c>
      <c r="N22" s="35">
        <f>+GETPIVOTDATA("XSB4",'sonbinh (2016)'!$A$3,"MA_HT","SKK","MA_QH","RDD")</f>
        <v>0</v>
      </c>
      <c r="O22" s="35">
        <f>+GETPIVOTDATA("XSB4",'sonbinh (2016)'!$A$3,"MA_HT","SKK","MA_QH","NTS")</f>
        <v>0</v>
      </c>
      <c r="P22" s="35">
        <f>+GETPIVOTDATA("XSB4",'sonbinh (2016)'!$A$3,"MA_HT","SKK","MA_QH","LMU")</f>
        <v>0</v>
      </c>
      <c r="Q22" s="35">
        <f>+GETPIVOTDATA("XSB4",'sonbinh (2016)'!$A$3,"MA_HT","SKK","MA_QH","NKH")</f>
        <v>0</v>
      </c>
      <c r="R22" s="63">
        <f>SUM(S22:T22,V22:AA22,AN22:BD22)</f>
        <v>0</v>
      </c>
      <c r="S22" s="35">
        <f>+GETPIVOTDATA("XSB4",'sonbinh (2016)'!$A$3,"MA_HT","SKK","MA_QH","CQP")</f>
        <v>0</v>
      </c>
      <c r="T22" s="35">
        <f>+GETPIVOTDATA("XSB4",'sonbinh (2016)'!$A$3,"MA_HT","SKK","MA_QH","CAN")</f>
        <v>0</v>
      </c>
      <c r="U22" s="99" t="e">
        <f>$D22-$BF22</f>
        <v>#REF!</v>
      </c>
      <c r="V22" s="35">
        <f>+GETPIVOTDATA("XSB4",'sonbinh (2016)'!$A$3,"MA_HT","SKK","MA_QH","SKT")</f>
        <v>0</v>
      </c>
      <c r="W22" s="35">
        <f>+GETPIVOTDATA("XSB4",'sonbinh (2016)'!$A$3,"MA_HT","SKK","MA_QH","SKN")</f>
        <v>0</v>
      </c>
      <c r="X22" s="35">
        <f>+GETPIVOTDATA("XSB4",'sonbinh (2016)'!$A$3,"MA_HT","SKK","MA_QH","TMD")</f>
        <v>0</v>
      </c>
      <c r="Y22" s="35">
        <f>+GETPIVOTDATA("XSB4",'sonbinh (2016)'!$A$3,"MA_HT","SKK","MA_QH","SKC")</f>
        <v>0</v>
      </c>
      <c r="Z22" s="35">
        <f>+GETPIVOTDATA("XSB4",'sonbinh (2016)'!$A$3,"MA_HT","SKK","MA_QH","SKS")</f>
        <v>0</v>
      </c>
      <c r="AA22" s="64">
        <f t="shared" si="12"/>
        <v>0</v>
      </c>
      <c r="AB22" s="35">
        <f>+GETPIVOTDATA("XSB4",'sonbinh (2016)'!$A$3,"MA_HT","SKK","MA_QH","DGT")</f>
        <v>0</v>
      </c>
      <c r="AC22" s="35">
        <f>+GETPIVOTDATA("XSB4",'sonbinh (2016)'!$A$3,"MA_HT","SKK","MA_QH","DTL")</f>
        <v>0</v>
      </c>
      <c r="AD22" s="35">
        <f>+GETPIVOTDATA("XSB4",'sonbinh (2016)'!$A$3,"MA_HT","SKK","MA_QH","DNL")</f>
        <v>0</v>
      </c>
      <c r="AE22" s="35">
        <f>+GETPIVOTDATA("XSB4",'sonbinh (2016)'!$A$3,"MA_HT","SKK","MA_QH","DBV")</f>
        <v>0</v>
      </c>
      <c r="AF22" s="35">
        <f>+GETPIVOTDATA("XSB4",'sonbinh (2016)'!$A$3,"MA_HT","SKK","MA_QH","DVH")</f>
        <v>0</v>
      </c>
      <c r="AG22" s="35">
        <f>+GETPIVOTDATA("XSB4",'sonbinh (2016)'!$A$3,"MA_HT","SKK","MA_QH","DYT")</f>
        <v>0</v>
      </c>
      <c r="AH22" s="35">
        <f>+GETPIVOTDATA("XSB4",'sonbinh (2016)'!$A$3,"MA_HT","SKK","MA_QH","DGD")</f>
        <v>0</v>
      </c>
      <c r="AI22" s="35">
        <f>+GETPIVOTDATA("XSB4",'sonbinh (2016)'!$A$3,"MA_HT","SKK","MA_QH","DTT")</f>
        <v>0</v>
      </c>
      <c r="AJ22" s="35">
        <f>+GETPIVOTDATA("XSB4",'sonbinh (2016)'!$A$3,"MA_HT","SKK","MA_QH","NCK")</f>
        <v>0</v>
      </c>
      <c r="AK22" s="35">
        <f>+GETPIVOTDATA("XSB4",'sonbinh (2016)'!$A$3,"MA_HT","SKK","MA_QH","DXH")</f>
        <v>0</v>
      </c>
      <c r="AL22" s="35">
        <f>+GETPIVOTDATA("XSB4",'sonbinh (2016)'!$A$3,"MA_HT","SKK","MA_QH","DCH")</f>
        <v>0</v>
      </c>
      <c r="AM22" s="35">
        <f>+GETPIVOTDATA("XSB4",'sonbinh (2016)'!$A$3,"MA_HT","SKK","MA_QH","DKG")</f>
        <v>0</v>
      </c>
      <c r="AN22" s="35">
        <f>+GETPIVOTDATA("XSB4",'sonbinh (2016)'!$A$3,"MA_HT","SKK","MA_QH","DDT")</f>
        <v>0</v>
      </c>
      <c r="AO22" s="35">
        <f>+GETPIVOTDATA("XSB4",'sonbinh (2016)'!$A$3,"MA_HT","SKK","MA_QH","DDL")</f>
        <v>0</v>
      </c>
      <c r="AP22" s="35">
        <f>+GETPIVOTDATA("XSB4",'sonbinh (2016)'!$A$3,"MA_HT","SKK","MA_QH","DRA")</f>
        <v>0</v>
      </c>
      <c r="AQ22" s="35">
        <f>+GETPIVOTDATA("XSB4",'sonbinh (2016)'!$A$3,"MA_HT","SKK","MA_QH","ONT")</f>
        <v>0</v>
      </c>
      <c r="AR22" s="35">
        <f>+GETPIVOTDATA("XSB4",'sonbinh (2016)'!$A$3,"MA_HT","SKK","MA_QH","ODT")</f>
        <v>0</v>
      </c>
      <c r="AS22" s="35">
        <f>+GETPIVOTDATA("XSB4",'sonbinh (2016)'!$A$3,"MA_HT","SKK","MA_QH","TSC")</f>
        <v>0</v>
      </c>
      <c r="AT22" s="35">
        <f>+GETPIVOTDATA("XSB4",'sonbinh (2016)'!$A$3,"MA_HT","SKK","MA_QH","DTS")</f>
        <v>0</v>
      </c>
      <c r="AU22" s="35">
        <f>+GETPIVOTDATA("XSB4",'sonbinh (2016)'!$A$3,"MA_HT","SKK","MA_QH","DNG")</f>
        <v>0</v>
      </c>
      <c r="AV22" s="35">
        <f>+GETPIVOTDATA("XSB4",'sonbinh (2016)'!$A$3,"MA_HT","SKK","MA_QH","TON")</f>
        <v>0</v>
      </c>
      <c r="AW22" s="35">
        <f>+GETPIVOTDATA("XSB4",'sonbinh (2016)'!$A$3,"MA_HT","SKK","MA_QH","NTD")</f>
        <v>0</v>
      </c>
      <c r="AX22" s="35">
        <f>+GETPIVOTDATA("XSB4",'sonbinh (2016)'!$A$3,"MA_HT","SKK","MA_QH","SKX")</f>
        <v>0</v>
      </c>
      <c r="AY22" s="35">
        <f>+GETPIVOTDATA("XSB4",'sonbinh (2016)'!$A$3,"MA_HT","SKK","MA_QH","DSH")</f>
        <v>0</v>
      </c>
      <c r="AZ22" s="35">
        <f>+GETPIVOTDATA("XSB4",'sonbinh (2016)'!$A$3,"MA_HT","SKK","MA_QH","DKV")</f>
        <v>0</v>
      </c>
      <c r="BA22" s="140">
        <f>+GETPIVOTDATA("XSB4",'sonbinh (2016)'!$A$3,"MA_HT","SKK","MA_QH","TIN")</f>
        <v>0</v>
      </c>
      <c r="BB22" s="74">
        <f>+GETPIVOTDATA("XSB4",'sonbinh (2016)'!$A$3,"MA_HT","SKK","MA_QH","SON")</f>
        <v>0</v>
      </c>
      <c r="BC22" s="74">
        <f>+GETPIVOTDATA("XSB4",'sonbinh (2016)'!$A$3,"MA_HT","SKK","MA_QH","MNC")</f>
        <v>0</v>
      </c>
      <c r="BD22" s="35">
        <f>+GETPIVOTDATA("XSB4",'sonbinh (2016)'!$A$3,"MA_HT","SKK","MA_QH","PNK")</f>
        <v>0</v>
      </c>
      <c r="BE22" s="58">
        <f>+GETPIVOTDATA("XSB4",'sonbinh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+GETPIVOTDATA("XSB4",'sonbinh (2016)'!$A$3,"MA_HT","SKT","MA_QH","LUC")</f>
        <v>0</v>
      </c>
      <c r="H23" s="35">
        <f>+GETPIVOTDATA("XSB4",'sonbinh (2016)'!$A$3,"MA_HT","SKT","MA_QH","LUK")</f>
        <v>0</v>
      </c>
      <c r="I23" s="35">
        <f>+GETPIVOTDATA("XSB4",'sonbinh (2016)'!$A$3,"MA_HT","SKT","MA_QH","LUN")</f>
        <v>0</v>
      </c>
      <c r="J23" s="35">
        <f>+GETPIVOTDATA("XSB4",'sonbinh (2016)'!$A$3,"MA_HT","SKT","MA_QH","HNK")</f>
        <v>0</v>
      </c>
      <c r="K23" s="35">
        <f>+GETPIVOTDATA("XSB4",'sonbinh (2016)'!$A$3,"MA_HT","SKT","MA_QH","CLN")</f>
        <v>0</v>
      </c>
      <c r="L23" s="35">
        <f>+GETPIVOTDATA("XSB4",'sonbinh (2016)'!$A$3,"MA_HT","SKT","MA_QH","RSX")</f>
        <v>0</v>
      </c>
      <c r="M23" s="35">
        <f>+GETPIVOTDATA("XSB4",'sonbinh (2016)'!$A$3,"MA_HT","SKT","MA_QH","RPH")</f>
        <v>0</v>
      </c>
      <c r="N23" s="35">
        <f>+GETPIVOTDATA("XSB4",'sonbinh (2016)'!$A$3,"MA_HT","SKT","MA_QH","RDD")</f>
        <v>0</v>
      </c>
      <c r="O23" s="35">
        <f>+GETPIVOTDATA("XSB4",'sonbinh (2016)'!$A$3,"MA_HT","SKT","MA_QH","NTS")</f>
        <v>0</v>
      </c>
      <c r="P23" s="35">
        <f>+GETPIVOTDATA("XSB4",'sonbinh (2016)'!$A$3,"MA_HT","SKT","MA_QH","LMU")</f>
        <v>0</v>
      </c>
      <c r="Q23" s="35">
        <f>+GETPIVOTDATA("XSB4",'sonbinh (2016)'!$A$3,"MA_HT","SKT","MA_QH","NKH")</f>
        <v>0</v>
      </c>
      <c r="R23" s="63">
        <f>SUM(S23:U23,W23:AA23,AN23:BD23)</f>
        <v>0</v>
      </c>
      <c r="S23" s="35">
        <f>+GETPIVOTDATA("XSB4",'sonbinh (2016)'!$A$3,"MA_HT","SKT","MA_QH","CQP")</f>
        <v>0</v>
      </c>
      <c r="T23" s="35">
        <f>+GETPIVOTDATA("XSB4",'sonbinh (2016)'!$A$3,"MA_HT","SKT","MA_QH","CAN")</f>
        <v>0</v>
      </c>
      <c r="U23" s="35">
        <f>+GETPIVOTDATA("XSB4",'sonbinh (2016)'!$A$3,"MA_HT","SKT","MA_QH","SKK")</f>
        <v>0</v>
      </c>
      <c r="V23" s="99" t="e">
        <f>$D23-$BF23</f>
        <v>#REF!</v>
      </c>
      <c r="W23" s="35">
        <f>+GETPIVOTDATA("XSB4",'sonbinh (2016)'!$A$3,"MA_HT","SKT","MA_QH","SKN")</f>
        <v>0</v>
      </c>
      <c r="X23" s="35">
        <f>+GETPIVOTDATA("XSB4",'sonbinh (2016)'!$A$3,"MA_HT","SKT","MA_QH","TMD")</f>
        <v>0</v>
      </c>
      <c r="Y23" s="35">
        <f>+GETPIVOTDATA("XSB4",'sonbinh (2016)'!$A$3,"MA_HT","SKT","MA_QH","SKC")</f>
        <v>0</v>
      </c>
      <c r="Z23" s="35">
        <f>+GETPIVOTDATA("XSB4",'sonbinh (2016)'!$A$3,"MA_HT","SKT","MA_QH","SKS")</f>
        <v>0</v>
      </c>
      <c r="AA23" s="64">
        <f t="shared" si="12"/>
        <v>0</v>
      </c>
      <c r="AB23" s="35">
        <f>+GETPIVOTDATA("XSB4",'sonbinh (2016)'!$A$3,"MA_HT","SKT","MA_QH","DGT")</f>
        <v>0</v>
      </c>
      <c r="AC23" s="35">
        <f>+GETPIVOTDATA("XSB4",'sonbinh (2016)'!$A$3,"MA_HT","SKT","MA_QH","DTL")</f>
        <v>0</v>
      </c>
      <c r="AD23" s="35">
        <f>+GETPIVOTDATA("XSB4",'sonbinh (2016)'!$A$3,"MA_HT","SKT","MA_QH","DNL")</f>
        <v>0</v>
      </c>
      <c r="AE23" s="35">
        <f>+GETPIVOTDATA("XSB4",'sonbinh (2016)'!$A$3,"MA_HT","SKT","MA_QH","DBV")</f>
        <v>0</v>
      </c>
      <c r="AF23" s="35">
        <f>+GETPIVOTDATA("XSB4",'sonbinh (2016)'!$A$3,"MA_HT","SKT","MA_QH","DVH")</f>
        <v>0</v>
      </c>
      <c r="AG23" s="35">
        <f>+GETPIVOTDATA("XSB4",'sonbinh (2016)'!$A$3,"MA_HT","SKT","MA_QH","DYT")</f>
        <v>0</v>
      </c>
      <c r="AH23" s="35">
        <f>+GETPIVOTDATA("XSB4",'sonbinh (2016)'!$A$3,"MA_HT","SKT","MA_QH","DGD")</f>
        <v>0</v>
      </c>
      <c r="AI23" s="35">
        <f>+GETPIVOTDATA("XSB4",'sonbinh (2016)'!$A$3,"MA_HT","SKT","MA_QH","DTT")</f>
        <v>0</v>
      </c>
      <c r="AJ23" s="35">
        <f>+GETPIVOTDATA("XSB4",'sonbinh (2016)'!$A$3,"MA_HT","SKT","MA_QH","NCK")</f>
        <v>0</v>
      </c>
      <c r="AK23" s="35">
        <f>+GETPIVOTDATA("XSB4",'sonbinh (2016)'!$A$3,"MA_HT","SKT","MA_QH","DXH")</f>
        <v>0</v>
      </c>
      <c r="AL23" s="35">
        <f>+GETPIVOTDATA("XSB4",'sonbinh (2016)'!$A$3,"MA_HT","SKT","MA_QH","DCH")</f>
        <v>0</v>
      </c>
      <c r="AM23" s="35">
        <f>+GETPIVOTDATA("XSB4",'sonbinh (2016)'!$A$3,"MA_HT","SKT","MA_QH","DKG")</f>
        <v>0</v>
      </c>
      <c r="AN23" s="35">
        <f>+GETPIVOTDATA("XSB4",'sonbinh (2016)'!$A$3,"MA_HT","SKT","MA_QH","DDT")</f>
        <v>0</v>
      </c>
      <c r="AO23" s="35">
        <f>+GETPIVOTDATA("XSB4",'sonbinh (2016)'!$A$3,"MA_HT","SKT","MA_QH","DDL")</f>
        <v>0</v>
      </c>
      <c r="AP23" s="35">
        <f>+GETPIVOTDATA("XSB4",'sonbinh (2016)'!$A$3,"MA_HT","SKT","MA_QH","DRA")</f>
        <v>0</v>
      </c>
      <c r="AQ23" s="35">
        <f>+GETPIVOTDATA("XSB4",'sonbinh (2016)'!$A$3,"MA_HT","SKT","MA_QH","ONT")</f>
        <v>0</v>
      </c>
      <c r="AR23" s="35">
        <f>+GETPIVOTDATA("XSB4",'sonbinh (2016)'!$A$3,"MA_HT","SKT","MA_QH","ODT")</f>
        <v>0</v>
      </c>
      <c r="AS23" s="35">
        <f>+GETPIVOTDATA("XSB4",'sonbinh (2016)'!$A$3,"MA_HT","SKT","MA_QH","TSC")</f>
        <v>0</v>
      </c>
      <c r="AT23" s="35">
        <f>+GETPIVOTDATA("XSB4",'sonbinh (2016)'!$A$3,"MA_HT","SKT","MA_QH","DTS")</f>
        <v>0</v>
      </c>
      <c r="AU23" s="35">
        <f>+GETPIVOTDATA("XSB4",'sonbinh (2016)'!$A$3,"MA_HT","SKT","MA_QH","DNG")</f>
        <v>0</v>
      </c>
      <c r="AV23" s="35">
        <f>+GETPIVOTDATA("XSB4",'sonbinh (2016)'!$A$3,"MA_HT","SKT","MA_QH","TON")</f>
        <v>0</v>
      </c>
      <c r="AW23" s="35">
        <f>+GETPIVOTDATA("XSB4",'sonbinh (2016)'!$A$3,"MA_HT","SKT","MA_QH","NTD")</f>
        <v>0</v>
      </c>
      <c r="AX23" s="35">
        <f>+GETPIVOTDATA("XSB4",'sonbinh (2016)'!$A$3,"MA_HT","SKT","MA_QH","SKX")</f>
        <v>0</v>
      </c>
      <c r="AY23" s="35">
        <f>+GETPIVOTDATA("XSB4",'sonbinh (2016)'!$A$3,"MA_HT","SKT","MA_QH","DSH")</f>
        <v>0</v>
      </c>
      <c r="AZ23" s="35">
        <f>+GETPIVOTDATA("XSB4",'sonbinh (2016)'!$A$3,"MA_HT","SKT","MA_QH","DKV")</f>
        <v>0</v>
      </c>
      <c r="BA23" s="140">
        <f>+GETPIVOTDATA("XSB4",'sonbinh (2016)'!$A$3,"MA_HT","SKT","MA_QH","TIN")</f>
        <v>0</v>
      </c>
      <c r="BB23" s="74">
        <f>+GETPIVOTDATA("XSB4",'sonbinh (2016)'!$A$3,"MA_HT","SKT","MA_QH","SON")</f>
        <v>0</v>
      </c>
      <c r="BC23" s="74">
        <f>+GETPIVOTDATA("XSB4",'sonbinh (2016)'!$A$3,"MA_HT","SKT","MA_QH","MNC")</f>
        <v>0</v>
      </c>
      <c r="BD23" s="35">
        <f>+GETPIVOTDATA("XSB4",'sonbinh (2016)'!$A$3,"MA_HT","SKT","MA_QH","PNK")</f>
        <v>0</v>
      </c>
      <c r="BE23" s="58">
        <f>+GETPIVOTDATA("XSB4",'sonbinh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+GETPIVOTDATA("XSB4",'sonbinh (2016)'!$A$3,"MA_HT","SKN","MA_QH","LUC")</f>
        <v>0</v>
      </c>
      <c r="H24" s="35">
        <f>+GETPIVOTDATA("XSB4",'sonbinh (2016)'!$A$3,"MA_HT","SKN","MA_QH","LUK")</f>
        <v>0</v>
      </c>
      <c r="I24" s="35">
        <f>+GETPIVOTDATA("XSB4",'sonbinh (2016)'!$A$3,"MA_HT","SKN","MA_QH","LUN")</f>
        <v>0</v>
      </c>
      <c r="J24" s="35">
        <f>+GETPIVOTDATA("XSB4",'sonbinh (2016)'!$A$3,"MA_HT","SKN","MA_QH","HNK")</f>
        <v>0</v>
      </c>
      <c r="K24" s="35">
        <f>+GETPIVOTDATA("XSB4",'sonbinh (2016)'!$A$3,"MA_HT","SKN","MA_QH","CLN")</f>
        <v>0</v>
      </c>
      <c r="L24" s="35">
        <f>+GETPIVOTDATA("XSB4",'sonbinh (2016)'!$A$3,"MA_HT","SKN","MA_QH","RSX")</f>
        <v>0</v>
      </c>
      <c r="M24" s="35">
        <f>+GETPIVOTDATA("XSB4",'sonbinh (2016)'!$A$3,"MA_HT","SKN","MA_QH","RPH")</f>
        <v>0</v>
      </c>
      <c r="N24" s="35">
        <f>+GETPIVOTDATA("XSB4",'sonbinh (2016)'!$A$3,"MA_HT","SKN","MA_QH","RDD")</f>
        <v>0</v>
      </c>
      <c r="O24" s="35">
        <f>+GETPIVOTDATA("XSB4",'sonbinh (2016)'!$A$3,"MA_HT","SKN","MA_QH","NTS")</f>
        <v>0</v>
      </c>
      <c r="P24" s="35">
        <f>+GETPIVOTDATA("XSB4",'sonbinh (2016)'!$A$3,"MA_HT","SKN","MA_QH","LMU")</f>
        <v>0</v>
      </c>
      <c r="Q24" s="35">
        <f>+GETPIVOTDATA("XSB4",'sonbinh (2016)'!$A$3,"MA_HT","SKN","MA_QH","NKH")</f>
        <v>0</v>
      </c>
      <c r="R24" s="63">
        <f>SUM(S24:V24,X24:AA24,AN24:BD24)</f>
        <v>0</v>
      </c>
      <c r="S24" s="35">
        <f>+GETPIVOTDATA("XSB4",'sonbinh (2016)'!$A$3,"MA_HT","SKN","MA_QH","CQP")</f>
        <v>0</v>
      </c>
      <c r="T24" s="35">
        <f>+GETPIVOTDATA("XSB4",'sonbinh (2016)'!$A$3,"MA_HT","SKN","MA_QH","CAN")</f>
        <v>0</v>
      </c>
      <c r="U24" s="35">
        <f>+GETPIVOTDATA("XSB4",'sonbinh (2016)'!$A$3,"MA_HT","SKN","MA_QH","SKK")</f>
        <v>0</v>
      </c>
      <c r="V24" s="35">
        <f>+GETPIVOTDATA("XSB4",'sonbinh (2016)'!$A$3,"MA_HT","SKN","MA_QH","SKT")</f>
        <v>0</v>
      </c>
      <c r="W24" s="99" t="e">
        <f>$D24-$BF24</f>
        <v>#REF!</v>
      </c>
      <c r="X24" s="35">
        <f>+GETPIVOTDATA("XSB4",'sonbinh (2016)'!$A$3,"MA_HT","SKN","MA_QH","TMD")</f>
        <v>0</v>
      </c>
      <c r="Y24" s="35">
        <f>+GETPIVOTDATA("XSB4",'sonbinh (2016)'!$A$3,"MA_HT","SKN","MA_QH","SKC")</f>
        <v>0</v>
      </c>
      <c r="Z24" s="35">
        <f>+GETPIVOTDATA("XSB4",'sonbinh (2016)'!$A$3,"MA_HT","SKN","MA_QH","SKS")</f>
        <v>0</v>
      </c>
      <c r="AA24" s="64">
        <f t="shared" si="12"/>
        <v>0</v>
      </c>
      <c r="AB24" s="35">
        <f>+GETPIVOTDATA("XSB4",'sonbinh (2016)'!$A$3,"MA_HT","SKN","MA_QH","DGT")</f>
        <v>0</v>
      </c>
      <c r="AC24" s="35">
        <f>+GETPIVOTDATA("XSB4",'sonbinh (2016)'!$A$3,"MA_HT","SKN","MA_QH","DTL")</f>
        <v>0</v>
      </c>
      <c r="AD24" s="35">
        <f>+GETPIVOTDATA("XSB4",'sonbinh (2016)'!$A$3,"MA_HT","SKN","MA_QH","DNL")</f>
        <v>0</v>
      </c>
      <c r="AE24" s="35">
        <f>+GETPIVOTDATA("XSB4",'sonbinh (2016)'!$A$3,"MA_HT","SKN","MA_QH","DBV")</f>
        <v>0</v>
      </c>
      <c r="AF24" s="35">
        <f>+GETPIVOTDATA("XSB4",'sonbinh (2016)'!$A$3,"MA_HT","SKN","MA_QH","DVH")</f>
        <v>0</v>
      </c>
      <c r="AG24" s="35">
        <f>+GETPIVOTDATA("XSB4",'sonbinh (2016)'!$A$3,"MA_HT","SKN","MA_QH","DYT")</f>
        <v>0</v>
      </c>
      <c r="AH24" s="35">
        <f>+GETPIVOTDATA("XSB4",'sonbinh (2016)'!$A$3,"MA_HT","SKN","MA_QH","DGD")</f>
        <v>0</v>
      </c>
      <c r="AI24" s="35">
        <f>+GETPIVOTDATA("XSB4",'sonbinh (2016)'!$A$3,"MA_HT","SKN","MA_QH","DTT")</f>
        <v>0</v>
      </c>
      <c r="AJ24" s="35">
        <f>+GETPIVOTDATA("XSB4",'sonbinh (2016)'!$A$3,"MA_HT","SKN","MA_QH","NCK")</f>
        <v>0</v>
      </c>
      <c r="AK24" s="35">
        <f>+GETPIVOTDATA("XSB4",'sonbinh (2016)'!$A$3,"MA_HT","SKN","MA_QH","DXH")</f>
        <v>0</v>
      </c>
      <c r="AL24" s="35">
        <f>+GETPIVOTDATA("XSB4",'sonbinh (2016)'!$A$3,"MA_HT","SKN","MA_QH","DCH")</f>
        <v>0</v>
      </c>
      <c r="AM24" s="35">
        <f>+GETPIVOTDATA("XSB4",'sonbinh (2016)'!$A$3,"MA_HT","SKN","MA_QH","DKG")</f>
        <v>0</v>
      </c>
      <c r="AN24" s="35">
        <f>+GETPIVOTDATA("XSB4",'sonbinh (2016)'!$A$3,"MA_HT","SKN","MA_QH","DDT")</f>
        <v>0</v>
      </c>
      <c r="AO24" s="35">
        <f>+GETPIVOTDATA("XSB4",'sonbinh (2016)'!$A$3,"MA_HT","SKN","MA_QH","DDL")</f>
        <v>0</v>
      </c>
      <c r="AP24" s="35">
        <f>+GETPIVOTDATA("XSB4",'sonbinh (2016)'!$A$3,"MA_HT","SKN","MA_QH","DRA")</f>
        <v>0</v>
      </c>
      <c r="AQ24" s="35">
        <f>+GETPIVOTDATA("XSB4",'sonbinh (2016)'!$A$3,"MA_HT","SKN","MA_QH","ONT")</f>
        <v>0</v>
      </c>
      <c r="AR24" s="35">
        <f>+GETPIVOTDATA("XSB4",'sonbinh (2016)'!$A$3,"MA_HT","SKN","MA_QH","ODT")</f>
        <v>0</v>
      </c>
      <c r="AS24" s="35">
        <f>+GETPIVOTDATA("XSB4",'sonbinh (2016)'!$A$3,"MA_HT","SKN","MA_QH","TSC")</f>
        <v>0</v>
      </c>
      <c r="AT24" s="35">
        <f>+GETPIVOTDATA("XSB4",'sonbinh (2016)'!$A$3,"MA_HT","SKN","MA_QH","DTS")</f>
        <v>0</v>
      </c>
      <c r="AU24" s="35">
        <f>+GETPIVOTDATA("XSB4",'sonbinh (2016)'!$A$3,"MA_HT","SKN","MA_QH","DNG")</f>
        <v>0</v>
      </c>
      <c r="AV24" s="35">
        <f>+GETPIVOTDATA("XSB4",'sonbinh (2016)'!$A$3,"MA_HT","SKN","MA_QH","TON")</f>
        <v>0</v>
      </c>
      <c r="AW24" s="35">
        <f>+GETPIVOTDATA("XSB4",'sonbinh (2016)'!$A$3,"MA_HT","SKN","MA_QH","NTD")</f>
        <v>0</v>
      </c>
      <c r="AX24" s="35">
        <f>+GETPIVOTDATA("XSB4",'sonbinh (2016)'!$A$3,"MA_HT","SKN","MA_QH","SKX")</f>
        <v>0</v>
      </c>
      <c r="AY24" s="35">
        <f>+GETPIVOTDATA("XSB4",'sonbinh (2016)'!$A$3,"MA_HT","SKN","MA_QH","DSH")</f>
        <v>0</v>
      </c>
      <c r="AZ24" s="35">
        <f>+GETPIVOTDATA("XSB4",'sonbinh (2016)'!$A$3,"MA_HT","SKN","MA_QH","DKV")</f>
        <v>0</v>
      </c>
      <c r="BA24" s="140">
        <f>+GETPIVOTDATA("XSB4",'sonbinh (2016)'!$A$3,"MA_HT","SKN","MA_QH","TIN")</f>
        <v>0</v>
      </c>
      <c r="BB24" s="74">
        <f>+GETPIVOTDATA("XSB4",'sonbinh (2016)'!$A$3,"MA_HT","SKN","MA_QH","SON")</f>
        <v>0</v>
      </c>
      <c r="BC24" s="74">
        <f>+GETPIVOTDATA("XSB4",'sonbinh (2016)'!$A$3,"MA_HT","SKN","MA_QH","MNC")</f>
        <v>0</v>
      </c>
      <c r="BD24" s="35">
        <f>+GETPIVOTDATA("XSB4",'sonbinh (2016)'!$A$3,"MA_HT","SKN","MA_QH","PNK")</f>
        <v>0</v>
      </c>
      <c r="BE24" s="58">
        <f>+GETPIVOTDATA("XSB4",'sonbinh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+GETPIVOTDATA("XSB4",'sonbinh (2016)'!$A$3,"MA_HT","TMD","MA_QH","LUC")</f>
        <v>0</v>
      </c>
      <c r="H25" s="35">
        <f>+GETPIVOTDATA("XSB4",'sonbinh (2016)'!$A$3,"MA_HT","TMD","MA_QH","LUK")</f>
        <v>0</v>
      </c>
      <c r="I25" s="35">
        <f>+GETPIVOTDATA("XSB4",'sonbinh (2016)'!$A$3,"MA_HT","TMD","MA_QH","LUN")</f>
        <v>0</v>
      </c>
      <c r="J25" s="35">
        <f>+GETPIVOTDATA("XSB4",'sonbinh (2016)'!$A$3,"MA_HT","TMD","MA_QH","HNK")</f>
        <v>0</v>
      </c>
      <c r="K25" s="35">
        <f>+GETPIVOTDATA("XSB4",'sonbinh (2016)'!$A$3,"MA_HT","TMD","MA_QH","CLN")</f>
        <v>0</v>
      </c>
      <c r="L25" s="35">
        <f>+GETPIVOTDATA("XSB4",'sonbinh (2016)'!$A$3,"MA_HT","TMD","MA_QH","RSX")</f>
        <v>0</v>
      </c>
      <c r="M25" s="35">
        <f>+GETPIVOTDATA("XSB4",'sonbinh (2016)'!$A$3,"MA_HT","TMD","MA_QH","RPH")</f>
        <v>0</v>
      </c>
      <c r="N25" s="35">
        <f>+GETPIVOTDATA("XSB4",'sonbinh (2016)'!$A$3,"MA_HT","TMD","MA_QH","RDD")</f>
        <v>0</v>
      </c>
      <c r="O25" s="35">
        <f>+GETPIVOTDATA("XSB4",'sonbinh (2016)'!$A$3,"MA_HT","TMD","MA_QH","NTS")</f>
        <v>0</v>
      </c>
      <c r="P25" s="35">
        <f>+GETPIVOTDATA("XSB4",'sonbinh (2016)'!$A$3,"MA_HT","TMD","MA_QH","LMU")</f>
        <v>0</v>
      </c>
      <c r="Q25" s="35">
        <f>+GETPIVOTDATA("XSB4",'sonbinh (2016)'!$A$3,"MA_HT","TMD","MA_QH","NKH")</f>
        <v>0</v>
      </c>
      <c r="R25" s="63">
        <f>SUM(S25:W25,Y25:AA25,AN25:BD25)</f>
        <v>0</v>
      </c>
      <c r="S25" s="35">
        <f>+GETPIVOTDATA("XSB4",'sonbinh (2016)'!$A$3,"MA_HT","TMD","MA_QH","CQP")</f>
        <v>0</v>
      </c>
      <c r="T25" s="35">
        <f>+GETPIVOTDATA("XSB4",'sonbinh (2016)'!$A$3,"MA_HT","TMD","MA_QH","CAN")</f>
        <v>0</v>
      </c>
      <c r="U25" s="35">
        <f>+GETPIVOTDATA("XSB4",'sonbinh (2016)'!$A$3,"MA_HT","TMD","MA_QH","SKK")</f>
        <v>0</v>
      </c>
      <c r="V25" s="35">
        <f>+GETPIVOTDATA("XSB4",'sonbinh (2016)'!$A$3,"MA_HT","TMD","MA_QH","SKT")</f>
        <v>0</v>
      </c>
      <c r="W25" s="35">
        <f>+GETPIVOTDATA("XSB4",'sonbinh (2016)'!$A$3,"MA_HT","TMD","MA_QH","SKN")</f>
        <v>0</v>
      </c>
      <c r="X25" s="99" t="e">
        <f>$D25-$BF25</f>
        <v>#REF!</v>
      </c>
      <c r="Y25" s="35">
        <f>+GETPIVOTDATA("XSB4",'sonbinh (2016)'!$A$3,"MA_HT","TMD","MA_QH","SKC")</f>
        <v>0</v>
      </c>
      <c r="Z25" s="35">
        <f>+GETPIVOTDATA("XSB4",'sonbinh (2016)'!$A$3,"MA_HT","TMD","MA_QH","SKS")</f>
        <v>0</v>
      </c>
      <c r="AA25" s="64">
        <f t="shared" si="12"/>
        <v>0</v>
      </c>
      <c r="AB25" s="35">
        <f>+GETPIVOTDATA("XSB4",'sonbinh (2016)'!$A$3,"MA_HT","TMD","MA_QH","DGT")</f>
        <v>0</v>
      </c>
      <c r="AC25" s="35">
        <f>+GETPIVOTDATA("XSB4",'sonbinh (2016)'!$A$3,"MA_HT","TMD","MA_QH","DTL")</f>
        <v>0</v>
      </c>
      <c r="AD25" s="35">
        <f>+GETPIVOTDATA("XSB4",'sonbinh (2016)'!$A$3,"MA_HT","TMD","MA_QH","DNL")</f>
        <v>0</v>
      </c>
      <c r="AE25" s="35">
        <f>+GETPIVOTDATA("XSB4",'sonbinh (2016)'!$A$3,"MA_HT","TMD","MA_QH","DBV")</f>
        <v>0</v>
      </c>
      <c r="AF25" s="35">
        <f>+GETPIVOTDATA("XSB4",'sonbinh (2016)'!$A$3,"MA_HT","TMD","MA_QH","DVH")</f>
        <v>0</v>
      </c>
      <c r="AG25" s="35">
        <f>+GETPIVOTDATA("XSB4",'sonbinh (2016)'!$A$3,"MA_HT","TMD","MA_QH","DYT")</f>
        <v>0</v>
      </c>
      <c r="AH25" s="35">
        <f>+GETPIVOTDATA("XSB4",'sonbinh (2016)'!$A$3,"MA_HT","TMD","MA_QH","DGD")</f>
        <v>0</v>
      </c>
      <c r="AI25" s="35">
        <f>+GETPIVOTDATA("XSB4",'sonbinh (2016)'!$A$3,"MA_HT","TMD","MA_QH","DTT")</f>
        <v>0</v>
      </c>
      <c r="AJ25" s="35">
        <f>+GETPIVOTDATA("XSB4",'sonbinh (2016)'!$A$3,"MA_HT","TMD","MA_QH","NCK")</f>
        <v>0</v>
      </c>
      <c r="AK25" s="35">
        <f>+GETPIVOTDATA("XSB4",'sonbinh (2016)'!$A$3,"MA_HT","TMD","MA_QH","DXH")</f>
        <v>0</v>
      </c>
      <c r="AL25" s="35">
        <f>+GETPIVOTDATA("XSB4",'sonbinh (2016)'!$A$3,"MA_HT","TMD","MA_QH","DCH")</f>
        <v>0</v>
      </c>
      <c r="AM25" s="35">
        <f>+GETPIVOTDATA("XSB4",'sonbinh (2016)'!$A$3,"MA_HT","TMD","MA_QH","DKG")</f>
        <v>0</v>
      </c>
      <c r="AN25" s="35">
        <f>+GETPIVOTDATA("XSB4",'sonbinh (2016)'!$A$3,"MA_HT","TMD","MA_QH","DDT")</f>
        <v>0</v>
      </c>
      <c r="AO25" s="35">
        <f>+GETPIVOTDATA("XSB4",'sonbinh (2016)'!$A$3,"MA_HT","TMD","MA_QH","DDL")</f>
        <v>0</v>
      </c>
      <c r="AP25" s="35">
        <f>+GETPIVOTDATA("XSB4",'sonbinh (2016)'!$A$3,"MA_HT","TMD","MA_QH","DRA")</f>
        <v>0</v>
      </c>
      <c r="AQ25" s="35">
        <f>+GETPIVOTDATA("XSB4",'sonbinh (2016)'!$A$3,"MA_HT","TMD","MA_QH","ONT")</f>
        <v>0</v>
      </c>
      <c r="AR25" s="35">
        <f>+GETPIVOTDATA("XSB4",'sonbinh (2016)'!$A$3,"MA_HT","TMD","MA_QH","ODT")</f>
        <v>0</v>
      </c>
      <c r="AS25" s="35">
        <f>+GETPIVOTDATA("XSB4",'sonbinh (2016)'!$A$3,"MA_HT","TMD","MA_QH","TSC")</f>
        <v>0</v>
      </c>
      <c r="AT25" s="35">
        <f>+GETPIVOTDATA("XSB4",'sonbinh (2016)'!$A$3,"MA_HT","TMD","MA_QH","DTS")</f>
        <v>0</v>
      </c>
      <c r="AU25" s="35">
        <f>+GETPIVOTDATA("XSB4",'sonbinh (2016)'!$A$3,"MA_HT","TMD","MA_QH","DNG")</f>
        <v>0</v>
      </c>
      <c r="AV25" s="35">
        <f>+GETPIVOTDATA("XSB4",'sonbinh (2016)'!$A$3,"MA_HT","TMD","MA_QH","TON")</f>
        <v>0</v>
      </c>
      <c r="AW25" s="35">
        <f>+GETPIVOTDATA("XSB4",'sonbinh (2016)'!$A$3,"MA_HT","TMD","MA_QH","NTD")</f>
        <v>0</v>
      </c>
      <c r="AX25" s="35">
        <f>+GETPIVOTDATA("XSB4",'sonbinh (2016)'!$A$3,"MA_HT","TMD","MA_QH","SKX")</f>
        <v>0</v>
      </c>
      <c r="AY25" s="35">
        <f>+GETPIVOTDATA("XSB4",'sonbinh (2016)'!$A$3,"MA_HT","TMD","MA_QH","DSH")</f>
        <v>0</v>
      </c>
      <c r="AZ25" s="35">
        <f>+GETPIVOTDATA("XSB4",'sonbinh (2016)'!$A$3,"MA_HT","TMD","MA_QH","DKV")</f>
        <v>0</v>
      </c>
      <c r="BA25" s="140">
        <f>+GETPIVOTDATA("XSB4",'sonbinh (2016)'!$A$3,"MA_HT","TMD","MA_QH","TIN")</f>
        <v>0</v>
      </c>
      <c r="BB25" s="74">
        <f>+GETPIVOTDATA("XSB4",'sonbinh (2016)'!$A$3,"MA_HT","TMD","MA_QH","SON")</f>
        <v>0</v>
      </c>
      <c r="BC25" s="74">
        <f>+GETPIVOTDATA("XSB4",'sonbinh (2016)'!$A$3,"MA_HT","TMD","MA_QH","MNC")</f>
        <v>0</v>
      </c>
      <c r="BD25" s="35">
        <f>+GETPIVOTDATA("XSB4",'sonbinh (2016)'!$A$3,"MA_HT","TMD","MA_QH","PNK")</f>
        <v>0</v>
      </c>
      <c r="BE25" s="58">
        <f>+GETPIVOTDATA("XSB4",'sonbinh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+GETPIVOTDATA("XSB4",'sonbinh (2016)'!$A$3,"MA_HT","SKC","MA_QH","LUC")</f>
        <v>0</v>
      </c>
      <c r="H26" s="35">
        <f>+GETPIVOTDATA("XSB4",'sonbinh (2016)'!$A$3,"MA_HT","SKC","MA_QH","LUK")</f>
        <v>0</v>
      </c>
      <c r="I26" s="35">
        <f>+GETPIVOTDATA("XSB4",'sonbinh (2016)'!$A$3,"MA_HT","SKC","MA_QH","LUN")</f>
        <v>0</v>
      </c>
      <c r="J26" s="35">
        <f>+GETPIVOTDATA("XSB4",'sonbinh (2016)'!$A$3,"MA_HT","SKC","MA_QH","HNK")</f>
        <v>0</v>
      </c>
      <c r="K26" s="35">
        <f>+GETPIVOTDATA("XSB4",'sonbinh (2016)'!$A$3,"MA_HT","SKC","MA_QH","CLN")</f>
        <v>0</v>
      </c>
      <c r="L26" s="35">
        <f>+GETPIVOTDATA("XSB4",'sonbinh (2016)'!$A$3,"MA_HT","SKC","MA_QH","RSX")</f>
        <v>0</v>
      </c>
      <c r="M26" s="35">
        <f>+GETPIVOTDATA("XSB4",'sonbinh (2016)'!$A$3,"MA_HT","SKC","MA_QH","RPH")</f>
        <v>0</v>
      </c>
      <c r="N26" s="35">
        <f>+GETPIVOTDATA("XSB4",'sonbinh (2016)'!$A$3,"MA_HT","SKC","MA_QH","RDD")</f>
        <v>0</v>
      </c>
      <c r="O26" s="35">
        <f>+GETPIVOTDATA("XSB4",'sonbinh (2016)'!$A$3,"MA_HT","SKC","MA_QH","NTS")</f>
        <v>0</v>
      </c>
      <c r="P26" s="35">
        <f>+GETPIVOTDATA("XSB4",'sonbinh (2016)'!$A$3,"MA_HT","SKC","MA_QH","LMU")</f>
        <v>0</v>
      </c>
      <c r="Q26" s="35">
        <f>+GETPIVOTDATA("XSB4",'sonbinh (2016)'!$A$3,"MA_HT","SKC","MA_QH","NKH")</f>
        <v>0</v>
      </c>
      <c r="R26" s="63">
        <f>SUM(S26:X26,Z26,AN26:BD26)</f>
        <v>0</v>
      </c>
      <c r="S26" s="35">
        <f>+GETPIVOTDATA("XSB4",'sonbinh (2016)'!$A$3,"MA_HT","SKC","MA_QH","CQP")</f>
        <v>0</v>
      </c>
      <c r="T26" s="35">
        <f>+GETPIVOTDATA("XSB4",'sonbinh (2016)'!$A$3,"MA_HT","SKC","MA_QH","CAN")</f>
        <v>0</v>
      </c>
      <c r="U26" s="35">
        <f>+GETPIVOTDATA("XSB4",'sonbinh (2016)'!$A$3,"MA_HT","SKC","MA_QH","SKK")</f>
        <v>0</v>
      </c>
      <c r="V26" s="35">
        <f>+GETPIVOTDATA("XSB4",'sonbinh (2016)'!$A$3,"MA_HT","SKC","MA_QH","SKT")</f>
        <v>0</v>
      </c>
      <c r="W26" s="35">
        <f>+GETPIVOTDATA("XSB4",'sonbinh (2016)'!$A$3,"MA_HT","SKC","MA_QH","SKN")</f>
        <v>0</v>
      </c>
      <c r="X26" s="35">
        <f>+GETPIVOTDATA("XSB4",'sonbinh (2016)'!$A$3,"MA_HT","SKC","MA_QH","TMD")</f>
        <v>0</v>
      </c>
      <c r="Y26" s="99" t="e">
        <f>$D26-$BF26</f>
        <v>#REF!</v>
      </c>
      <c r="Z26" s="35">
        <f>+GETPIVOTDATA("XSB4",'sonbinh (2016)'!$A$3,"MA_HT","SKC","MA_QH","SKS")</f>
        <v>0</v>
      </c>
      <c r="AA26" s="64">
        <f t="shared" si="12"/>
        <v>0</v>
      </c>
      <c r="AB26" s="35">
        <f>+GETPIVOTDATA("XSB4",'sonbinh (2016)'!$A$3,"MA_HT","SKC","MA_QH","DGT")</f>
        <v>0</v>
      </c>
      <c r="AC26" s="35">
        <f>+GETPIVOTDATA("XSB4",'sonbinh (2016)'!$A$3,"MA_HT","SKC","MA_QH","DTL")</f>
        <v>0</v>
      </c>
      <c r="AD26" s="35">
        <f>+GETPIVOTDATA("XSB4",'sonbinh (2016)'!$A$3,"MA_HT","SKC","MA_QH","DNL")</f>
        <v>0</v>
      </c>
      <c r="AE26" s="35">
        <f>+GETPIVOTDATA("XSB4",'sonbinh (2016)'!$A$3,"MA_HT","SKC","MA_QH","DBV")</f>
        <v>0</v>
      </c>
      <c r="AF26" s="35">
        <f>+GETPIVOTDATA("XSB4",'sonbinh (2016)'!$A$3,"MA_HT","SKC","MA_QH","DVH")</f>
        <v>0</v>
      </c>
      <c r="AG26" s="35">
        <f>+GETPIVOTDATA("XSB4",'sonbinh (2016)'!$A$3,"MA_HT","SKC","MA_QH","DYT")</f>
        <v>0</v>
      </c>
      <c r="AH26" s="35">
        <f>+GETPIVOTDATA("XSB4",'sonbinh (2016)'!$A$3,"MA_HT","SKC","MA_QH","DGD")</f>
        <v>0</v>
      </c>
      <c r="AI26" s="35">
        <f>+GETPIVOTDATA("XSB4",'sonbinh (2016)'!$A$3,"MA_HT","SKC","MA_QH","DTT")</f>
        <v>0</v>
      </c>
      <c r="AJ26" s="35">
        <f>+GETPIVOTDATA("XSB4",'sonbinh (2016)'!$A$3,"MA_HT","SKC","MA_QH","NCK")</f>
        <v>0</v>
      </c>
      <c r="AK26" s="35">
        <f>+GETPIVOTDATA("XSB4",'sonbinh (2016)'!$A$3,"MA_HT","SKC","MA_QH","DXH")</f>
        <v>0</v>
      </c>
      <c r="AL26" s="35">
        <f>+GETPIVOTDATA("XSB4",'sonbinh (2016)'!$A$3,"MA_HT","SKC","MA_QH","DCH")</f>
        <v>0</v>
      </c>
      <c r="AM26" s="35">
        <f>+GETPIVOTDATA("XSB4",'sonbinh (2016)'!$A$3,"MA_HT","SKC","MA_QH","DKG")</f>
        <v>0</v>
      </c>
      <c r="AN26" s="35">
        <f>+GETPIVOTDATA("XSB4",'sonbinh (2016)'!$A$3,"MA_HT","SKC","MA_QH","DDT")</f>
        <v>0</v>
      </c>
      <c r="AO26" s="35">
        <f>+GETPIVOTDATA("XSB4",'sonbinh (2016)'!$A$3,"MA_HT","SKC","MA_QH","DDL")</f>
        <v>0</v>
      </c>
      <c r="AP26" s="35">
        <f>+GETPIVOTDATA("XSB4",'sonbinh (2016)'!$A$3,"MA_HT","SKC","MA_QH","DRA")</f>
        <v>0</v>
      </c>
      <c r="AQ26" s="35">
        <f>+GETPIVOTDATA("XSB4",'sonbinh (2016)'!$A$3,"MA_HT","SKC","MA_QH","ONT")</f>
        <v>0</v>
      </c>
      <c r="AR26" s="35">
        <f>+GETPIVOTDATA("XSB4",'sonbinh (2016)'!$A$3,"MA_HT","SKC","MA_QH","ODT")</f>
        <v>0</v>
      </c>
      <c r="AS26" s="35">
        <f>+GETPIVOTDATA("XSB4",'sonbinh (2016)'!$A$3,"MA_HT","SKC","MA_QH","TSC")</f>
        <v>0</v>
      </c>
      <c r="AT26" s="35">
        <f>+GETPIVOTDATA("XSB4",'sonbinh (2016)'!$A$3,"MA_HT","SKC","MA_QH","DTS")</f>
        <v>0</v>
      </c>
      <c r="AU26" s="35">
        <f>+GETPIVOTDATA("XSB4",'sonbinh (2016)'!$A$3,"MA_HT","SKC","MA_QH","DNG")</f>
        <v>0</v>
      </c>
      <c r="AV26" s="35">
        <f>+GETPIVOTDATA("XSB4",'sonbinh (2016)'!$A$3,"MA_HT","SKC","MA_QH","TON")</f>
        <v>0</v>
      </c>
      <c r="AW26" s="35">
        <f>+GETPIVOTDATA("XSB4",'sonbinh (2016)'!$A$3,"MA_HT","SKC","MA_QH","NTD")</f>
        <v>0</v>
      </c>
      <c r="AX26" s="35">
        <f>+GETPIVOTDATA("XSB4",'sonbinh (2016)'!$A$3,"MA_HT","SKC","MA_QH","SKX")</f>
        <v>0</v>
      </c>
      <c r="AY26" s="35">
        <f>+GETPIVOTDATA("XSB4",'sonbinh (2016)'!$A$3,"MA_HT","SKC","MA_QH","DSH")</f>
        <v>0</v>
      </c>
      <c r="AZ26" s="35">
        <f>+GETPIVOTDATA("XSB4",'sonbinh (2016)'!$A$3,"MA_HT","SKC","MA_QH","DKV")</f>
        <v>0</v>
      </c>
      <c r="BA26" s="140">
        <f>+GETPIVOTDATA("XSB4",'sonbinh (2016)'!$A$3,"MA_HT","SKC","MA_QH","TIN")</f>
        <v>0</v>
      </c>
      <c r="BB26" s="74">
        <f>+GETPIVOTDATA("XSB4",'sonbinh (2016)'!$A$3,"MA_HT","SKC","MA_QH","SON")</f>
        <v>0</v>
      </c>
      <c r="BC26" s="74">
        <f>+GETPIVOTDATA("XSB4",'sonbinh (2016)'!$A$3,"MA_HT","SKC","MA_QH","MNC")</f>
        <v>0</v>
      </c>
      <c r="BD26" s="35">
        <f>+GETPIVOTDATA("XSB4",'sonbinh (2016)'!$A$3,"MA_HT","SKC","MA_QH","PNK")</f>
        <v>0</v>
      </c>
      <c r="BE26" s="58">
        <f>+GETPIVOTDATA("XSB4",'sonbinh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+GETPIVOTDATA("XSB4",'sonbinh (2016)'!$A$3,"MA_HT","SKS","MA_QH","LUC")</f>
        <v>0</v>
      </c>
      <c r="H27" s="35">
        <f>+GETPIVOTDATA("XSB4",'sonbinh (2016)'!$A$3,"MA_HT","SKS","MA_QH","LUK")</f>
        <v>0</v>
      </c>
      <c r="I27" s="35">
        <f>+GETPIVOTDATA("XSB4",'sonbinh (2016)'!$A$3,"MA_HT","SKS","MA_QH","LUN")</f>
        <v>0</v>
      </c>
      <c r="J27" s="35">
        <f>+GETPIVOTDATA("XSB4",'sonbinh (2016)'!$A$3,"MA_HT","SKS","MA_QH","HNK")</f>
        <v>0</v>
      </c>
      <c r="K27" s="35">
        <f>+GETPIVOTDATA("XSB4",'sonbinh (2016)'!$A$3,"MA_HT","SKS","MA_QH","CLN")</f>
        <v>0</v>
      </c>
      <c r="L27" s="35">
        <f>+GETPIVOTDATA("XSB4",'sonbinh (2016)'!$A$3,"MA_HT","SKS","MA_QH","RSX")</f>
        <v>0</v>
      </c>
      <c r="M27" s="35">
        <f>+GETPIVOTDATA("XSB4",'sonbinh (2016)'!$A$3,"MA_HT","SKS","MA_QH","RPH")</f>
        <v>0</v>
      </c>
      <c r="N27" s="35">
        <f>+GETPIVOTDATA("XSB4",'sonbinh (2016)'!$A$3,"MA_HT","SKS","MA_QH","RDD")</f>
        <v>0</v>
      </c>
      <c r="O27" s="35">
        <f>+GETPIVOTDATA("XSB4",'sonbinh (2016)'!$A$3,"MA_HT","SKS","MA_QH","NTS")</f>
        <v>0</v>
      </c>
      <c r="P27" s="35">
        <f>+GETPIVOTDATA("XSB4",'sonbinh (2016)'!$A$3,"MA_HT","SKS","MA_QH","LMU")</f>
        <v>0</v>
      </c>
      <c r="Q27" s="35">
        <f>+GETPIVOTDATA("XSB4",'sonbinh (2016)'!$A$3,"MA_HT","SKS","MA_QH","NKH")</f>
        <v>0</v>
      </c>
      <c r="R27" s="63">
        <f>SUM(S27:Y27,AA27,AN27:BD27)</f>
        <v>0</v>
      </c>
      <c r="S27" s="35">
        <f>+GETPIVOTDATA("XSB4",'sonbinh (2016)'!$A$3,"MA_HT","SKS","MA_QH","CQP")</f>
        <v>0</v>
      </c>
      <c r="T27" s="35">
        <f>+GETPIVOTDATA("XSB4",'sonbinh (2016)'!$A$3,"MA_HT","SKS","MA_QH","CAN")</f>
        <v>0</v>
      </c>
      <c r="U27" s="35">
        <f>+GETPIVOTDATA("XSB4",'sonbinh (2016)'!$A$3,"MA_HT","SKS","MA_QH","SKK")</f>
        <v>0</v>
      </c>
      <c r="V27" s="35">
        <f>+GETPIVOTDATA("XSB4",'sonbinh (2016)'!$A$3,"MA_HT","SKS","MA_QH","SKT")</f>
        <v>0</v>
      </c>
      <c r="W27" s="35">
        <f>+GETPIVOTDATA("XSB4",'sonbinh (2016)'!$A$3,"MA_HT","SKS","MA_QH","SKN")</f>
        <v>0</v>
      </c>
      <c r="X27" s="35">
        <f>+GETPIVOTDATA("XSB4",'sonbinh (2016)'!$A$3,"MA_HT","SKS","MA_QH","TMD")</f>
        <v>0</v>
      </c>
      <c r="Y27" s="35">
        <f>+GETPIVOTDATA("XSB4",'sonbinh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+GETPIVOTDATA("XSB4",'sonbinh (2016)'!$A$3,"MA_HT","SKS","MA_QH","DGT")</f>
        <v>0</v>
      </c>
      <c r="AC27" s="35">
        <f>+GETPIVOTDATA("XSB4",'sonbinh (2016)'!$A$3,"MA_HT","SKS","MA_QH","DTL")</f>
        <v>0</v>
      </c>
      <c r="AD27" s="35">
        <f>+GETPIVOTDATA("XSB4",'sonbinh (2016)'!$A$3,"MA_HT","SKS","MA_QH","DNL")</f>
        <v>0</v>
      </c>
      <c r="AE27" s="35">
        <f>+GETPIVOTDATA("XSB4",'sonbinh (2016)'!$A$3,"MA_HT","SKS","MA_QH","DBV")</f>
        <v>0</v>
      </c>
      <c r="AF27" s="35">
        <f>+GETPIVOTDATA("XSB4",'sonbinh (2016)'!$A$3,"MA_HT","SKS","MA_QH","DVH")</f>
        <v>0</v>
      </c>
      <c r="AG27" s="35">
        <f>+GETPIVOTDATA("XSB4",'sonbinh (2016)'!$A$3,"MA_HT","SKS","MA_QH","DYT")</f>
        <v>0</v>
      </c>
      <c r="AH27" s="35">
        <f>+GETPIVOTDATA("XSB4",'sonbinh (2016)'!$A$3,"MA_HT","SKS","MA_QH","DGD")</f>
        <v>0</v>
      </c>
      <c r="AI27" s="35">
        <f>+GETPIVOTDATA("XSB4",'sonbinh (2016)'!$A$3,"MA_HT","SKS","MA_QH","DTT")</f>
        <v>0</v>
      </c>
      <c r="AJ27" s="35">
        <f>+GETPIVOTDATA("XSB4",'sonbinh (2016)'!$A$3,"MA_HT","SKS","MA_QH","NCK")</f>
        <v>0</v>
      </c>
      <c r="AK27" s="35">
        <f>+GETPIVOTDATA("XSB4",'sonbinh (2016)'!$A$3,"MA_HT","SKS","MA_QH","DXH")</f>
        <v>0</v>
      </c>
      <c r="AL27" s="35">
        <f>+GETPIVOTDATA("XSB4",'sonbinh (2016)'!$A$3,"MA_HT","SKS","MA_QH","DCH")</f>
        <v>0</v>
      </c>
      <c r="AM27" s="35">
        <f>+GETPIVOTDATA("XSB4",'sonbinh (2016)'!$A$3,"MA_HT","SKS","MA_QH","DKG")</f>
        <v>0</v>
      </c>
      <c r="AN27" s="35">
        <f>+GETPIVOTDATA("XSB4",'sonbinh (2016)'!$A$3,"MA_HT","SKS","MA_QH","DDT")</f>
        <v>0</v>
      </c>
      <c r="AO27" s="35">
        <f>+GETPIVOTDATA("XSB4",'sonbinh (2016)'!$A$3,"MA_HT","SKS","MA_QH","DDL")</f>
        <v>0</v>
      </c>
      <c r="AP27" s="35">
        <f>+GETPIVOTDATA("XSB4",'sonbinh (2016)'!$A$3,"MA_HT","SKS","MA_QH","DRA")</f>
        <v>0</v>
      </c>
      <c r="AQ27" s="35">
        <f>+GETPIVOTDATA("XSB4",'sonbinh (2016)'!$A$3,"MA_HT","SKS","MA_QH","ONT")</f>
        <v>0</v>
      </c>
      <c r="AR27" s="35">
        <f>+GETPIVOTDATA("XSB4",'sonbinh (2016)'!$A$3,"MA_HT","SKS","MA_QH","ODT")</f>
        <v>0</v>
      </c>
      <c r="AS27" s="35">
        <f>+GETPIVOTDATA("XSB4",'sonbinh (2016)'!$A$3,"MA_HT","SKS","MA_QH","TSC")</f>
        <v>0</v>
      </c>
      <c r="AT27" s="35">
        <f>+GETPIVOTDATA("XSB4",'sonbinh (2016)'!$A$3,"MA_HT","SKS","MA_QH","DTS")</f>
        <v>0</v>
      </c>
      <c r="AU27" s="35">
        <f>+GETPIVOTDATA("XSB4",'sonbinh (2016)'!$A$3,"MA_HT","SKS","MA_QH","DNG")</f>
        <v>0</v>
      </c>
      <c r="AV27" s="35">
        <f>+GETPIVOTDATA("XSB4",'sonbinh (2016)'!$A$3,"MA_HT","SKS","MA_QH","TON")</f>
        <v>0</v>
      </c>
      <c r="AW27" s="35">
        <f>+GETPIVOTDATA("XSB4",'sonbinh (2016)'!$A$3,"MA_HT","SKS","MA_QH","NTD")</f>
        <v>0</v>
      </c>
      <c r="AX27" s="35">
        <f>+GETPIVOTDATA("XSB4",'sonbinh (2016)'!$A$3,"MA_HT","SKS","MA_QH","SKX")</f>
        <v>0</v>
      </c>
      <c r="AY27" s="35">
        <f>+GETPIVOTDATA("XSB4",'sonbinh (2016)'!$A$3,"MA_HT","SKS","MA_QH","DSH")</f>
        <v>0</v>
      </c>
      <c r="AZ27" s="35">
        <f>+GETPIVOTDATA("XSB4",'sonbinh (2016)'!$A$3,"MA_HT","SKS","MA_QH","DKV")</f>
        <v>0</v>
      </c>
      <c r="BA27" s="140">
        <f>+GETPIVOTDATA("XSB4",'sonbinh (2016)'!$A$3,"MA_HT","SKS","MA_QH","TIN")</f>
        <v>0</v>
      </c>
      <c r="BB27" s="74">
        <f>+GETPIVOTDATA("XSB4",'sonbinh (2016)'!$A$3,"MA_HT","SKS","MA_QH","SON")</f>
        <v>0</v>
      </c>
      <c r="BC27" s="74">
        <f>+GETPIVOTDATA("XSB4",'sonbinh (2016)'!$A$3,"MA_HT","SKS","MA_QH","MNC")</f>
        <v>0</v>
      </c>
      <c r="BD27" s="35">
        <f>+GETPIVOTDATA("XSB4",'sonbinh (2016)'!$A$3,"MA_HT","SKS","MA_QH","PNK")</f>
        <v>0</v>
      </c>
      <c r="BE27" s="58">
        <f>+GETPIVOTDATA("XSB4",'sonbinh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+GETPIVOTDATA("XSB4",'sonbinh (2016)'!$A$3,"MA_HT","DGT","MA_QH","LUC")</f>
        <v>0</v>
      </c>
      <c r="H29" s="74">
        <f>+GETPIVOTDATA("XSB4",'sonbinh (2016)'!$A$3,"MA_HT","DGT","MA_QH","LUK")</f>
        <v>0</v>
      </c>
      <c r="I29" s="74">
        <f>+GETPIVOTDATA("XSB4",'sonbinh (2016)'!$A$3,"MA_HT","DGT","MA_QH","LUN")</f>
        <v>0</v>
      </c>
      <c r="J29" s="74">
        <f>+GETPIVOTDATA("XSB4",'sonbinh (2016)'!$A$3,"MA_HT","DGT","MA_QH","HNK")</f>
        <v>0</v>
      </c>
      <c r="K29" s="74">
        <f>+GETPIVOTDATA("XSB4",'sonbinh (2016)'!$A$3,"MA_HT","DGT","MA_QH","CLN")</f>
        <v>0</v>
      </c>
      <c r="L29" s="74">
        <f>+GETPIVOTDATA("XSB4",'sonbinh (2016)'!$A$3,"MA_HT","DGT","MA_QH","RSX")</f>
        <v>0</v>
      </c>
      <c r="M29" s="74">
        <f>+GETPIVOTDATA("XSB4",'sonbinh (2016)'!$A$3,"MA_HT","DGT","MA_QH","RPH")</f>
        <v>0</v>
      </c>
      <c r="N29" s="74">
        <f>+GETPIVOTDATA("XSB4",'sonbinh (2016)'!$A$3,"MA_HT","DGT","MA_QH","RDD")</f>
        <v>0</v>
      </c>
      <c r="O29" s="74">
        <f>+GETPIVOTDATA("XSB4",'sonbinh (2016)'!$A$3,"MA_HT","DGT","MA_QH","NTS")</f>
        <v>0</v>
      </c>
      <c r="P29" s="74">
        <f>+GETPIVOTDATA("XSB4",'sonbinh (2016)'!$A$3,"MA_HT","DGT","MA_QH","LMU")</f>
        <v>0</v>
      </c>
      <c r="Q29" s="74">
        <f>+GETPIVOTDATA("XSB4",'sonbinh (2016)'!$A$3,"MA_HT","DGT","MA_QH","NKH")</f>
        <v>0</v>
      </c>
      <c r="R29" s="72">
        <f>SUM(S29:AA29,AN29:BD29)</f>
        <v>0</v>
      </c>
      <c r="S29" s="74">
        <f>+GETPIVOTDATA("XSB4",'sonbinh (2016)'!$A$3,"MA_HT","DGT","MA_QH","CQP")</f>
        <v>0</v>
      </c>
      <c r="T29" s="74">
        <f>+GETPIVOTDATA("XSB4",'sonbinh (2016)'!$A$3,"MA_HT","DGT","MA_QH","CAN")</f>
        <v>0</v>
      </c>
      <c r="U29" s="74">
        <f>+GETPIVOTDATA("XSB4",'sonbinh (2016)'!$A$3,"MA_HT","DGT","MA_QH","SKK")</f>
        <v>0</v>
      </c>
      <c r="V29" s="74">
        <f>+GETPIVOTDATA("XSB4",'sonbinh (2016)'!$A$3,"MA_HT","DGT","MA_QH","SKT")</f>
        <v>0</v>
      </c>
      <c r="W29" s="74">
        <f>+GETPIVOTDATA("XSB4",'sonbinh (2016)'!$A$3,"MA_HT","DGT","MA_QH","SKN")</f>
        <v>0</v>
      </c>
      <c r="X29" s="74">
        <f>+GETPIVOTDATA("XSB4",'sonbinh (2016)'!$A$3,"MA_HT","DGT","MA_QH","TMD")</f>
        <v>0</v>
      </c>
      <c r="Y29" s="74">
        <f>+GETPIVOTDATA("XSB4",'sonbinh (2016)'!$A$3,"MA_HT","DGT","MA_QH","SKC")</f>
        <v>0</v>
      </c>
      <c r="Z29" s="74">
        <f>+GETPIVOTDATA("XSB4",'sonbinh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+GETPIVOTDATA("XSB4",'sonbinh (2016)'!$A$3,"MA_HT","DGT","MA_QH","DTL")</f>
        <v>0</v>
      </c>
      <c r="AD29" s="74">
        <f>+GETPIVOTDATA("XSB4",'sonbinh (2016)'!$A$3,"MA_HT","DGT","MA_QH","DNL")</f>
        <v>0</v>
      </c>
      <c r="AE29" s="74">
        <f>+GETPIVOTDATA("XSB4",'sonbinh (2016)'!$A$3,"MA_HT","DGT","MA_QH","DBV")</f>
        <v>0</v>
      </c>
      <c r="AF29" s="74">
        <f>+GETPIVOTDATA("XSB4",'sonbinh (2016)'!$A$3,"MA_HT","DGT","MA_QH","DVH")</f>
        <v>0</v>
      </c>
      <c r="AG29" s="74">
        <f>+GETPIVOTDATA("XSB4",'sonbinh (2016)'!$A$3,"MA_HT","DGT","MA_QH","DYT")</f>
        <v>0</v>
      </c>
      <c r="AH29" s="74">
        <f>+GETPIVOTDATA("XSB4",'sonbinh (2016)'!$A$3,"MA_HT","DGT","MA_QH","DGD")</f>
        <v>0</v>
      </c>
      <c r="AI29" s="74">
        <f>+GETPIVOTDATA("XSB4",'sonbinh (2016)'!$A$3,"MA_HT","DGT","MA_QH","DTT")</f>
        <v>0</v>
      </c>
      <c r="AJ29" s="74">
        <f>+GETPIVOTDATA("XSB4",'sonbinh (2016)'!$A$3,"MA_HT","DGT","MA_QH","NCK")</f>
        <v>0</v>
      </c>
      <c r="AK29" s="74">
        <f>+GETPIVOTDATA("XSB4",'sonbinh (2016)'!$A$3,"MA_HT","DGT","MA_QH","DXH")</f>
        <v>0</v>
      </c>
      <c r="AL29" s="74">
        <f>+GETPIVOTDATA("XSB4",'sonbinh (2016)'!$A$3,"MA_HT","DGT","MA_QH","DCH")</f>
        <v>0</v>
      </c>
      <c r="AM29" s="74">
        <f>+GETPIVOTDATA("XSB4",'sonbinh (2016)'!$A$3,"MA_HT","DGT","MA_QH","DKG")</f>
        <v>0</v>
      </c>
      <c r="AN29" s="74">
        <f>+GETPIVOTDATA("XSB4",'sonbinh (2016)'!$A$3,"MA_HT","DGT","MA_QH","DDT")</f>
        <v>0</v>
      </c>
      <c r="AO29" s="74">
        <f>+GETPIVOTDATA("XSB4",'sonbinh (2016)'!$A$3,"MA_HT","DGT","MA_QH","DDL")</f>
        <v>0</v>
      </c>
      <c r="AP29" s="74">
        <f>+GETPIVOTDATA("XSB4",'sonbinh (2016)'!$A$3,"MA_HT","DGT","MA_QH","DRA")</f>
        <v>0</v>
      </c>
      <c r="AQ29" s="74">
        <f>+GETPIVOTDATA("XSB4",'sonbinh (2016)'!$A$3,"MA_HT","DGT","MA_QH","ONT")</f>
        <v>0</v>
      </c>
      <c r="AR29" s="74">
        <f>+GETPIVOTDATA("XSB4",'sonbinh (2016)'!$A$3,"MA_HT","DGT","MA_QH","ODT")</f>
        <v>0</v>
      </c>
      <c r="AS29" s="74">
        <f>+GETPIVOTDATA("XSB4",'sonbinh (2016)'!$A$3,"MA_HT","DGT","MA_QH","TSC")</f>
        <v>0</v>
      </c>
      <c r="AT29" s="74">
        <f>+GETPIVOTDATA("XSB4",'sonbinh (2016)'!$A$3,"MA_HT","DGT","MA_QH","DTS")</f>
        <v>0</v>
      </c>
      <c r="AU29" s="74">
        <f>+GETPIVOTDATA("XSB4",'sonbinh (2016)'!$A$3,"MA_HT","DGT","MA_QH","DNG")</f>
        <v>0</v>
      </c>
      <c r="AV29" s="74">
        <f>+GETPIVOTDATA("XSB4",'sonbinh (2016)'!$A$3,"MA_HT","DGT","MA_QH","TON")</f>
        <v>0</v>
      </c>
      <c r="AW29" s="74">
        <f>+GETPIVOTDATA("XSB4",'sonbinh (2016)'!$A$3,"MA_HT","DGT","MA_QH","NTD")</f>
        <v>0</v>
      </c>
      <c r="AX29" s="74">
        <f>+GETPIVOTDATA("XSB4",'sonbinh (2016)'!$A$3,"MA_HT","DGT","MA_QH","SKX")</f>
        <v>0</v>
      </c>
      <c r="AY29" s="74">
        <f>+GETPIVOTDATA("XSB4",'sonbinh (2016)'!$A$3,"MA_HT","DGT","MA_QH","DSH")</f>
        <v>0</v>
      </c>
      <c r="AZ29" s="74">
        <f>+GETPIVOTDATA("XSB4",'sonbinh (2016)'!$A$3,"MA_HT","DGT","MA_QH","DKV")</f>
        <v>0</v>
      </c>
      <c r="BA29" s="139">
        <f>+GETPIVOTDATA("XSB4",'sonbinh (2016)'!$A$3,"MA_HT","DGT","MA_QH","TIN")</f>
        <v>0</v>
      </c>
      <c r="BB29" s="74">
        <f>+GETPIVOTDATA("XSB4",'sonbinh (2016)'!$A$3,"MA_HT","DGT","MA_QH","SON")</f>
        <v>0</v>
      </c>
      <c r="BC29" s="74">
        <f>+GETPIVOTDATA("XSB4",'sonbinh (2016)'!$A$3,"MA_HT","DGT","MA_QH","MNC")</f>
        <v>0</v>
      </c>
      <c r="BD29" s="74">
        <f>+GETPIVOTDATA("XSB4",'sonbinh (2016)'!$A$3,"MA_HT","DGT","MA_QH","PNK")</f>
        <v>0</v>
      </c>
      <c r="BE29" s="102">
        <f>+GETPIVOTDATA("XSB4",'sonbinh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+GETPIVOTDATA("XSB4",'sonbinh (2016)'!$A$3,"MA_HT","DTL","MA_QH","LUC")</f>
        <v>0</v>
      </c>
      <c r="H30" s="74">
        <f>+GETPIVOTDATA("XSB4",'sonbinh (2016)'!$A$3,"MA_HT","DTL","MA_QH","LUK")</f>
        <v>0</v>
      </c>
      <c r="I30" s="74">
        <f>+GETPIVOTDATA("XSB4",'sonbinh (2016)'!$A$3,"MA_HT","DTL","MA_QH","LUN")</f>
        <v>0</v>
      </c>
      <c r="J30" s="74">
        <f>+GETPIVOTDATA("XSB4",'sonbinh (2016)'!$A$3,"MA_HT","DTL","MA_QH","HNK")</f>
        <v>0</v>
      </c>
      <c r="K30" s="74">
        <f>+GETPIVOTDATA("XSB4",'sonbinh (2016)'!$A$3,"MA_HT","DTL","MA_QH","CLN")</f>
        <v>0</v>
      </c>
      <c r="L30" s="74">
        <f>+GETPIVOTDATA("XSB4",'sonbinh (2016)'!$A$3,"MA_HT","DTL","MA_QH","RSX")</f>
        <v>0</v>
      </c>
      <c r="M30" s="74">
        <f>+GETPIVOTDATA("XSB4",'sonbinh (2016)'!$A$3,"MA_HT","DTL","MA_QH","RPH")</f>
        <v>0</v>
      </c>
      <c r="N30" s="74">
        <f>+GETPIVOTDATA("XSB4",'sonbinh (2016)'!$A$3,"MA_HT","DTL","MA_QH","RDD")</f>
        <v>0</v>
      </c>
      <c r="O30" s="74">
        <f>+GETPIVOTDATA("XSB4",'sonbinh (2016)'!$A$3,"MA_HT","DTL","MA_QH","NTS")</f>
        <v>0</v>
      </c>
      <c r="P30" s="74">
        <f>+GETPIVOTDATA("XSB4",'sonbinh (2016)'!$A$3,"MA_HT","DTL","MA_QH","LMU")</f>
        <v>0</v>
      </c>
      <c r="Q30" s="74">
        <f>+GETPIVOTDATA("XSB4",'sonbinh (2016)'!$A$3,"MA_HT","DTL","MA_QH","NKH")</f>
        <v>0</v>
      </c>
      <c r="R30" s="72">
        <f t="shared" ref="R30:R39" si="20">SUM(S30:AA30,AN30:BD30)</f>
        <v>0</v>
      </c>
      <c r="S30" s="74">
        <f>+GETPIVOTDATA("XSB4",'sonbinh (2016)'!$A$3,"MA_HT","DTL","MA_QH","CQP")</f>
        <v>0</v>
      </c>
      <c r="T30" s="74">
        <f>+GETPIVOTDATA("XSB4",'sonbinh (2016)'!$A$3,"MA_HT","DTL","MA_QH","CAN")</f>
        <v>0</v>
      </c>
      <c r="U30" s="74">
        <f>+GETPIVOTDATA("XSB4",'sonbinh (2016)'!$A$3,"MA_HT","DTL","MA_QH","SKK")</f>
        <v>0</v>
      </c>
      <c r="V30" s="74">
        <f>+GETPIVOTDATA("XSB4",'sonbinh (2016)'!$A$3,"MA_HT","DTL","MA_QH","SKT")</f>
        <v>0</v>
      </c>
      <c r="W30" s="74">
        <f>+GETPIVOTDATA("XSB4",'sonbinh (2016)'!$A$3,"MA_HT","DTL","MA_QH","SKN")</f>
        <v>0</v>
      </c>
      <c r="X30" s="74">
        <f>+GETPIVOTDATA("XSB4",'sonbinh (2016)'!$A$3,"MA_HT","DTL","MA_QH","TMD")</f>
        <v>0</v>
      </c>
      <c r="Y30" s="74">
        <f>+GETPIVOTDATA("XSB4",'sonbinh (2016)'!$A$3,"MA_HT","DTL","MA_QH","SKC")</f>
        <v>0</v>
      </c>
      <c r="Z30" s="74">
        <f>+GETPIVOTDATA("XSB4",'sonbinh (2016)'!$A$3,"MA_HT","DTL","MA_QH","SKS")</f>
        <v>0</v>
      </c>
      <c r="AA30" s="64">
        <f>+SUM(AB30,AD30:AM30)</f>
        <v>0</v>
      </c>
      <c r="AB30" s="74">
        <f>+GETPIVOTDATA("XSB4",'sonbinh (2016)'!$A$3,"MA_HT","DTL","MA_QH","DGT")</f>
        <v>0</v>
      </c>
      <c r="AC30" s="100" t="e">
        <f>$D30-$BF30</f>
        <v>#REF!</v>
      </c>
      <c r="AD30" s="74">
        <f>+GETPIVOTDATA("XSB4",'sonbinh (2016)'!$A$3,"MA_HT","DTL","MA_QH","DNL")</f>
        <v>0</v>
      </c>
      <c r="AE30" s="74">
        <f>+GETPIVOTDATA("XSB4",'sonbinh (2016)'!$A$3,"MA_HT","DTL","MA_QH","DBV")</f>
        <v>0</v>
      </c>
      <c r="AF30" s="74">
        <f>+GETPIVOTDATA("XSB4",'sonbinh (2016)'!$A$3,"MA_HT","DTL","MA_QH","DVH")</f>
        <v>0</v>
      </c>
      <c r="AG30" s="74">
        <f>+GETPIVOTDATA("XSB4",'sonbinh (2016)'!$A$3,"MA_HT","DTL","MA_QH","DYT")</f>
        <v>0</v>
      </c>
      <c r="AH30" s="74">
        <f>+GETPIVOTDATA("XSB4",'sonbinh (2016)'!$A$3,"MA_HT","DTL","MA_QH","DGD")</f>
        <v>0</v>
      </c>
      <c r="AI30" s="74">
        <f>+GETPIVOTDATA("XSB4",'sonbinh (2016)'!$A$3,"MA_HT","DTL","MA_QH","DTT")</f>
        <v>0</v>
      </c>
      <c r="AJ30" s="74">
        <f>+GETPIVOTDATA("XSB4",'sonbinh (2016)'!$A$3,"MA_HT","DTL","MA_QH","NCK")</f>
        <v>0</v>
      </c>
      <c r="AK30" s="74">
        <f>+GETPIVOTDATA("XSB4",'sonbinh (2016)'!$A$3,"MA_HT","DTL","MA_QH","DXH")</f>
        <v>0</v>
      </c>
      <c r="AL30" s="74">
        <f>+GETPIVOTDATA("XSB4",'sonbinh (2016)'!$A$3,"MA_HT","DTL","MA_QH","DCH")</f>
        <v>0</v>
      </c>
      <c r="AM30" s="74">
        <f>+GETPIVOTDATA("XSB4",'sonbinh (2016)'!$A$3,"MA_HT","DTL","MA_QH","DKG")</f>
        <v>0</v>
      </c>
      <c r="AN30" s="74">
        <f>+GETPIVOTDATA("XSB4",'sonbinh (2016)'!$A$3,"MA_HT","DTL","MA_QH","DDT")</f>
        <v>0</v>
      </c>
      <c r="AO30" s="74">
        <f>+GETPIVOTDATA("XSB4",'sonbinh (2016)'!$A$3,"MA_HT","DTL","MA_QH","DDL")</f>
        <v>0</v>
      </c>
      <c r="AP30" s="74">
        <f>+GETPIVOTDATA("XSB4",'sonbinh (2016)'!$A$3,"MA_HT","DTL","MA_QH","DRA")</f>
        <v>0</v>
      </c>
      <c r="AQ30" s="74">
        <f>+GETPIVOTDATA("XSB4",'sonbinh (2016)'!$A$3,"MA_HT","DTL","MA_QH","ONT")</f>
        <v>0</v>
      </c>
      <c r="AR30" s="74">
        <f>+GETPIVOTDATA("XSB4",'sonbinh (2016)'!$A$3,"MA_HT","DTL","MA_QH","ODT")</f>
        <v>0</v>
      </c>
      <c r="AS30" s="74">
        <f>+GETPIVOTDATA("XSB4",'sonbinh (2016)'!$A$3,"MA_HT","DTL","MA_QH","TSC")</f>
        <v>0</v>
      </c>
      <c r="AT30" s="74">
        <f>+GETPIVOTDATA("XSB4",'sonbinh (2016)'!$A$3,"MA_HT","DTL","MA_QH","DTS")</f>
        <v>0</v>
      </c>
      <c r="AU30" s="74">
        <f>+GETPIVOTDATA("XSB4",'sonbinh (2016)'!$A$3,"MA_HT","DTL","MA_QH","DNG")</f>
        <v>0</v>
      </c>
      <c r="AV30" s="74">
        <f>+GETPIVOTDATA("XSB4",'sonbinh (2016)'!$A$3,"MA_HT","DTL","MA_QH","TON")</f>
        <v>0</v>
      </c>
      <c r="AW30" s="74">
        <f>+GETPIVOTDATA("XSB4",'sonbinh (2016)'!$A$3,"MA_HT","DTL","MA_QH","NTD")</f>
        <v>0</v>
      </c>
      <c r="AX30" s="74">
        <f>+GETPIVOTDATA("XSB4",'sonbinh (2016)'!$A$3,"MA_HT","DTL","MA_QH","SKX")</f>
        <v>0</v>
      </c>
      <c r="AY30" s="74">
        <f>+GETPIVOTDATA("XSB4",'sonbinh (2016)'!$A$3,"MA_HT","DTL","MA_QH","DSH")</f>
        <v>0</v>
      </c>
      <c r="AZ30" s="74">
        <f>+GETPIVOTDATA("XSB4",'sonbinh (2016)'!$A$3,"MA_HT","DTL","MA_QH","DKV")</f>
        <v>0</v>
      </c>
      <c r="BA30" s="139">
        <f>+GETPIVOTDATA("XSB4",'sonbinh (2016)'!$A$3,"MA_HT","DTL","MA_QH","TIN")</f>
        <v>0</v>
      </c>
      <c r="BB30" s="74">
        <f>+GETPIVOTDATA("XSB4",'sonbinh (2016)'!$A$3,"MA_HT","DTL","MA_QH","SON")</f>
        <v>0</v>
      </c>
      <c r="BC30" s="74">
        <f>+GETPIVOTDATA("XSB4",'sonbinh (2016)'!$A$3,"MA_HT","DTL","MA_QH","MNC")</f>
        <v>0</v>
      </c>
      <c r="BD30" s="74">
        <f>+GETPIVOTDATA("XSB4",'sonbinh (2016)'!$A$3,"MA_HT","DTL","MA_QH","PNK")</f>
        <v>0</v>
      </c>
      <c r="BE30" s="102">
        <f>+GETPIVOTDATA("XSB4",'sonbinh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+GETPIVOTDATA("XSB4",'sonbinh (2016)'!$A$3,"MA_HT","DNL","MA_QH","LUC")</f>
        <v>0</v>
      </c>
      <c r="H31" s="74">
        <f>+GETPIVOTDATA("XSB4",'sonbinh (2016)'!$A$3,"MA_HT","DNL","MA_QH","LUK")</f>
        <v>0</v>
      </c>
      <c r="I31" s="74">
        <f>+GETPIVOTDATA("XSB4",'sonbinh (2016)'!$A$3,"MA_HT","DNL","MA_QH","LUN")</f>
        <v>0</v>
      </c>
      <c r="J31" s="74">
        <f>+GETPIVOTDATA("XSB4",'sonbinh (2016)'!$A$3,"MA_HT","DNL","MA_QH","HNK")</f>
        <v>0</v>
      </c>
      <c r="K31" s="74">
        <f>+GETPIVOTDATA("XSB4",'sonbinh (2016)'!$A$3,"MA_HT","DNL","MA_QH","CLN")</f>
        <v>0</v>
      </c>
      <c r="L31" s="74">
        <f>+GETPIVOTDATA("XSB4",'sonbinh (2016)'!$A$3,"MA_HT","DNL","MA_QH","RSX")</f>
        <v>0</v>
      </c>
      <c r="M31" s="74">
        <f>+GETPIVOTDATA("XSB4",'sonbinh (2016)'!$A$3,"MA_HT","DNL","MA_QH","RPH")</f>
        <v>0</v>
      </c>
      <c r="N31" s="74">
        <f>+GETPIVOTDATA("XSB4",'sonbinh (2016)'!$A$3,"MA_HT","DNL","MA_QH","RDD")</f>
        <v>0</v>
      </c>
      <c r="O31" s="74">
        <f>+GETPIVOTDATA("XSB4",'sonbinh (2016)'!$A$3,"MA_HT","DNL","MA_QH","NTS")</f>
        <v>0</v>
      </c>
      <c r="P31" s="74">
        <f>+GETPIVOTDATA("XSB4",'sonbinh (2016)'!$A$3,"MA_HT","DNL","MA_QH","LMU")</f>
        <v>0</v>
      </c>
      <c r="Q31" s="74">
        <f>+GETPIVOTDATA("XSB4",'sonbinh (2016)'!$A$3,"MA_HT","DNL","MA_QH","NKH")</f>
        <v>0</v>
      </c>
      <c r="R31" s="72">
        <f t="shared" si="20"/>
        <v>0</v>
      </c>
      <c r="S31" s="74">
        <f>+GETPIVOTDATA("XSB4",'sonbinh (2016)'!$A$3,"MA_HT","DNL","MA_QH","CQP")</f>
        <v>0</v>
      </c>
      <c r="T31" s="74">
        <f>+GETPIVOTDATA("XSB4",'sonbinh (2016)'!$A$3,"MA_HT","DNL","MA_QH","CAN")</f>
        <v>0</v>
      </c>
      <c r="U31" s="74">
        <f>+GETPIVOTDATA("XSB4",'sonbinh (2016)'!$A$3,"MA_HT","DNL","MA_QH","SKK")</f>
        <v>0</v>
      </c>
      <c r="V31" s="74">
        <f>+GETPIVOTDATA("XSB4",'sonbinh (2016)'!$A$3,"MA_HT","DNL","MA_QH","SKT")</f>
        <v>0</v>
      </c>
      <c r="W31" s="74">
        <f>+GETPIVOTDATA("XSB4",'sonbinh (2016)'!$A$3,"MA_HT","DNL","MA_QH","SKN")</f>
        <v>0</v>
      </c>
      <c r="X31" s="74">
        <f>+GETPIVOTDATA("XSB4",'sonbinh (2016)'!$A$3,"MA_HT","DNL","MA_QH","TMD")</f>
        <v>0</v>
      </c>
      <c r="Y31" s="74">
        <f>+GETPIVOTDATA("XSB4",'sonbinh (2016)'!$A$3,"MA_HT","DNL","MA_QH","SKC")</f>
        <v>0</v>
      </c>
      <c r="Z31" s="74">
        <f>+GETPIVOTDATA("XSB4",'sonbinh (2016)'!$A$3,"MA_HT","DNL","MA_QH","SKS")</f>
        <v>0</v>
      </c>
      <c r="AA31" s="64">
        <f>+SUM(AB31:AC31,AE31:AM31)</f>
        <v>0</v>
      </c>
      <c r="AB31" s="74">
        <f>+GETPIVOTDATA("XSB4",'sonbinh (2016)'!$A$3,"MA_HT","DNL","MA_QH","DGT")</f>
        <v>0</v>
      </c>
      <c r="AC31" s="74">
        <f>+GETPIVOTDATA("XSB4",'sonbinh (2016)'!$A$3,"MA_HT","DNL","MA_QH","DTL")</f>
        <v>0</v>
      </c>
      <c r="AD31" s="100" t="e">
        <f>$D31-$BF31</f>
        <v>#REF!</v>
      </c>
      <c r="AE31" s="74">
        <f>+GETPIVOTDATA("XSB4",'sonbinh (2016)'!$A$3,"MA_HT","DNL","MA_QH","DBV")</f>
        <v>0</v>
      </c>
      <c r="AF31" s="74">
        <f>+GETPIVOTDATA("XSB4",'sonbinh (2016)'!$A$3,"MA_HT","DNL","MA_QH","DVH")</f>
        <v>0</v>
      </c>
      <c r="AG31" s="74">
        <f>+GETPIVOTDATA("XSB4",'sonbinh (2016)'!$A$3,"MA_HT","DNL","MA_QH","DYT")</f>
        <v>0</v>
      </c>
      <c r="AH31" s="74">
        <f>+GETPIVOTDATA("XSB4",'sonbinh (2016)'!$A$3,"MA_HT","DNL","MA_QH","DGD")</f>
        <v>0</v>
      </c>
      <c r="AI31" s="74">
        <f>+GETPIVOTDATA("XSB4",'sonbinh (2016)'!$A$3,"MA_HT","DNL","MA_QH","DTT")</f>
        <v>0</v>
      </c>
      <c r="AJ31" s="74">
        <f>+GETPIVOTDATA("XSB4",'sonbinh (2016)'!$A$3,"MA_HT","DNL","MA_QH","NCK")</f>
        <v>0</v>
      </c>
      <c r="AK31" s="74">
        <f>+GETPIVOTDATA("XSB4",'sonbinh (2016)'!$A$3,"MA_HT","DNL","MA_QH","DXH")</f>
        <v>0</v>
      </c>
      <c r="AL31" s="74">
        <f>+GETPIVOTDATA("XSB4",'sonbinh (2016)'!$A$3,"MA_HT","DNL","MA_QH","DCH")</f>
        <v>0</v>
      </c>
      <c r="AM31" s="74">
        <f>+GETPIVOTDATA("XSB4",'sonbinh (2016)'!$A$3,"MA_HT","DNL","MA_QH","DKG")</f>
        <v>0</v>
      </c>
      <c r="AN31" s="74">
        <f>+GETPIVOTDATA("XSB4",'sonbinh (2016)'!$A$3,"MA_HT","DNL","MA_QH","DDT")</f>
        <v>0</v>
      </c>
      <c r="AO31" s="74">
        <f>+GETPIVOTDATA("XSB4",'sonbinh (2016)'!$A$3,"MA_HT","DNL","MA_QH","DDL")</f>
        <v>0</v>
      </c>
      <c r="AP31" s="74">
        <f>+GETPIVOTDATA("XSB4",'sonbinh (2016)'!$A$3,"MA_HT","DNL","MA_QH","DRA")</f>
        <v>0</v>
      </c>
      <c r="AQ31" s="74">
        <f>+GETPIVOTDATA("XSB4",'sonbinh (2016)'!$A$3,"MA_HT","DNL","MA_QH","ONT")</f>
        <v>0</v>
      </c>
      <c r="AR31" s="74">
        <f>+GETPIVOTDATA("XSB4",'sonbinh (2016)'!$A$3,"MA_HT","DNL","MA_QH","ODT")</f>
        <v>0</v>
      </c>
      <c r="AS31" s="74">
        <f>+GETPIVOTDATA("XSB4",'sonbinh (2016)'!$A$3,"MA_HT","DNL","MA_QH","TSC")</f>
        <v>0</v>
      </c>
      <c r="AT31" s="74">
        <f>+GETPIVOTDATA("XSB4",'sonbinh (2016)'!$A$3,"MA_HT","DNL","MA_QH","DTS")</f>
        <v>0</v>
      </c>
      <c r="AU31" s="74">
        <f>+GETPIVOTDATA("XSB4",'sonbinh (2016)'!$A$3,"MA_HT","DNL","MA_QH","DNG")</f>
        <v>0</v>
      </c>
      <c r="AV31" s="74">
        <f>+GETPIVOTDATA("XSB4",'sonbinh (2016)'!$A$3,"MA_HT","DNL","MA_QH","TON")</f>
        <v>0</v>
      </c>
      <c r="AW31" s="74">
        <f>+GETPIVOTDATA("XSB4",'sonbinh (2016)'!$A$3,"MA_HT","DNL","MA_QH","NTD")</f>
        <v>0</v>
      </c>
      <c r="AX31" s="74">
        <f>+GETPIVOTDATA("XSB4",'sonbinh (2016)'!$A$3,"MA_HT","DNL","MA_QH","SKX")</f>
        <v>0</v>
      </c>
      <c r="AY31" s="74">
        <f>+GETPIVOTDATA("XSB4",'sonbinh (2016)'!$A$3,"MA_HT","DNL","MA_QH","DSH")</f>
        <v>0</v>
      </c>
      <c r="AZ31" s="74">
        <f>+GETPIVOTDATA("XSB4",'sonbinh (2016)'!$A$3,"MA_HT","DNL","MA_QH","DKV")</f>
        <v>0</v>
      </c>
      <c r="BA31" s="139">
        <f>+GETPIVOTDATA("XSB4",'sonbinh (2016)'!$A$3,"MA_HT","DNL","MA_QH","TIN")</f>
        <v>0</v>
      </c>
      <c r="BB31" s="74">
        <f>+GETPIVOTDATA("XSB4",'sonbinh (2016)'!$A$3,"MA_HT","DNL","MA_QH","SON")</f>
        <v>0</v>
      </c>
      <c r="BC31" s="74">
        <f>+GETPIVOTDATA("XSB4",'sonbinh (2016)'!$A$3,"MA_HT","DNL","MA_QH","MNC")</f>
        <v>0</v>
      </c>
      <c r="BD31" s="74">
        <f>+GETPIVOTDATA("XSB4",'sonbinh (2016)'!$A$3,"MA_HT","DNL","MA_QH","PNK")</f>
        <v>0</v>
      </c>
      <c r="BE31" s="102">
        <f>+GETPIVOTDATA("XSB4",'sonbinh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+GETPIVOTDATA("XSB4",'sonbinh (2016)'!$A$3,"MA_HT","DBV","MA_QH","LUC")</f>
        <v>0</v>
      </c>
      <c r="H32" s="74">
        <f>+GETPIVOTDATA("XSB4",'sonbinh (2016)'!$A$3,"MA_HT","DBV","MA_QH","LUK")</f>
        <v>0</v>
      </c>
      <c r="I32" s="74">
        <f>+GETPIVOTDATA("XSB4",'sonbinh (2016)'!$A$3,"MA_HT","DBV","MA_QH","LUN")</f>
        <v>0</v>
      </c>
      <c r="J32" s="74">
        <f>+GETPIVOTDATA("XSB4",'sonbinh (2016)'!$A$3,"MA_HT","DBV","MA_QH","HNK")</f>
        <v>0</v>
      </c>
      <c r="K32" s="74">
        <f>+GETPIVOTDATA("XSB4",'sonbinh (2016)'!$A$3,"MA_HT","DBV","MA_QH","CLN")</f>
        <v>0</v>
      </c>
      <c r="L32" s="74">
        <f>+GETPIVOTDATA("XSB4",'sonbinh (2016)'!$A$3,"MA_HT","DBV","MA_QH","RSX")</f>
        <v>0</v>
      </c>
      <c r="M32" s="74">
        <f>+GETPIVOTDATA("XSB4",'sonbinh (2016)'!$A$3,"MA_HT","DBV","MA_QH","RPH")</f>
        <v>0</v>
      </c>
      <c r="N32" s="74">
        <f>+GETPIVOTDATA("XSB4",'sonbinh (2016)'!$A$3,"MA_HT","DBV","MA_QH","RDD")</f>
        <v>0</v>
      </c>
      <c r="O32" s="74">
        <f>+GETPIVOTDATA("XSB4",'sonbinh (2016)'!$A$3,"MA_HT","DBV","MA_QH","NTS")</f>
        <v>0</v>
      </c>
      <c r="P32" s="74">
        <f>+GETPIVOTDATA("XSB4",'sonbinh (2016)'!$A$3,"MA_HT","DBV","MA_QH","LMU")</f>
        <v>0</v>
      </c>
      <c r="Q32" s="74">
        <f>+GETPIVOTDATA("XSB4",'sonbinh (2016)'!$A$3,"MA_HT","DBV","MA_QH","NKH")</f>
        <v>0</v>
      </c>
      <c r="R32" s="72">
        <f t="shared" si="20"/>
        <v>0</v>
      </c>
      <c r="S32" s="74">
        <f>+GETPIVOTDATA("XSB4",'sonbinh (2016)'!$A$3,"MA_HT","DBV","MA_QH","CQP")</f>
        <v>0</v>
      </c>
      <c r="T32" s="74">
        <f>+GETPIVOTDATA("XSB4",'sonbinh (2016)'!$A$3,"MA_HT","DBV","MA_QH","CAN")</f>
        <v>0</v>
      </c>
      <c r="U32" s="74">
        <f>+GETPIVOTDATA("XSB4",'sonbinh (2016)'!$A$3,"MA_HT","DBV","MA_QH","SKK")</f>
        <v>0</v>
      </c>
      <c r="V32" s="74">
        <f>+GETPIVOTDATA("XSB4",'sonbinh (2016)'!$A$3,"MA_HT","DBV","MA_QH","SKT")</f>
        <v>0</v>
      </c>
      <c r="W32" s="74">
        <f>+GETPIVOTDATA("XSB4",'sonbinh (2016)'!$A$3,"MA_HT","DBV","MA_QH","SKN")</f>
        <v>0</v>
      </c>
      <c r="X32" s="74">
        <f>+GETPIVOTDATA("XSB4",'sonbinh (2016)'!$A$3,"MA_HT","DBV","MA_QH","TMD")</f>
        <v>0</v>
      </c>
      <c r="Y32" s="74">
        <f>+GETPIVOTDATA("XSB4",'sonbinh (2016)'!$A$3,"MA_HT","DBV","MA_QH","SKC")</f>
        <v>0</v>
      </c>
      <c r="Z32" s="74">
        <f>+GETPIVOTDATA("XSB4",'sonbinh (2016)'!$A$3,"MA_HT","DBV","MA_QH","SKS")</f>
        <v>0</v>
      </c>
      <c r="AA32" s="64">
        <f>+SUM(AB32:AD32,AF32:AM32)</f>
        <v>0</v>
      </c>
      <c r="AB32" s="74">
        <f>+GETPIVOTDATA("XSB4",'sonbinh (2016)'!$A$3,"MA_HT","DBV","MA_QH","DGT")</f>
        <v>0</v>
      </c>
      <c r="AC32" s="74">
        <f>+GETPIVOTDATA("XSB4",'sonbinh (2016)'!$A$3,"MA_HT","DBV","MA_QH","DTL")</f>
        <v>0</v>
      </c>
      <c r="AD32" s="74">
        <f>+GETPIVOTDATA("XSB4",'sonbinh (2016)'!$A$3,"MA_HT","DBV","MA_QH","DNL")</f>
        <v>0</v>
      </c>
      <c r="AE32" s="100" t="e">
        <f>$D32-$BF32</f>
        <v>#REF!</v>
      </c>
      <c r="AF32" s="74">
        <f>+GETPIVOTDATA("XSB4",'sonbinh (2016)'!$A$3,"MA_HT","DBV","MA_QH","DVH")</f>
        <v>0</v>
      </c>
      <c r="AG32" s="74">
        <f>+GETPIVOTDATA("XSB4",'sonbinh (2016)'!$A$3,"MA_HT","DBV","MA_QH","DYT")</f>
        <v>0</v>
      </c>
      <c r="AH32" s="74">
        <f>+GETPIVOTDATA("XSB4",'sonbinh (2016)'!$A$3,"MA_HT","DBV","MA_QH","DGD")</f>
        <v>0</v>
      </c>
      <c r="AI32" s="74">
        <f>+GETPIVOTDATA("XSB4",'sonbinh (2016)'!$A$3,"MA_HT","DBV","MA_QH","DTT")</f>
        <v>0</v>
      </c>
      <c r="AJ32" s="74">
        <f>+GETPIVOTDATA("XSB4",'sonbinh (2016)'!$A$3,"MA_HT","DBV","MA_QH","NCK")</f>
        <v>0</v>
      </c>
      <c r="AK32" s="74">
        <f>+GETPIVOTDATA("XSB4",'sonbinh (2016)'!$A$3,"MA_HT","DBV","MA_QH","DXH")</f>
        <v>0</v>
      </c>
      <c r="AL32" s="74">
        <f>+GETPIVOTDATA("XSB4",'sonbinh (2016)'!$A$3,"MA_HT","DBV","MA_QH","DCH")</f>
        <v>0</v>
      </c>
      <c r="AM32" s="74">
        <f>+GETPIVOTDATA("XSB4",'sonbinh (2016)'!$A$3,"MA_HT","DBV","MA_QH","DKG")</f>
        <v>0</v>
      </c>
      <c r="AN32" s="74">
        <f>+GETPIVOTDATA("XSB4",'sonbinh (2016)'!$A$3,"MA_HT","DBV","MA_QH","DDT")</f>
        <v>0</v>
      </c>
      <c r="AO32" s="74">
        <f>+GETPIVOTDATA("XSB4",'sonbinh (2016)'!$A$3,"MA_HT","DBV","MA_QH","DDL")</f>
        <v>0</v>
      </c>
      <c r="AP32" s="74">
        <f>+GETPIVOTDATA("XSB4",'sonbinh (2016)'!$A$3,"MA_HT","DBV","MA_QH","DRA")</f>
        <v>0</v>
      </c>
      <c r="AQ32" s="74">
        <f>+GETPIVOTDATA("XSB4",'sonbinh (2016)'!$A$3,"MA_HT","DBV","MA_QH","ONT")</f>
        <v>0</v>
      </c>
      <c r="AR32" s="74">
        <f>+GETPIVOTDATA("XSB4",'sonbinh (2016)'!$A$3,"MA_HT","DBV","MA_QH","ODT")</f>
        <v>0</v>
      </c>
      <c r="AS32" s="74">
        <f>+GETPIVOTDATA("XSB4",'sonbinh (2016)'!$A$3,"MA_HT","DBV","MA_QH","TSC")</f>
        <v>0</v>
      </c>
      <c r="AT32" s="74">
        <f>+GETPIVOTDATA("XSB4",'sonbinh (2016)'!$A$3,"MA_HT","DBV","MA_QH","DTS")</f>
        <v>0</v>
      </c>
      <c r="AU32" s="74">
        <f>+GETPIVOTDATA("XSB4",'sonbinh (2016)'!$A$3,"MA_HT","DBV","MA_QH","DNG")</f>
        <v>0</v>
      </c>
      <c r="AV32" s="74">
        <f>+GETPIVOTDATA("XSB4",'sonbinh (2016)'!$A$3,"MA_HT","DBV","MA_QH","TON")</f>
        <v>0</v>
      </c>
      <c r="AW32" s="74">
        <f>+GETPIVOTDATA("XSB4",'sonbinh (2016)'!$A$3,"MA_HT","DBV","MA_QH","NTD")</f>
        <v>0</v>
      </c>
      <c r="AX32" s="74">
        <f>+GETPIVOTDATA("XSB4",'sonbinh (2016)'!$A$3,"MA_HT","DBV","MA_QH","SKX")</f>
        <v>0</v>
      </c>
      <c r="AY32" s="74">
        <f>+GETPIVOTDATA("XSB4",'sonbinh (2016)'!$A$3,"MA_HT","DBV","MA_QH","DSH")</f>
        <v>0</v>
      </c>
      <c r="AZ32" s="74">
        <f>+GETPIVOTDATA("XSB4",'sonbinh (2016)'!$A$3,"MA_HT","DBV","MA_QH","DKV")</f>
        <v>0</v>
      </c>
      <c r="BA32" s="139">
        <f>+GETPIVOTDATA("XSB4",'sonbinh (2016)'!$A$3,"MA_HT","DBV","MA_QH","TIN")</f>
        <v>0</v>
      </c>
      <c r="BB32" s="74">
        <f>+GETPIVOTDATA("XSB4",'sonbinh (2016)'!$A$3,"MA_HT","DBV","MA_QH","SON")</f>
        <v>0</v>
      </c>
      <c r="BC32" s="74">
        <f>+GETPIVOTDATA("XSB4",'sonbinh (2016)'!$A$3,"MA_HT","DBV","MA_QH","MNC")</f>
        <v>0</v>
      </c>
      <c r="BD32" s="74">
        <f>+GETPIVOTDATA("XSB4",'sonbinh (2016)'!$A$3,"MA_HT","DBV","MA_QH","PNK")</f>
        <v>0</v>
      </c>
      <c r="BE32" s="102">
        <f>+GETPIVOTDATA("XSB4",'sonbinh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+GETPIVOTDATA("XSB4",'sonbinh (2016)'!$A$3,"MA_HT","DVH","MA_QH","LUC")</f>
        <v>0</v>
      </c>
      <c r="H33" s="74">
        <f>+GETPIVOTDATA("XSB4",'sonbinh (2016)'!$A$3,"MA_HT","DVH","MA_QH","LUK")</f>
        <v>0</v>
      </c>
      <c r="I33" s="74">
        <f>+GETPIVOTDATA("XSB4",'sonbinh (2016)'!$A$3,"MA_HT","DVH","MA_QH","LUN")</f>
        <v>0</v>
      </c>
      <c r="J33" s="74">
        <f>+GETPIVOTDATA("XSB4",'sonbinh (2016)'!$A$3,"MA_HT","DVH","MA_QH","HNK")</f>
        <v>0</v>
      </c>
      <c r="K33" s="74">
        <f>+GETPIVOTDATA("XSB4",'sonbinh (2016)'!$A$3,"MA_HT","DVH","MA_QH","CLN")</f>
        <v>0</v>
      </c>
      <c r="L33" s="74">
        <f>+GETPIVOTDATA("XSB4",'sonbinh (2016)'!$A$3,"MA_HT","DVH","MA_QH","RSX")</f>
        <v>0</v>
      </c>
      <c r="M33" s="74">
        <f>+GETPIVOTDATA("XSB4",'sonbinh (2016)'!$A$3,"MA_HT","DVH","MA_QH","RPH")</f>
        <v>0</v>
      </c>
      <c r="N33" s="74">
        <f>+GETPIVOTDATA("XSB4",'sonbinh (2016)'!$A$3,"MA_HT","DVH","MA_QH","RDD")</f>
        <v>0</v>
      </c>
      <c r="O33" s="74">
        <f>+GETPIVOTDATA("XSB4",'sonbinh (2016)'!$A$3,"MA_HT","DVH","MA_QH","NTS")</f>
        <v>0</v>
      </c>
      <c r="P33" s="74">
        <f>+GETPIVOTDATA("XSB4",'sonbinh (2016)'!$A$3,"MA_HT","DVH","MA_QH","LMU")</f>
        <v>0</v>
      </c>
      <c r="Q33" s="74">
        <f>+GETPIVOTDATA("XSB4",'sonbinh (2016)'!$A$3,"MA_HT","DVH","MA_QH","NKH")</f>
        <v>0</v>
      </c>
      <c r="R33" s="72">
        <f t="shared" si="20"/>
        <v>0</v>
      </c>
      <c r="S33" s="74">
        <f>+GETPIVOTDATA("XSB4",'sonbinh (2016)'!$A$3,"MA_HT","DVH","MA_QH","CQP")</f>
        <v>0</v>
      </c>
      <c r="T33" s="74">
        <f>+GETPIVOTDATA("XSB4",'sonbinh (2016)'!$A$3,"MA_HT","DVH","MA_QH","CAN")</f>
        <v>0</v>
      </c>
      <c r="U33" s="74">
        <f>+GETPIVOTDATA("XSB4",'sonbinh (2016)'!$A$3,"MA_HT","DVH","MA_QH","SKK")</f>
        <v>0</v>
      </c>
      <c r="V33" s="74">
        <f>+GETPIVOTDATA("XSB4",'sonbinh (2016)'!$A$3,"MA_HT","DVH","MA_QH","SKT")</f>
        <v>0</v>
      </c>
      <c r="W33" s="74">
        <f>+GETPIVOTDATA("XSB4",'sonbinh (2016)'!$A$3,"MA_HT","DVH","MA_QH","SKN")</f>
        <v>0</v>
      </c>
      <c r="X33" s="74">
        <f>+GETPIVOTDATA("XSB4",'sonbinh (2016)'!$A$3,"MA_HT","DVH","MA_QH","TMD")</f>
        <v>0</v>
      </c>
      <c r="Y33" s="74">
        <f>+GETPIVOTDATA("XSB4",'sonbinh (2016)'!$A$3,"MA_HT","DVH","MA_QH","SKC")</f>
        <v>0</v>
      </c>
      <c r="Z33" s="74">
        <f>+GETPIVOTDATA("XSB4",'sonbinh (2016)'!$A$3,"MA_HT","DVH","MA_QH","SKS")</f>
        <v>0</v>
      </c>
      <c r="AA33" s="64">
        <f>+SUM(AB33:AE33,AG33:AM33)</f>
        <v>0</v>
      </c>
      <c r="AB33" s="74">
        <f>+GETPIVOTDATA("XSB4",'sonbinh (2016)'!$A$3,"MA_HT","DVH","MA_QH","DGT")</f>
        <v>0</v>
      </c>
      <c r="AC33" s="74">
        <f>+GETPIVOTDATA("XSB4",'sonbinh (2016)'!$A$3,"MA_HT","DVH","MA_QH","DTL")</f>
        <v>0</v>
      </c>
      <c r="AD33" s="74">
        <f>+GETPIVOTDATA("XSB4",'sonbinh (2016)'!$A$3,"MA_HT","DVH","MA_QH","DNL")</f>
        <v>0</v>
      </c>
      <c r="AE33" s="74">
        <f>+GETPIVOTDATA("XSB4",'sonbinh (2016)'!$A$3,"MA_HT","DVH","MA_QH","DBV")</f>
        <v>0</v>
      </c>
      <c r="AF33" s="100" t="e">
        <f>$D33-$BF33</f>
        <v>#REF!</v>
      </c>
      <c r="AG33" s="74">
        <f>+GETPIVOTDATA("XSB4",'sonbinh (2016)'!$A$3,"MA_HT","DVH","MA_QH","DYT")</f>
        <v>0</v>
      </c>
      <c r="AH33" s="74">
        <f>+GETPIVOTDATA("XSB4",'sonbinh (2016)'!$A$3,"MA_HT","DVH","MA_QH","DGD")</f>
        <v>0</v>
      </c>
      <c r="AI33" s="74">
        <f>+GETPIVOTDATA("XSB4",'sonbinh (2016)'!$A$3,"MA_HT","DVH","MA_QH","DTT")</f>
        <v>0</v>
      </c>
      <c r="AJ33" s="74">
        <f>+GETPIVOTDATA("XSB4",'sonbinh (2016)'!$A$3,"MA_HT","DVH","MA_QH","NCK")</f>
        <v>0</v>
      </c>
      <c r="AK33" s="74">
        <f>+GETPIVOTDATA("XSB4",'sonbinh (2016)'!$A$3,"MA_HT","DVH","MA_QH","DXH")</f>
        <v>0</v>
      </c>
      <c r="AL33" s="74">
        <f>+GETPIVOTDATA("XSB4",'sonbinh (2016)'!$A$3,"MA_HT","DVH","MA_QH","DCH")</f>
        <v>0</v>
      </c>
      <c r="AM33" s="74">
        <f>+GETPIVOTDATA("XSB4",'sonbinh (2016)'!$A$3,"MA_HT","DVH","MA_QH","DKG")</f>
        <v>0</v>
      </c>
      <c r="AN33" s="74">
        <f>+GETPIVOTDATA("XSB4",'sonbinh (2016)'!$A$3,"MA_HT","DVH","MA_QH","DDT")</f>
        <v>0</v>
      </c>
      <c r="AO33" s="74">
        <f>+GETPIVOTDATA("XSB4",'sonbinh (2016)'!$A$3,"MA_HT","DVH","MA_QH","DDL")</f>
        <v>0</v>
      </c>
      <c r="AP33" s="74">
        <f>+GETPIVOTDATA("XSB4",'sonbinh (2016)'!$A$3,"MA_HT","DVH","MA_QH","DRA")</f>
        <v>0</v>
      </c>
      <c r="AQ33" s="74">
        <f>+GETPIVOTDATA("XSB4",'sonbinh (2016)'!$A$3,"MA_HT","DVH","MA_QH","ONT")</f>
        <v>0</v>
      </c>
      <c r="AR33" s="74">
        <f>+GETPIVOTDATA("XSB4",'sonbinh (2016)'!$A$3,"MA_HT","DVH","MA_QH","ODT")</f>
        <v>0</v>
      </c>
      <c r="AS33" s="74">
        <f>+GETPIVOTDATA("XSB4",'sonbinh (2016)'!$A$3,"MA_HT","DVH","MA_QH","TSC")</f>
        <v>0</v>
      </c>
      <c r="AT33" s="74">
        <f>+GETPIVOTDATA("XSB4",'sonbinh (2016)'!$A$3,"MA_HT","DVH","MA_QH","DTS")</f>
        <v>0</v>
      </c>
      <c r="AU33" s="74">
        <f>+GETPIVOTDATA("XSB4",'sonbinh (2016)'!$A$3,"MA_HT","DVH","MA_QH","DNG")</f>
        <v>0</v>
      </c>
      <c r="AV33" s="74">
        <f>+GETPIVOTDATA("XSB4",'sonbinh (2016)'!$A$3,"MA_HT","DVH","MA_QH","TON")</f>
        <v>0</v>
      </c>
      <c r="AW33" s="74">
        <f>+GETPIVOTDATA("XSB4",'sonbinh (2016)'!$A$3,"MA_HT","DVH","MA_QH","NTD")</f>
        <v>0</v>
      </c>
      <c r="AX33" s="74">
        <f>+GETPIVOTDATA("XSB4",'sonbinh (2016)'!$A$3,"MA_HT","DVH","MA_QH","SKX")</f>
        <v>0</v>
      </c>
      <c r="AY33" s="74">
        <f>+GETPIVOTDATA("XSB4",'sonbinh (2016)'!$A$3,"MA_HT","DVH","MA_QH","DSH")</f>
        <v>0</v>
      </c>
      <c r="AZ33" s="74">
        <f>+GETPIVOTDATA("XSB4",'sonbinh (2016)'!$A$3,"MA_HT","DVH","MA_QH","DKV")</f>
        <v>0</v>
      </c>
      <c r="BA33" s="139">
        <f>+GETPIVOTDATA("XSB4",'sonbinh (2016)'!$A$3,"MA_HT","DVH","MA_QH","TIN")</f>
        <v>0</v>
      </c>
      <c r="BB33" s="74">
        <f>+GETPIVOTDATA("XSB4",'sonbinh (2016)'!$A$3,"MA_HT","DVH","MA_QH","SON")</f>
        <v>0</v>
      </c>
      <c r="BC33" s="74">
        <f>+GETPIVOTDATA("XSB4",'sonbinh (2016)'!$A$3,"MA_HT","DVH","MA_QH","MNC")</f>
        <v>0</v>
      </c>
      <c r="BD33" s="74">
        <f>+GETPIVOTDATA("XSB4",'sonbinh (2016)'!$A$3,"MA_HT","DVH","MA_QH","PNK")</f>
        <v>0</v>
      </c>
      <c r="BE33" s="102">
        <f>+GETPIVOTDATA("XSB4",'sonbinh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+GETPIVOTDATA("XSB4",'sonbinh (2016)'!$A$3,"MA_HT","DYT","MA_QH","LUC")</f>
        <v>0</v>
      </c>
      <c r="H34" s="74">
        <f>+GETPIVOTDATA("XSB4",'sonbinh (2016)'!$A$3,"MA_HT","DYT","MA_QH","LUK")</f>
        <v>0</v>
      </c>
      <c r="I34" s="74">
        <f>+GETPIVOTDATA("XSB4",'sonbinh (2016)'!$A$3,"MA_HT","DYT","MA_QH","LUN")</f>
        <v>0</v>
      </c>
      <c r="J34" s="74">
        <f>+GETPIVOTDATA("XSB4",'sonbinh (2016)'!$A$3,"MA_HT","DYT","MA_QH","HNK")</f>
        <v>0</v>
      </c>
      <c r="K34" s="74">
        <f>+GETPIVOTDATA("XSB4",'sonbinh (2016)'!$A$3,"MA_HT","DYT","MA_QH","CLN")</f>
        <v>0</v>
      </c>
      <c r="L34" s="74">
        <f>+GETPIVOTDATA("XSB4",'sonbinh (2016)'!$A$3,"MA_HT","DYT","MA_QH","RSX")</f>
        <v>0</v>
      </c>
      <c r="M34" s="74">
        <f>+GETPIVOTDATA("XSB4",'sonbinh (2016)'!$A$3,"MA_HT","DYT","MA_QH","RPH")</f>
        <v>0</v>
      </c>
      <c r="N34" s="74">
        <f>+GETPIVOTDATA("XSB4",'sonbinh (2016)'!$A$3,"MA_HT","DYT","MA_QH","RDD")</f>
        <v>0</v>
      </c>
      <c r="O34" s="74">
        <f>+GETPIVOTDATA("XSB4",'sonbinh (2016)'!$A$3,"MA_HT","DYT","MA_QH","NTS")</f>
        <v>0</v>
      </c>
      <c r="P34" s="74">
        <f>+GETPIVOTDATA("XSB4",'sonbinh (2016)'!$A$3,"MA_HT","DYT","MA_QH","LMU")</f>
        <v>0</v>
      </c>
      <c r="Q34" s="74">
        <f>+GETPIVOTDATA("XSB4",'sonbinh (2016)'!$A$3,"MA_HT","DYT","MA_QH","NKH")</f>
        <v>0</v>
      </c>
      <c r="R34" s="72">
        <f t="shared" si="20"/>
        <v>0</v>
      </c>
      <c r="S34" s="74">
        <f>+GETPIVOTDATA("XSB4",'sonbinh (2016)'!$A$3,"MA_HT","DYT","MA_QH","CQP")</f>
        <v>0</v>
      </c>
      <c r="T34" s="74">
        <f>+GETPIVOTDATA("XSB4",'sonbinh (2016)'!$A$3,"MA_HT","DYT","MA_QH","CAN")</f>
        <v>0</v>
      </c>
      <c r="U34" s="74">
        <f>+GETPIVOTDATA("XSB4",'sonbinh (2016)'!$A$3,"MA_HT","DYT","MA_QH","SKK")</f>
        <v>0</v>
      </c>
      <c r="V34" s="74">
        <f>+GETPIVOTDATA("XSB4",'sonbinh (2016)'!$A$3,"MA_HT","DYT","MA_QH","SKT")</f>
        <v>0</v>
      </c>
      <c r="W34" s="74">
        <f>+GETPIVOTDATA("XSB4",'sonbinh (2016)'!$A$3,"MA_HT","DYT","MA_QH","SKN")</f>
        <v>0</v>
      </c>
      <c r="X34" s="74">
        <f>+GETPIVOTDATA("XSB4",'sonbinh (2016)'!$A$3,"MA_HT","DYT","MA_QH","TMD")</f>
        <v>0</v>
      </c>
      <c r="Y34" s="74">
        <f>+GETPIVOTDATA("XSB4",'sonbinh (2016)'!$A$3,"MA_HT","DYT","MA_QH","SKC")</f>
        <v>0</v>
      </c>
      <c r="Z34" s="74">
        <f>+GETPIVOTDATA("XSB4",'sonbinh (2016)'!$A$3,"MA_HT","DYT","MA_QH","SKS")</f>
        <v>0</v>
      </c>
      <c r="AA34" s="64">
        <f>+SUM(AB34:AF34,AH34:AM34)</f>
        <v>0</v>
      </c>
      <c r="AB34" s="74">
        <f>+GETPIVOTDATA("XSB4",'sonbinh (2016)'!$A$3,"MA_HT","DYT","MA_QH","DGT")</f>
        <v>0</v>
      </c>
      <c r="AC34" s="74">
        <f>+GETPIVOTDATA("XSB4",'sonbinh (2016)'!$A$3,"MA_HT","DYT","MA_QH","DTL")</f>
        <v>0</v>
      </c>
      <c r="AD34" s="74">
        <f>+GETPIVOTDATA("XSB4",'sonbinh (2016)'!$A$3,"MA_HT","DYT","MA_QH","DNL")</f>
        <v>0</v>
      </c>
      <c r="AE34" s="74">
        <f>+GETPIVOTDATA("XSB4",'sonbinh (2016)'!$A$3,"MA_HT","DYT","MA_QH","DBV")</f>
        <v>0</v>
      </c>
      <c r="AF34" s="74">
        <f>+GETPIVOTDATA("XSB4",'sonbinh (2016)'!$A$3,"MA_HT","DYT","MA_QH","DVH")</f>
        <v>0</v>
      </c>
      <c r="AG34" s="100" t="e">
        <f>$D34-$BF34</f>
        <v>#REF!</v>
      </c>
      <c r="AH34" s="74">
        <f>+GETPIVOTDATA("XSB4",'sonbinh (2016)'!$A$3,"MA_HT","DYT","MA_QH","DGD")</f>
        <v>0</v>
      </c>
      <c r="AI34" s="74">
        <f>+GETPIVOTDATA("XSB4",'sonbinh (2016)'!$A$3,"MA_HT","DYT","MA_QH","DTT")</f>
        <v>0</v>
      </c>
      <c r="AJ34" s="74">
        <f>+GETPIVOTDATA("XSB4",'sonbinh (2016)'!$A$3,"MA_HT","DYT","MA_QH","NCK")</f>
        <v>0</v>
      </c>
      <c r="AK34" s="74">
        <f>+GETPIVOTDATA("XSB4",'sonbinh (2016)'!$A$3,"MA_HT","DYT","MA_QH","DXH")</f>
        <v>0</v>
      </c>
      <c r="AL34" s="74">
        <f>+GETPIVOTDATA("XSB4",'sonbinh (2016)'!$A$3,"MA_HT","DYT","MA_QH","DCH")</f>
        <v>0</v>
      </c>
      <c r="AM34" s="74">
        <f>+GETPIVOTDATA("XSB4",'sonbinh (2016)'!$A$3,"MA_HT","DYT","MA_QH","DKG")</f>
        <v>0</v>
      </c>
      <c r="AN34" s="74">
        <f>+GETPIVOTDATA("XSB4",'sonbinh (2016)'!$A$3,"MA_HT","DYT","MA_QH","DDT")</f>
        <v>0</v>
      </c>
      <c r="AO34" s="74">
        <f>+GETPIVOTDATA("XSB4",'sonbinh (2016)'!$A$3,"MA_HT","DYT","MA_QH","DDL")</f>
        <v>0</v>
      </c>
      <c r="AP34" s="74">
        <f>+GETPIVOTDATA("XSB4",'sonbinh (2016)'!$A$3,"MA_HT","DYT","MA_QH","DRA")</f>
        <v>0</v>
      </c>
      <c r="AQ34" s="74">
        <f>+GETPIVOTDATA("XSB4",'sonbinh (2016)'!$A$3,"MA_HT","DYT","MA_QH","ONT")</f>
        <v>0</v>
      </c>
      <c r="AR34" s="74">
        <f>+GETPIVOTDATA("XSB4",'sonbinh (2016)'!$A$3,"MA_HT","DYT","MA_QH","ODT")</f>
        <v>0</v>
      </c>
      <c r="AS34" s="74">
        <f>+GETPIVOTDATA("XSB4",'sonbinh (2016)'!$A$3,"MA_HT","DYT","MA_QH","TSC")</f>
        <v>0</v>
      </c>
      <c r="AT34" s="74">
        <f>+GETPIVOTDATA("XSB4",'sonbinh (2016)'!$A$3,"MA_HT","DYT","MA_QH","DTS")</f>
        <v>0</v>
      </c>
      <c r="AU34" s="74">
        <f>+GETPIVOTDATA("XSB4",'sonbinh (2016)'!$A$3,"MA_HT","DYT","MA_QH","DNG")</f>
        <v>0</v>
      </c>
      <c r="AV34" s="74">
        <f>+GETPIVOTDATA("XSB4",'sonbinh (2016)'!$A$3,"MA_HT","DYT","MA_QH","TON")</f>
        <v>0</v>
      </c>
      <c r="AW34" s="74">
        <f>+GETPIVOTDATA("XSB4",'sonbinh (2016)'!$A$3,"MA_HT","DYT","MA_QH","NTD")</f>
        <v>0</v>
      </c>
      <c r="AX34" s="74">
        <f>+GETPIVOTDATA("XSB4",'sonbinh (2016)'!$A$3,"MA_HT","DYT","MA_QH","SKX")</f>
        <v>0</v>
      </c>
      <c r="AY34" s="74">
        <f>+GETPIVOTDATA("XSB4",'sonbinh (2016)'!$A$3,"MA_HT","DYT","MA_QH","DSH")</f>
        <v>0</v>
      </c>
      <c r="AZ34" s="74">
        <f>+GETPIVOTDATA("XSB4",'sonbinh (2016)'!$A$3,"MA_HT","DYT","MA_QH","DKV")</f>
        <v>0</v>
      </c>
      <c r="BA34" s="139">
        <f>+GETPIVOTDATA("XSB4",'sonbinh (2016)'!$A$3,"MA_HT","DYT","MA_QH","TIN")</f>
        <v>0</v>
      </c>
      <c r="BB34" s="74">
        <f>+GETPIVOTDATA("XSB4",'sonbinh (2016)'!$A$3,"MA_HT","DYT","MA_QH","SON")</f>
        <v>0</v>
      </c>
      <c r="BC34" s="74">
        <f>+GETPIVOTDATA("XSB4",'sonbinh (2016)'!$A$3,"MA_HT","DYT","MA_QH","MNC")</f>
        <v>0</v>
      </c>
      <c r="BD34" s="74">
        <f>+GETPIVOTDATA("XSB4",'sonbinh (2016)'!$A$3,"MA_HT","DYT","MA_QH","PNK")</f>
        <v>0</v>
      </c>
      <c r="BE34" s="102">
        <f>+GETPIVOTDATA("XSB4",'sonbinh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+GETPIVOTDATA("XSB4",'sonbinh (2016)'!$A$3,"MA_HT","DGD","MA_QH","LUC")</f>
        <v>0</v>
      </c>
      <c r="H35" s="74">
        <f>+GETPIVOTDATA("XSB4",'sonbinh (2016)'!$A$3,"MA_HT","DGD","MA_QH","LUK")</f>
        <v>0</v>
      </c>
      <c r="I35" s="74">
        <f>+GETPIVOTDATA("XSB4",'sonbinh (2016)'!$A$3,"MA_HT","DGD","MA_QH","LUN")</f>
        <v>0</v>
      </c>
      <c r="J35" s="74">
        <f>+GETPIVOTDATA("XSB4",'sonbinh (2016)'!$A$3,"MA_HT","DGD","MA_QH","HNK")</f>
        <v>0</v>
      </c>
      <c r="K35" s="74">
        <f>+GETPIVOTDATA("XSB4",'sonbinh (2016)'!$A$3,"MA_HT","DGD","MA_QH","CLN")</f>
        <v>0</v>
      </c>
      <c r="L35" s="74">
        <f>+GETPIVOTDATA("XSB4",'sonbinh (2016)'!$A$3,"MA_HT","DGD","MA_QH","RSX")</f>
        <v>0</v>
      </c>
      <c r="M35" s="74">
        <f>+GETPIVOTDATA("XSB4",'sonbinh (2016)'!$A$3,"MA_HT","DGD","MA_QH","RPH")</f>
        <v>0</v>
      </c>
      <c r="N35" s="74">
        <f>+GETPIVOTDATA("XSB4",'sonbinh (2016)'!$A$3,"MA_HT","DGD","MA_QH","RDD")</f>
        <v>0</v>
      </c>
      <c r="O35" s="74">
        <f>+GETPIVOTDATA("XSB4",'sonbinh (2016)'!$A$3,"MA_HT","DGD","MA_QH","NTS")</f>
        <v>0</v>
      </c>
      <c r="P35" s="74">
        <f>+GETPIVOTDATA("XSB4",'sonbinh (2016)'!$A$3,"MA_HT","DGD","MA_QH","LMU")</f>
        <v>0</v>
      </c>
      <c r="Q35" s="74">
        <f>+GETPIVOTDATA("XSB4",'sonbinh (2016)'!$A$3,"MA_HT","DGD","MA_QH","NKH")</f>
        <v>0</v>
      </c>
      <c r="R35" s="72">
        <f t="shared" si="20"/>
        <v>0</v>
      </c>
      <c r="S35" s="74">
        <f>+GETPIVOTDATA("XSB4",'sonbinh (2016)'!$A$3,"MA_HT","DGD","MA_QH","CQP")</f>
        <v>0</v>
      </c>
      <c r="T35" s="74">
        <f>+GETPIVOTDATA("XSB4",'sonbinh (2016)'!$A$3,"MA_HT","DGD","MA_QH","CAN")</f>
        <v>0</v>
      </c>
      <c r="U35" s="74">
        <f>+GETPIVOTDATA("XSB4",'sonbinh (2016)'!$A$3,"MA_HT","DGD","MA_QH","SKK")</f>
        <v>0</v>
      </c>
      <c r="V35" s="74">
        <f>+GETPIVOTDATA("XSB4",'sonbinh (2016)'!$A$3,"MA_HT","DGD","MA_QH","SKT")</f>
        <v>0</v>
      </c>
      <c r="W35" s="74">
        <f>+GETPIVOTDATA("XSB4",'sonbinh (2016)'!$A$3,"MA_HT","DGD","MA_QH","SKN")</f>
        <v>0</v>
      </c>
      <c r="X35" s="74">
        <f>+GETPIVOTDATA("XSB4",'sonbinh (2016)'!$A$3,"MA_HT","DGD","MA_QH","TMD")</f>
        <v>0</v>
      </c>
      <c r="Y35" s="74">
        <f>+GETPIVOTDATA("XSB4",'sonbinh (2016)'!$A$3,"MA_HT","DGD","MA_QH","SKC")</f>
        <v>0</v>
      </c>
      <c r="Z35" s="74">
        <f>+GETPIVOTDATA("XSB4",'sonbinh (2016)'!$A$3,"MA_HT","DGD","MA_QH","SKS")</f>
        <v>0</v>
      </c>
      <c r="AA35" s="64">
        <f>+SUM(AB35:AG35,AI35:AM35)</f>
        <v>0</v>
      </c>
      <c r="AB35" s="74">
        <f>+GETPIVOTDATA("XSB4",'sonbinh (2016)'!$A$3,"MA_HT","DGD","MA_QH","DGT")</f>
        <v>0</v>
      </c>
      <c r="AC35" s="74">
        <f>+GETPIVOTDATA("XSB4",'sonbinh (2016)'!$A$3,"MA_HT","DGD","MA_QH","DTL")</f>
        <v>0</v>
      </c>
      <c r="AD35" s="74">
        <f>+GETPIVOTDATA("XSB4",'sonbinh (2016)'!$A$3,"MA_HT","DGD","MA_QH","DNL")</f>
        <v>0</v>
      </c>
      <c r="AE35" s="74">
        <f>+GETPIVOTDATA("XSB4",'sonbinh (2016)'!$A$3,"MA_HT","DGD","MA_QH","DBV")</f>
        <v>0</v>
      </c>
      <c r="AF35" s="74">
        <f>+GETPIVOTDATA("XSB4",'sonbinh (2016)'!$A$3,"MA_HT","DGD","MA_QH","DVH")</f>
        <v>0</v>
      </c>
      <c r="AG35" s="74">
        <f>+GETPIVOTDATA("XSB4",'sonbinh (2016)'!$A$3,"MA_HT","DGD","MA_QH","DYT")</f>
        <v>0</v>
      </c>
      <c r="AH35" s="100" t="e">
        <f>$D35-$BF35</f>
        <v>#REF!</v>
      </c>
      <c r="AI35" s="74">
        <f>+GETPIVOTDATA("XSB4",'sonbinh (2016)'!$A$3,"MA_HT","DGD","MA_QH","DTT")</f>
        <v>0</v>
      </c>
      <c r="AJ35" s="74">
        <f>+GETPIVOTDATA("XSB4",'sonbinh (2016)'!$A$3,"MA_HT","DGD","MA_QH","NCK")</f>
        <v>0</v>
      </c>
      <c r="AK35" s="74">
        <f>+GETPIVOTDATA("XSB4",'sonbinh (2016)'!$A$3,"MA_HT","DGD","MA_QH","DXH")</f>
        <v>0</v>
      </c>
      <c r="AL35" s="74">
        <f>+GETPIVOTDATA("XSB4",'sonbinh (2016)'!$A$3,"MA_HT","DGD","MA_QH","DCH")</f>
        <v>0</v>
      </c>
      <c r="AM35" s="74">
        <f>+GETPIVOTDATA("XSB4",'sonbinh (2016)'!$A$3,"MA_HT","DGD","MA_QH","DKG")</f>
        <v>0</v>
      </c>
      <c r="AN35" s="74">
        <f>+GETPIVOTDATA("XSB4",'sonbinh (2016)'!$A$3,"MA_HT","DGD","MA_QH","DDT")</f>
        <v>0</v>
      </c>
      <c r="AO35" s="74">
        <f>+GETPIVOTDATA("XSB4",'sonbinh (2016)'!$A$3,"MA_HT","DGD","MA_QH","DDL")</f>
        <v>0</v>
      </c>
      <c r="AP35" s="74">
        <f>+GETPIVOTDATA("XSB4",'sonbinh (2016)'!$A$3,"MA_HT","DGD","MA_QH","DRA")</f>
        <v>0</v>
      </c>
      <c r="AQ35" s="74">
        <f>+GETPIVOTDATA("XSB4",'sonbinh (2016)'!$A$3,"MA_HT","DGD","MA_QH","ONT")</f>
        <v>0</v>
      </c>
      <c r="AR35" s="74">
        <f>+GETPIVOTDATA("XSB4",'sonbinh (2016)'!$A$3,"MA_HT","DGD","MA_QH","ODT")</f>
        <v>0</v>
      </c>
      <c r="AS35" s="74">
        <f>+GETPIVOTDATA("XSB4",'sonbinh (2016)'!$A$3,"MA_HT","DGD","MA_QH","TSC")</f>
        <v>0</v>
      </c>
      <c r="AT35" s="74">
        <f>+GETPIVOTDATA("XSB4",'sonbinh (2016)'!$A$3,"MA_HT","DGD","MA_QH","DTS")</f>
        <v>0</v>
      </c>
      <c r="AU35" s="74">
        <f>+GETPIVOTDATA("XSB4",'sonbinh (2016)'!$A$3,"MA_HT","DGD","MA_QH","DNG")</f>
        <v>0</v>
      </c>
      <c r="AV35" s="74">
        <f>+GETPIVOTDATA("XSB4",'sonbinh (2016)'!$A$3,"MA_HT","DGD","MA_QH","TON")</f>
        <v>0</v>
      </c>
      <c r="AW35" s="74">
        <f>+GETPIVOTDATA("XSB4",'sonbinh (2016)'!$A$3,"MA_HT","DGD","MA_QH","NTD")</f>
        <v>0</v>
      </c>
      <c r="AX35" s="74">
        <f>+GETPIVOTDATA("XSB4",'sonbinh (2016)'!$A$3,"MA_HT","DGD","MA_QH","SKX")</f>
        <v>0</v>
      </c>
      <c r="AY35" s="74">
        <f>+GETPIVOTDATA("XSB4",'sonbinh (2016)'!$A$3,"MA_HT","DGD","MA_QH","DSH")</f>
        <v>0</v>
      </c>
      <c r="AZ35" s="74">
        <f>+GETPIVOTDATA("XSB4",'sonbinh (2016)'!$A$3,"MA_HT","DGD","MA_QH","DKV")</f>
        <v>0</v>
      </c>
      <c r="BA35" s="139">
        <f>+GETPIVOTDATA("XSB4",'sonbinh (2016)'!$A$3,"MA_HT","DGD","MA_QH","TIN")</f>
        <v>0</v>
      </c>
      <c r="BB35" s="74">
        <f>+GETPIVOTDATA("XSB4",'sonbinh (2016)'!$A$3,"MA_HT","DGD","MA_QH","SON")</f>
        <v>0</v>
      </c>
      <c r="BC35" s="74">
        <f>+GETPIVOTDATA("XSB4",'sonbinh (2016)'!$A$3,"MA_HT","DGD","MA_QH","MNC")</f>
        <v>0</v>
      </c>
      <c r="BD35" s="74">
        <f>+GETPIVOTDATA("XSB4",'sonbinh (2016)'!$A$3,"MA_HT","DGD","MA_QH","PNK")</f>
        <v>0</v>
      </c>
      <c r="BE35" s="102">
        <f>+GETPIVOTDATA("XSB4",'sonbinh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+GETPIVOTDATA("XSB4",'sonbinh (2016)'!$A$3,"MA_HT","DTT","MA_QH","LUC")</f>
        <v>0</v>
      </c>
      <c r="H36" s="74">
        <f>+GETPIVOTDATA("XSB4",'sonbinh (2016)'!$A$3,"MA_HT","DTT","MA_QH","LUK")</f>
        <v>0</v>
      </c>
      <c r="I36" s="74">
        <f>+GETPIVOTDATA("XSB4",'sonbinh (2016)'!$A$3,"MA_HT","DTT","MA_QH","LUN")</f>
        <v>0</v>
      </c>
      <c r="J36" s="74">
        <f>+GETPIVOTDATA("XSB4",'sonbinh (2016)'!$A$3,"MA_HT","DTT","MA_QH","HNK")</f>
        <v>0</v>
      </c>
      <c r="K36" s="74">
        <f>+GETPIVOTDATA("XSB4",'sonbinh (2016)'!$A$3,"MA_HT","DTT","MA_QH","CLN")</f>
        <v>0</v>
      </c>
      <c r="L36" s="74">
        <f>+GETPIVOTDATA("XSB4",'sonbinh (2016)'!$A$3,"MA_HT","DTT","MA_QH","RSX")</f>
        <v>0</v>
      </c>
      <c r="M36" s="74">
        <f>+GETPIVOTDATA("XSB4",'sonbinh (2016)'!$A$3,"MA_HT","DTT","MA_QH","RPH")</f>
        <v>0</v>
      </c>
      <c r="N36" s="74">
        <f>+GETPIVOTDATA("XSB4",'sonbinh (2016)'!$A$3,"MA_HT","DTT","MA_QH","RDD")</f>
        <v>0</v>
      </c>
      <c r="O36" s="74">
        <f>+GETPIVOTDATA("XSB4",'sonbinh (2016)'!$A$3,"MA_HT","DTT","MA_QH","NTS")</f>
        <v>0</v>
      </c>
      <c r="P36" s="74">
        <f>+GETPIVOTDATA("XSB4",'sonbinh (2016)'!$A$3,"MA_HT","DTT","MA_QH","LMU")</f>
        <v>0</v>
      </c>
      <c r="Q36" s="74">
        <f>+GETPIVOTDATA("XSB4",'sonbinh (2016)'!$A$3,"MA_HT","DTT","MA_QH","NKH")</f>
        <v>0</v>
      </c>
      <c r="R36" s="72">
        <f>SUM(S36:AA36,AN36:BD36)</f>
        <v>0</v>
      </c>
      <c r="S36" s="74">
        <f>+GETPIVOTDATA("XSB4",'sonbinh (2016)'!$A$3,"MA_HT","DTT","MA_QH","CQP")</f>
        <v>0</v>
      </c>
      <c r="T36" s="74">
        <f>+GETPIVOTDATA("XSB4",'sonbinh (2016)'!$A$3,"MA_HT","DTT","MA_QH","CAN")</f>
        <v>0</v>
      </c>
      <c r="U36" s="74">
        <f>+GETPIVOTDATA("XSB4",'sonbinh (2016)'!$A$3,"MA_HT","DTT","MA_QH","SKK")</f>
        <v>0</v>
      </c>
      <c r="V36" s="74">
        <f>+GETPIVOTDATA("XSB4",'sonbinh (2016)'!$A$3,"MA_HT","DTT","MA_QH","SKT")</f>
        <v>0</v>
      </c>
      <c r="W36" s="74">
        <f>+GETPIVOTDATA("XSB4",'sonbinh (2016)'!$A$3,"MA_HT","DTT","MA_QH","SKN")</f>
        <v>0</v>
      </c>
      <c r="X36" s="74">
        <f>+GETPIVOTDATA("XSB4",'sonbinh (2016)'!$A$3,"MA_HT","DTT","MA_QH","TMD")</f>
        <v>0</v>
      </c>
      <c r="Y36" s="74">
        <f>+GETPIVOTDATA("XSB4",'sonbinh (2016)'!$A$3,"MA_HT","DTT","MA_QH","SKC")</f>
        <v>0</v>
      </c>
      <c r="Z36" s="74">
        <f>+GETPIVOTDATA("XSB4",'sonbinh (2016)'!$A$3,"MA_HT","DTT","MA_QH","SKS")</f>
        <v>0</v>
      </c>
      <c r="AA36" s="64">
        <f>+SUM(AB36:AH36,AJ36:AM36)</f>
        <v>0</v>
      </c>
      <c r="AB36" s="74">
        <f>+GETPIVOTDATA("XSB4",'sonbinh (2016)'!$A$3,"MA_HT","DTT","MA_QH","DGT")</f>
        <v>0</v>
      </c>
      <c r="AC36" s="74">
        <f>+GETPIVOTDATA("XSB4",'sonbinh (2016)'!$A$3,"MA_HT","DTT","MA_QH","DTL")</f>
        <v>0</v>
      </c>
      <c r="AD36" s="74">
        <f>+GETPIVOTDATA("XSB4",'sonbinh (2016)'!$A$3,"MA_HT","DTT","MA_QH","DNL")</f>
        <v>0</v>
      </c>
      <c r="AE36" s="74">
        <f>+GETPIVOTDATA("XSB4",'sonbinh (2016)'!$A$3,"MA_HT","DTT","MA_QH","DBV")</f>
        <v>0</v>
      </c>
      <c r="AF36" s="74">
        <f>+GETPIVOTDATA("XSB4",'sonbinh (2016)'!$A$3,"MA_HT","DTT","MA_QH","DVH")</f>
        <v>0</v>
      </c>
      <c r="AG36" s="74">
        <f>+GETPIVOTDATA("XSB4",'sonbinh (2016)'!$A$3,"MA_HT","DTT","MA_QH","DYT")</f>
        <v>0</v>
      </c>
      <c r="AH36" s="74">
        <f>+GETPIVOTDATA("XSB4",'sonbinh (2016)'!$A$3,"MA_HT","DTT","MA_QH","DGD")</f>
        <v>0</v>
      </c>
      <c r="AI36" s="100" t="e">
        <f>$D36-$BF36</f>
        <v>#REF!</v>
      </c>
      <c r="AJ36" s="74">
        <f>+GETPIVOTDATA("XSB4",'sonbinh (2016)'!$A$3,"MA_HT","DTT","MA_QH","NCK")</f>
        <v>0</v>
      </c>
      <c r="AK36" s="74">
        <f>+GETPIVOTDATA("XSB4",'sonbinh (2016)'!$A$3,"MA_HT","DTT","MA_QH","DXH")</f>
        <v>0</v>
      </c>
      <c r="AL36" s="74">
        <f>+GETPIVOTDATA("XSB4",'sonbinh (2016)'!$A$3,"MA_HT","DTT","MA_QH","DCH")</f>
        <v>0</v>
      </c>
      <c r="AM36" s="74">
        <f>+GETPIVOTDATA("XSB4",'sonbinh (2016)'!$A$3,"MA_HT","DTT","MA_QH","DKG")</f>
        <v>0</v>
      </c>
      <c r="AN36" s="74">
        <f>+GETPIVOTDATA("XSB4",'sonbinh (2016)'!$A$3,"MA_HT","DTT","MA_QH","DDT")</f>
        <v>0</v>
      </c>
      <c r="AO36" s="74">
        <f>+GETPIVOTDATA("XSB4",'sonbinh (2016)'!$A$3,"MA_HT","DTT","MA_QH","DDL")</f>
        <v>0</v>
      </c>
      <c r="AP36" s="74">
        <f>+GETPIVOTDATA("XSB4",'sonbinh (2016)'!$A$3,"MA_HT","DTT","MA_QH","DRA")</f>
        <v>0</v>
      </c>
      <c r="AQ36" s="74">
        <f>+GETPIVOTDATA("XSB4",'sonbinh (2016)'!$A$3,"MA_HT","DTT","MA_QH","ONT")</f>
        <v>0</v>
      </c>
      <c r="AR36" s="74">
        <f>+GETPIVOTDATA("XSB4",'sonbinh (2016)'!$A$3,"MA_HT","DTT","MA_QH","ODT")</f>
        <v>0</v>
      </c>
      <c r="AS36" s="74">
        <f>+GETPIVOTDATA("XSB4",'sonbinh (2016)'!$A$3,"MA_HT","DTT","MA_QH","TSC")</f>
        <v>0</v>
      </c>
      <c r="AT36" s="74">
        <f>+GETPIVOTDATA("XSB4",'sonbinh (2016)'!$A$3,"MA_HT","DTT","MA_QH","DTS")</f>
        <v>0</v>
      </c>
      <c r="AU36" s="74">
        <f>+GETPIVOTDATA("XSB4",'sonbinh (2016)'!$A$3,"MA_HT","DTT","MA_QH","DNG")</f>
        <v>0</v>
      </c>
      <c r="AV36" s="74">
        <f>+GETPIVOTDATA("XSB4",'sonbinh (2016)'!$A$3,"MA_HT","DTT","MA_QH","TON")</f>
        <v>0</v>
      </c>
      <c r="AW36" s="74">
        <f>+GETPIVOTDATA("XSB4",'sonbinh (2016)'!$A$3,"MA_HT","DTT","MA_QH","NTD")</f>
        <v>0</v>
      </c>
      <c r="AX36" s="74">
        <f>+GETPIVOTDATA("XSB4",'sonbinh (2016)'!$A$3,"MA_HT","DTT","MA_QH","SKX")</f>
        <v>0</v>
      </c>
      <c r="AY36" s="74">
        <f>+GETPIVOTDATA("XSB4",'sonbinh (2016)'!$A$3,"MA_HT","DTT","MA_QH","DSH")</f>
        <v>0</v>
      </c>
      <c r="AZ36" s="74">
        <f>+GETPIVOTDATA("XSB4",'sonbinh (2016)'!$A$3,"MA_HT","DTT","MA_QH","DKV")</f>
        <v>0</v>
      </c>
      <c r="BA36" s="139">
        <f>+GETPIVOTDATA("XSB4",'sonbinh (2016)'!$A$3,"MA_HT","DTT","MA_QH","TIN")</f>
        <v>0</v>
      </c>
      <c r="BB36" s="74">
        <f>+GETPIVOTDATA("XSB4",'sonbinh (2016)'!$A$3,"MA_HT","DTT","MA_QH","SON")</f>
        <v>0</v>
      </c>
      <c r="BC36" s="74">
        <f>+GETPIVOTDATA("XSB4",'sonbinh (2016)'!$A$3,"MA_HT","DTT","MA_QH","MNC")</f>
        <v>0</v>
      </c>
      <c r="BD36" s="74">
        <f>+GETPIVOTDATA("XSB4",'sonbinh (2016)'!$A$3,"MA_HT","DTT","MA_QH","PNK")</f>
        <v>0</v>
      </c>
      <c r="BE36" s="102">
        <f>+GETPIVOTDATA("XSB4",'sonbinh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+GETPIVOTDATA("XSB4",'sonbinh (2016)'!$A$3,"MA_HT","NCK","MA_QH","LUC")</f>
        <v>0</v>
      </c>
      <c r="H37" s="74">
        <f>+GETPIVOTDATA("XSB4",'sonbinh (2016)'!$A$3,"MA_HT","NCK","MA_QH","LUK")</f>
        <v>0</v>
      </c>
      <c r="I37" s="74">
        <f>+GETPIVOTDATA("XSB4",'sonbinh (2016)'!$A$3,"MA_HT","NCK","MA_QH","LUN")</f>
        <v>0</v>
      </c>
      <c r="J37" s="74">
        <f>+GETPIVOTDATA("XSB4",'sonbinh (2016)'!$A$3,"MA_HT","NCK","MA_QH","HNK")</f>
        <v>0</v>
      </c>
      <c r="K37" s="74">
        <f>+GETPIVOTDATA("XSB4",'sonbinh (2016)'!$A$3,"MA_HT","NCK","MA_QH","CLN")</f>
        <v>0</v>
      </c>
      <c r="L37" s="74">
        <f>+GETPIVOTDATA("XSB4",'sonbinh (2016)'!$A$3,"MA_HT","NCK","MA_QH","RSX")</f>
        <v>0</v>
      </c>
      <c r="M37" s="74">
        <f>+GETPIVOTDATA("XSB4",'sonbinh (2016)'!$A$3,"MA_HT","NCK","MA_QH","RPH")</f>
        <v>0</v>
      </c>
      <c r="N37" s="74">
        <f>+GETPIVOTDATA("XSB4",'sonbinh (2016)'!$A$3,"MA_HT","NCK","MA_QH","RDD")</f>
        <v>0</v>
      </c>
      <c r="O37" s="74">
        <f>+GETPIVOTDATA("XSB4",'sonbinh (2016)'!$A$3,"MA_HT","NCK","MA_QH","NTS")</f>
        <v>0</v>
      </c>
      <c r="P37" s="74">
        <f>+GETPIVOTDATA("XSB4",'sonbinh (2016)'!$A$3,"MA_HT","NCK","MA_QH","LMU")</f>
        <v>0</v>
      </c>
      <c r="Q37" s="74">
        <f>+GETPIVOTDATA("XSB4",'sonbinh (2016)'!$A$3,"MA_HT","NCK","MA_QH","NKH")</f>
        <v>0</v>
      </c>
      <c r="R37" s="72">
        <f t="shared" si="20"/>
        <v>0</v>
      </c>
      <c r="S37" s="74">
        <f>+GETPIVOTDATA("XSB4",'sonbinh (2016)'!$A$3,"MA_HT","NCK","MA_QH","CQP")</f>
        <v>0</v>
      </c>
      <c r="T37" s="74">
        <f>+GETPIVOTDATA("XSB4",'sonbinh (2016)'!$A$3,"MA_HT","NCK","MA_QH","CAN")</f>
        <v>0</v>
      </c>
      <c r="U37" s="74">
        <f>+GETPIVOTDATA("XSB4",'sonbinh (2016)'!$A$3,"MA_HT","NCK","MA_QH","SKK")</f>
        <v>0</v>
      </c>
      <c r="V37" s="74">
        <f>+GETPIVOTDATA("XSB4",'sonbinh (2016)'!$A$3,"MA_HT","NCK","MA_QH","SKT")</f>
        <v>0</v>
      </c>
      <c r="W37" s="74">
        <f>+GETPIVOTDATA("XSB4",'sonbinh (2016)'!$A$3,"MA_HT","NCK","MA_QH","SKN")</f>
        <v>0</v>
      </c>
      <c r="X37" s="74">
        <f>+GETPIVOTDATA("XSB4",'sonbinh (2016)'!$A$3,"MA_HT","NCK","MA_QH","TMD")</f>
        <v>0</v>
      </c>
      <c r="Y37" s="74">
        <f>+GETPIVOTDATA("XSB4",'sonbinh (2016)'!$A$3,"MA_HT","NCK","MA_QH","SKC")</f>
        <v>0</v>
      </c>
      <c r="Z37" s="74">
        <f>+GETPIVOTDATA("XSB4",'sonbinh (2016)'!$A$3,"MA_HT","NCK","MA_QH","SKS")</f>
        <v>0</v>
      </c>
      <c r="AA37" s="64">
        <f>+SUM(AB37:AI37,AK37:AM37)</f>
        <v>0</v>
      </c>
      <c r="AB37" s="74">
        <f>+GETPIVOTDATA("XSB4",'sonbinh (2016)'!$A$3,"MA_HT","NCK","MA_QH","DGT")</f>
        <v>0</v>
      </c>
      <c r="AC37" s="74">
        <f>+GETPIVOTDATA("XSB4",'sonbinh (2016)'!$A$3,"MA_HT","NCK","MA_QH","DTL")</f>
        <v>0</v>
      </c>
      <c r="AD37" s="74">
        <f>+GETPIVOTDATA("XSB4",'sonbinh (2016)'!$A$3,"MA_HT","NCK","MA_QH","DNL")</f>
        <v>0</v>
      </c>
      <c r="AE37" s="74">
        <f>+GETPIVOTDATA("XSB4",'sonbinh (2016)'!$A$3,"MA_HT","NCK","MA_QH","DBV")</f>
        <v>0</v>
      </c>
      <c r="AF37" s="74">
        <f>+GETPIVOTDATA("XSB4",'sonbinh (2016)'!$A$3,"MA_HT","NCK","MA_QH","DVH")</f>
        <v>0</v>
      </c>
      <c r="AG37" s="74">
        <f>+GETPIVOTDATA("XSB4",'sonbinh (2016)'!$A$3,"MA_HT","NCK","MA_QH","DYT")</f>
        <v>0</v>
      </c>
      <c r="AH37" s="74">
        <f>+GETPIVOTDATA("XSB4",'sonbinh (2016)'!$A$3,"MA_HT","NCK","MA_QH","DGD")</f>
        <v>0</v>
      </c>
      <c r="AI37" s="74">
        <f>+GETPIVOTDATA("XSB4",'sonbinh (2016)'!$A$3,"MA_HT","NCK","MA_QH","DTT")</f>
        <v>0</v>
      </c>
      <c r="AJ37" s="100" t="e">
        <f>$D37-$BF37</f>
        <v>#REF!</v>
      </c>
      <c r="AK37" s="74">
        <f>+GETPIVOTDATA("XSB4",'sonbinh (2016)'!$A$3,"MA_HT","NCK","MA_QH","DXH")</f>
        <v>0</v>
      </c>
      <c r="AL37" s="74">
        <f>+GETPIVOTDATA("XSB4",'sonbinh (2016)'!$A$3,"MA_HT","NCK","MA_QH","DCH")</f>
        <v>0</v>
      </c>
      <c r="AM37" s="74">
        <f>+GETPIVOTDATA("XSB4",'sonbinh (2016)'!$A$3,"MA_HT","NCK","MA_QH","DKG")</f>
        <v>0</v>
      </c>
      <c r="AN37" s="74">
        <f>+GETPIVOTDATA("XSB4",'sonbinh (2016)'!$A$3,"MA_HT","NCK","MA_QH","DDT")</f>
        <v>0</v>
      </c>
      <c r="AO37" s="74">
        <f>+GETPIVOTDATA("XSB4",'sonbinh (2016)'!$A$3,"MA_HT","NCK","MA_QH","DDL")</f>
        <v>0</v>
      </c>
      <c r="AP37" s="74">
        <f>+GETPIVOTDATA("XSB4",'sonbinh (2016)'!$A$3,"MA_HT","NCK","MA_QH","DRA")</f>
        <v>0</v>
      </c>
      <c r="AQ37" s="74">
        <f>+GETPIVOTDATA("XSB4",'sonbinh (2016)'!$A$3,"MA_HT","NCK","MA_QH","ONT")</f>
        <v>0</v>
      </c>
      <c r="AR37" s="74">
        <f>+GETPIVOTDATA("XSB4",'sonbinh (2016)'!$A$3,"MA_HT","NCK","MA_QH","ODT")</f>
        <v>0</v>
      </c>
      <c r="AS37" s="74">
        <f>+GETPIVOTDATA("XSB4",'sonbinh (2016)'!$A$3,"MA_HT","NCK","MA_QH","TSC")</f>
        <v>0</v>
      </c>
      <c r="AT37" s="74">
        <f>+GETPIVOTDATA("XSB4",'sonbinh (2016)'!$A$3,"MA_HT","NCK","MA_QH","DTS")</f>
        <v>0</v>
      </c>
      <c r="AU37" s="74">
        <f>+GETPIVOTDATA("XSB4",'sonbinh (2016)'!$A$3,"MA_HT","NCK","MA_QH","DNG")</f>
        <v>0</v>
      </c>
      <c r="AV37" s="74">
        <f>+GETPIVOTDATA("XSB4",'sonbinh (2016)'!$A$3,"MA_HT","NCK","MA_QH","TON")</f>
        <v>0</v>
      </c>
      <c r="AW37" s="74">
        <f>+GETPIVOTDATA("XSB4",'sonbinh (2016)'!$A$3,"MA_HT","NCK","MA_QH","NTD")</f>
        <v>0</v>
      </c>
      <c r="AX37" s="74">
        <f>+GETPIVOTDATA("XSB4",'sonbinh (2016)'!$A$3,"MA_HT","NCK","MA_QH","SKX")</f>
        <v>0</v>
      </c>
      <c r="AY37" s="74">
        <f>+GETPIVOTDATA("XSB4",'sonbinh (2016)'!$A$3,"MA_HT","NCK","MA_QH","DSH")</f>
        <v>0</v>
      </c>
      <c r="AZ37" s="74">
        <f>+GETPIVOTDATA("XSB4",'sonbinh (2016)'!$A$3,"MA_HT","NCK","MA_QH","DKV")</f>
        <v>0</v>
      </c>
      <c r="BA37" s="139">
        <f>+GETPIVOTDATA("XSB4",'sonbinh (2016)'!$A$3,"MA_HT","NCK","MA_QH","TIN")</f>
        <v>0</v>
      </c>
      <c r="BB37" s="74">
        <f>+GETPIVOTDATA("XSB4",'sonbinh (2016)'!$A$3,"MA_HT","NCK","MA_QH","SON")</f>
        <v>0</v>
      </c>
      <c r="BC37" s="74">
        <f>+GETPIVOTDATA("XSB4",'sonbinh (2016)'!$A$3,"MA_HT","NCK","MA_QH","MNC")</f>
        <v>0</v>
      </c>
      <c r="BD37" s="74">
        <f>+GETPIVOTDATA("XSB4",'sonbinh (2016)'!$A$3,"MA_HT","NCK","MA_QH","PNK")</f>
        <v>0</v>
      </c>
      <c r="BE37" s="102">
        <f>+GETPIVOTDATA("XSB4",'sonbinh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+GETPIVOTDATA("XSB4",'sonbinh (2016)'!$A$3,"MA_HT","DXH","MA_QH","LUC")</f>
        <v>0</v>
      </c>
      <c r="H38" s="74">
        <f>+GETPIVOTDATA("XSB4",'sonbinh (2016)'!$A$3,"MA_HT","DXH","MA_QH","LUK")</f>
        <v>0</v>
      </c>
      <c r="I38" s="74">
        <f>+GETPIVOTDATA("XSB4",'sonbinh (2016)'!$A$3,"MA_HT","DXH","MA_QH","LUN")</f>
        <v>0</v>
      </c>
      <c r="J38" s="74">
        <f>+GETPIVOTDATA("XSB4",'sonbinh (2016)'!$A$3,"MA_HT","DXH","MA_QH","HNK")</f>
        <v>0</v>
      </c>
      <c r="K38" s="74">
        <f>+GETPIVOTDATA("XSB4",'sonbinh (2016)'!$A$3,"MA_HT","DXH","MA_QH","CLN")</f>
        <v>0</v>
      </c>
      <c r="L38" s="74">
        <f>+GETPIVOTDATA("XSB4",'sonbinh (2016)'!$A$3,"MA_HT","DXH","MA_QH","RSX")</f>
        <v>0</v>
      </c>
      <c r="M38" s="74">
        <f>+GETPIVOTDATA("XSB4",'sonbinh (2016)'!$A$3,"MA_HT","DXH","MA_QH","RPH")</f>
        <v>0</v>
      </c>
      <c r="N38" s="74">
        <f>+GETPIVOTDATA("XSB4",'sonbinh (2016)'!$A$3,"MA_HT","DXH","MA_QH","RDD")</f>
        <v>0</v>
      </c>
      <c r="O38" s="74">
        <f>+GETPIVOTDATA("XSB4",'sonbinh (2016)'!$A$3,"MA_HT","DXH","MA_QH","NTS")</f>
        <v>0</v>
      </c>
      <c r="P38" s="74">
        <f>+GETPIVOTDATA("XSB4",'sonbinh (2016)'!$A$3,"MA_HT","DXH","MA_QH","LMU")</f>
        <v>0</v>
      </c>
      <c r="Q38" s="74">
        <f>+GETPIVOTDATA("XSB4",'sonbinh (2016)'!$A$3,"MA_HT","DXH","MA_QH","NKH")</f>
        <v>0</v>
      </c>
      <c r="R38" s="72">
        <f t="shared" si="20"/>
        <v>0</v>
      </c>
      <c r="S38" s="74">
        <f>+GETPIVOTDATA("XSB4",'sonbinh (2016)'!$A$3,"MA_HT","DXH","MA_QH","CQP")</f>
        <v>0</v>
      </c>
      <c r="T38" s="74">
        <f>+GETPIVOTDATA("XSB4",'sonbinh (2016)'!$A$3,"MA_HT","DXH","MA_QH","CAN")</f>
        <v>0</v>
      </c>
      <c r="U38" s="74">
        <f>+GETPIVOTDATA("XSB4",'sonbinh (2016)'!$A$3,"MA_HT","DXH","MA_QH","SKK")</f>
        <v>0</v>
      </c>
      <c r="V38" s="74">
        <f>+GETPIVOTDATA("XSB4",'sonbinh (2016)'!$A$3,"MA_HT","DXH","MA_QH","SKT")</f>
        <v>0</v>
      </c>
      <c r="W38" s="74">
        <f>+GETPIVOTDATA("XSB4",'sonbinh (2016)'!$A$3,"MA_HT","DXH","MA_QH","SKN")</f>
        <v>0</v>
      </c>
      <c r="X38" s="74">
        <f>+GETPIVOTDATA("XSB4",'sonbinh (2016)'!$A$3,"MA_HT","DXH","MA_QH","TMD")</f>
        <v>0</v>
      </c>
      <c r="Y38" s="74">
        <f>+GETPIVOTDATA("XSB4",'sonbinh (2016)'!$A$3,"MA_HT","DXH","MA_QH","SKC")</f>
        <v>0</v>
      </c>
      <c r="Z38" s="74">
        <f>+GETPIVOTDATA("XSB4",'sonbinh (2016)'!$A$3,"MA_HT","DXH","MA_QH","SKS")</f>
        <v>0</v>
      </c>
      <c r="AA38" s="64">
        <f>+SUM(AB38:AJ38,AL38:AM38)</f>
        <v>0</v>
      </c>
      <c r="AB38" s="74">
        <f>+GETPIVOTDATA("XSB4",'sonbinh (2016)'!$A$3,"MA_HT","DXH","MA_QH","DGT")</f>
        <v>0</v>
      </c>
      <c r="AC38" s="74">
        <f>+GETPIVOTDATA("XSB4",'sonbinh (2016)'!$A$3,"MA_HT","DXH","MA_QH","DTL")</f>
        <v>0</v>
      </c>
      <c r="AD38" s="74">
        <f>+GETPIVOTDATA("XSB4",'sonbinh (2016)'!$A$3,"MA_HT","DXH","MA_QH","DNL")</f>
        <v>0</v>
      </c>
      <c r="AE38" s="74">
        <f>+GETPIVOTDATA("XSB4",'sonbinh (2016)'!$A$3,"MA_HT","DXH","MA_QH","DBV")</f>
        <v>0</v>
      </c>
      <c r="AF38" s="74">
        <f>+GETPIVOTDATA("XSB4",'sonbinh (2016)'!$A$3,"MA_HT","DXH","MA_QH","DVH")</f>
        <v>0</v>
      </c>
      <c r="AG38" s="74">
        <f>+GETPIVOTDATA("XSB4",'sonbinh (2016)'!$A$3,"MA_HT","DXH","MA_QH","DYT")</f>
        <v>0</v>
      </c>
      <c r="AH38" s="74">
        <f>+GETPIVOTDATA("XSB4",'sonbinh (2016)'!$A$3,"MA_HT","DXH","MA_QH","DGD")</f>
        <v>0</v>
      </c>
      <c r="AI38" s="74">
        <f>+GETPIVOTDATA("XSB4",'sonbinh (2016)'!$A$3,"MA_HT","DXH","MA_QH","DTT")</f>
        <v>0</v>
      </c>
      <c r="AJ38" s="74">
        <f>+GETPIVOTDATA("XSB4",'sonbinh (2016)'!$A$3,"MA_HT","DXH","MA_QH","NCK")</f>
        <v>0</v>
      </c>
      <c r="AK38" s="100" t="e">
        <f>$D38-$BF38</f>
        <v>#REF!</v>
      </c>
      <c r="AL38" s="74">
        <f>+GETPIVOTDATA("XSB4",'sonbinh (2016)'!$A$3,"MA_HT","DXH","MA_QH","DCH")</f>
        <v>0</v>
      </c>
      <c r="AM38" s="74">
        <f>+GETPIVOTDATA("XSB4",'sonbinh (2016)'!$A$3,"MA_HT","DXH","MA_QH","DKG")</f>
        <v>0</v>
      </c>
      <c r="AN38" s="74">
        <f>+GETPIVOTDATA("XSB4",'sonbinh (2016)'!$A$3,"MA_HT","DXH","MA_QH","DDT")</f>
        <v>0</v>
      </c>
      <c r="AO38" s="74">
        <f>+GETPIVOTDATA("XSB4",'sonbinh (2016)'!$A$3,"MA_HT","DXH","MA_QH","DDL")</f>
        <v>0</v>
      </c>
      <c r="AP38" s="74">
        <f>+GETPIVOTDATA("XSB4",'sonbinh (2016)'!$A$3,"MA_HT","DXH","MA_QH","DRA")</f>
        <v>0</v>
      </c>
      <c r="AQ38" s="74">
        <f>+GETPIVOTDATA("XSB4",'sonbinh (2016)'!$A$3,"MA_HT","DXH","MA_QH","ONT")</f>
        <v>0</v>
      </c>
      <c r="AR38" s="74">
        <f>+GETPIVOTDATA("XSB4",'sonbinh (2016)'!$A$3,"MA_HT","DXH","MA_QH","ODT")</f>
        <v>0</v>
      </c>
      <c r="AS38" s="74">
        <f>+GETPIVOTDATA("XSB4",'sonbinh (2016)'!$A$3,"MA_HT","DXH","MA_QH","TSC")</f>
        <v>0</v>
      </c>
      <c r="AT38" s="74">
        <f>+GETPIVOTDATA("XSB4",'sonbinh (2016)'!$A$3,"MA_HT","DXH","MA_QH","DTS")</f>
        <v>0</v>
      </c>
      <c r="AU38" s="74">
        <f>+GETPIVOTDATA("XSB4",'sonbinh (2016)'!$A$3,"MA_HT","DXH","MA_QH","DNG")</f>
        <v>0</v>
      </c>
      <c r="AV38" s="74">
        <f>+GETPIVOTDATA("XSB4",'sonbinh (2016)'!$A$3,"MA_HT","DXH","MA_QH","TON")</f>
        <v>0</v>
      </c>
      <c r="AW38" s="74">
        <f>+GETPIVOTDATA("XSB4",'sonbinh (2016)'!$A$3,"MA_HT","DXH","MA_QH","NTD")</f>
        <v>0</v>
      </c>
      <c r="AX38" s="74">
        <f>+GETPIVOTDATA("XSB4",'sonbinh (2016)'!$A$3,"MA_HT","DXH","MA_QH","SKX")</f>
        <v>0</v>
      </c>
      <c r="AY38" s="74">
        <f>+GETPIVOTDATA("XSB4",'sonbinh (2016)'!$A$3,"MA_HT","DXH","MA_QH","DSH")</f>
        <v>0</v>
      </c>
      <c r="AZ38" s="74">
        <f>+GETPIVOTDATA("XSB4",'sonbinh (2016)'!$A$3,"MA_HT","DXH","MA_QH","DKV")</f>
        <v>0</v>
      </c>
      <c r="BA38" s="139">
        <f>+GETPIVOTDATA("XSB4",'sonbinh (2016)'!$A$3,"MA_HT","DXH","MA_QH","TIN")</f>
        <v>0</v>
      </c>
      <c r="BB38" s="74">
        <f>+GETPIVOTDATA("XSB4",'sonbinh (2016)'!$A$3,"MA_HT","DXH","MA_QH","SON")</f>
        <v>0</v>
      </c>
      <c r="BC38" s="74">
        <f>+GETPIVOTDATA("XSB4",'sonbinh (2016)'!$A$3,"MA_HT","DXH","MA_QH","MNC")</f>
        <v>0</v>
      </c>
      <c r="BD38" s="74">
        <f>+GETPIVOTDATA("XSB4",'sonbinh (2016)'!$A$3,"MA_HT","DXH","MA_QH","PNK")</f>
        <v>0</v>
      </c>
      <c r="BE38" s="102">
        <f>+GETPIVOTDATA("XSB4",'sonbinh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+GETPIVOTDATA("XSB4",'sonbinh (2016)'!$A$3,"MA_HT","DCH","MA_QH","LUC")</f>
        <v>0</v>
      </c>
      <c r="H39" s="74">
        <f>+GETPIVOTDATA("XSB4",'sonbinh (2016)'!$A$3,"MA_HT","DCH","MA_QH","LUK")</f>
        <v>0</v>
      </c>
      <c r="I39" s="74">
        <f>+GETPIVOTDATA("XSB4",'sonbinh (2016)'!$A$3,"MA_HT","DCH","MA_QH","LUN")</f>
        <v>0</v>
      </c>
      <c r="J39" s="74">
        <f>+GETPIVOTDATA("XSB4",'sonbinh (2016)'!$A$3,"MA_HT","DCH","MA_QH","HNK")</f>
        <v>0</v>
      </c>
      <c r="K39" s="74">
        <f>+GETPIVOTDATA("XSB4",'sonbinh (2016)'!$A$3,"MA_HT","DCH","MA_QH","CLN")</f>
        <v>0</v>
      </c>
      <c r="L39" s="74">
        <f>+GETPIVOTDATA("XSB4",'sonbinh (2016)'!$A$3,"MA_HT","DCH","MA_QH","RSX")</f>
        <v>0</v>
      </c>
      <c r="M39" s="74">
        <f>+GETPIVOTDATA("XSB4",'sonbinh (2016)'!$A$3,"MA_HT","DCH","MA_QH","RPH")</f>
        <v>0</v>
      </c>
      <c r="N39" s="74">
        <f>+GETPIVOTDATA("XSB4",'sonbinh (2016)'!$A$3,"MA_HT","DCH","MA_QH","RDD")</f>
        <v>0</v>
      </c>
      <c r="O39" s="74">
        <f>+GETPIVOTDATA("XSB4",'sonbinh (2016)'!$A$3,"MA_HT","DCH","MA_QH","NTS")</f>
        <v>0</v>
      </c>
      <c r="P39" s="74">
        <f>+GETPIVOTDATA("XSB4",'sonbinh (2016)'!$A$3,"MA_HT","DCH","MA_QH","LMU")</f>
        <v>0</v>
      </c>
      <c r="Q39" s="74">
        <f>+GETPIVOTDATA("XSB4",'sonbinh (2016)'!$A$3,"MA_HT","DCH","MA_QH","NKH")</f>
        <v>0</v>
      </c>
      <c r="R39" s="72">
        <f t="shared" si="20"/>
        <v>0</v>
      </c>
      <c r="S39" s="74">
        <f>+GETPIVOTDATA("XSB4",'sonbinh (2016)'!$A$3,"MA_HT","DCH","MA_QH","CQP")</f>
        <v>0</v>
      </c>
      <c r="T39" s="74">
        <f>+GETPIVOTDATA("XSB4",'sonbinh (2016)'!$A$3,"MA_HT","DCH","MA_QH","CAN")</f>
        <v>0</v>
      </c>
      <c r="U39" s="74">
        <f>+GETPIVOTDATA("XSB4",'sonbinh (2016)'!$A$3,"MA_HT","DCH","MA_QH","SKK")</f>
        <v>0</v>
      </c>
      <c r="V39" s="74">
        <f>+GETPIVOTDATA("XSB4",'sonbinh (2016)'!$A$3,"MA_HT","DCH","MA_QH","SKT")</f>
        <v>0</v>
      </c>
      <c r="W39" s="74">
        <f>+GETPIVOTDATA("XSB4",'sonbinh (2016)'!$A$3,"MA_HT","DCH","MA_QH","SKN")</f>
        <v>0</v>
      </c>
      <c r="X39" s="74">
        <f>+GETPIVOTDATA("XSB4",'sonbinh (2016)'!$A$3,"MA_HT","DCH","MA_QH","TMD")</f>
        <v>0</v>
      </c>
      <c r="Y39" s="74">
        <f>+GETPIVOTDATA("XSB4",'sonbinh (2016)'!$A$3,"MA_HT","DCH","MA_QH","SKC")</f>
        <v>0</v>
      </c>
      <c r="Z39" s="74">
        <f>+GETPIVOTDATA("XSB4",'sonbinh (2016)'!$A$3,"MA_HT","DCH","MA_QH","SKS")</f>
        <v>0</v>
      </c>
      <c r="AA39" s="64">
        <f>+SUM(AB39:AK39,AM39)</f>
        <v>0</v>
      </c>
      <c r="AB39" s="74">
        <f>+GETPIVOTDATA("XSB4",'sonbinh (2016)'!$A$3,"MA_HT","DCH","MA_QH","DGT")</f>
        <v>0</v>
      </c>
      <c r="AC39" s="74">
        <f>+GETPIVOTDATA("XSB4",'sonbinh (2016)'!$A$3,"MA_HT","DCH","MA_QH","DTL")</f>
        <v>0</v>
      </c>
      <c r="AD39" s="74">
        <f>+GETPIVOTDATA("XSB4",'sonbinh (2016)'!$A$3,"MA_HT","DCH","MA_QH","DNL")</f>
        <v>0</v>
      </c>
      <c r="AE39" s="74">
        <f>+GETPIVOTDATA("XSB4",'sonbinh (2016)'!$A$3,"MA_HT","DCH","MA_QH","DBV")</f>
        <v>0</v>
      </c>
      <c r="AF39" s="74">
        <f>+GETPIVOTDATA("XSB4",'sonbinh (2016)'!$A$3,"MA_HT","DCH","MA_QH","DVH")</f>
        <v>0</v>
      </c>
      <c r="AG39" s="74">
        <f>+GETPIVOTDATA("XSB4",'sonbinh (2016)'!$A$3,"MA_HT","DCH","MA_QH","DYT")</f>
        <v>0</v>
      </c>
      <c r="AH39" s="74">
        <f>+GETPIVOTDATA("XSB4",'sonbinh (2016)'!$A$3,"MA_HT","DCH","MA_QH","DGD")</f>
        <v>0</v>
      </c>
      <c r="AI39" s="74">
        <f>+GETPIVOTDATA("XSB4",'sonbinh (2016)'!$A$3,"MA_HT","DCH","MA_QH","DTT")</f>
        <v>0</v>
      </c>
      <c r="AJ39" s="74">
        <f>+GETPIVOTDATA("XSB4",'sonbinh (2016)'!$A$3,"MA_HT","DCH","MA_QH","NCK")</f>
        <v>0</v>
      </c>
      <c r="AK39" s="74">
        <f>+GETPIVOTDATA("XSB4",'sonbinh (2016)'!$A$3,"MA_HT","DCH","MA_QH","DXH")</f>
        <v>0</v>
      </c>
      <c r="AL39" s="100" t="e">
        <f>$D39-$BF39</f>
        <v>#REF!</v>
      </c>
      <c r="AM39" s="74">
        <f>+GETPIVOTDATA("XSB4",'sonbinh (2016)'!$A$3,"MA_HT","DXH","MA_QH","DKG")</f>
        <v>0</v>
      </c>
      <c r="AN39" s="74">
        <f>+GETPIVOTDATA("XSB4",'sonbinh (2016)'!$A$3,"MA_HT","DCH","MA_QH","DDT")</f>
        <v>0</v>
      </c>
      <c r="AO39" s="74">
        <f>+GETPIVOTDATA("XSB4",'sonbinh (2016)'!$A$3,"MA_HT","DCH","MA_QH","DDL")</f>
        <v>0</v>
      </c>
      <c r="AP39" s="74">
        <f>+GETPIVOTDATA("XSB4",'sonbinh (2016)'!$A$3,"MA_HT","DCH","MA_QH","DRA")</f>
        <v>0</v>
      </c>
      <c r="AQ39" s="74">
        <f>+GETPIVOTDATA("XSB4",'sonbinh (2016)'!$A$3,"MA_HT","DCH","MA_QH","ONT")</f>
        <v>0</v>
      </c>
      <c r="AR39" s="74">
        <f>+GETPIVOTDATA("XSB4",'sonbinh (2016)'!$A$3,"MA_HT","DCH","MA_QH","ODT")</f>
        <v>0</v>
      </c>
      <c r="AS39" s="74">
        <f>+GETPIVOTDATA("XSB4",'sonbinh (2016)'!$A$3,"MA_HT","DCH","MA_QH","TSC")</f>
        <v>0</v>
      </c>
      <c r="AT39" s="74">
        <f>+GETPIVOTDATA("XSB4",'sonbinh (2016)'!$A$3,"MA_HT","DCH","MA_QH","DTS")</f>
        <v>0</v>
      </c>
      <c r="AU39" s="74">
        <f>+GETPIVOTDATA("XSB4",'sonbinh (2016)'!$A$3,"MA_HT","DCH","MA_QH","DNG")</f>
        <v>0</v>
      </c>
      <c r="AV39" s="74">
        <f>+GETPIVOTDATA("XSB4",'sonbinh (2016)'!$A$3,"MA_HT","DCH","MA_QH","TON")</f>
        <v>0</v>
      </c>
      <c r="AW39" s="74">
        <f>+GETPIVOTDATA("XSB4",'sonbinh (2016)'!$A$3,"MA_HT","DCH","MA_QH","NTD")</f>
        <v>0</v>
      </c>
      <c r="AX39" s="74">
        <f>+GETPIVOTDATA("XSB4",'sonbinh (2016)'!$A$3,"MA_HT","DCH","MA_QH","SKX")</f>
        <v>0</v>
      </c>
      <c r="AY39" s="74">
        <f>+GETPIVOTDATA("XSB4",'sonbinh (2016)'!$A$3,"MA_HT","DCH","MA_QH","DSH")</f>
        <v>0</v>
      </c>
      <c r="AZ39" s="74">
        <f>+GETPIVOTDATA("XSB4",'sonbinh (2016)'!$A$3,"MA_HT","DCH","MA_QH","DKV")</f>
        <v>0</v>
      </c>
      <c r="BA39" s="139">
        <f>+GETPIVOTDATA("XSB4",'sonbinh (2016)'!$A$3,"MA_HT","DCH","MA_QH","TIN")</f>
        <v>0</v>
      </c>
      <c r="BB39" s="74">
        <f>+GETPIVOTDATA("XSB4",'sonbinh (2016)'!$A$3,"MA_HT","DCH","MA_QH","SON")</f>
        <v>0</v>
      </c>
      <c r="BC39" s="74">
        <f>+GETPIVOTDATA("XSB4",'sonbinh (2016)'!$A$3,"MA_HT","DCH","MA_QH","MNC")</f>
        <v>0</v>
      </c>
      <c r="BD39" s="74">
        <f>+GETPIVOTDATA("XSB4",'sonbinh (2016)'!$A$3,"MA_HT","DCH","MA_QH","PNK")</f>
        <v>0</v>
      </c>
      <c r="BE39" s="102">
        <f>+GETPIVOTDATA("XSB4",'sonbinh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+GETPIVOTDATA("XSB4",'sonbinh (2016)'!$A$3,"MA_HT","DKG","MA_QH","LUC")</f>
        <v>0</v>
      </c>
      <c r="H40" s="74">
        <f>+GETPIVOTDATA("XSB4",'sonbinh (2016)'!$A$3,"MA_HT","DKG","MA_QH","LUK")</f>
        <v>0</v>
      </c>
      <c r="I40" s="74">
        <f>+GETPIVOTDATA("XSB4",'sonbinh (2016)'!$A$3,"MA_HT","DKG","MA_QH","LUN")</f>
        <v>0</v>
      </c>
      <c r="J40" s="74">
        <f>+GETPIVOTDATA("XSB4",'sonbinh (2016)'!$A$3,"MA_HT","DKG","MA_QH","HNK")</f>
        <v>0</v>
      </c>
      <c r="K40" s="74">
        <f>+GETPIVOTDATA("XSB4",'sonbinh (2016)'!$A$3,"MA_HT","DKG","MA_QH","CLN")</f>
        <v>0</v>
      </c>
      <c r="L40" s="74">
        <f>+GETPIVOTDATA("XSB4",'sonbinh (2016)'!$A$3,"MA_HT","DKG","MA_QH","RSX")</f>
        <v>0</v>
      </c>
      <c r="M40" s="74">
        <f>+GETPIVOTDATA("XSB4",'sonbinh (2016)'!$A$3,"MA_HT","DKG","MA_QH","RPH")</f>
        <v>0</v>
      </c>
      <c r="N40" s="74">
        <f>+GETPIVOTDATA("XSB4",'sonbinh (2016)'!$A$3,"MA_HT","DKG","MA_QH","RDD")</f>
        <v>0</v>
      </c>
      <c r="O40" s="74">
        <f>+GETPIVOTDATA("XSB4",'sonbinh (2016)'!$A$3,"MA_HT","DKG","MA_QH","NTS")</f>
        <v>0</v>
      </c>
      <c r="P40" s="74">
        <f>+GETPIVOTDATA("XSB4",'sonbinh (2016)'!$A$3,"MA_HT","DKG","MA_QH","LMU")</f>
        <v>0</v>
      </c>
      <c r="Q40" s="74">
        <f>+GETPIVOTDATA("XSB4",'sonbinh (2016)'!$A$3,"MA_HT","DKG","MA_QH","NKH")</f>
        <v>0</v>
      </c>
      <c r="R40" s="72">
        <f>SUM(S40:AA40,AN40:BD40)</f>
        <v>0</v>
      </c>
      <c r="S40" s="74">
        <f>+GETPIVOTDATA("XSB4",'sonbinh (2016)'!$A$3,"MA_HT","DKG","MA_QH","CQP")</f>
        <v>0</v>
      </c>
      <c r="T40" s="74">
        <f>+GETPIVOTDATA("XSB4",'sonbinh (2016)'!$A$3,"MA_HT","DKG","MA_QH","CAN")</f>
        <v>0</v>
      </c>
      <c r="U40" s="74">
        <f>+GETPIVOTDATA("XSB4",'sonbinh (2016)'!$A$3,"MA_HT","DKG","MA_QH","SKK")</f>
        <v>0</v>
      </c>
      <c r="V40" s="74">
        <f>+GETPIVOTDATA("XSB4",'sonbinh (2016)'!$A$3,"MA_HT","DKG","MA_QH","SKT")</f>
        <v>0</v>
      </c>
      <c r="W40" s="74">
        <f>+GETPIVOTDATA("XSB4",'sonbinh (2016)'!$A$3,"MA_HT","DKG","MA_QH","SKN")</f>
        <v>0</v>
      </c>
      <c r="X40" s="74">
        <f>+GETPIVOTDATA("XSB4",'sonbinh (2016)'!$A$3,"MA_HT","DKG","MA_QH","TMD")</f>
        <v>0</v>
      </c>
      <c r="Y40" s="74">
        <f>+GETPIVOTDATA("XSB4",'sonbinh (2016)'!$A$3,"MA_HT","DKG","MA_QH","SKC")</f>
        <v>0</v>
      </c>
      <c r="Z40" s="74">
        <f>+GETPIVOTDATA("XSB4",'sonbinh (2016)'!$A$3,"MA_HT","DKG","MA_QH","SKS")</f>
        <v>0</v>
      </c>
      <c r="AA40" s="64">
        <f>+SUM(AB40:AL40)</f>
        <v>0</v>
      </c>
      <c r="AB40" s="74">
        <f>+GETPIVOTDATA("XSB4",'sonbinh (2016)'!$A$3,"MA_HT","DKG","MA_QH","DGT")</f>
        <v>0</v>
      </c>
      <c r="AC40" s="74">
        <f>+GETPIVOTDATA("XSB4",'sonbinh (2016)'!$A$3,"MA_HT","DKG","MA_QH","DTL")</f>
        <v>0</v>
      </c>
      <c r="AD40" s="74">
        <f>+GETPIVOTDATA("XSB4",'sonbinh (2016)'!$A$3,"MA_HT","DKG","MA_QH","DNL")</f>
        <v>0</v>
      </c>
      <c r="AE40" s="74">
        <f>+GETPIVOTDATA("XSB4",'sonbinh (2016)'!$A$3,"MA_HT","DKG","MA_QH","DBV")</f>
        <v>0</v>
      </c>
      <c r="AF40" s="74">
        <f>+GETPIVOTDATA("XSB4",'sonbinh (2016)'!$A$3,"MA_HT","DKG","MA_QH","DVH")</f>
        <v>0</v>
      </c>
      <c r="AG40" s="74">
        <f>+GETPIVOTDATA("XSB4",'sonbinh (2016)'!$A$3,"MA_HT","DKG","MA_QH","DYT")</f>
        <v>0</v>
      </c>
      <c r="AH40" s="74">
        <f>+GETPIVOTDATA("XSB4",'sonbinh (2016)'!$A$3,"MA_HT","DKG","MA_QH","DGD")</f>
        <v>0</v>
      </c>
      <c r="AI40" s="74">
        <f>+GETPIVOTDATA("XSB4",'sonbinh (2016)'!$A$3,"MA_HT","DKG","MA_QH","DTT")</f>
        <v>0</v>
      </c>
      <c r="AJ40" s="74">
        <f>+GETPIVOTDATA("XSB4",'sonbinh (2016)'!$A$3,"MA_HT","DKG","MA_QH","NCK")</f>
        <v>0</v>
      </c>
      <c r="AK40" s="74">
        <f>+GETPIVOTDATA("XSB4",'sonbinh (2016)'!$A$3,"MA_HT","DKG","MA_QH","DXH")</f>
        <v>0</v>
      </c>
      <c r="AL40" s="122">
        <f>+GETPIVOTDATA("XSB4",'sonbinh (2016)'!$A$3,"MA_HT","DDT","MA_QH","DKG")</f>
        <v>0</v>
      </c>
      <c r="AM40" s="100" t="e">
        <f>$D40-$BF40</f>
        <v>#REF!</v>
      </c>
      <c r="AN40" s="74">
        <f>+GETPIVOTDATA("XSB4",'sonbinh (2016)'!$A$3,"MA_HT","DKG","MA_QH","DDT")</f>
        <v>0</v>
      </c>
      <c r="AO40" s="74">
        <f>+GETPIVOTDATA("XSB4",'sonbinh (2016)'!$A$3,"MA_HT","DKG","MA_QH","DDL")</f>
        <v>0</v>
      </c>
      <c r="AP40" s="74">
        <f>+GETPIVOTDATA("XSB4",'sonbinh (2016)'!$A$3,"MA_HT","DKG","MA_QH","DRA")</f>
        <v>0</v>
      </c>
      <c r="AQ40" s="74">
        <f>+GETPIVOTDATA("XSB4",'sonbinh (2016)'!$A$3,"MA_HT","DKG","MA_QH","ONT")</f>
        <v>0</v>
      </c>
      <c r="AR40" s="74">
        <f>+GETPIVOTDATA("XSB4",'sonbinh (2016)'!$A$3,"MA_HT","DKG","MA_QH","ODT")</f>
        <v>0</v>
      </c>
      <c r="AS40" s="74">
        <f>+GETPIVOTDATA("XSB4",'sonbinh (2016)'!$A$3,"MA_HT","DKG","MA_QH","TSC")</f>
        <v>0</v>
      </c>
      <c r="AT40" s="74">
        <f>+GETPIVOTDATA("XSB4",'sonbinh (2016)'!$A$3,"MA_HT","DKG","MA_QH","DTS")</f>
        <v>0</v>
      </c>
      <c r="AU40" s="74">
        <f>+GETPIVOTDATA("XSB4",'sonbinh (2016)'!$A$3,"MA_HT","DKG","MA_QH","DNG")</f>
        <v>0</v>
      </c>
      <c r="AV40" s="74">
        <f>+GETPIVOTDATA("XSB4",'sonbinh (2016)'!$A$3,"MA_HT","DKG","MA_QH","TON")</f>
        <v>0</v>
      </c>
      <c r="AW40" s="74">
        <f>+GETPIVOTDATA("XSB4",'sonbinh (2016)'!$A$3,"MA_HT","DKG","MA_QH","NTD")</f>
        <v>0</v>
      </c>
      <c r="AX40" s="74">
        <f>+GETPIVOTDATA("XSB4",'sonbinh (2016)'!$A$3,"MA_HT","DKG","MA_QH","SKX")</f>
        <v>0</v>
      </c>
      <c r="AY40" s="74">
        <f>+GETPIVOTDATA("XSB4",'sonbinh (2016)'!$A$3,"MA_HT","DKG","MA_QH","DSH")</f>
        <v>0</v>
      </c>
      <c r="AZ40" s="74">
        <f>+GETPIVOTDATA("XSB4",'sonbinh (2016)'!$A$3,"MA_HT","DKG","MA_QH","DKV")</f>
        <v>0</v>
      </c>
      <c r="BA40" s="139">
        <f>+GETPIVOTDATA("XSB4",'sonbinh (2016)'!$A$3,"MA_HT","DKG","MA_QH","TIN")</f>
        <v>0</v>
      </c>
      <c r="BB40" s="74">
        <f>+GETPIVOTDATA("XSB4",'sonbinh (2016)'!$A$3,"MA_HT","DKG","MA_QH","SON")</f>
        <v>0</v>
      </c>
      <c r="BC40" s="74">
        <f>+GETPIVOTDATA("XSB4",'sonbinh (2016)'!$A$3,"MA_HT","DKG","MA_QH","MNC")</f>
        <v>0</v>
      </c>
      <c r="BD40" s="74">
        <f>+GETPIVOTDATA("XSB4",'sonbinh (2016)'!$A$3,"MA_HT","DKG","MA_QH","PNK")</f>
        <v>0</v>
      </c>
      <c r="BE40" s="102">
        <f>+GETPIVOTDATA("XSB4",'sonbinh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+GETPIVOTDATA("XSB4",'sonbinh (2016)'!$A$3,"MA_HT","DDT","MA_QH","LUC")</f>
        <v>0</v>
      </c>
      <c r="H41" s="122">
        <f>+GETPIVOTDATA("XSB4",'sonbinh (2016)'!$A$3,"MA_HT","DDT","MA_QH","LUK")</f>
        <v>0</v>
      </c>
      <c r="I41" s="122">
        <f>+GETPIVOTDATA("XSB4",'sonbinh (2016)'!$A$3,"MA_HT","DDT","MA_QH","LUN")</f>
        <v>0</v>
      </c>
      <c r="J41" s="122">
        <f>+GETPIVOTDATA("XSB4",'sonbinh (2016)'!$A$3,"MA_HT","DDT","MA_QH","HNK")</f>
        <v>0</v>
      </c>
      <c r="K41" s="122">
        <f>+GETPIVOTDATA("XSB4",'sonbinh (2016)'!$A$3,"MA_HT","DDT","MA_QH","CLN")</f>
        <v>0</v>
      </c>
      <c r="L41" s="122">
        <f>+GETPIVOTDATA("XSB4",'sonbinh (2016)'!$A$3,"MA_HT","DDT","MA_QH","RSX")</f>
        <v>0</v>
      </c>
      <c r="M41" s="122">
        <f>+GETPIVOTDATA("XSB4",'sonbinh (2016)'!$A$3,"MA_HT","DDT","MA_QH","RPH")</f>
        <v>0</v>
      </c>
      <c r="N41" s="122">
        <f>+GETPIVOTDATA("XSB4",'sonbinh (2016)'!$A$3,"MA_HT","DDT","MA_QH","RDD")</f>
        <v>0</v>
      </c>
      <c r="O41" s="122">
        <f>+GETPIVOTDATA("XSB4",'sonbinh (2016)'!$A$3,"MA_HT","DDT","MA_QH","NTS")</f>
        <v>0</v>
      </c>
      <c r="P41" s="122">
        <f>+GETPIVOTDATA("XSB4",'sonbinh (2016)'!$A$3,"MA_HT","DDT","MA_QH","LMU")</f>
        <v>0</v>
      </c>
      <c r="Q41" s="122">
        <f>+GETPIVOTDATA("XSB4",'sonbinh (2016)'!$A$3,"MA_HT","DDT","MA_QH","NKH")</f>
        <v>0</v>
      </c>
      <c r="R41" s="123">
        <f>SUM(S41:AA41,AO41:BD41)</f>
        <v>0</v>
      </c>
      <c r="S41" s="122">
        <f>+GETPIVOTDATA("XSB4",'sonbinh (2016)'!$A$3,"MA_HT","DDT","MA_QH","CQP")</f>
        <v>0</v>
      </c>
      <c r="T41" s="122">
        <f>+GETPIVOTDATA("XSB4",'sonbinh (2016)'!$A$3,"MA_HT","DDT","MA_QH","CAN")</f>
        <v>0</v>
      </c>
      <c r="U41" s="122">
        <f>+GETPIVOTDATA("XSB4",'sonbinh (2016)'!$A$3,"MA_HT","DDT","MA_QH","SKK")</f>
        <v>0</v>
      </c>
      <c r="V41" s="122">
        <f>+GETPIVOTDATA("XSB4",'sonbinh (2016)'!$A$3,"MA_HT","DDT","MA_QH","SKT")</f>
        <v>0</v>
      </c>
      <c r="W41" s="122">
        <f>+GETPIVOTDATA("XSB4",'sonbinh (2016)'!$A$3,"MA_HT","DDT","MA_QH","SKN")</f>
        <v>0</v>
      </c>
      <c r="X41" s="122">
        <f>+GETPIVOTDATA("XSB4",'sonbinh (2016)'!$A$3,"MA_HT","DDT","MA_QH","TMD")</f>
        <v>0</v>
      </c>
      <c r="Y41" s="122">
        <f>+GETPIVOTDATA("XSB4",'sonbinh (2016)'!$A$3,"MA_HT","DDT","MA_QH","SKC")</f>
        <v>0</v>
      </c>
      <c r="Z41" s="122">
        <f>+GETPIVOTDATA("XSB4",'sonbinh (2016)'!$A$3,"MA_HT","DDT","MA_QH","SKS")</f>
        <v>0</v>
      </c>
      <c r="AA41" s="121">
        <f t="shared" ref="AA41:AA58" si="21">+SUM(AB41:AM41)</f>
        <v>0</v>
      </c>
      <c r="AB41" s="122">
        <f>+GETPIVOTDATA("XSB4",'sonbinh (2016)'!$A$3,"MA_HT","DDT","MA_QH","DGT")</f>
        <v>0</v>
      </c>
      <c r="AC41" s="122">
        <f>+GETPIVOTDATA("XSB4",'sonbinh (2016)'!$A$3,"MA_HT","DDT","MA_QH","DTL")</f>
        <v>0</v>
      </c>
      <c r="AD41" s="122">
        <f>+GETPIVOTDATA("XSB4",'sonbinh (2016)'!$A$3,"MA_HT","DDT","MA_QH","DNL")</f>
        <v>0</v>
      </c>
      <c r="AE41" s="122">
        <f>+GETPIVOTDATA("XSB4",'sonbinh (2016)'!$A$3,"MA_HT","DDT","MA_QH","DBV")</f>
        <v>0</v>
      </c>
      <c r="AF41" s="122">
        <f>+GETPIVOTDATA("XSB4",'sonbinh (2016)'!$A$3,"MA_HT","DDT","MA_QH","DVH")</f>
        <v>0</v>
      </c>
      <c r="AG41" s="122">
        <f>+GETPIVOTDATA("XSB4",'sonbinh (2016)'!$A$3,"MA_HT","DDT","MA_QH","DYT")</f>
        <v>0</v>
      </c>
      <c r="AH41" s="122">
        <f>+GETPIVOTDATA("XSB4",'sonbinh (2016)'!$A$3,"MA_HT","DDT","MA_QH","DGD")</f>
        <v>0</v>
      </c>
      <c r="AI41" s="122">
        <f>+GETPIVOTDATA("XSB4",'sonbinh (2016)'!$A$3,"MA_HT","DDT","MA_QH","DTT")</f>
        <v>0</v>
      </c>
      <c r="AJ41" s="122">
        <f>+GETPIVOTDATA("XSB4",'sonbinh (2016)'!$A$3,"MA_HT","DDT","MA_QH","NCK")</f>
        <v>0</v>
      </c>
      <c r="AK41" s="122">
        <f>+GETPIVOTDATA("XSB4",'sonbinh (2016)'!$A$3,"MA_HT","DDT","MA_QH","DXH")</f>
        <v>0</v>
      </c>
      <c r="AL41" s="122">
        <f>+GETPIVOTDATA("XSB4",'sonbinh (2016)'!$A$3,"MA_HT","DDT","MA_QH","DCH")</f>
        <v>0</v>
      </c>
      <c r="AM41" s="122">
        <f>+GETPIVOTDATA("XSB4",'sonbinh (2016)'!$A$3,"MA_HT","DDT","MA_QH","DKG")</f>
        <v>0</v>
      </c>
      <c r="AN41" s="124" t="e">
        <f>$D41-$BF41</f>
        <v>#REF!</v>
      </c>
      <c r="AO41" s="122">
        <f>+GETPIVOTDATA("XSB4",'sonbinh (2016)'!$A$3,"MA_HT","DDT","MA_QH","DDL")</f>
        <v>0</v>
      </c>
      <c r="AP41" s="122">
        <f>+GETPIVOTDATA("XSB4",'sonbinh (2016)'!$A$3,"MA_HT","DDT","MA_QH","DRA")</f>
        <v>0</v>
      </c>
      <c r="AQ41" s="122">
        <f>+GETPIVOTDATA("XSB4",'sonbinh (2016)'!$A$3,"MA_HT","DDT","MA_QH","ONT")</f>
        <v>0</v>
      </c>
      <c r="AR41" s="122">
        <f>+GETPIVOTDATA("XSB4",'sonbinh (2016)'!$A$3,"MA_HT","DDT","MA_QH","ODT")</f>
        <v>0</v>
      </c>
      <c r="AS41" s="122">
        <f>+GETPIVOTDATA("XSB4",'sonbinh (2016)'!$A$3,"MA_HT","DDT","MA_QH","TSC")</f>
        <v>0</v>
      </c>
      <c r="AT41" s="122">
        <f>+GETPIVOTDATA("XSB4",'sonbinh (2016)'!$A$3,"MA_HT","DDT","MA_QH","DTS")</f>
        <v>0</v>
      </c>
      <c r="AU41" s="122">
        <f>+GETPIVOTDATA("XSB4",'sonbinh (2016)'!$A$3,"MA_HT","DDT","MA_QH","DNG")</f>
        <v>0</v>
      </c>
      <c r="AV41" s="122">
        <f>+GETPIVOTDATA("XSB4",'sonbinh (2016)'!$A$3,"MA_HT","DDT","MA_QH","TON")</f>
        <v>0</v>
      </c>
      <c r="AW41" s="122">
        <f>+GETPIVOTDATA("XSB4",'sonbinh (2016)'!$A$3,"MA_HT","DDT","MA_QH","NTD")</f>
        <v>0</v>
      </c>
      <c r="AX41" s="122">
        <f>+GETPIVOTDATA("XSB4",'sonbinh (2016)'!$A$3,"MA_HT","DDT","MA_QH","SKX")</f>
        <v>0</v>
      </c>
      <c r="AY41" s="122">
        <f>+GETPIVOTDATA("XSB4",'sonbinh (2016)'!$A$3,"MA_HT","DDT","MA_QH","DSH")</f>
        <v>0</v>
      </c>
      <c r="AZ41" s="122">
        <f>+GETPIVOTDATA("XSB4",'sonbinh (2016)'!$A$3,"MA_HT","DDT","MA_QH","DKV")</f>
        <v>0</v>
      </c>
      <c r="BA41" s="141">
        <f>+GETPIVOTDATA("XSB4",'sonbinh (2016)'!$A$3,"MA_HT","DDT","MA_QH","TIN")</f>
        <v>0</v>
      </c>
      <c r="BB41" s="125">
        <f>+GETPIVOTDATA("XSB4",'sonbinh (2016)'!$A$3,"MA_HT","DDT","MA_QH","SON")</f>
        <v>0</v>
      </c>
      <c r="BC41" s="125">
        <f>+GETPIVOTDATA("XSB4",'sonbinh (2016)'!$A$3,"MA_HT","DDT","MA_QH","MNC")</f>
        <v>0</v>
      </c>
      <c r="BD41" s="122">
        <f>+GETPIVOTDATA("XSB4",'sonbinh (2016)'!$A$3,"MA_HT","DDT","MA_QH","PNK")</f>
        <v>0</v>
      </c>
      <c r="BE41" s="126">
        <f>+GETPIVOTDATA("XSB4",'sonbinh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+GETPIVOTDATA("XSB4",'sonbinh (2016)'!$A$3,"MA_HT","DDL","MA_QH","LUC")</f>
        <v>0</v>
      </c>
      <c r="H42" s="35">
        <f>+GETPIVOTDATA("XSB4",'sonbinh (2016)'!$A$3,"MA_HT","DDL","MA_QH","LUK")</f>
        <v>0</v>
      </c>
      <c r="I42" s="35">
        <f>+GETPIVOTDATA("XSB4",'sonbinh (2016)'!$A$3,"MA_HT","DDL","MA_QH","LUN")</f>
        <v>0</v>
      </c>
      <c r="J42" s="35">
        <f>+GETPIVOTDATA("XSB4",'sonbinh (2016)'!$A$3,"MA_HT","DDL","MA_QH","HNK")</f>
        <v>0</v>
      </c>
      <c r="K42" s="35">
        <f>+GETPIVOTDATA("XSB4",'sonbinh (2016)'!$A$3,"MA_HT","DDL","MA_QH","CLN")</f>
        <v>0</v>
      </c>
      <c r="L42" s="35">
        <f>+GETPIVOTDATA("XSB4",'sonbinh (2016)'!$A$3,"MA_HT","DDL","MA_QH","RSX")</f>
        <v>0</v>
      </c>
      <c r="M42" s="35">
        <f>+GETPIVOTDATA("XSB4",'sonbinh (2016)'!$A$3,"MA_HT","DDL","MA_QH","RPH")</f>
        <v>0</v>
      </c>
      <c r="N42" s="35">
        <f>+GETPIVOTDATA("XSB4",'sonbinh (2016)'!$A$3,"MA_HT","DDL","MA_QH","RDD")</f>
        <v>0</v>
      </c>
      <c r="O42" s="35">
        <f>+GETPIVOTDATA("XSB4",'sonbinh (2016)'!$A$3,"MA_HT","DDL","MA_QH","NTS")</f>
        <v>0</v>
      </c>
      <c r="P42" s="35">
        <f>+GETPIVOTDATA("XSB4",'sonbinh (2016)'!$A$3,"MA_HT","DDL","MA_QH","LMU")</f>
        <v>0</v>
      </c>
      <c r="Q42" s="35">
        <f>+GETPIVOTDATA("XSB4",'sonbinh (2016)'!$A$3,"MA_HT","DDL","MA_QH","NKH")</f>
        <v>0</v>
      </c>
      <c r="R42" s="106">
        <f>SUM(S42:AA42,AN42,AP42:BD42)</f>
        <v>0</v>
      </c>
      <c r="S42" s="35">
        <f>+GETPIVOTDATA("XSB4",'sonbinh (2016)'!$A$3,"MA_HT","DDL","MA_QH","CQP")</f>
        <v>0</v>
      </c>
      <c r="T42" s="35">
        <f>+GETPIVOTDATA("XSB4",'sonbinh (2016)'!$A$3,"MA_HT","DDL","MA_QH","CAN")</f>
        <v>0</v>
      </c>
      <c r="U42" s="35">
        <f>+GETPIVOTDATA("XSB4",'sonbinh (2016)'!$A$3,"MA_HT","DDL","MA_QH","SKK")</f>
        <v>0</v>
      </c>
      <c r="V42" s="35">
        <f>+GETPIVOTDATA("XSB4",'sonbinh (2016)'!$A$3,"MA_HT","DDL","MA_QH","SKT")</f>
        <v>0</v>
      </c>
      <c r="W42" s="35">
        <f>+GETPIVOTDATA("XSB4",'sonbinh (2016)'!$A$3,"MA_HT","DDL","MA_QH","SKN")</f>
        <v>0</v>
      </c>
      <c r="X42" s="35">
        <f>+GETPIVOTDATA("XSB4",'sonbinh (2016)'!$A$3,"MA_HT","DDL","MA_QH","TMD")</f>
        <v>0</v>
      </c>
      <c r="Y42" s="35">
        <f>+GETPIVOTDATA("XSB4",'sonbinh (2016)'!$A$3,"MA_HT","DDL","MA_QH","SKC")</f>
        <v>0</v>
      </c>
      <c r="Z42" s="35">
        <f>+GETPIVOTDATA("XSB4",'sonbinh (2016)'!$A$3,"MA_HT","DDL","MA_QH","SKS")</f>
        <v>0</v>
      </c>
      <c r="AA42" s="64">
        <f t="shared" si="21"/>
        <v>0</v>
      </c>
      <c r="AB42" s="35">
        <f>+GETPIVOTDATA("XSB4",'sonbinh (2016)'!$A$3,"MA_HT","DDL","MA_QH","DGT")</f>
        <v>0</v>
      </c>
      <c r="AC42" s="35">
        <f>+GETPIVOTDATA("XSB4",'sonbinh (2016)'!$A$3,"MA_HT","DDL","MA_QH","DTL")</f>
        <v>0</v>
      </c>
      <c r="AD42" s="35">
        <f>+GETPIVOTDATA("XSB4",'sonbinh (2016)'!$A$3,"MA_HT","DDL","MA_QH","DNL")</f>
        <v>0</v>
      </c>
      <c r="AE42" s="35">
        <f>+GETPIVOTDATA("XSB4",'sonbinh (2016)'!$A$3,"MA_HT","DDL","MA_QH","DBV")</f>
        <v>0</v>
      </c>
      <c r="AF42" s="35">
        <f>+GETPIVOTDATA("XSB4",'sonbinh (2016)'!$A$3,"MA_HT","DDL","MA_QH","DVH")</f>
        <v>0</v>
      </c>
      <c r="AG42" s="35">
        <f>+GETPIVOTDATA("XSB4",'sonbinh (2016)'!$A$3,"MA_HT","DDL","MA_QH","DYT")</f>
        <v>0</v>
      </c>
      <c r="AH42" s="35">
        <f>+GETPIVOTDATA("XSB4",'sonbinh (2016)'!$A$3,"MA_HT","DDL","MA_QH","DGD")</f>
        <v>0</v>
      </c>
      <c r="AI42" s="35">
        <f>+GETPIVOTDATA("XSB4",'sonbinh (2016)'!$A$3,"MA_HT","DDL","MA_QH","DTT")</f>
        <v>0</v>
      </c>
      <c r="AJ42" s="35">
        <f>+GETPIVOTDATA("XSB4",'sonbinh (2016)'!$A$3,"MA_HT","DDL","MA_QH","NCK")</f>
        <v>0</v>
      </c>
      <c r="AK42" s="35">
        <f>+GETPIVOTDATA("XSB4",'sonbinh (2016)'!$A$3,"MA_HT","DDL","MA_QH","DXH")</f>
        <v>0</v>
      </c>
      <c r="AL42" s="35">
        <f>+GETPIVOTDATA("XSB4",'sonbinh (2016)'!$A$3,"MA_HT","DDL","MA_QH","DCH")</f>
        <v>0</v>
      </c>
      <c r="AM42" s="35">
        <f>+GETPIVOTDATA("XSB4",'sonbinh (2016)'!$A$3,"MA_HT","DDL","MA_QH","DKG")</f>
        <v>0</v>
      </c>
      <c r="AN42" s="35">
        <f>+GETPIVOTDATA("XSB4",'sonbinh (2016)'!$A$3,"MA_HT","DDL","MA_QH","DDT")</f>
        <v>0</v>
      </c>
      <c r="AO42" s="99" t="e">
        <f>$D42-$BF42</f>
        <v>#REF!</v>
      </c>
      <c r="AP42" s="35">
        <f>+GETPIVOTDATA("XSB4",'sonbinh (2016)'!$A$3,"MA_HT","DDL","MA_QH","DRA")</f>
        <v>0</v>
      </c>
      <c r="AQ42" s="35">
        <f>+GETPIVOTDATA("XSB4",'sonbinh (2016)'!$A$3,"MA_HT","DDL","MA_QH","ONT")</f>
        <v>0</v>
      </c>
      <c r="AR42" s="35">
        <f>+GETPIVOTDATA("XSB4",'sonbinh (2016)'!$A$3,"MA_HT","DDL","MA_QH","ODT")</f>
        <v>0</v>
      </c>
      <c r="AS42" s="35">
        <f>+GETPIVOTDATA("XSB4",'sonbinh (2016)'!$A$3,"MA_HT","DDL","MA_QH","TSC")</f>
        <v>0</v>
      </c>
      <c r="AT42" s="35">
        <f>+GETPIVOTDATA("XSB4",'sonbinh (2016)'!$A$3,"MA_HT","DDL","MA_QH","DTS")</f>
        <v>0</v>
      </c>
      <c r="AU42" s="35">
        <f>+GETPIVOTDATA("XSB4",'sonbinh (2016)'!$A$3,"MA_HT","DDL","MA_QH","DNG")</f>
        <v>0</v>
      </c>
      <c r="AV42" s="35">
        <f>+GETPIVOTDATA("XSB4",'sonbinh (2016)'!$A$3,"MA_HT","DDL","MA_QH","TON")</f>
        <v>0</v>
      </c>
      <c r="AW42" s="35">
        <f>+GETPIVOTDATA("XSB4",'sonbinh (2016)'!$A$3,"MA_HT","DDL","MA_QH","NTD")</f>
        <v>0</v>
      </c>
      <c r="AX42" s="35">
        <f>+GETPIVOTDATA("XSB4",'sonbinh (2016)'!$A$3,"MA_HT","DDL","MA_QH","SKX")</f>
        <v>0</v>
      </c>
      <c r="AY42" s="35">
        <f>+GETPIVOTDATA("XSB4",'sonbinh (2016)'!$A$3,"MA_HT","DDL","MA_QH","DSH")</f>
        <v>0</v>
      </c>
      <c r="AZ42" s="35">
        <f>+GETPIVOTDATA("XSB4",'sonbinh (2016)'!$A$3,"MA_HT","DDL","MA_QH","DKV")</f>
        <v>0</v>
      </c>
      <c r="BA42" s="140">
        <f>+GETPIVOTDATA("XSB4",'sonbinh (2016)'!$A$3,"MA_HT","DDL","MA_QH","TIN")</f>
        <v>0</v>
      </c>
      <c r="BB42" s="74">
        <f>+GETPIVOTDATA("XSB4",'sonbinh (2016)'!$A$3,"MA_HT","DDL","MA_QH","SON")</f>
        <v>0</v>
      </c>
      <c r="BC42" s="74">
        <f>+GETPIVOTDATA("XSB4",'sonbinh (2016)'!$A$3,"MA_HT","DDL","MA_QH","MNC")</f>
        <v>0</v>
      </c>
      <c r="BD42" s="35">
        <f>+GETPIVOTDATA("XSB4",'sonbinh (2016)'!$A$3,"MA_HT","DDL","MA_QH","PNK")</f>
        <v>0</v>
      </c>
      <c r="BE42" s="58">
        <f>+GETPIVOTDATA("XSB4",'sonbinh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+GETPIVOTDATA("XSB4",'sonbinh (2016)'!$A$3,"MA_HT","DRA","MA_QH","LUC")</f>
        <v>0</v>
      </c>
      <c r="H43" s="35">
        <f>+GETPIVOTDATA("XSB4",'sonbinh (2016)'!$A$3,"MA_HT","DRA","MA_QH","LUK")</f>
        <v>0</v>
      </c>
      <c r="I43" s="35">
        <f>+GETPIVOTDATA("XSB4",'sonbinh (2016)'!$A$3,"MA_HT","DRA","MA_QH","LUN")</f>
        <v>0</v>
      </c>
      <c r="J43" s="35">
        <f>+GETPIVOTDATA("XSB4",'sonbinh (2016)'!$A$3,"MA_HT","DRA","MA_QH","HNK")</f>
        <v>0</v>
      </c>
      <c r="K43" s="35">
        <f>+GETPIVOTDATA("XSB4",'sonbinh (2016)'!$A$3,"MA_HT","DRA","MA_QH","CLN")</f>
        <v>0</v>
      </c>
      <c r="L43" s="35">
        <f>+GETPIVOTDATA("XSB4",'sonbinh (2016)'!$A$3,"MA_HT","DRA","MA_QH","RSX")</f>
        <v>0</v>
      </c>
      <c r="M43" s="35">
        <f>+GETPIVOTDATA("XSB4",'sonbinh (2016)'!$A$3,"MA_HT","DRA","MA_QH","RPH")</f>
        <v>0</v>
      </c>
      <c r="N43" s="35">
        <f>+GETPIVOTDATA("XSB4",'sonbinh (2016)'!$A$3,"MA_HT","DRA","MA_QH","RDD")</f>
        <v>0</v>
      </c>
      <c r="O43" s="35">
        <f>+GETPIVOTDATA("XSB4",'sonbinh (2016)'!$A$3,"MA_HT","DRA","MA_QH","NTS")</f>
        <v>0</v>
      </c>
      <c r="P43" s="35">
        <f>+GETPIVOTDATA("XSB4",'sonbinh (2016)'!$A$3,"MA_HT","DRA","MA_QH","LMU")</f>
        <v>0</v>
      </c>
      <c r="Q43" s="35">
        <f>+GETPIVOTDATA("XSB4",'sonbinh (2016)'!$A$3,"MA_HT","DRA","MA_QH","NKH")</f>
        <v>0</v>
      </c>
      <c r="R43" s="106">
        <f>SUM(S43:AA43,AN43:AO43,AQ43:BD43)</f>
        <v>0</v>
      </c>
      <c r="S43" s="35">
        <f>+GETPIVOTDATA("XSB4",'sonbinh (2016)'!$A$3,"MA_HT","DRA","MA_QH","CQP")</f>
        <v>0</v>
      </c>
      <c r="T43" s="35">
        <f>+GETPIVOTDATA("XSB4",'sonbinh (2016)'!$A$3,"MA_HT","DRA","MA_QH","CAN")</f>
        <v>0</v>
      </c>
      <c r="U43" s="35">
        <f>+GETPIVOTDATA("XSB4",'sonbinh (2016)'!$A$3,"MA_HT","DRA","MA_QH","SKK")</f>
        <v>0</v>
      </c>
      <c r="V43" s="35">
        <f>+GETPIVOTDATA("XSB4",'sonbinh (2016)'!$A$3,"MA_HT","DRA","MA_QH","SKT")</f>
        <v>0</v>
      </c>
      <c r="W43" s="35">
        <f>+GETPIVOTDATA("XSB4",'sonbinh (2016)'!$A$3,"MA_HT","DRA","MA_QH","SKN")</f>
        <v>0</v>
      </c>
      <c r="X43" s="35">
        <f>+GETPIVOTDATA("XSB4",'sonbinh (2016)'!$A$3,"MA_HT","DRA","MA_QH","TMD")</f>
        <v>0</v>
      </c>
      <c r="Y43" s="35">
        <f>+GETPIVOTDATA("XSB4",'sonbinh (2016)'!$A$3,"MA_HT","DRA","MA_QH","SKC")</f>
        <v>0</v>
      </c>
      <c r="Z43" s="35">
        <f>+GETPIVOTDATA("XSB4",'sonbinh (2016)'!$A$3,"MA_HT","DRA","MA_QH","SKS")</f>
        <v>0</v>
      </c>
      <c r="AA43" s="64">
        <f t="shared" si="21"/>
        <v>0</v>
      </c>
      <c r="AB43" s="35">
        <f>+GETPIVOTDATA("XSB4",'sonbinh (2016)'!$A$3,"MA_HT","DRA","MA_QH","DGT")</f>
        <v>0</v>
      </c>
      <c r="AC43" s="35">
        <f>+GETPIVOTDATA("XSB4",'sonbinh (2016)'!$A$3,"MA_HT","DRA","MA_QH","DTL")</f>
        <v>0</v>
      </c>
      <c r="AD43" s="35">
        <f>+GETPIVOTDATA("XSB4",'sonbinh (2016)'!$A$3,"MA_HT","DRA","MA_QH","DNL")</f>
        <v>0</v>
      </c>
      <c r="AE43" s="35">
        <f>+GETPIVOTDATA("XSB4",'sonbinh (2016)'!$A$3,"MA_HT","DRA","MA_QH","DBV")</f>
        <v>0</v>
      </c>
      <c r="AF43" s="35">
        <f>+GETPIVOTDATA("XSB4",'sonbinh (2016)'!$A$3,"MA_HT","DRA","MA_QH","DVH")</f>
        <v>0</v>
      </c>
      <c r="AG43" s="35">
        <f>+GETPIVOTDATA("XSB4",'sonbinh (2016)'!$A$3,"MA_HT","DRA","MA_QH","DYT")</f>
        <v>0</v>
      </c>
      <c r="AH43" s="35">
        <f>+GETPIVOTDATA("XSB4",'sonbinh (2016)'!$A$3,"MA_HT","DRA","MA_QH","DGD")</f>
        <v>0</v>
      </c>
      <c r="AI43" s="35">
        <f>+GETPIVOTDATA("XSB4",'sonbinh (2016)'!$A$3,"MA_HT","DRA","MA_QH","DTT")</f>
        <v>0</v>
      </c>
      <c r="AJ43" s="35">
        <f>+GETPIVOTDATA("XSB4",'sonbinh (2016)'!$A$3,"MA_HT","DRA","MA_QH","NCK")</f>
        <v>0</v>
      </c>
      <c r="AK43" s="35">
        <f>+GETPIVOTDATA("XSB4",'sonbinh (2016)'!$A$3,"MA_HT","DRA","MA_QH","DXH")</f>
        <v>0</v>
      </c>
      <c r="AL43" s="35">
        <f>+GETPIVOTDATA("XSB4",'sonbinh (2016)'!$A$3,"MA_HT","DRA","MA_QH","DCH")</f>
        <v>0</v>
      </c>
      <c r="AM43" s="35">
        <f>+GETPIVOTDATA("XSB4",'sonbinh (2016)'!$A$3,"MA_HT","DRA","MA_QH","DKG")</f>
        <v>0</v>
      </c>
      <c r="AN43" s="35">
        <f>+GETPIVOTDATA("XSB4",'sonbinh (2016)'!$A$3,"MA_HT","DRA","MA_QH","DDT")</f>
        <v>0</v>
      </c>
      <c r="AO43" s="35">
        <f>+GETPIVOTDATA("XSB4",'sonbinh (2016)'!$A$3,"MA_HT","DRA","MA_QH","DDL")</f>
        <v>0</v>
      </c>
      <c r="AP43" s="99" t="e">
        <f>$D43-$BF43</f>
        <v>#REF!</v>
      </c>
      <c r="AQ43" s="35">
        <f>+GETPIVOTDATA("XSB4",'sonbinh (2016)'!$A$3,"MA_HT","DRA","MA_QH","ONT")</f>
        <v>0</v>
      </c>
      <c r="AR43" s="35">
        <f>+GETPIVOTDATA("XSB4",'sonbinh (2016)'!$A$3,"MA_HT","DRA","MA_QH","ODT")</f>
        <v>0</v>
      </c>
      <c r="AS43" s="35">
        <f>+GETPIVOTDATA("XSB4",'sonbinh (2016)'!$A$3,"MA_HT","DRA","MA_QH","TSC")</f>
        <v>0</v>
      </c>
      <c r="AT43" s="35">
        <f>+GETPIVOTDATA("XSB4",'sonbinh (2016)'!$A$3,"MA_HT","DRA","MA_QH","DTS")</f>
        <v>0</v>
      </c>
      <c r="AU43" s="35">
        <f>+GETPIVOTDATA("XSB4",'sonbinh (2016)'!$A$3,"MA_HT","DRA","MA_QH","DNG")</f>
        <v>0</v>
      </c>
      <c r="AV43" s="35">
        <f>+GETPIVOTDATA("XSB4",'sonbinh (2016)'!$A$3,"MA_HT","DRA","MA_QH","TON")</f>
        <v>0</v>
      </c>
      <c r="AW43" s="35">
        <f>+GETPIVOTDATA("XSB4",'sonbinh (2016)'!$A$3,"MA_HT","DRA","MA_QH","NTD")</f>
        <v>0</v>
      </c>
      <c r="AX43" s="35">
        <f>+GETPIVOTDATA("XSB4",'sonbinh (2016)'!$A$3,"MA_HT","DRA","MA_QH","SKX")</f>
        <v>0</v>
      </c>
      <c r="AY43" s="35">
        <f>+GETPIVOTDATA("XSB4",'sonbinh (2016)'!$A$3,"MA_HT","DRA","MA_QH","DSH")</f>
        <v>0</v>
      </c>
      <c r="AZ43" s="35">
        <f>+GETPIVOTDATA("XSB4",'sonbinh (2016)'!$A$3,"MA_HT","DRA","MA_QH","DKV")</f>
        <v>0</v>
      </c>
      <c r="BA43" s="140">
        <f>+GETPIVOTDATA("XSB4",'sonbinh (2016)'!$A$3,"MA_HT","DRA","MA_QH","TIN")</f>
        <v>0</v>
      </c>
      <c r="BB43" s="74">
        <f>+GETPIVOTDATA("XSB4",'sonbinh (2016)'!$A$3,"MA_HT","DRA","MA_QH","SON")</f>
        <v>0</v>
      </c>
      <c r="BC43" s="74">
        <f>+GETPIVOTDATA("XSB4",'sonbinh (2016)'!$A$3,"MA_HT","DRA","MA_QH","MNC")</f>
        <v>0</v>
      </c>
      <c r="BD43" s="35">
        <f>+GETPIVOTDATA("XSB4",'sonbinh (2016)'!$A$3,"MA_HT","DRA","MA_QH","PNK")</f>
        <v>0</v>
      </c>
      <c r="BE43" s="58">
        <f>+GETPIVOTDATA("XSB4",'sonbinh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+GETPIVOTDATA("XSB4",'sonbinh (2016)'!$A$3,"MA_HT","ONT","MA_QH","LUC")</f>
        <v>0</v>
      </c>
      <c r="H44" s="35">
        <f>+GETPIVOTDATA("XSB4",'sonbinh (2016)'!$A$3,"MA_HT","ONT","MA_QH","LUK")</f>
        <v>0</v>
      </c>
      <c r="I44" s="35">
        <f>+GETPIVOTDATA("XSB4",'sonbinh (2016)'!$A$3,"MA_HT","ONT","MA_QH","LUN")</f>
        <v>0</v>
      </c>
      <c r="J44" s="35">
        <f>+GETPIVOTDATA("XSB4",'sonbinh (2016)'!$A$3,"MA_HT","ONT","MA_QH","HNK")</f>
        <v>0</v>
      </c>
      <c r="K44" s="35">
        <f>+GETPIVOTDATA("XSB4",'sonbinh (2016)'!$A$3,"MA_HT","ONT","MA_QH","CLN")</f>
        <v>0</v>
      </c>
      <c r="L44" s="35">
        <f>+GETPIVOTDATA("XSB4",'sonbinh (2016)'!$A$3,"MA_HT","ONT","MA_QH","RSX")</f>
        <v>0</v>
      </c>
      <c r="M44" s="35">
        <f>+GETPIVOTDATA("XSB4",'sonbinh (2016)'!$A$3,"MA_HT","ONT","MA_QH","RPH")</f>
        <v>0</v>
      </c>
      <c r="N44" s="35">
        <f>+GETPIVOTDATA("XSB4",'sonbinh (2016)'!$A$3,"MA_HT","ONT","MA_QH","RDD")</f>
        <v>0</v>
      </c>
      <c r="O44" s="35">
        <f>+GETPIVOTDATA("XSB4",'sonbinh (2016)'!$A$3,"MA_HT","ONT","MA_QH","NTS")</f>
        <v>0</v>
      </c>
      <c r="P44" s="35">
        <f>+GETPIVOTDATA("XSB4",'sonbinh (2016)'!$A$3,"MA_HT","ONT","MA_QH","LMU")</f>
        <v>0</v>
      </c>
      <c r="Q44" s="35">
        <f>+GETPIVOTDATA("XSB4",'sonbinh (2016)'!$A$3,"MA_HT","ONT","MA_QH","NKH")</f>
        <v>0</v>
      </c>
      <c r="R44" s="106">
        <f>SUM(S44:AA44,AN44:AP44,AR44:BD44)</f>
        <v>0</v>
      </c>
      <c r="S44" s="35">
        <f>+GETPIVOTDATA("XSB4",'sonbinh (2016)'!$A$3,"MA_HT","ONT","MA_QH","CQP")</f>
        <v>0</v>
      </c>
      <c r="T44" s="35">
        <f>+GETPIVOTDATA("XSB4",'sonbinh (2016)'!$A$3,"MA_HT","ONT","MA_QH","CAN")</f>
        <v>0</v>
      </c>
      <c r="U44" s="35">
        <f>+GETPIVOTDATA("XSB4",'sonbinh (2016)'!$A$3,"MA_HT","ONT","MA_QH","SKK")</f>
        <v>0</v>
      </c>
      <c r="V44" s="35">
        <f>+GETPIVOTDATA("XSB4",'sonbinh (2016)'!$A$3,"MA_HT","ONT","MA_QH","SKT")</f>
        <v>0</v>
      </c>
      <c r="W44" s="35">
        <f>+GETPIVOTDATA("XSB4",'sonbinh (2016)'!$A$3,"MA_HT","ONT","MA_QH","SKN")</f>
        <v>0</v>
      </c>
      <c r="X44" s="35">
        <f>+GETPIVOTDATA("XSB4",'sonbinh (2016)'!$A$3,"MA_HT","ONT","MA_QH","TMD")</f>
        <v>0</v>
      </c>
      <c r="Y44" s="35">
        <f>+GETPIVOTDATA("XSB4",'sonbinh (2016)'!$A$3,"MA_HT","ONT","MA_QH","SKC")</f>
        <v>0</v>
      </c>
      <c r="Z44" s="35">
        <f>+GETPIVOTDATA("XSB4",'sonbinh (2016)'!$A$3,"MA_HT","ONT","MA_QH","SKS")</f>
        <v>0</v>
      </c>
      <c r="AA44" s="64">
        <f t="shared" si="21"/>
        <v>0</v>
      </c>
      <c r="AB44" s="35">
        <f>+GETPIVOTDATA("XSB4",'sonbinh (2016)'!$A$3,"MA_HT","ONT","MA_QH","DGT")</f>
        <v>0</v>
      </c>
      <c r="AC44" s="35">
        <f>+GETPIVOTDATA("XSB4",'sonbinh (2016)'!$A$3,"MA_HT","ONT","MA_QH","DTL")</f>
        <v>0</v>
      </c>
      <c r="AD44" s="35">
        <f>+GETPIVOTDATA("XSB4",'sonbinh (2016)'!$A$3,"MA_HT","ONT","MA_QH","DNL")</f>
        <v>0</v>
      </c>
      <c r="AE44" s="35">
        <f>+GETPIVOTDATA("XSB4",'sonbinh (2016)'!$A$3,"MA_HT","ONT","MA_QH","DBV")</f>
        <v>0</v>
      </c>
      <c r="AF44" s="35">
        <f>+GETPIVOTDATA("XSB4",'sonbinh (2016)'!$A$3,"MA_HT","ONT","MA_QH","DVH")</f>
        <v>0</v>
      </c>
      <c r="AG44" s="35">
        <f>+GETPIVOTDATA("XSB4",'sonbinh (2016)'!$A$3,"MA_HT","ONT","MA_QH","DYT")</f>
        <v>0</v>
      </c>
      <c r="AH44" s="35">
        <f>+GETPIVOTDATA("XSB4",'sonbinh (2016)'!$A$3,"MA_HT","ONT","MA_QH","DGD")</f>
        <v>0</v>
      </c>
      <c r="AI44" s="35">
        <f>+GETPIVOTDATA("XSB4",'sonbinh (2016)'!$A$3,"MA_HT","ONT","MA_QH","DTT")</f>
        <v>0</v>
      </c>
      <c r="AJ44" s="35">
        <f>+GETPIVOTDATA("XSB4",'sonbinh (2016)'!$A$3,"MA_HT","ONT","MA_QH","NCK")</f>
        <v>0</v>
      </c>
      <c r="AK44" s="35">
        <f>+GETPIVOTDATA("XSB4",'sonbinh (2016)'!$A$3,"MA_HT","ONT","MA_QH","DXH")</f>
        <v>0</v>
      </c>
      <c r="AL44" s="35">
        <f>+GETPIVOTDATA("XSB4",'sonbinh (2016)'!$A$3,"MA_HT","ONT","MA_QH","DCH")</f>
        <v>0</v>
      </c>
      <c r="AM44" s="35">
        <f>+GETPIVOTDATA("XSB4",'sonbinh (2016)'!$A$3,"MA_HT","ONT","MA_QH","DKG")</f>
        <v>0</v>
      </c>
      <c r="AN44" s="35">
        <f>+GETPIVOTDATA("XSB4",'sonbinh (2016)'!$A$3,"MA_HT","ONT","MA_QH","DDT")</f>
        <v>0</v>
      </c>
      <c r="AO44" s="35">
        <f>+GETPIVOTDATA("XSB4",'sonbinh (2016)'!$A$3,"MA_HT","ONT","MA_QH","DDL")</f>
        <v>0</v>
      </c>
      <c r="AP44" s="35">
        <f>+GETPIVOTDATA("XSB4",'sonbinh (2016)'!$A$3,"MA_HT","ONT","MA_QH","DRA")</f>
        <v>0</v>
      </c>
      <c r="AQ44" s="99" t="e">
        <f>$D44-$BF44</f>
        <v>#REF!</v>
      </c>
      <c r="AR44" s="35">
        <f>+GETPIVOTDATA("XSB4",'sonbinh (2016)'!$A$3,"MA_HT","ONT","MA_QH","ODT")</f>
        <v>0</v>
      </c>
      <c r="AS44" s="35">
        <f>+GETPIVOTDATA("XSB4",'sonbinh (2016)'!$A$3,"MA_HT","ONT","MA_QH","TSC")</f>
        <v>0</v>
      </c>
      <c r="AT44" s="35">
        <f>+GETPIVOTDATA("XSB4",'sonbinh (2016)'!$A$3,"MA_HT","ONT","MA_QH","DTS")</f>
        <v>0</v>
      </c>
      <c r="AU44" s="35">
        <f>+GETPIVOTDATA("XSB4",'sonbinh (2016)'!$A$3,"MA_HT","ONT","MA_QH","DNG")</f>
        <v>0</v>
      </c>
      <c r="AV44" s="35">
        <f>+GETPIVOTDATA("XSB4",'sonbinh (2016)'!$A$3,"MA_HT","ONT","MA_QH","TON")</f>
        <v>0</v>
      </c>
      <c r="AW44" s="35">
        <f>+GETPIVOTDATA("XSB4",'sonbinh (2016)'!$A$3,"MA_HT","ONT","MA_QH","NTD")</f>
        <v>0</v>
      </c>
      <c r="AX44" s="35">
        <f>+GETPIVOTDATA("XSB4",'sonbinh (2016)'!$A$3,"MA_HT","ONT","MA_QH","SKX")</f>
        <v>0</v>
      </c>
      <c r="AY44" s="35">
        <f>+GETPIVOTDATA("XSB4",'sonbinh (2016)'!$A$3,"MA_HT","ONT","MA_QH","DSH")</f>
        <v>0</v>
      </c>
      <c r="AZ44" s="35">
        <f>+GETPIVOTDATA("XSB4",'sonbinh (2016)'!$A$3,"MA_HT","ONT","MA_QH","DKV")</f>
        <v>0</v>
      </c>
      <c r="BA44" s="140">
        <f>+GETPIVOTDATA("XSB4",'sonbinh (2016)'!$A$3,"MA_HT","ONT","MA_QH","TIN")</f>
        <v>0</v>
      </c>
      <c r="BB44" s="74">
        <f>+GETPIVOTDATA("XSB4",'sonbinh (2016)'!$A$3,"MA_HT","ONT","MA_QH","SON")</f>
        <v>0</v>
      </c>
      <c r="BC44" s="74">
        <f>+GETPIVOTDATA("XSB4",'sonbinh (2016)'!$A$3,"MA_HT","ONT","MA_QH","MNC")</f>
        <v>0</v>
      </c>
      <c r="BD44" s="35">
        <f>+GETPIVOTDATA("XSB4",'sonbinh (2016)'!$A$3,"MA_HT","ONT","MA_QH","PNK")</f>
        <v>0</v>
      </c>
      <c r="BE44" s="58">
        <f>+GETPIVOTDATA("XSB4",'sonbinh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+GETPIVOTDATA("XSB4",'sonbinh (2016)'!$A$3,"MA_HT","ODT","MA_QH","LUC")</f>
        <v>0</v>
      </c>
      <c r="H45" s="111">
        <f>+GETPIVOTDATA("XSB4",'sonbinh (2016)'!$A$3,"MA_HT","ODT","MA_QH","LUK")</f>
        <v>0</v>
      </c>
      <c r="I45" s="111">
        <f>+GETPIVOTDATA("XSB4",'sonbinh (2016)'!$A$3,"MA_HT","ODT","MA_QH","LUN")</f>
        <v>0</v>
      </c>
      <c r="J45" s="111">
        <f>+GETPIVOTDATA("XSB4",'sonbinh (2016)'!$A$3,"MA_HT","ODT","MA_QH","HNK")</f>
        <v>0</v>
      </c>
      <c r="K45" s="111">
        <f>+GETPIVOTDATA("XSB4",'sonbinh (2016)'!$A$3,"MA_HT","ODT","MA_QH","CLN")</f>
        <v>0</v>
      </c>
      <c r="L45" s="111">
        <f>+GETPIVOTDATA("XSB4",'sonbinh (2016)'!$A$3,"MA_HT","ODT","MA_QH","RSX")</f>
        <v>0</v>
      </c>
      <c r="M45" s="111">
        <f>+GETPIVOTDATA("XSB4",'sonbinh (2016)'!$A$3,"MA_HT","ODT","MA_QH","RPH")</f>
        <v>0</v>
      </c>
      <c r="N45" s="111">
        <f>+GETPIVOTDATA("XSB4",'sonbinh (2016)'!$A$3,"MA_HT","ODT","MA_QH","RDD")</f>
        <v>0</v>
      </c>
      <c r="O45" s="111">
        <f>+GETPIVOTDATA("XSB4",'sonbinh (2016)'!$A$3,"MA_HT","ODT","MA_QH","NTS")</f>
        <v>0</v>
      </c>
      <c r="P45" s="111">
        <f>+GETPIVOTDATA("XSB4",'sonbinh (2016)'!$A$3,"MA_HT","ODT","MA_QH","LMU")</f>
        <v>0</v>
      </c>
      <c r="Q45" s="111">
        <f>+GETPIVOTDATA("XSB4",'sonbinh (2016)'!$A$3,"MA_HT","ODT","MA_QH","NKH")</f>
        <v>0</v>
      </c>
      <c r="R45" s="106">
        <f>SUM(S45:AA45,AN45:AQ45,AS45:BD45)</f>
        <v>0</v>
      </c>
      <c r="S45" s="111">
        <f>+GETPIVOTDATA("XSB4",'sonbinh (2016)'!$A$3,"MA_HT","ODT","MA_QH","CQP")</f>
        <v>0</v>
      </c>
      <c r="T45" s="111">
        <f>+GETPIVOTDATA("XSB4",'sonbinh (2016)'!$A$3,"MA_HT","ODT","MA_QH","CAN")</f>
        <v>0</v>
      </c>
      <c r="U45" s="111">
        <f>+GETPIVOTDATA("XSB4",'sonbinh (2016)'!$A$3,"MA_HT","ODT","MA_QH","SKK")</f>
        <v>0</v>
      </c>
      <c r="V45" s="111">
        <f>+GETPIVOTDATA("XSB4",'sonbinh (2016)'!$A$3,"MA_HT","ODT","MA_QH","SKT")</f>
        <v>0</v>
      </c>
      <c r="W45" s="111">
        <f>+GETPIVOTDATA("XSB4",'sonbinh (2016)'!$A$3,"MA_HT","ODT","MA_QH","SKN")</f>
        <v>0</v>
      </c>
      <c r="X45" s="111">
        <f>+GETPIVOTDATA("XSB4",'sonbinh (2016)'!$A$3,"MA_HT","ODT","MA_QH","TMD")</f>
        <v>0</v>
      </c>
      <c r="Y45" s="111">
        <f>+GETPIVOTDATA("XSB4",'sonbinh (2016)'!$A$3,"MA_HT","ODT","MA_QH","SKC")</f>
        <v>0</v>
      </c>
      <c r="Z45" s="111">
        <f>+GETPIVOTDATA("XSB4",'sonbinh (2016)'!$A$3,"MA_HT","ODT","MA_QH","SKS")</f>
        <v>0</v>
      </c>
      <c r="AA45" s="104">
        <f t="shared" si="21"/>
        <v>0</v>
      </c>
      <c r="AB45" s="111">
        <f>+GETPIVOTDATA("XSB4",'sonbinh (2016)'!$A$3,"MA_HT","ODT","MA_QH","DGT")</f>
        <v>0</v>
      </c>
      <c r="AC45" s="111">
        <f>+GETPIVOTDATA("XSB4",'sonbinh (2016)'!$A$3,"MA_HT","ODT","MA_QH","DTL")</f>
        <v>0</v>
      </c>
      <c r="AD45" s="111">
        <f>+GETPIVOTDATA("XSB4",'sonbinh (2016)'!$A$3,"MA_HT","ODT","MA_QH","DNL")</f>
        <v>0</v>
      </c>
      <c r="AE45" s="111">
        <f>+GETPIVOTDATA("XSB4",'sonbinh (2016)'!$A$3,"MA_HT","ODT","MA_QH","DBV")</f>
        <v>0</v>
      </c>
      <c r="AF45" s="111">
        <f>+GETPIVOTDATA("XSB4",'sonbinh (2016)'!$A$3,"MA_HT","ODT","MA_QH","DVH")</f>
        <v>0</v>
      </c>
      <c r="AG45" s="111">
        <f>+GETPIVOTDATA("XSB4",'sonbinh (2016)'!$A$3,"MA_HT","ODT","MA_QH","DYT")</f>
        <v>0</v>
      </c>
      <c r="AH45" s="111">
        <f>+GETPIVOTDATA("XSB4",'sonbinh (2016)'!$A$3,"MA_HT","ODT","MA_QH","DGD")</f>
        <v>0</v>
      </c>
      <c r="AI45" s="111">
        <f>+GETPIVOTDATA("XSB4",'sonbinh (2016)'!$A$3,"MA_HT","ODT","MA_QH","DTT")</f>
        <v>0</v>
      </c>
      <c r="AJ45" s="111">
        <f>+GETPIVOTDATA("XSB4",'sonbinh (2016)'!$A$3,"MA_HT","ODT","MA_QH","NCK")</f>
        <v>0</v>
      </c>
      <c r="AK45" s="111">
        <f>+GETPIVOTDATA("XSB4",'sonbinh (2016)'!$A$3,"MA_HT","ODT","MA_QH","DXH")</f>
        <v>0</v>
      </c>
      <c r="AL45" s="111">
        <f>+GETPIVOTDATA("XSB4",'sonbinh (2016)'!$A$3,"MA_HT","ODT","MA_QH","DCH")</f>
        <v>0</v>
      </c>
      <c r="AM45" s="111">
        <f>+GETPIVOTDATA("XSB4",'sonbinh (2016)'!$A$3,"MA_HT","ODT","MA_QH","DKG")</f>
        <v>0</v>
      </c>
      <c r="AN45" s="111">
        <f>+GETPIVOTDATA("XSB4",'sonbinh (2016)'!$A$3,"MA_HT","ODT","MA_QH","DDT")</f>
        <v>0</v>
      </c>
      <c r="AO45" s="111">
        <f>+GETPIVOTDATA("XSB4",'sonbinh (2016)'!$A$3,"MA_HT","ODT","MA_QH","DDL")</f>
        <v>0</v>
      </c>
      <c r="AP45" s="111">
        <f>+GETPIVOTDATA("XSB4",'sonbinh (2016)'!$A$3,"MA_HT","ODT","MA_QH","DRA")</f>
        <v>0</v>
      </c>
      <c r="AQ45" s="111">
        <f>+GETPIVOTDATA("XSB4",'sonbinh (2016)'!$A$3,"MA_HT","ODT","MA_QH","ONT")</f>
        <v>0</v>
      </c>
      <c r="AR45" s="112" t="e">
        <f>$D45-$BF45</f>
        <v>#REF!</v>
      </c>
      <c r="AS45" s="111">
        <f>+GETPIVOTDATA("XSB4",'sonbinh (2016)'!$A$3,"MA_HT","ODT","MA_QH","TSC")</f>
        <v>0</v>
      </c>
      <c r="AT45" s="111">
        <f>+GETPIVOTDATA("XSB4",'sonbinh (2016)'!$A$3,"MA_HT","ODT","MA_QH","DTS")</f>
        <v>0</v>
      </c>
      <c r="AU45" s="111">
        <f>+GETPIVOTDATA("XSB4",'sonbinh (2016)'!$A$3,"MA_HT","ODT","MA_QH","DNG")</f>
        <v>0</v>
      </c>
      <c r="AV45" s="111">
        <f>+GETPIVOTDATA("XSB4",'sonbinh (2016)'!$A$3,"MA_HT","ODT","MA_QH","TON")</f>
        <v>0</v>
      </c>
      <c r="AW45" s="111">
        <f>+GETPIVOTDATA("XSB4",'sonbinh (2016)'!$A$3,"MA_HT","ODT","MA_QH","NTD")</f>
        <v>0</v>
      </c>
      <c r="AX45" s="111">
        <f>+GETPIVOTDATA("XSB4",'sonbinh (2016)'!$A$3,"MA_HT","ODT","MA_QH","SKX")</f>
        <v>0</v>
      </c>
      <c r="AY45" s="111">
        <f>+GETPIVOTDATA("XSB4",'sonbinh (2016)'!$A$3,"MA_HT","ODT","MA_QH","DSH")</f>
        <v>0</v>
      </c>
      <c r="AZ45" s="111">
        <f>+GETPIVOTDATA("XSB4",'sonbinh (2016)'!$A$3,"MA_HT","ODT","MA_QH","DKV")</f>
        <v>0</v>
      </c>
      <c r="BA45" s="142">
        <f>+GETPIVOTDATA("XSB4",'sonbinh (2016)'!$A$3,"MA_HT","ODT","MA_QH","TIN")</f>
        <v>0</v>
      </c>
      <c r="BB45" s="105">
        <f>+GETPIVOTDATA("XSB4",'sonbinh (2016)'!$A$3,"MA_HT","ODT","MA_QH","SON")</f>
        <v>0</v>
      </c>
      <c r="BC45" s="105">
        <f>+GETPIVOTDATA("XSB4",'sonbinh (2016)'!$A$3,"MA_HT","ODT","MA_QH","MNC")</f>
        <v>0</v>
      </c>
      <c r="BD45" s="111">
        <f>+GETPIVOTDATA("XSB4",'sonbinh (2016)'!$A$3,"MA_HT","ODT","MA_QH","PNK")</f>
        <v>0</v>
      </c>
      <c r="BE45" s="113">
        <f>+GETPIVOTDATA("XSB4",'sonbinh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+GETPIVOTDATA("XSB4",'sonbinh (2016)'!$A$3,"MA_HT","TSC","MA_QH","LUC")</f>
        <v>0</v>
      </c>
      <c r="H46" s="35">
        <f>+GETPIVOTDATA("XSB4",'sonbinh (2016)'!$A$3,"MA_HT","TSC","MA_QH","LUK")</f>
        <v>0</v>
      </c>
      <c r="I46" s="35">
        <f>+GETPIVOTDATA("XSB4",'sonbinh (2016)'!$A$3,"MA_HT","TSC","MA_QH","LUN")</f>
        <v>0</v>
      </c>
      <c r="J46" s="35">
        <f>+GETPIVOTDATA("XSB4",'sonbinh (2016)'!$A$3,"MA_HT","TSC","MA_QH","HNK")</f>
        <v>0</v>
      </c>
      <c r="K46" s="35">
        <f>+GETPIVOTDATA("XSB4",'sonbinh (2016)'!$A$3,"MA_HT","TSC","MA_QH","CLN")</f>
        <v>0</v>
      </c>
      <c r="L46" s="35">
        <f>+GETPIVOTDATA("XSB4",'sonbinh (2016)'!$A$3,"MA_HT","TSC","MA_QH","RSX")</f>
        <v>0</v>
      </c>
      <c r="M46" s="35">
        <f>+GETPIVOTDATA("XSB4",'sonbinh (2016)'!$A$3,"MA_HT","TSC","MA_QH","RPH")</f>
        <v>0</v>
      </c>
      <c r="N46" s="35">
        <f>+GETPIVOTDATA("XSB4",'sonbinh (2016)'!$A$3,"MA_HT","TSC","MA_QH","RDD")</f>
        <v>0</v>
      </c>
      <c r="O46" s="35">
        <f>+GETPIVOTDATA("XSB4",'sonbinh (2016)'!$A$3,"MA_HT","TSC","MA_QH","NTS")</f>
        <v>0</v>
      </c>
      <c r="P46" s="35">
        <f>+GETPIVOTDATA("XSB4",'sonbinh (2016)'!$A$3,"MA_HT","TSC","MA_QH","LMU")</f>
        <v>0</v>
      </c>
      <c r="Q46" s="35">
        <f>+GETPIVOTDATA("XSB4",'sonbinh (2016)'!$A$3,"MA_HT","TSC","MA_QH","NKH")</f>
        <v>0</v>
      </c>
      <c r="R46" s="72">
        <f>SUM(S46:AA46,AN46:AR46,AT46:BD46)</f>
        <v>0</v>
      </c>
      <c r="S46" s="35">
        <f>+GETPIVOTDATA("XSB4",'sonbinh (2016)'!$A$3,"MA_HT","TSC","MA_QH","CQP")</f>
        <v>0</v>
      </c>
      <c r="T46" s="35">
        <f>+GETPIVOTDATA("XSB4",'sonbinh (2016)'!$A$3,"MA_HT","TSC","MA_QH","CAN")</f>
        <v>0</v>
      </c>
      <c r="U46" s="35">
        <f>+GETPIVOTDATA("XSB4",'sonbinh (2016)'!$A$3,"MA_HT","TSC","MA_QH","SKK")</f>
        <v>0</v>
      </c>
      <c r="V46" s="35">
        <f>+GETPIVOTDATA("XSB4",'sonbinh (2016)'!$A$3,"MA_HT","TSC","MA_QH","SKT")</f>
        <v>0</v>
      </c>
      <c r="W46" s="35">
        <f>+GETPIVOTDATA("XSB4",'sonbinh (2016)'!$A$3,"MA_HT","TSC","MA_QH","SKN")</f>
        <v>0</v>
      </c>
      <c r="X46" s="35">
        <f>+GETPIVOTDATA("XSB4",'sonbinh (2016)'!$A$3,"MA_HT","TSC","MA_QH","TMD")</f>
        <v>0</v>
      </c>
      <c r="Y46" s="35">
        <f>+GETPIVOTDATA("XSB4",'sonbinh (2016)'!$A$3,"MA_HT","TSC","MA_QH","SKC")</f>
        <v>0</v>
      </c>
      <c r="Z46" s="35">
        <f>+GETPIVOTDATA("XSB4",'sonbinh (2016)'!$A$3,"MA_HT","TSC","MA_QH","SKS")</f>
        <v>0</v>
      </c>
      <c r="AA46" s="64">
        <f t="shared" si="21"/>
        <v>0</v>
      </c>
      <c r="AB46" s="35">
        <f>+GETPIVOTDATA("XSB4",'sonbinh (2016)'!$A$3,"MA_HT","TSC","MA_QH","DGT")</f>
        <v>0</v>
      </c>
      <c r="AC46" s="35">
        <f>+GETPIVOTDATA("XSB4",'sonbinh (2016)'!$A$3,"MA_HT","TSC","MA_QH","DTL")</f>
        <v>0</v>
      </c>
      <c r="AD46" s="35">
        <f>+GETPIVOTDATA("XSB4",'sonbinh (2016)'!$A$3,"MA_HT","TSC","MA_QH","DNL")</f>
        <v>0</v>
      </c>
      <c r="AE46" s="35">
        <f>+GETPIVOTDATA("XSB4",'sonbinh (2016)'!$A$3,"MA_HT","TSC","MA_QH","DBV")</f>
        <v>0</v>
      </c>
      <c r="AF46" s="35">
        <f>+GETPIVOTDATA("XSB4",'sonbinh (2016)'!$A$3,"MA_HT","TSC","MA_QH","DVH")</f>
        <v>0</v>
      </c>
      <c r="AG46" s="35">
        <f>+GETPIVOTDATA("XSB4",'sonbinh (2016)'!$A$3,"MA_HT","TSC","MA_QH","DYT")</f>
        <v>0</v>
      </c>
      <c r="AH46" s="35">
        <f>+GETPIVOTDATA("XSB4",'sonbinh (2016)'!$A$3,"MA_HT","TSC","MA_QH","DGD")</f>
        <v>0</v>
      </c>
      <c r="AI46" s="35">
        <f>+GETPIVOTDATA("XSB4",'sonbinh (2016)'!$A$3,"MA_HT","TSC","MA_QH","DTT")</f>
        <v>0</v>
      </c>
      <c r="AJ46" s="35">
        <f>+GETPIVOTDATA("XSB4",'sonbinh (2016)'!$A$3,"MA_HT","TSC","MA_QH","NCK")</f>
        <v>0</v>
      </c>
      <c r="AK46" s="35">
        <f>+GETPIVOTDATA("XSB4",'sonbinh (2016)'!$A$3,"MA_HT","TSC","MA_QH","DXH")</f>
        <v>0</v>
      </c>
      <c r="AL46" s="35">
        <f>+GETPIVOTDATA("XSB4",'sonbinh (2016)'!$A$3,"MA_HT","TSC","MA_QH","DCH")</f>
        <v>0</v>
      </c>
      <c r="AM46" s="35">
        <f>+GETPIVOTDATA("XSB4",'sonbinh (2016)'!$A$3,"MA_HT","TSC","MA_QH","DKG")</f>
        <v>0</v>
      </c>
      <c r="AN46" s="35">
        <f>+GETPIVOTDATA("XSB4",'sonbinh (2016)'!$A$3,"MA_HT","TSC","MA_QH","DDT")</f>
        <v>0</v>
      </c>
      <c r="AO46" s="35">
        <f>+GETPIVOTDATA("XSB4",'sonbinh (2016)'!$A$3,"MA_HT","TSC","MA_QH","DDL")</f>
        <v>0</v>
      </c>
      <c r="AP46" s="35">
        <f>+GETPIVOTDATA("XSB4",'sonbinh (2016)'!$A$3,"MA_HT","TSC","MA_QH","DRA")</f>
        <v>0</v>
      </c>
      <c r="AQ46" s="35">
        <f>+GETPIVOTDATA("XSB4",'sonbinh (2016)'!$A$3,"MA_HT","TSC","MA_QH","ONT")</f>
        <v>0</v>
      </c>
      <c r="AR46" s="35">
        <f>+GETPIVOTDATA("XSB4",'sonbinh (2016)'!$A$3,"MA_HT","TSC","MA_QH","ODT")</f>
        <v>0</v>
      </c>
      <c r="AS46" s="99" t="e">
        <f>$D46-$BF46</f>
        <v>#REF!</v>
      </c>
      <c r="AT46" s="35">
        <f>+GETPIVOTDATA("XSB4",'sonbinh (2016)'!$A$3,"MA_HT","TSC","MA_QH","DTS")</f>
        <v>0</v>
      </c>
      <c r="AU46" s="35">
        <f>+GETPIVOTDATA("XSB4",'sonbinh (2016)'!$A$3,"MA_HT","TSC","MA_QH","DNG")</f>
        <v>0</v>
      </c>
      <c r="AV46" s="35">
        <f>+GETPIVOTDATA("XSB4",'sonbinh (2016)'!$A$3,"MA_HT","TSC","MA_QH","TON")</f>
        <v>0</v>
      </c>
      <c r="AW46" s="35">
        <f>+GETPIVOTDATA("XSB4",'sonbinh (2016)'!$A$3,"MA_HT","TSC","MA_QH","NTD")</f>
        <v>0</v>
      </c>
      <c r="AX46" s="35">
        <f>+GETPIVOTDATA("XSB4",'sonbinh (2016)'!$A$3,"MA_HT","TSC","MA_QH","SKX")</f>
        <v>0</v>
      </c>
      <c r="AY46" s="35">
        <f>+GETPIVOTDATA("XSB4",'sonbinh (2016)'!$A$3,"MA_HT","TSC","MA_QH","DSH")</f>
        <v>0</v>
      </c>
      <c r="AZ46" s="35">
        <f>+GETPIVOTDATA("XSB4",'sonbinh (2016)'!$A$3,"MA_HT","TSC","MA_QH","DKV")</f>
        <v>0</v>
      </c>
      <c r="BA46" s="140">
        <f>+GETPIVOTDATA("XSB4",'sonbinh (2016)'!$A$3,"MA_HT","TSC","MA_QH","TIN")</f>
        <v>0</v>
      </c>
      <c r="BB46" s="74">
        <f>+GETPIVOTDATA("XSB4",'sonbinh (2016)'!$A$3,"MA_HT","TSC","MA_QH","SON")</f>
        <v>0</v>
      </c>
      <c r="BC46" s="74">
        <f>+GETPIVOTDATA("XSB4",'sonbinh (2016)'!$A$3,"MA_HT","TSC","MA_QH","MNC")</f>
        <v>0</v>
      </c>
      <c r="BD46" s="35">
        <f>+GETPIVOTDATA("XSB4",'sonbinh (2016)'!$A$3,"MA_HT","TSC","MA_QH","PNK")</f>
        <v>0</v>
      </c>
      <c r="BE46" s="58">
        <f>+GETPIVOTDATA("XSB4",'sonbinh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+GETPIVOTDATA("XSB4",'sonbinh (2016)'!$A$3,"MA_HT","DTS","MA_QH","LUC")</f>
        <v>0</v>
      </c>
      <c r="H47" s="122">
        <f>+GETPIVOTDATA("XSB4",'sonbinh (2016)'!$A$3,"MA_HT","DTS","MA_QH","LUK")</f>
        <v>0</v>
      </c>
      <c r="I47" s="122">
        <f>+GETPIVOTDATA("XSB4",'sonbinh (2016)'!$A$3,"MA_HT","DTS","MA_QH","LUN")</f>
        <v>0</v>
      </c>
      <c r="J47" s="122">
        <f>+GETPIVOTDATA("XSB4",'sonbinh (2016)'!$A$3,"MA_HT","DTS","MA_QH","HNK")</f>
        <v>0</v>
      </c>
      <c r="K47" s="122">
        <f>+GETPIVOTDATA("XSB4",'sonbinh (2016)'!$A$3,"MA_HT","DTS","MA_QH","CLN")</f>
        <v>0</v>
      </c>
      <c r="L47" s="122">
        <f>+GETPIVOTDATA("XSB4",'sonbinh (2016)'!$A$3,"MA_HT","DTS","MA_QH","RSX")</f>
        <v>0</v>
      </c>
      <c r="M47" s="122">
        <f>+GETPIVOTDATA("XSB4",'sonbinh (2016)'!$A$3,"MA_HT","DTS","MA_QH","RPH")</f>
        <v>0</v>
      </c>
      <c r="N47" s="122">
        <f>+GETPIVOTDATA("XSB4",'sonbinh (2016)'!$A$3,"MA_HT","DTS","MA_QH","RDD")</f>
        <v>0</v>
      </c>
      <c r="O47" s="122">
        <f>+GETPIVOTDATA("XSB4",'sonbinh (2016)'!$A$3,"MA_HT","DTS","MA_QH","NTS")</f>
        <v>0</v>
      </c>
      <c r="P47" s="122">
        <f>+GETPIVOTDATA("XSB4",'sonbinh (2016)'!$A$3,"MA_HT","DTS","MA_QH","LMU")</f>
        <v>0</v>
      </c>
      <c r="Q47" s="122">
        <f>+GETPIVOTDATA("XSB4",'sonbinh (2016)'!$A$3,"MA_HT","DTS","MA_QH","NKH")</f>
        <v>0</v>
      </c>
      <c r="R47" s="123">
        <f>SUM(S47:AA47,AN47:AS47,AU47:BD47)</f>
        <v>0</v>
      </c>
      <c r="S47" s="122">
        <f>+GETPIVOTDATA("XSB4",'sonbinh (2016)'!$A$3,"MA_HT","DTS","MA_QH","CQP")</f>
        <v>0</v>
      </c>
      <c r="T47" s="122">
        <f>+GETPIVOTDATA("XSB4",'sonbinh (2016)'!$A$3,"MA_HT","DTS","MA_QH","CAN")</f>
        <v>0</v>
      </c>
      <c r="U47" s="122">
        <f>+GETPIVOTDATA("XSB4",'sonbinh (2016)'!$A$3,"MA_HT","DTS","MA_QH","SKK")</f>
        <v>0</v>
      </c>
      <c r="V47" s="122">
        <f>+GETPIVOTDATA("XSB4",'sonbinh (2016)'!$A$3,"MA_HT","DTS","MA_QH","SKT")</f>
        <v>0</v>
      </c>
      <c r="W47" s="122">
        <f>+GETPIVOTDATA("XSB4",'sonbinh (2016)'!$A$3,"MA_HT","DTS","MA_QH","SKN")</f>
        <v>0</v>
      </c>
      <c r="X47" s="122">
        <f>+GETPIVOTDATA("XSB4",'sonbinh (2016)'!$A$3,"MA_HT","DTS","MA_QH","TMD")</f>
        <v>0</v>
      </c>
      <c r="Y47" s="122">
        <f>+GETPIVOTDATA("XSB4",'sonbinh (2016)'!$A$3,"MA_HT","DTS","MA_QH","SKC")</f>
        <v>0</v>
      </c>
      <c r="Z47" s="122">
        <f>+GETPIVOTDATA("XSB4",'sonbinh (2016)'!$A$3,"MA_HT","DTS","MA_QH","SKS")</f>
        <v>0</v>
      </c>
      <c r="AA47" s="121">
        <f t="shared" si="21"/>
        <v>0</v>
      </c>
      <c r="AB47" s="122">
        <f>+GETPIVOTDATA("XSB4",'sonbinh (2016)'!$A$3,"MA_HT","DTS","MA_QH","DGT")</f>
        <v>0</v>
      </c>
      <c r="AC47" s="122">
        <f>+GETPIVOTDATA("XSB4",'sonbinh (2016)'!$A$3,"MA_HT","DTS","MA_QH","DTL")</f>
        <v>0</v>
      </c>
      <c r="AD47" s="122">
        <f>+GETPIVOTDATA("XSB4",'sonbinh (2016)'!$A$3,"MA_HT","DTS","MA_QH","DNL")</f>
        <v>0</v>
      </c>
      <c r="AE47" s="122">
        <f>+GETPIVOTDATA("XSB4",'sonbinh (2016)'!$A$3,"MA_HT","DTS","MA_QH","DBV")</f>
        <v>0</v>
      </c>
      <c r="AF47" s="122">
        <f>+GETPIVOTDATA("XSB4",'sonbinh (2016)'!$A$3,"MA_HT","DTS","MA_QH","DVH")</f>
        <v>0</v>
      </c>
      <c r="AG47" s="122">
        <f>+GETPIVOTDATA("XSB4",'sonbinh (2016)'!$A$3,"MA_HT","DTS","MA_QH","DYT")</f>
        <v>0</v>
      </c>
      <c r="AH47" s="122">
        <f>+GETPIVOTDATA("XSB4",'sonbinh (2016)'!$A$3,"MA_HT","DTS","MA_QH","DGD")</f>
        <v>0</v>
      </c>
      <c r="AI47" s="122">
        <f>+GETPIVOTDATA("XSB4",'sonbinh (2016)'!$A$3,"MA_HT","DTS","MA_QH","DTT")</f>
        <v>0</v>
      </c>
      <c r="AJ47" s="122">
        <f>+GETPIVOTDATA("XSB4",'sonbinh (2016)'!$A$3,"MA_HT","DTS","MA_QH","NCK")</f>
        <v>0</v>
      </c>
      <c r="AK47" s="122">
        <f>+GETPIVOTDATA("XSB4",'sonbinh (2016)'!$A$3,"MA_HT","DTS","MA_QH","DXH")</f>
        <v>0</v>
      </c>
      <c r="AL47" s="122">
        <f>+GETPIVOTDATA("XSB4",'sonbinh (2016)'!$A$3,"MA_HT","DTS","MA_QH","DCH")</f>
        <v>0</v>
      </c>
      <c r="AM47" s="122">
        <f>+GETPIVOTDATA("XSB4",'sonbinh (2016)'!$A$3,"MA_HT","DTS","MA_QH","DKG")</f>
        <v>0</v>
      </c>
      <c r="AN47" s="122">
        <f>+GETPIVOTDATA("XSB4",'sonbinh (2016)'!$A$3,"MA_HT","DTS","MA_QH","DDT")</f>
        <v>0</v>
      </c>
      <c r="AO47" s="122">
        <f>+GETPIVOTDATA("XSB4",'sonbinh (2016)'!$A$3,"MA_HT","DTS","MA_QH","DDL")</f>
        <v>0</v>
      </c>
      <c r="AP47" s="122">
        <f>+GETPIVOTDATA("XSB4",'sonbinh (2016)'!$A$3,"MA_HT","DTS","MA_QH","DRA")</f>
        <v>0</v>
      </c>
      <c r="AQ47" s="122">
        <f>+GETPIVOTDATA("XSB4",'sonbinh (2016)'!$A$3,"MA_HT","DTS","MA_QH","ONT")</f>
        <v>0</v>
      </c>
      <c r="AR47" s="122">
        <f>+GETPIVOTDATA("XSB4",'sonbinh (2016)'!$A$3,"MA_HT","DTS","MA_QH","ODT")</f>
        <v>0</v>
      </c>
      <c r="AS47" s="122">
        <f>+GETPIVOTDATA("XSB4",'sonbinh (2016)'!$A$3,"MA_HT","DTS","MA_QH","TSC")</f>
        <v>0</v>
      </c>
      <c r="AT47" s="124" t="e">
        <f>$D47-$BF47</f>
        <v>#REF!</v>
      </c>
      <c r="AU47" s="122">
        <f>+GETPIVOTDATA("XSB4",'sonbinh (2016)'!$A$3,"MA_HT","DTS","MA_QH","DNG")</f>
        <v>0</v>
      </c>
      <c r="AV47" s="122">
        <f>+GETPIVOTDATA("XSB4",'sonbinh (2016)'!$A$3,"MA_HT","DTS","MA_QH","TON")</f>
        <v>0</v>
      </c>
      <c r="AW47" s="122">
        <f>+GETPIVOTDATA("XSB4",'sonbinh (2016)'!$A$3,"MA_HT","DTS","MA_QH","NTD")</f>
        <v>0</v>
      </c>
      <c r="AX47" s="122">
        <f>+GETPIVOTDATA("XSB4",'sonbinh (2016)'!$A$3,"MA_HT","DTS","MA_QH","SKX")</f>
        <v>0</v>
      </c>
      <c r="AY47" s="122">
        <f>+GETPIVOTDATA("XSB4",'sonbinh (2016)'!$A$3,"MA_HT","DTS","MA_QH","DSH")</f>
        <v>0</v>
      </c>
      <c r="AZ47" s="122">
        <f>+GETPIVOTDATA("XSB4",'sonbinh (2016)'!$A$3,"MA_HT","DTS","MA_QH","DKV")</f>
        <v>0</v>
      </c>
      <c r="BA47" s="141">
        <f>+GETPIVOTDATA("XSB4",'sonbinh (2016)'!$A$3,"MA_HT","DTS","MA_QH","TIN")</f>
        <v>0</v>
      </c>
      <c r="BB47" s="125">
        <f>+GETPIVOTDATA("XSB4",'sonbinh (2016)'!$A$3,"MA_HT","DTS","MA_QH","SON")</f>
        <v>0</v>
      </c>
      <c r="BC47" s="125">
        <f>+GETPIVOTDATA("XSB4",'sonbinh (2016)'!$A$3,"MA_HT","DTS","MA_QH","MNC")</f>
        <v>0</v>
      </c>
      <c r="BD47" s="122">
        <f>+GETPIVOTDATA("XSB4",'sonbinh (2016)'!$A$3,"MA_HT","DTS","MA_QH","PNK")</f>
        <v>0</v>
      </c>
      <c r="BE47" s="126">
        <f>+GETPIVOTDATA("XSB4",'sonbinh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+GETPIVOTDATA("XSB4",'sonbinh (2016)'!$A$3,"MA_HT","DNG","MA_QH","LUC")</f>
        <v>0</v>
      </c>
      <c r="H48" s="35">
        <f>+GETPIVOTDATA("XSB4",'sonbinh (2016)'!$A$3,"MA_HT","DNG","MA_QH","LUK")</f>
        <v>0</v>
      </c>
      <c r="I48" s="35">
        <f>+GETPIVOTDATA("XSB4",'sonbinh (2016)'!$A$3,"MA_HT","DNG","MA_QH","LUN")</f>
        <v>0</v>
      </c>
      <c r="J48" s="35">
        <f>+GETPIVOTDATA("XSB4",'sonbinh (2016)'!$A$3,"MA_HT","DNG","MA_QH","HNK")</f>
        <v>0</v>
      </c>
      <c r="K48" s="35">
        <f>+GETPIVOTDATA("XSB4",'sonbinh (2016)'!$A$3,"MA_HT","DNG","MA_QH","CLN")</f>
        <v>0</v>
      </c>
      <c r="L48" s="35">
        <f>+GETPIVOTDATA("XSB4",'sonbinh (2016)'!$A$3,"MA_HT","DNG","MA_QH","RSX")</f>
        <v>0</v>
      </c>
      <c r="M48" s="35">
        <f>+GETPIVOTDATA("XSB4",'sonbinh (2016)'!$A$3,"MA_HT","DNG","MA_QH","RPH")</f>
        <v>0</v>
      </c>
      <c r="N48" s="35">
        <f>+GETPIVOTDATA("XSB4",'sonbinh (2016)'!$A$3,"MA_HT","DNG","MA_QH","RDD")</f>
        <v>0</v>
      </c>
      <c r="O48" s="35">
        <f>+GETPIVOTDATA("XSB4",'sonbinh (2016)'!$A$3,"MA_HT","DNG","MA_QH","NTS")</f>
        <v>0</v>
      </c>
      <c r="P48" s="35">
        <f>+GETPIVOTDATA("XSB4",'sonbinh (2016)'!$A$3,"MA_HT","DNG","MA_QH","LMU")</f>
        <v>0</v>
      </c>
      <c r="Q48" s="35">
        <f>+GETPIVOTDATA("XSB4",'sonbinh (2016)'!$A$3,"MA_HT","DNG","MA_QH","NKH")</f>
        <v>0</v>
      </c>
      <c r="R48" s="106">
        <f>SUM(S48:AA48,AN48:AT48,AV48:BD48)</f>
        <v>0</v>
      </c>
      <c r="S48" s="35">
        <f>+GETPIVOTDATA("XSB4",'sonbinh (2016)'!$A$3,"MA_HT","DNG","MA_QH","CQP")</f>
        <v>0</v>
      </c>
      <c r="T48" s="35">
        <f>+GETPIVOTDATA("XSB4",'sonbinh (2016)'!$A$3,"MA_HT","DNG","MA_QH","CAN")</f>
        <v>0</v>
      </c>
      <c r="U48" s="35">
        <f>+GETPIVOTDATA("XSB4",'sonbinh (2016)'!$A$3,"MA_HT","DNG","MA_QH","SKK")</f>
        <v>0</v>
      </c>
      <c r="V48" s="35">
        <f>+GETPIVOTDATA("XSB4",'sonbinh (2016)'!$A$3,"MA_HT","DNG","MA_QH","SKT")</f>
        <v>0</v>
      </c>
      <c r="W48" s="35">
        <f>+GETPIVOTDATA("XSB4",'sonbinh (2016)'!$A$3,"MA_HT","DNG","MA_QH","SKN")</f>
        <v>0</v>
      </c>
      <c r="X48" s="35">
        <f>+GETPIVOTDATA("XSB4",'sonbinh (2016)'!$A$3,"MA_HT","DNG","MA_QH","TMD")</f>
        <v>0</v>
      </c>
      <c r="Y48" s="35">
        <f>+GETPIVOTDATA("XSB4",'sonbinh (2016)'!$A$3,"MA_HT","DNG","MA_QH","SKC")</f>
        <v>0</v>
      </c>
      <c r="Z48" s="35">
        <f>+GETPIVOTDATA("XSB4",'sonbinh (2016)'!$A$3,"MA_HT","DNG","MA_QH","SKS")</f>
        <v>0</v>
      </c>
      <c r="AA48" s="64">
        <f t="shared" si="21"/>
        <v>0</v>
      </c>
      <c r="AB48" s="35">
        <f>+GETPIVOTDATA("XSB4",'sonbinh (2016)'!$A$3,"MA_HT","DNG","MA_QH","DGT")</f>
        <v>0</v>
      </c>
      <c r="AC48" s="35">
        <f>+GETPIVOTDATA("XSB4",'sonbinh (2016)'!$A$3,"MA_HT","DNG","MA_QH","DTL")</f>
        <v>0</v>
      </c>
      <c r="AD48" s="35">
        <f>+GETPIVOTDATA("XSB4",'sonbinh (2016)'!$A$3,"MA_HT","DNG","MA_QH","DNL")</f>
        <v>0</v>
      </c>
      <c r="AE48" s="35">
        <f>+GETPIVOTDATA("XSB4",'sonbinh (2016)'!$A$3,"MA_HT","DNG","MA_QH","DBV")</f>
        <v>0</v>
      </c>
      <c r="AF48" s="35">
        <f>+GETPIVOTDATA("XSB4",'sonbinh (2016)'!$A$3,"MA_HT","DNG","MA_QH","DVH")</f>
        <v>0</v>
      </c>
      <c r="AG48" s="35">
        <f>+GETPIVOTDATA("XSB4",'sonbinh (2016)'!$A$3,"MA_HT","DNG","MA_QH","DYT")</f>
        <v>0</v>
      </c>
      <c r="AH48" s="35">
        <f>+GETPIVOTDATA("XSB4",'sonbinh (2016)'!$A$3,"MA_HT","DNG","MA_QH","DGD")</f>
        <v>0</v>
      </c>
      <c r="AI48" s="35">
        <f>+GETPIVOTDATA("XSB4",'sonbinh (2016)'!$A$3,"MA_HT","DNG","MA_QH","DTT")</f>
        <v>0</v>
      </c>
      <c r="AJ48" s="35">
        <f>+GETPIVOTDATA("XSB4",'sonbinh (2016)'!$A$3,"MA_HT","DNG","MA_QH","NCK")</f>
        <v>0</v>
      </c>
      <c r="AK48" s="35">
        <f>+GETPIVOTDATA("XSB4",'sonbinh (2016)'!$A$3,"MA_HT","DNG","MA_QH","DXH")</f>
        <v>0</v>
      </c>
      <c r="AL48" s="35">
        <f>+GETPIVOTDATA("XSB4",'sonbinh (2016)'!$A$3,"MA_HT","DNG","MA_QH","DCH")</f>
        <v>0</v>
      </c>
      <c r="AM48" s="35">
        <f>+GETPIVOTDATA("XSB4",'sonbinh (2016)'!$A$3,"MA_HT","DNG","MA_QH","DKG")</f>
        <v>0</v>
      </c>
      <c r="AN48" s="35">
        <f>+GETPIVOTDATA("XSB4",'sonbinh (2016)'!$A$3,"MA_HT","DNG","MA_QH","DDT")</f>
        <v>0</v>
      </c>
      <c r="AO48" s="35">
        <f>+GETPIVOTDATA("XSB4",'sonbinh (2016)'!$A$3,"MA_HT","DNG","MA_QH","DDL")</f>
        <v>0</v>
      </c>
      <c r="AP48" s="35">
        <f>+GETPIVOTDATA("XSB4",'sonbinh (2016)'!$A$3,"MA_HT","DNG","MA_QH","DRA")</f>
        <v>0</v>
      </c>
      <c r="AQ48" s="35">
        <f>+GETPIVOTDATA("XSB4",'sonbinh (2016)'!$A$3,"MA_HT","DNG","MA_QH","ONT")</f>
        <v>0</v>
      </c>
      <c r="AR48" s="35">
        <f>+GETPIVOTDATA("XSB4",'sonbinh (2016)'!$A$3,"MA_HT","DNG","MA_QH","ODT")</f>
        <v>0</v>
      </c>
      <c r="AS48" s="35">
        <f>+GETPIVOTDATA("XSB4",'sonbinh (2016)'!$A$3,"MA_HT","DNG","MA_QH","TSC")</f>
        <v>0</v>
      </c>
      <c r="AT48" s="35">
        <f>+GETPIVOTDATA("XSB4",'sonbinh (2016)'!$A$3,"MA_HT","DNG","MA_QH","DTS")</f>
        <v>0</v>
      </c>
      <c r="AU48" s="99" t="e">
        <f>$D48-$BF48</f>
        <v>#REF!</v>
      </c>
      <c r="AV48" s="35">
        <f>+GETPIVOTDATA("XSB4",'sonbinh (2016)'!$A$3,"MA_HT","DNG","MA_QH","TON")</f>
        <v>0</v>
      </c>
      <c r="AW48" s="35">
        <f>+GETPIVOTDATA("XSB4",'sonbinh (2016)'!$A$3,"MA_HT","DNG","MA_QH","NTD")</f>
        <v>0</v>
      </c>
      <c r="AX48" s="35">
        <f>+GETPIVOTDATA("XSB4",'sonbinh (2016)'!$A$3,"MA_HT","DNG","MA_QH","SKX")</f>
        <v>0</v>
      </c>
      <c r="AY48" s="35">
        <f>+GETPIVOTDATA("XSB4",'sonbinh (2016)'!$A$3,"MA_HT","DNG","MA_QH","DSH")</f>
        <v>0</v>
      </c>
      <c r="AZ48" s="35">
        <f>+GETPIVOTDATA("XSB4",'sonbinh (2016)'!$A$3,"MA_HT","DNG","MA_QH","DKV")</f>
        <v>0</v>
      </c>
      <c r="BA48" s="140">
        <f>+GETPIVOTDATA("XSB4",'sonbinh (2016)'!$A$3,"MA_HT","DNG","MA_QH","TIN")</f>
        <v>0</v>
      </c>
      <c r="BB48" s="74">
        <f>+GETPIVOTDATA("XSB4",'sonbinh (2016)'!$A$3,"MA_HT","DNG","MA_QH","SON")</f>
        <v>0</v>
      </c>
      <c r="BC48" s="74">
        <f>+GETPIVOTDATA("XSB4",'sonbinh (2016)'!$A$3,"MA_HT","DNG","MA_QH","MNC")</f>
        <v>0</v>
      </c>
      <c r="BD48" s="35">
        <f>+GETPIVOTDATA("XSB4",'sonbinh (2016)'!$A$3,"MA_HT","DNG","MA_QH","PNK")</f>
        <v>0</v>
      </c>
      <c r="BE48" s="58">
        <f>+GETPIVOTDATA("XSB4",'sonbinh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+GETPIVOTDATA("XSB4",'sonbinh (2016)'!$A$3,"MA_HT","TON","MA_QH","LUC")</f>
        <v>0</v>
      </c>
      <c r="H49" s="35">
        <f>+GETPIVOTDATA("XSB4",'sonbinh (2016)'!$A$3,"MA_HT","TON","MA_QH","LUK")</f>
        <v>0</v>
      </c>
      <c r="I49" s="35">
        <f>+GETPIVOTDATA("XSB4",'sonbinh (2016)'!$A$3,"MA_HT","TON","MA_QH","LUN")</f>
        <v>0</v>
      </c>
      <c r="J49" s="35">
        <f>+GETPIVOTDATA("XSB4",'sonbinh (2016)'!$A$3,"MA_HT","TON","MA_QH","HNK")</f>
        <v>0</v>
      </c>
      <c r="K49" s="35">
        <f>+GETPIVOTDATA("XSB4",'sonbinh (2016)'!$A$3,"MA_HT","TON","MA_QH","CLN")</f>
        <v>0</v>
      </c>
      <c r="L49" s="35">
        <f>+GETPIVOTDATA("XSB4",'sonbinh (2016)'!$A$3,"MA_HT","TON","MA_QH","RSX")</f>
        <v>0</v>
      </c>
      <c r="M49" s="35">
        <f>+GETPIVOTDATA("XSB4",'sonbinh (2016)'!$A$3,"MA_HT","TON","MA_QH","RPH")</f>
        <v>0</v>
      </c>
      <c r="N49" s="35">
        <f>+GETPIVOTDATA("XSB4",'sonbinh (2016)'!$A$3,"MA_HT","TON","MA_QH","RDD")</f>
        <v>0</v>
      </c>
      <c r="O49" s="35">
        <f>+GETPIVOTDATA("XSB4",'sonbinh (2016)'!$A$3,"MA_HT","TON","MA_QH","NTS")</f>
        <v>0</v>
      </c>
      <c r="P49" s="35">
        <f>+GETPIVOTDATA("XSB4",'sonbinh (2016)'!$A$3,"MA_HT","TON","MA_QH","LMU")</f>
        <v>0</v>
      </c>
      <c r="Q49" s="35">
        <f>+GETPIVOTDATA("XSB4",'sonbinh (2016)'!$A$3,"MA_HT","TON","MA_QH","NKH")</f>
        <v>0</v>
      </c>
      <c r="R49" s="106">
        <f>SUM(S49:AA49,AN49:AU49,AW49:BD49)</f>
        <v>0</v>
      </c>
      <c r="S49" s="35">
        <f>+GETPIVOTDATA("XSB4",'sonbinh (2016)'!$A$3,"MA_HT","TON","MA_QH","CQP")</f>
        <v>0</v>
      </c>
      <c r="T49" s="35">
        <f>+GETPIVOTDATA("XSB4",'sonbinh (2016)'!$A$3,"MA_HT","TON","MA_QH","CAN")</f>
        <v>0</v>
      </c>
      <c r="U49" s="35">
        <f>+GETPIVOTDATA("XSB4",'sonbinh (2016)'!$A$3,"MA_HT","TON","MA_QH","SKK")</f>
        <v>0</v>
      </c>
      <c r="V49" s="35">
        <f>+GETPIVOTDATA("XSB4",'sonbinh (2016)'!$A$3,"MA_HT","TON","MA_QH","SKT")</f>
        <v>0</v>
      </c>
      <c r="W49" s="35">
        <f>+GETPIVOTDATA("XSB4",'sonbinh (2016)'!$A$3,"MA_HT","TON","MA_QH","SKN")</f>
        <v>0</v>
      </c>
      <c r="X49" s="35">
        <f>+GETPIVOTDATA("XSB4",'sonbinh (2016)'!$A$3,"MA_HT","TON","MA_QH","TMD")</f>
        <v>0</v>
      </c>
      <c r="Y49" s="35">
        <f>+GETPIVOTDATA("XSB4",'sonbinh (2016)'!$A$3,"MA_HT","TON","MA_QH","SKC")</f>
        <v>0</v>
      </c>
      <c r="Z49" s="35">
        <f>+GETPIVOTDATA("XSB4",'sonbinh (2016)'!$A$3,"MA_HT","TON","MA_QH","SKS")</f>
        <v>0</v>
      </c>
      <c r="AA49" s="64">
        <f t="shared" si="21"/>
        <v>0</v>
      </c>
      <c r="AB49" s="35">
        <f>+GETPIVOTDATA("XSB4",'sonbinh (2016)'!$A$3,"MA_HT","TON","MA_QH","DGT")</f>
        <v>0</v>
      </c>
      <c r="AC49" s="35">
        <f>+GETPIVOTDATA("XSB4",'sonbinh (2016)'!$A$3,"MA_HT","TON","MA_QH","DTL")</f>
        <v>0</v>
      </c>
      <c r="AD49" s="35">
        <f>+GETPIVOTDATA("XSB4",'sonbinh (2016)'!$A$3,"MA_HT","TON","MA_QH","DNL")</f>
        <v>0</v>
      </c>
      <c r="AE49" s="35">
        <f>+GETPIVOTDATA("XSB4",'sonbinh (2016)'!$A$3,"MA_HT","TON","MA_QH","DBV")</f>
        <v>0</v>
      </c>
      <c r="AF49" s="35">
        <f>+GETPIVOTDATA("XSB4",'sonbinh (2016)'!$A$3,"MA_HT","TON","MA_QH","DVH")</f>
        <v>0</v>
      </c>
      <c r="AG49" s="35">
        <f>+GETPIVOTDATA("XSB4",'sonbinh (2016)'!$A$3,"MA_HT","TON","MA_QH","DYT")</f>
        <v>0</v>
      </c>
      <c r="AH49" s="35">
        <f>+GETPIVOTDATA("XSB4",'sonbinh (2016)'!$A$3,"MA_HT","TON","MA_QH","DGD")</f>
        <v>0</v>
      </c>
      <c r="AI49" s="35">
        <f>+GETPIVOTDATA("XSB4",'sonbinh (2016)'!$A$3,"MA_HT","TON","MA_QH","DTT")</f>
        <v>0</v>
      </c>
      <c r="AJ49" s="35">
        <f>+GETPIVOTDATA("XSB4",'sonbinh (2016)'!$A$3,"MA_HT","TON","MA_QH","NCK")</f>
        <v>0</v>
      </c>
      <c r="AK49" s="35">
        <f>+GETPIVOTDATA("XSB4",'sonbinh (2016)'!$A$3,"MA_HT","TON","MA_QH","DXH")</f>
        <v>0</v>
      </c>
      <c r="AL49" s="35">
        <f>+GETPIVOTDATA("XSB4",'sonbinh (2016)'!$A$3,"MA_HT","TON","MA_QH","DCH")</f>
        <v>0</v>
      </c>
      <c r="AM49" s="35">
        <f>+GETPIVOTDATA("XSB4",'sonbinh (2016)'!$A$3,"MA_HT","TON","MA_QH","DKG")</f>
        <v>0</v>
      </c>
      <c r="AN49" s="35">
        <f>+GETPIVOTDATA("XSB4",'sonbinh (2016)'!$A$3,"MA_HT","TON","MA_QH","DDT")</f>
        <v>0</v>
      </c>
      <c r="AO49" s="35">
        <f>+GETPIVOTDATA("XSB4",'sonbinh (2016)'!$A$3,"MA_HT","TON","MA_QH","DDL")</f>
        <v>0</v>
      </c>
      <c r="AP49" s="35">
        <f>+GETPIVOTDATA("XSB4",'sonbinh (2016)'!$A$3,"MA_HT","TON","MA_QH","DRA")</f>
        <v>0</v>
      </c>
      <c r="AQ49" s="35">
        <f>+GETPIVOTDATA("XSB4",'sonbinh (2016)'!$A$3,"MA_HT","TON","MA_QH","ONT")</f>
        <v>0</v>
      </c>
      <c r="AR49" s="35">
        <f>+GETPIVOTDATA("XSB4",'sonbinh (2016)'!$A$3,"MA_HT","TON","MA_QH","ODT")</f>
        <v>0</v>
      </c>
      <c r="AS49" s="35">
        <f>+GETPIVOTDATA("XSB4",'sonbinh (2016)'!$A$3,"MA_HT","TON","MA_QH","TSC")</f>
        <v>0</v>
      </c>
      <c r="AT49" s="35">
        <f>+GETPIVOTDATA("XSB4",'sonbinh (2016)'!$A$3,"MA_HT","TON","MA_QH","DTS")</f>
        <v>0</v>
      </c>
      <c r="AU49" s="35">
        <f>+GETPIVOTDATA("XSB4",'sonbinh (2016)'!$A$3,"MA_HT","TON","MA_QH","DNG")</f>
        <v>0</v>
      </c>
      <c r="AV49" s="99" t="e">
        <f>$D49-$BF49</f>
        <v>#REF!</v>
      </c>
      <c r="AW49" s="35">
        <f>+GETPIVOTDATA("XSB4",'sonbinh (2016)'!$A$3,"MA_HT","TON","MA_QH","NTD")</f>
        <v>0</v>
      </c>
      <c r="AX49" s="35">
        <f>+GETPIVOTDATA("XSB4",'sonbinh (2016)'!$A$3,"MA_HT","TON","MA_QH","SKX")</f>
        <v>0</v>
      </c>
      <c r="AY49" s="35">
        <f>+GETPIVOTDATA("XSB4",'sonbinh (2016)'!$A$3,"MA_HT","TON","MA_QH","DSH")</f>
        <v>0</v>
      </c>
      <c r="AZ49" s="35">
        <f>+GETPIVOTDATA("XSB4",'sonbinh (2016)'!$A$3,"MA_HT","TON","MA_QH","DKV")</f>
        <v>0</v>
      </c>
      <c r="BA49" s="140">
        <f>+GETPIVOTDATA("XSB4",'sonbinh (2016)'!$A$3,"MA_HT","TON","MA_QH","TIN")</f>
        <v>0</v>
      </c>
      <c r="BB49" s="74">
        <f>+GETPIVOTDATA("XSB4",'sonbinh (2016)'!$A$3,"MA_HT","TON","MA_QH","SON")</f>
        <v>0</v>
      </c>
      <c r="BC49" s="74">
        <f>+GETPIVOTDATA("XSB4",'sonbinh (2016)'!$A$3,"MA_HT","TON","MA_QH","MNC")</f>
        <v>0</v>
      </c>
      <c r="BD49" s="35">
        <f>+GETPIVOTDATA("XSB4",'sonbinh (2016)'!$A$3,"MA_HT","TON","MA_QH","PNK")</f>
        <v>0</v>
      </c>
      <c r="BE49" s="58">
        <f>+GETPIVOTDATA("XSB4",'sonbinh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+GETPIVOTDATA("XSB4",'sonbinh (2016)'!$A$3,"MA_HT","NTD","MA_QH","LUC")</f>
        <v>0</v>
      </c>
      <c r="H50" s="35">
        <f>+GETPIVOTDATA("XSB4",'sonbinh (2016)'!$A$3,"MA_HT","NTD","MA_QH","LUK")</f>
        <v>0</v>
      </c>
      <c r="I50" s="35">
        <f>+GETPIVOTDATA("XSB4",'sonbinh (2016)'!$A$3,"MA_HT","NTD","MA_QH","LUN")</f>
        <v>0</v>
      </c>
      <c r="J50" s="35">
        <f>+GETPIVOTDATA("XSB4",'sonbinh (2016)'!$A$3,"MA_HT","NTD","MA_QH","HNK")</f>
        <v>0</v>
      </c>
      <c r="K50" s="35">
        <f>+GETPIVOTDATA("XSB4",'sonbinh (2016)'!$A$3,"MA_HT","NTD","MA_QH","CLN")</f>
        <v>0</v>
      </c>
      <c r="L50" s="35">
        <f>+GETPIVOTDATA("XSB4",'sonbinh (2016)'!$A$3,"MA_HT","NTD","MA_QH","RSX")</f>
        <v>0</v>
      </c>
      <c r="M50" s="35">
        <f>+GETPIVOTDATA("XSB4",'sonbinh (2016)'!$A$3,"MA_HT","NTD","MA_QH","RPH")</f>
        <v>0</v>
      </c>
      <c r="N50" s="35">
        <f>+GETPIVOTDATA("XSB4",'sonbinh (2016)'!$A$3,"MA_HT","NTD","MA_QH","RDD")</f>
        <v>0</v>
      </c>
      <c r="O50" s="35">
        <f>+GETPIVOTDATA("XSB4",'sonbinh (2016)'!$A$3,"MA_HT","NTD","MA_QH","NTS")</f>
        <v>0</v>
      </c>
      <c r="P50" s="35">
        <f>+GETPIVOTDATA("XSB4",'sonbinh (2016)'!$A$3,"MA_HT","NTD","MA_QH","LMU")</f>
        <v>0</v>
      </c>
      <c r="Q50" s="35">
        <f>+GETPIVOTDATA("XSB4",'sonbinh (2016)'!$A$3,"MA_HT","NTD","MA_QH","NKH")</f>
        <v>0</v>
      </c>
      <c r="R50" s="106">
        <f>SUM(S50:AA50,AN50:AV50,AX50:BD50)</f>
        <v>0</v>
      </c>
      <c r="S50" s="35">
        <f>+GETPIVOTDATA("XSB4",'sonbinh (2016)'!$A$3,"MA_HT","NTD","MA_QH","CQP")</f>
        <v>0</v>
      </c>
      <c r="T50" s="35">
        <f>+GETPIVOTDATA("XSB4",'sonbinh (2016)'!$A$3,"MA_HT","NTD","MA_QH","CAN")</f>
        <v>0</v>
      </c>
      <c r="U50" s="35">
        <f>+GETPIVOTDATA("XSB4",'sonbinh (2016)'!$A$3,"MA_HT","NTD","MA_QH","SKK")</f>
        <v>0</v>
      </c>
      <c r="V50" s="35">
        <f>+GETPIVOTDATA("XSB4",'sonbinh (2016)'!$A$3,"MA_HT","NTD","MA_QH","SKT")</f>
        <v>0</v>
      </c>
      <c r="W50" s="35">
        <f>+GETPIVOTDATA("XSB4",'sonbinh (2016)'!$A$3,"MA_HT","NTD","MA_QH","SKN")</f>
        <v>0</v>
      </c>
      <c r="X50" s="35">
        <f>+GETPIVOTDATA("XSB4",'sonbinh (2016)'!$A$3,"MA_HT","NTD","MA_QH","TMD")</f>
        <v>0</v>
      </c>
      <c r="Y50" s="35">
        <f>+GETPIVOTDATA("XSB4",'sonbinh (2016)'!$A$3,"MA_HT","NTD","MA_QH","SKC")</f>
        <v>0</v>
      </c>
      <c r="Z50" s="35">
        <f>+GETPIVOTDATA("XSB4",'sonbinh (2016)'!$A$3,"MA_HT","NTD","MA_QH","SKS")</f>
        <v>0</v>
      </c>
      <c r="AA50" s="64">
        <f t="shared" si="21"/>
        <v>0</v>
      </c>
      <c r="AB50" s="35">
        <f>+GETPIVOTDATA("XSB4",'sonbinh (2016)'!$A$3,"MA_HT","NTD","MA_QH","DGT")</f>
        <v>0</v>
      </c>
      <c r="AC50" s="35">
        <f>+GETPIVOTDATA("XSB4",'sonbinh (2016)'!$A$3,"MA_HT","NTD","MA_QH","DTL")</f>
        <v>0</v>
      </c>
      <c r="AD50" s="35">
        <f>+GETPIVOTDATA("XSB4",'sonbinh (2016)'!$A$3,"MA_HT","NTD","MA_QH","DNL")</f>
        <v>0</v>
      </c>
      <c r="AE50" s="35">
        <f>+GETPIVOTDATA("XSB4",'sonbinh (2016)'!$A$3,"MA_HT","NTD","MA_QH","DBV")</f>
        <v>0</v>
      </c>
      <c r="AF50" s="35">
        <f>+GETPIVOTDATA("XSB4",'sonbinh (2016)'!$A$3,"MA_HT","NTD","MA_QH","DVH")</f>
        <v>0</v>
      </c>
      <c r="AG50" s="35">
        <f>+GETPIVOTDATA("XSB4",'sonbinh (2016)'!$A$3,"MA_HT","NTD","MA_QH","DYT")</f>
        <v>0</v>
      </c>
      <c r="AH50" s="35">
        <f>+GETPIVOTDATA("XSB4",'sonbinh (2016)'!$A$3,"MA_HT","NTD","MA_QH","DGD")</f>
        <v>0</v>
      </c>
      <c r="AI50" s="35">
        <f>+GETPIVOTDATA("XSB4",'sonbinh (2016)'!$A$3,"MA_HT","NTD","MA_QH","DTT")</f>
        <v>0</v>
      </c>
      <c r="AJ50" s="35">
        <f>+GETPIVOTDATA("XSB4",'sonbinh (2016)'!$A$3,"MA_HT","NTD","MA_QH","NCK")</f>
        <v>0</v>
      </c>
      <c r="AK50" s="35">
        <f>+GETPIVOTDATA("XSB4",'sonbinh (2016)'!$A$3,"MA_HT","NTD","MA_QH","DXH")</f>
        <v>0</v>
      </c>
      <c r="AL50" s="35">
        <f>+GETPIVOTDATA("XSB4",'sonbinh (2016)'!$A$3,"MA_HT","NTD","MA_QH","DCH")</f>
        <v>0</v>
      </c>
      <c r="AM50" s="35">
        <f>+GETPIVOTDATA("XSB4",'sonbinh (2016)'!$A$3,"MA_HT","NTD","MA_QH","DKG")</f>
        <v>0</v>
      </c>
      <c r="AN50" s="35">
        <f>+GETPIVOTDATA("XSB4",'sonbinh (2016)'!$A$3,"MA_HT","NTD","MA_QH","DDT")</f>
        <v>0</v>
      </c>
      <c r="AO50" s="35">
        <f>+GETPIVOTDATA("XSB4",'sonbinh (2016)'!$A$3,"MA_HT","NTD","MA_QH","DDL")</f>
        <v>0</v>
      </c>
      <c r="AP50" s="35">
        <f>+GETPIVOTDATA("XSB4",'sonbinh (2016)'!$A$3,"MA_HT","NTD","MA_QH","DRA")</f>
        <v>0</v>
      </c>
      <c r="AQ50" s="35">
        <f>+GETPIVOTDATA("XSB4",'sonbinh (2016)'!$A$3,"MA_HT","NTD","MA_QH","ONT")</f>
        <v>0</v>
      </c>
      <c r="AR50" s="35">
        <f>+GETPIVOTDATA("XSB4",'sonbinh (2016)'!$A$3,"MA_HT","NTD","MA_QH","ODT")</f>
        <v>0</v>
      </c>
      <c r="AS50" s="35">
        <f>+GETPIVOTDATA("XSB4",'sonbinh (2016)'!$A$3,"MA_HT","NTD","MA_QH","TSC")</f>
        <v>0</v>
      </c>
      <c r="AT50" s="35">
        <f>+GETPIVOTDATA("XSB4",'sonbinh (2016)'!$A$3,"MA_HT","NTD","MA_QH","DTS")</f>
        <v>0</v>
      </c>
      <c r="AU50" s="35">
        <f>+GETPIVOTDATA("XSB4",'sonbinh (2016)'!$A$3,"MA_HT","NTD","MA_QH","DNG")</f>
        <v>0</v>
      </c>
      <c r="AV50" s="35">
        <f>+GETPIVOTDATA("XSB4",'sonbinh (2016)'!$A$3,"MA_HT","NTD","MA_QH","TON")</f>
        <v>0</v>
      </c>
      <c r="AW50" s="99" t="e">
        <f>$D50-$BF50</f>
        <v>#REF!</v>
      </c>
      <c r="AX50" s="35">
        <f>+GETPIVOTDATA("XSB4",'sonbinh (2016)'!$A$3,"MA_HT","NTD","MA_QH","SKX")</f>
        <v>0</v>
      </c>
      <c r="AY50" s="35">
        <f>+GETPIVOTDATA("XSB4",'sonbinh (2016)'!$A$3,"MA_HT","NTD","MA_QH","DSH")</f>
        <v>0</v>
      </c>
      <c r="AZ50" s="35">
        <f>+GETPIVOTDATA("XSB4",'sonbinh (2016)'!$A$3,"MA_HT","NTD","MA_QH","DKV")</f>
        <v>0</v>
      </c>
      <c r="BA50" s="140">
        <f>+GETPIVOTDATA("XSB4",'sonbinh (2016)'!$A$3,"MA_HT","NTD","MA_QH","TIN")</f>
        <v>0</v>
      </c>
      <c r="BB50" s="74">
        <f>+GETPIVOTDATA("XSB4",'sonbinh (2016)'!$A$3,"MA_HT","NTD","MA_QH","SON")</f>
        <v>0</v>
      </c>
      <c r="BC50" s="74">
        <f>+GETPIVOTDATA("XSB4",'sonbinh (2016)'!$A$3,"MA_HT","NTD","MA_QH","MNC")</f>
        <v>0</v>
      </c>
      <c r="BD50" s="35">
        <f>+GETPIVOTDATA("XSB4",'sonbinh (2016)'!$A$3,"MA_HT","NTD","MA_QH","PNK")</f>
        <v>0</v>
      </c>
      <c r="BE50" s="58">
        <f>+GETPIVOTDATA("XSB4",'sonbinh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+GETPIVOTDATA("XSB4",'sonbinh (2016)'!$A$3,"MA_HT","SKX","MA_QH","LUC")</f>
        <v>0</v>
      </c>
      <c r="H51" s="35">
        <f>+GETPIVOTDATA("XSB4",'sonbinh (2016)'!$A$3,"MA_HT","SKX","MA_QH","LUK")</f>
        <v>0</v>
      </c>
      <c r="I51" s="35">
        <f>+GETPIVOTDATA("XSB4",'sonbinh (2016)'!$A$3,"MA_HT","SKX","MA_QH","LUN")</f>
        <v>0</v>
      </c>
      <c r="J51" s="35">
        <f>+GETPIVOTDATA("XSB4",'sonbinh (2016)'!$A$3,"MA_HT","SKX","MA_QH","HNK")</f>
        <v>0</v>
      </c>
      <c r="K51" s="35">
        <f>+GETPIVOTDATA("XSB4",'sonbinh (2016)'!$A$3,"MA_HT","SKX","MA_QH","CLN")</f>
        <v>0</v>
      </c>
      <c r="L51" s="35">
        <f>+GETPIVOTDATA("XSB4",'sonbinh (2016)'!$A$3,"MA_HT","SKX","MA_QH","RSX")</f>
        <v>0</v>
      </c>
      <c r="M51" s="35">
        <f>+GETPIVOTDATA("XSB4",'sonbinh (2016)'!$A$3,"MA_HT","SKX","MA_QH","RPH")</f>
        <v>0</v>
      </c>
      <c r="N51" s="35">
        <f>+GETPIVOTDATA("XSB4",'sonbinh (2016)'!$A$3,"MA_HT","SKX","MA_QH","RDD")</f>
        <v>0</v>
      </c>
      <c r="O51" s="35">
        <f>+GETPIVOTDATA("XSB4",'sonbinh (2016)'!$A$3,"MA_HT","SKX","MA_QH","NTS")</f>
        <v>0</v>
      </c>
      <c r="P51" s="35">
        <f>+GETPIVOTDATA("XSB4",'sonbinh (2016)'!$A$3,"MA_HT","SKX","MA_QH","LMU")</f>
        <v>0</v>
      </c>
      <c r="Q51" s="35">
        <f>+GETPIVOTDATA("XSB4",'sonbinh (2016)'!$A$3,"MA_HT","SKX","MA_QH","NKH")</f>
        <v>0</v>
      </c>
      <c r="R51" s="106">
        <f>SUM(S51:AA51,AN51:AW51,AY51:BD51)</f>
        <v>0</v>
      </c>
      <c r="S51" s="35">
        <f>+GETPIVOTDATA("XSB4",'sonbinh (2016)'!$A$3,"MA_HT","SKX","MA_QH","CQP")</f>
        <v>0</v>
      </c>
      <c r="T51" s="35">
        <f>+GETPIVOTDATA("XSB4",'sonbinh (2016)'!$A$3,"MA_HT","SKX","MA_QH","CAN")</f>
        <v>0</v>
      </c>
      <c r="U51" s="35">
        <f>+GETPIVOTDATA("XSB4",'sonbinh (2016)'!$A$3,"MA_HT","SKX","MA_QH","SKK")</f>
        <v>0</v>
      </c>
      <c r="V51" s="35">
        <f>+GETPIVOTDATA("XSB4",'sonbinh (2016)'!$A$3,"MA_HT","SKX","MA_QH","SKT")</f>
        <v>0</v>
      </c>
      <c r="W51" s="35">
        <f>+GETPIVOTDATA("XSB4",'sonbinh (2016)'!$A$3,"MA_HT","SKX","MA_QH","SKN")</f>
        <v>0</v>
      </c>
      <c r="X51" s="35">
        <f>+GETPIVOTDATA("XSB4",'sonbinh (2016)'!$A$3,"MA_HT","SKX","MA_QH","TMD")</f>
        <v>0</v>
      </c>
      <c r="Y51" s="35">
        <f>+GETPIVOTDATA("XSB4",'sonbinh (2016)'!$A$3,"MA_HT","SKX","MA_QH","SKC")</f>
        <v>0</v>
      </c>
      <c r="Z51" s="35">
        <f>+GETPIVOTDATA("XSB4",'sonbinh (2016)'!$A$3,"MA_HT","SKX","MA_QH","SKS")</f>
        <v>0</v>
      </c>
      <c r="AA51" s="64">
        <f t="shared" si="21"/>
        <v>0</v>
      </c>
      <c r="AB51" s="35">
        <f>+GETPIVOTDATA("XSB4",'sonbinh (2016)'!$A$3,"MA_HT","SKX","MA_QH","DGT")</f>
        <v>0</v>
      </c>
      <c r="AC51" s="35">
        <f>+GETPIVOTDATA("XSB4",'sonbinh (2016)'!$A$3,"MA_HT","SKX","MA_QH","DTL")</f>
        <v>0</v>
      </c>
      <c r="AD51" s="35">
        <f>+GETPIVOTDATA("XSB4",'sonbinh (2016)'!$A$3,"MA_HT","SKX","MA_QH","DNL")</f>
        <v>0</v>
      </c>
      <c r="AE51" s="35">
        <f>+GETPIVOTDATA("XSB4",'sonbinh (2016)'!$A$3,"MA_HT","SKX","MA_QH","DBV")</f>
        <v>0</v>
      </c>
      <c r="AF51" s="35">
        <f>+GETPIVOTDATA("XSB4",'sonbinh (2016)'!$A$3,"MA_HT","SKX","MA_QH","DVH")</f>
        <v>0</v>
      </c>
      <c r="AG51" s="35">
        <f>+GETPIVOTDATA("XSB4",'sonbinh (2016)'!$A$3,"MA_HT","SKX","MA_QH","DYT")</f>
        <v>0</v>
      </c>
      <c r="AH51" s="35">
        <f>+GETPIVOTDATA("XSB4",'sonbinh (2016)'!$A$3,"MA_HT","SKX","MA_QH","DGD")</f>
        <v>0</v>
      </c>
      <c r="AI51" s="35">
        <f>+GETPIVOTDATA("XSB4",'sonbinh (2016)'!$A$3,"MA_HT","SKX","MA_QH","DTT")</f>
        <v>0</v>
      </c>
      <c r="AJ51" s="35">
        <f>+GETPIVOTDATA("XSB4",'sonbinh (2016)'!$A$3,"MA_HT","SKX","MA_QH","NCK")</f>
        <v>0</v>
      </c>
      <c r="AK51" s="35">
        <f>+GETPIVOTDATA("XSB4",'sonbinh (2016)'!$A$3,"MA_HT","SKX","MA_QH","DXH")</f>
        <v>0</v>
      </c>
      <c r="AL51" s="35">
        <f>+GETPIVOTDATA("XSB4",'sonbinh (2016)'!$A$3,"MA_HT","SKX","MA_QH","DCH")</f>
        <v>0</v>
      </c>
      <c r="AM51" s="35">
        <f>+GETPIVOTDATA("XSB4",'sonbinh (2016)'!$A$3,"MA_HT","SKX","MA_QH","DKG")</f>
        <v>0</v>
      </c>
      <c r="AN51" s="35">
        <f>+GETPIVOTDATA("XSB4",'sonbinh (2016)'!$A$3,"MA_HT","SKX","MA_QH","DDT")</f>
        <v>0</v>
      </c>
      <c r="AO51" s="35">
        <f>+GETPIVOTDATA("XSB4",'sonbinh (2016)'!$A$3,"MA_HT","SKX","MA_QH","DDL")</f>
        <v>0</v>
      </c>
      <c r="AP51" s="35">
        <f>+GETPIVOTDATA("XSB4",'sonbinh (2016)'!$A$3,"MA_HT","SKX","MA_QH","DRA")</f>
        <v>0</v>
      </c>
      <c r="AQ51" s="35">
        <f>+GETPIVOTDATA("XSB4",'sonbinh (2016)'!$A$3,"MA_HT","SKX","MA_QH","ONT")</f>
        <v>0</v>
      </c>
      <c r="AR51" s="35">
        <f>+GETPIVOTDATA("XSB4",'sonbinh (2016)'!$A$3,"MA_HT","SKX","MA_QH","ODT")</f>
        <v>0</v>
      </c>
      <c r="AS51" s="35">
        <f>+GETPIVOTDATA("XSB4",'sonbinh (2016)'!$A$3,"MA_HT","SKX","MA_QH","TSC")</f>
        <v>0</v>
      </c>
      <c r="AT51" s="35">
        <f>+GETPIVOTDATA("XSB4",'sonbinh (2016)'!$A$3,"MA_HT","SKX","MA_QH","DTS")</f>
        <v>0</v>
      </c>
      <c r="AU51" s="35">
        <f>+GETPIVOTDATA("XSB4",'sonbinh (2016)'!$A$3,"MA_HT","SKX","MA_QH","DNG")</f>
        <v>0</v>
      </c>
      <c r="AV51" s="35">
        <f>+GETPIVOTDATA("XSB4",'sonbinh (2016)'!$A$3,"MA_HT","SKX","MA_QH","TON")</f>
        <v>0</v>
      </c>
      <c r="AW51" s="35">
        <f>+GETPIVOTDATA("XSB4",'sonbinh (2016)'!$A$3,"MA_HT","SKX","MA_QH","NTD")</f>
        <v>0</v>
      </c>
      <c r="AX51" s="99" t="e">
        <f>$D51-$BF51</f>
        <v>#REF!</v>
      </c>
      <c r="AY51" s="35">
        <f>+GETPIVOTDATA("XSB4",'sonbinh (2016)'!$A$3,"MA_HT","SKX","MA_QH","DSH")</f>
        <v>0</v>
      </c>
      <c r="AZ51" s="35">
        <f>+GETPIVOTDATA("XSB4",'sonbinh (2016)'!$A$3,"MA_HT","SKX","MA_QH","DKV")</f>
        <v>0</v>
      </c>
      <c r="BA51" s="140">
        <f>+GETPIVOTDATA("XSB4",'sonbinh (2016)'!$A$3,"MA_HT","SKX","MA_QH","TIN")</f>
        <v>0</v>
      </c>
      <c r="BB51" s="74">
        <f>+GETPIVOTDATA("XSB4",'sonbinh (2016)'!$A$3,"MA_HT","SKX","MA_QH","SON")</f>
        <v>0</v>
      </c>
      <c r="BC51" s="74">
        <f>+GETPIVOTDATA("XSB4",'sonbinh (2016)'!$A$3,"MA_HT","SKX","MA_QH","MNC")</f>
        <v>0</v>
      </c>
      <c r="BD51" s="35">
        <f>+GETPIVOTDATA("XSB4",'sonbinh (2016)'!$A$3,"MA_HT","SKX","MA_QH","PNK")</f>
        <v>0</v>
      </c>
      <c r="BE51" s="58">
        <f>+GETPIVOTDATA("XSB4",'sonbinh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+GETPIVOTDATA("XSB4",'sonbinh (2016)'!$A$3,"MA_HT","DSH","MA_QH","LUC")</f>
        <v>0</v>
      </c>
      <c r="H52" s="35">
        <f>+GETPIVOTDATA("XSB4",'sonbinh (2016)'!$A$3,"MA_HT","DSH","MA_QH","LUK")</f>
        <v>0</v>
      </c>
      <c r="I52" s="35">
        <f>+GETPIVOTDATA("XSB4",'sonbinh (2016)'!$A$3,"MA_HT","DSH","MA_QH","LUN")</f>
        <v>0</v>
      </c>
      <c r="J52" s="35">
        <f>+GETPIVOTDATA("XSB4",'sonbinh (2016)'!$A$3,"MA_HT","DSH","MA_QH","HNK")</f>
        <v>0</v>
      </c>
      <c r="K52" s="35">
        <f>+GETPIVOTDATA("XSB4",'sonbinh (2016)'!$A$3,"MA_HT","DSH","MA_QH","CLN")</f>
        <v>0</v>
      </c>
      <c r="L52" s="35">
        <f>+GETPIVOTDATA("XSB4",'sonbinh (2016)'!$A$3,"MA_HT","DSH","MA_QH","RSX")</f>
        <v>0</v>
      </c>
      <c r="M52" s="35">
        <f>+GETPIVOTDATA("XSB4",'sonbinh (2016)'!$A$3,"MA_HT","DSH","MA_QH","RPH")</f>
        <v>0</v>
      </c>
      <c r="N52" s="35">
        <f>+GETPIVOTDATA("XSB4",'sonbinh (2016)'!$A$3,"MA_HT","DSH","MA_QH","RDD")</f>
        <v>0</v>
      </c>
      <c r="O52" s="35">
        <f>+GETPIVOTDATA("XSB4",'sonbinh (2016)'!$A$3,"MA_HT","DSH","MA_QH","NTS")</f>
        <v>0</v>
      </c>
      <c r="P52" s="35">
        <f>+GETPIVOTDATA("XSB4",'sonbinh (2016)'!$A$3,"MA_HT","DSH","MA_QH","LMU")</f>
        <v>0</v>
      </c>
      <c r="Q52" s="35">
        <f>+GETPIVOTDATA("XSB4",'sonbinh (2016)'!$A$3,"MA_HT","DSH","MA_QH","NKH")</f>
        <v>0</v>
      </c>
      <c r="R52" s="106">
        <f>SUM(S52:AA52,AN52:AX52,AZ52:BD52)</f>
        <v>0</v>
      </c>
      <c r="S52" s="35">
        <f>+GETPIVOTDATA("XSB4",'sonbinh (2016)'!$A$3,"MA_HT","DSH","MA_QH","CQP")</f>
        <v>0</v>
      </c>
      <c r="T52" s="35">
        <f>+GETPIVOTDATA("XSB4",'sonbinh (2016)'!$A$3,"MA_HT","DSH","MA_QH","CAN")</f>
        <v>0</v>
      </c>
      <c r="U52" s="35">
        <f>+GETPIVOTDATA("XSB4",'sonbinh (2016)'!$A$3,"MA_HT","DSH","MA_QH","SKK")</f>
        <v>0</v>
      </c>
      <c r="V52" s="35">
        <f>+GETPIVOTDATA("XSB4",'sonbinh (2016)'!$A$3,"MA_HT","DSH","MA_QH","SKT")</f>
        <v>0</v>
      </c>
      <c r="W52" s="35">
        <f>+GETPIVOTDATA("XSB4",'sonbinh (2016)'!$A$3,"MA_HT","DSH","MA_QH","SKN")</f>
        <v>0</v>
      </c>
      <c r="X52" s="35">
        <f>+GETPIVOTDATA("XSB4",'sonbinh (2016)'!$A$3,"MA_HT","DSH","MA_QH","TMD")</f>
        <v>0</v>
      </c>
      <c r="Y52" s="35">
        <f>+GETPIVOTDATA("XSB4",'sonbinh (2016)'!$A$3,"MA_HT","DSH","MA_QH","SKC")</f>
        <v>0</v>
      </c>
      <c r="Z52" s="35">
        <f>+GETPIVOTDATA("XSB4",'sonbinh (2016)'!$A$3,"MA_HT","DSH","MA_QH","SKS")</f>
        <v>0</v>
      </c>
      <c r="AA52" s="64">
        <f t="shared" si="21"/>
        <v>0</v>
      </c>
      <c r="AB52" s="35">
        <f>+GETPIVOTDATA("XSB4",'sonbinh (2016)'!$A$3,"MA_HT","DSH","MA_QH","DGT")</f>
        <v>0</v>
      </c>
      <c r="AC52" s="35">
        <f>+GETPIVOTDATA("XSB4",'sonbinh (2016)'!$A$3,"MA_HT","DSH","MA_QH","DTL")</f>
        <v>0</v>
      </c>
      <c r="AD52" s="35">
        <f>+GETPIVOTDATA("XSB4",'sonbinh (2016)'!$A$3,"MA_HT","DSH","MA_QH","DNL")</f>
        <v>0</v>
      </c>
      <c r="AE52" s="35">
        <f>+GETPIVOTDATA("XSB4",'sonbinh (2016)'!$A$3,"MA_HT","DSH","MA_QH","DBV")</f>
        <v>0</v>
      </c>
      <c r="AF52" s="35">
        <f>+GETPIVOTDATA("XSB4",'sonbinh (2016)'!$A$3,"MA_HT","DSH","MA_QH","DVH")</f>
        <v>0</v>
      </c>
      <c r="AG52" s="35">
        <f>+GETPIVOTDATA("XSB4",'sonbinh (2016)'!$A$3,"MA_HT","DSH","MA_QH","DYT")</f>
        <v>0</v>
      </c>
      <c r="AH52" s="35">
        <f>+GETPIVOTDATA("XSB4",'sonbinh (2016)'!$A$3,"MA_HT","DSH","MA_QH","DGD")</f>
        <v>0</v>
      </c>
      <c r="AI52" s="35">
        <f>+GETPIVOTDATA("XSB4",'sonbinh (2016)'!$A$3,"MA_HT","DSH","MA_QH","DTT")</f>
        <v>0</v>
      </c>
      <c r="AJ52" s="35">
        <f>+GETPIVOTDATA("XSB4",'sonbinh (2016)'!$A$3,"MA_HT","DSH","MA_QH","NCK")</f>
        <v>0</v>
      </c>
      <c r="AK52" s="35">
        <f>+GETPIVOTDATA("XSB4",'sonbinh (2016)'!$A$3,"MA_HT","DSH","MA_QH","DXH")</f>
        <v>0</v>
      </c>
      <c r="AL52" s="35">
        <f>+GETPIVOTDATA("XSB4",'sonbinh (2016)'!$A$3,"MA_HT","DSH","MA_QH","DCH")</f>
        <v>0</v>
      </c>
      <c r="AM52" s="35">
        <f>+GETPIVOTDATA("XSB4",'sonbinh (2016)'!$A$3,"MA_HT","DSH","MA_QH","DKG")</f>
        <v>0</v>
      </c>
      <c r="AN52" s="35">
        <f>+GETPIVOTDATA("XSB4",'sonbinh (2016)'!$A$3,"MA_HT","DSH","MA_QH","DDT")</f>
        <v>0</v>
      </c>
      <c r="AO52" s="35">
        <f>+GETPIVOTDATA("XSB4",'sonbinh (2016)'!$A$3,"MA_HT","DSH","MA_QH","DDL")</f>
        <v>0</v>
      </c>
      <c r="AP52" s="35">
        <f>+GETPIVOTDATA("XSB4",'sonbinh (2016)'!$A$3,"MA_HT","DSH","MA_QH","DRA")</f>
        <v>0</v>
      </c>
      <c r="AQ52" s="35">
        <f>+GETPIVOTDATA("XSB4",'sonbinh (2016)'!$A$3,"MA_HT","DSH","MA_QH","ONT")</f>
        <v>0</v>
      </c>
      <c r="AR52" s="35">
        <f>+GETPIVOTDATA("XSB4",'sonbinh (2016)'!$A$3,"MA_HT","DSH","MA_QH","ODT")</f>
        <v>0</v>
      </c>
      <c r="AS52" s="35">
        <f>+GETPIVOTDATA("XSB4",'sonbinh (2016)'!$A$3,"MA_HT","DSH","MA_QH","TSC")</f>
        <v>0</v>
      </c>
      <c r="AT52" s="35">
        <f>+GETPIVOTDATA("XSB4",'sonbinh (2016)'!$A$3,"MA_HT","DSH","MA_QH","DTS")</f>
        <v>0</v>
      </c>
      <c r="AU52" s="35">
        <f>+GETPIVOTDATA("XSB4",'sonbinh (2016)'!$A$3,"MA_HT","DSH","MA_QH","DNG")</f>
        <v>0</v>
      </c>
      <c r="AV52" s="35">
        <f>+GETPIVOTDATA("XSB4",'sonbinh (2016)'!$A$3,"MA_HT","DSH","MA_QH","TON")</f>
        <v>0</v>
      </c>
      <c r="AW52" s="35">
        <f>+GETPIVOTDATA("XSB4",'sonbinh (2016)'!$A$3,"MA_HT","DSH","MA_QH","NTD")</f>
        <v>0</v>
      </c>
      <c r="AX52" s="35">
        <f>+GETPIVOTDATA("XSB4",'sonbinh (2016)'!$A$3,"MA_HT","DSH","MA_QH","SKX")</f>
        <v>0</v>
      </c>
      <c r="AY52" s="99" t="e">
        <f>$D52-$BF52</f>
        <v>#REF!</v>
      </c>
      <c r="AZ52" s="35">
        <f>+GETPIVOTDATA("XSB4",'sonbinh (2016)'!$A$3,"MA_HT","DSH","MA_QH","DKV")</f>
        <v>0</v>
      </c>
      <c r="BA52" s="140">
        <f>+GETPIVOTDATA("XSB4",'sonbinh (2016)'!$A$3,"MA_HT","DSH","MA_QH","TIN")</f>
        <v>0</v>
      </c>
      <c r="BB52" s="74">
        <f>+GETPIVOTDATA("XSB4",'sonbinh (2016)'!$A$3,"MA_HT","DSH","MA_QH","SON")</f>
        <v>0</v>
      </c>
      <c r="BC52" s="74">
        <f>+GETPIVOTDATA("XSB4",'sonbinh (2016)'!$A$3,"MA_HT","DSH","MA_QH","MNC")</f>
        <v>0</v>
      </c>
      <c r="BD52" s="35">
        <f>+GETPIVOTDATA("XSB4",'sonbinh (2016)'!$A$3,"MA_HT","DSH","MA_QH","PNK")</f>
        <v>0</v>
      </c>
      <c r="BE52" s="58">
        <f>+GETPIVOTDATA("XSB4",'sonbinh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+GETPIVOTDATA("XSB4",'sonbinh (2016)'!$A$3,"MA_HT","DKV","MA_QH","LUC")</f>
        <v>0</v>
      </c>
      <c r="H53" s="35">
        <f>+GETPIVOTDATA("XSB4",'sonbinh (2016)'!$A$3,"MA_HT","DKV","MA_QH","LUK")</f>
        <v>0</v>
      </c>
      <c r="I53" s="35">
        <f>+GETPIVOTDATA("XSB4",'sonbinh (2016)'!$A$3,"MA_HT","DKV","MA_QH","LUN")</f>
        <v>0</v>
      </c>
      <c r="J53" s="35">
        <f>+GETPIVOTDATA("XSB4",'sonbinh (2016)'!$A$3,"MA_HT","DKV","MA_QH","HNK")</f>
        <v>0</v>
      </c>
      <c r="K53" s="35">
        <f>+GETPIVOTDATA("XSB4",'sonbinh (2016)'!$A$3,"MA_HT","DKV","MA_QH","CLN")</f>
        <v>0</v>
      </c>
      <c r="L53" s="35">
        <f>+GETPIVOTDATA("XSB4",'sonbinh (2016)'!$A$3,"MA_HT","DKV","MA_QH","RSX")</f>
        <v>0</v>
      </c>
      <c r="M53" s="35">
        <f>+GETPIVOTDATA("XSB4",'sonbinh (2016)'!$A$3,"MA_HT","DKV","MA_QH","RPH")</f>
        <v>0</v>
      </c>
      <c r="N53" s="35">
        <f>+GETPIVOTDATA("XSB4",'sonbinh (2016)'!$A$3,"MA_HT","DKV","MA_QH","RDD")</f>
        <v>0</v>
      </c>
      <c r="O53" s="35">
        <f>+GETPIVOTDATA("XSB4",'sonbinh (2016)'!$A$3,"MA_HT","DKV","MA_QH","NTS")</f>
        <v>0</v>
      </c>
      <c r="P53" s="35">
        <f>+GETPIVOTDATA("XSB4",'sonbinh (2016)'!$A$3,"MA_HT","DKV","MA_QH","LMU")</f>
        <v>0</v>
      </c>
      <c r="Q53" s="35">
        <f>+GETPIVOTDATA("XSB4",'sonbinh (2016)'!$A$3,"MA_HT","DKV","MA_QH","NKH")</f>
        <v>0</v>
      </c>
      <c r="R53" s="106">
        <f>SUM(S53:AA53,AN53:AY53,BB53:BD53)</f>
        <v>0</v>
      </c>
      <c r="S53" s="35">
        <f>+GETPIVOTDATA("XSB4",'sonbinh (2016)'!$A$3,"MA_HT","DKV","MA_QH","CQP")</f>
        <v>0</v>
      </c>
      <c r="T53" s="35">
        <f>+GETPIVOTDATA("XSB4",'sonbinh (2016)'!$A$3,"MA_HT","DKV","MA_QH","CAN")</f>
        <v>0</v>
      </c>
      <c r="U53" s="35">
        <f>+GETPIVOTDATA("XSB4",'sonbinh (2016)'!$A$3,"MA_HT","DKV","MA_QH","SKK")</f>
        <v>0</v>
      </c>
      <c r="V53" s="35">
        <f>+GETPIVOTDATA("XSB4",'sonbinh (2016)'!$A$3,"MA_HT","DKV","MA_QH","SKT")</f>
        <v>0</v>
      </c>
      <c r="W53" s="35">
        <f>+GETPIVOTDATA("XSB4",'sonbinh (2016)'!$A$3,"MA_HT","DKV","MA_QH","SKN")</f>
        <v>0</v>
      </c>
      <c r="X53" s="35">
        <f>+GETPIVOTDATA("XSB4",'sonbinh (2016)'!$A$3,"MA_HT","DKV","MA_QH","TMD")</f>
        <v>0</v>
      </c>
      <c r="Y53" s="35">
        <f>+GETPIVOTDATA("XSB4",'sonbinh (2016)'!$A$3,"MA_HT","DKV","MA_QH","SKC")</f>
        <v>0</v>
      </c>
      <c r="Z53" s="35">
        <f>+GETPIVOTDATA("XSB4",'sonbinh (2016)'!$A$3,"MA_HT","DKV","MA_QH","SKS")</f>
        <v>0</v>
      </c>
      <c r="AA53" s="64">
        <f t="shared" si="21"/>
        <v>0</v>
      </c>
      <c r="AB53" s="35">
        <f>+GETPIVOTDATA("XSB4",'sonbinh (2016)'!$A$3,"MA_HT","DKV","MA_QH","DGT")</f>
        <v>0</v>
      </c>
      <c r="AC53" s="35">
        <f>+GETPIVOTDATA("XSB4",'sonbinh (2016)'!$A$3,"MA_HT","DKV","MA_QH","DTL")</f>
        <v>0</v>
      </c>
      <c r="AD53" s="35">
        <f>+GETPIVOTDATA("XSB4",'sonbinh (2016)'!$A$3,"MA_HT","DKV","MA_QH","DNL")</f>
        <v>0</v>
      </c>
      <c r="AE53" s="35">
        <f>+GETPIVOTDATA("XSB4",'sonbinh (2016)'!$A$3,"MA_HT","DKV","MA_QH","DBV")</f>
        <v>0</v>
      </c>
      <c r="AF53" s="35">
        <f>+GETPIVOTDATA("XSB4",'sonbinh (2016)'!$A$3,"MA_HT","DKV","MA_QH","DVH")</f>
        <v>0</v>
      </c>
      <c r="AG53" s="35">
        <f>+GETPIVOTDATA("XSB4",'sonbinh (2016)'!$A$3,"MA_HT","DKV","MA_QH","DYT")</f>
        <v>0</v>
      </c>
      <c r="AH53" s="35">
        <f>+GETPIVOTDATA("XSB4",'sonbinh (2016)'!$A$3,"MA_HT","DKV","MA_QH","DGD")</f>
        <v>0</v>
      </c>
      <c r="AI53" s="35">
        <f>+GETPIVOTDATA("XSB4",'sonbinh (2016)'!$A$3,"MA_HT","DKV","MA_QH","DTT")</f>
        <v>0</v>
      </c>
      <c r="AJ53" s="35">
        <f>+GETPIVOTDATA("XSB4",'sonbinh (2016)'!$A$3,"MA_HT","DKV","MA_QH","NCK")</f>
        <v>0</v>
      </c>
      <c r="AK53" s="35">
        <f>+GETPIVOTDATA("XSB4",'sonbinh (2016)'!$A$3,"MA_HT","DKV","MA_QH","DXH")</f>
        <v>0</v>
      </c>
      <c r="AL53" s="35">
        <f>+GETPIVOTDATA("XSB4",'sonbinh (2016)'!$A$3,"MA_HT","DKV","MA_QH","DCH")</f>
        <v>0</v>
      </c>
      <c r="AM53" s="35">
        <f>+GETPIVOTDATA("XSB4",'sonbinh (2016)'!$A$3,"MA_HT","DKV","MA_QH","DKG")</f>
        <v>0</v>
      </c>
      <c r="AN53" s="35">
        <f>+GETPIVOTDATA("XSB4",'sonbinh (2016)'!$A$3,"MA_HT","DKV","MA_QH","DDT")</f>
        <v>0</v>
      </c>
      <c r="AO53" s="35">
        <f>+GETPIVOTDATA("XSB4",'sonbinh (2016)'!$A$3,"MA_HT","DKV","MA_QH","DDL")</f>
        <v>0</v>
      </c>
      <c r="AP53" s="35">
        <f>+GETPIVOTDATA("XSB4",'sonbinh (2016)'!$A$3,"MA_HT","DKV","MA_QH","DRA")</f>
        <v>0</v>
      </c>
      <c r="AQ53" s="35">
        <f>+GETPIVOTDATA("XSB4",'sonbinh (2016)'!$A$3,"MA_HT","DKV","MA_QH","ONT")</f>
        <v>0</v>
      </c>
      <c r="AR53" s="35">
        <f>+GETPIVOTDATA("XSB4",'sonbinh (2016)'!$A$3,"MA_HT","DKV","MA_QH","ODT")</f>
        <v>0</v>
      </c>
      <c r="AS53" s="35">
        <f>+GETPIVOTDATA("XSB4",'sonbinh (2016)'!$A$3,"MA_HT","DKV","MA_QH","TSC")</f>
        <v>0</v>
      </c>
      <c r="AT53" s="35">
        <f>+GETPIVOTDATA("XSB4",'sonbinh (2016)'!$A$3,"MA_HT","DKV","MA_QH","DTS")</f>
        <v>0</v>
      </c>
      <c r="AU53" s="35">
        <f>+GETPIVOTDATA("XSB4",'sonbinh (2016)'!$A$3,"MA_HT","DKV","MA_QH","DNG")</f>
        <v>0</v>
      </c>
      <c r="AV53" s="35">
        <f>+GETPIVOTDATA("XSB4",'sonbinh (2016)'!$A$3,"MA_HT","DKV","MA_QH","TON")</f>
        <v>0</v>
      </c>
      <c r="AW53" s="35">
        <f>+GETPIVOTDATA("XSB4",'sonbinh (2016)'!$A$3,"MA_HT","DKV","MA_QH","NTD")</f>
        <v>0</v>
      </c>
      <c r="AX53" s="35">
        <f>+GETPIVOTDATA("XSB4",'sonbinh (2016)'!$A$3,"MA_HT","DKV","MA_QH","SKX")</f>
        <v>0</v>
      </c>
      <c r="AY53" s="35">
        <f>+GETPIVOTDATA("XSB4",'sonbinh (2016)'!$A$3,"MA_HT","DKV","MA_QH","DSH")</f>
        <v>0</v>
      </c>
      <c r="AZ53" s="99" t="e">
        <f>$D53-$BF53</f>
        <v>#REF!</v>
      </c>
      <c r="BA53" s="140">
        <f>+GETPIVOTDATA("XSB4",'sonbinh (2016)'!$A$3,"MA_HT","DKV","MA_QH","TIN")</f>
        <v>0</v>
      </c>
      <c r="BB53" s="74">
        <f>+GETPIVOTDATA("XSB4",'sonbinh (2016)'!$A$3,"MA_HT","DKV","MA_QH","SON")</f>
        <v>0</v>
      </c>
      <c r="BC53" s="74">
        <f>+GETPIVOTDATA("XSB4",'sonbinh (2016)'!$A$3,"MA_HT","DKV","MA_QH","MNC")</f>
        <v>0</v>
      </c>
      <c r="BD53" s="35">
        <f>+GETPIVOTDATA("XSB4",'sonbinh (2016)'!$A$3,"MA_HT","DKV","MA_QH","PNK")</f>
        <v>0</v>
      </c>
      <c r="BE53" s="58">
        <f>+GETPIVOTDATA("XSB4",'sonbinh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+GETPIVOTDATA("XSB4",'sonbinh (2016)'!$A$3,"MA_HT","TIN","MA_QH","LUC")</f>
        <v>0</v>
      </c>
      <c r="H54" s="35">
        <f>+GETPIVOTDATA("XSB4",'sonbinh (2016)'!$A$3,"MA_HT","TIN","MA_QH","LUK")</f>
        <v>0</v>
      </c>
      <c r="I54" s="35">
        <f>+GETPIVOTDATA("XSB4",'sonbinh (2016)'!$A$3,"MA_HT","TIN","MA_QH","LUN")</f>
        <v>0</v>
      </c>
      <c r="J54" s="35">
        <f>+GETPIVOTDATA("XSB4",'sonbinh (2016)'!$A$3,"MA_HT","TIN","MA_QH","HNK")</f>
        <v>0</v>
      </c>
      <c r="K54" s="35">
        <f>+GETPIVOTDATA("XSB4",'sonbinh (2016)'!$A$3,"MA_HT","TIN","MA_QH","CLN")</f>
        <v>0</v>
      </c>
      <c r="L54" s="35">
        <f>+GETPIVOTDATA("XSB4",'sonbinh (2016)'!$A$3,"MA_HT","TIN","MA_QH","RSX")</f>
        <v>0</v>
      </c>
      <c r="M54" s="35">
        <f>+GETPIVOTDATA("XSB4",'sonbinh (2016)'!$A$3,"MA_HT","TIN","MA_QH","RPH")</f>
        <v>0</v>
      </c>
      <c r="N54" s="35">
        <f>+GETPIVOTDATA("XSB4",'sonbinh (2016)'!$A$3,"MA_HT","TIN","MA_QH","RDD")</f>
        <v>0</v>
      </c>
      <c r="O54" s="35">
        <f>+GETPIVOTDATA("XSB4",'sonbinh (2016)'!$A$3,"MA_HT","TIN","MA_QH","NTS")</f>
        <v>0</v>
      </c>
      <c r="P54" s="35">
        <f>+GETPIVOTDATA("XSB4",'sonbinh (2016)'!$A$3,"MA_HT","TIN","MA_QH","LMU")</f>
        <v>0</v>
      </c>
      <c r="Q54" s="35">
        <f>+GETPIVOTDATA("XSB4",'sonbinh (2016)'!$A$3,"MA_HT","TIN","MA_QH","NKH")</f>
        <v>0</v>
      </c>
      <c r="R54" s="106">
        <f>SUM(S54:AA54,AN54:AZ54,BB54:BD54)</f>
        <v>0</v>
      </c>
      <c r="S54" s="35">
        <f>+GETPIVOTDATA("XSB4",'sonbinh (2016)'!$A$3,"MA_HT","TIN","MA_QH","CQP")</f>
        <v>0</v>
      </c>
      <c r="T54" s="35">
        <f>+GETPIVOTDATA("XSB4",'sonbinh (2016)'!$A$3,"MA_HT","TIN","MA_QH","CAN")</f>
        <v>0</v>
      </c>
      <c r="U54" s="35">
        <f>+GETPIVOTDATA("XSB4",'sonbinh (2016)'!$A$3,"MA_HT","TIN","MA_QH","SKK")</f>
        <v>0</v>
      </c>
      <c r="V54" s="35">
        <f>+GETPIVOTDATA("XSB4",'sonbinh (2016)'!$A$3,"MA_HT","TIN","MA_QH","SKT")</f>
        <v>0</v>
      </c>
      <c r="W54" s="35">
        <f>+GETPIVOTDATA("XSB4",'sonbinh (2016)'!$A$3,"MA_HT","TIN","MA_QH","SKN")</f>
        <v>0</v>
      </c>
      <c r="X54" s="35">
        <f>+GETPIVOTDATA("XSB4",'sonbinh (2016)'!$A$3,"MA_HT","TIN","MA_QH","TMD")</f>
        <v>0</v>
      </c>
      <c r="Y54" s="35">
        <f>+GETPIVOTDATA("XSB4",'sonbinh (2016)'!$A$3,"MA_HT","TIN","MA_QH","SKC")</f>
        <v>0</v>
      </c>
      <c r="Z54" s="35">
        <f>+GETPIVOTDATA("XSB4",'sonbinh (2016)'!$A$3,"MA_HT","TIN","MA_QH","SKS")</f>
        <v>0</v>
      </c>
      <c r="AA54" s="64">
        <f t="shared" si="21"/>
        <v>0</v>
      </c>
      <c r="AB54" s="35">
        <f>+GETPIVOTDATA("XSB4",'sonbinh (2016)'!$A$3,"MA_HT","TIN","MA_QH","DGT")</f>
        <v>0</v>
      </c>
      <c r="AC54" s="35">
        <f>+GETPIVOTDATA("XSB4",'sonbinh (2016)'!$A$3,"MA_HT","TIN","MA_QH","DTL")</f>
        <v>0</v>
      </c>
      <c r="AD54" s="35">
        <f>+GETPIVOTDATA("XSB4",'sonbinh (2016)'!$A$3,"MA_HT","TIN","MA_QH","DNL")</f>
        <v>0</v>
      </c>
      <c r="AE54" s="35">
        <f>+GETPIVOTDATA("XSB4",'sonbinh (2016)'!$A$3,"MA_HT","TIN","MA_QH","DBV")</f>
        <v>0</v>
      </c>
      <c r="AF54" s="35">
        <f>+GETPIVOTDATA("XSB4",'sonbinh (2016)'!$A$3,"MA_HT","TIN","MA_QH","DVH")</f>
        <v>0</v>
      </c>
      <c r="AG54" s="35">
        <f>+GETPIVOTDATA("XSB4",'sonbinh (2016)'!$A$3,"MA_HT","TIN","MA_QH","DYT")</f>
        <v>0</v>
      </c>
      <c r="AH54" s="35">
        <f>+GETPIVOTDATA("XSB4",'sonbinh (2016)'!$A$3,"MA_HT","TIN","MA_QH","DGD")</f>
        <v>0</v>
      </c>
      <c r="AI54" s="35">
        <f>+GETPIVOTDATA("XSB4",'sonbinh (2016)'!$A$3,"MA_HT","TIN","MA_QH","DTT")</f>
        <v>0</v>
      </c>
      <c r="AJ54" s="35">
        <f>+GETPIVOTDATA("XSB4",'sonbinh (2016)'!$A$3,"MA_HT","TIN","MA_QH","NCK")</f>
        <v>0</v>
      </c>
      <c r="AK54" s="35">
        <f>+GETPIVOTDATA("XSB4",'sonbinh (2016)'!$A$3,"MA_HT","TIN","MA_QH","DXH")</f>
        <v>0</v>
      </c>
      <c r="AL54" s="35">
        <f>+GETPIVOTDATA("XSB4",'sonbinh (2016)'!$A$3,"MA_HT","TIN","MA_QH","DCH")</f>
        <v>0</v>
      </c>
      <c r="AM54" s="35">
        <f>+GETPIVOTDATA("XSB4",'sonbinh (2016)'!$A$3,"MA_HT","TIN","MA_QH","DKG")</f>
        <v>0</v>
      </c>
      <c r="AN54" s="35">
        <f>+GETPIVOTDATA("XSB4",'sonbinh (2016)'!$A$3,"MA_HT","TIN","MA_QH","DDT")</f>
        <v>0</v>
      </c>
      <c r="AO54" s="35">
        <f>+GETPIVOTDATA("XSB4",'sonbinh (2016)'!$A$3,"MA_HT","TIN","MA_QH","DDL")</f>
        <v>0</v>
      </c>
      <c r="AP54" s="35">
        <f>+GETPIVOTDATA("XSB4",'sonbinh (2016)'!$A$3,"MA_HT","TIN","MA_QH","DRA")</f>
        <v>0</v>
      </c>
      <c r="AQ54" s="35">
        <f>+GETPIVOTDATA("XSB4",'sonbinh (2016)'!$A$3,"MA_HT","TIN","MA_QH","ONT")</f>
        <v>0</v>
      </c>
      <c r="AR54" s="35">
        <f>+GETPIVOTDATA("XSB4",'sonbinh (2016)'!$A$3,"MA_HT","TIN","MA_QH","ODT")</f>
        <v>0</v>
      </c>
      <c r="AS54" s="35">
        <f>+GETPIVOTDATA("XSB4",'sonbinh (2016)'!$A$3,"MA_HT","TIN","MA_QH","TSC")</f>
        <v>0</v>
      </c>
      <c r="AT54" s="35">
        <f>+GETPIVOTDATA("XSB4",'sonbinh (2016)'!$A$3,"MA_HT","TIN","MA_QH","DTS")</f>
        <v>0</v>
      </c>
      <c r="AU54" s="35">
        <f>+GETPIVOTDATA("XSB4",'sonbinh (2016)'!$A$3,"MA_HT","TIN","MA_QH","DNG")</f>
        <v>0</v>
      </c>
      <c r="AV54" s="35">
        <f>+GETPIVOTDATA("XSB4",'sonbinh (2016)'!$A$3,"MA_HT","TIN","MA_QH","TON")</f>
        <v>0</v>
      </c>
      <c r="AW54" s="35">
        <f>+GETPIVOTDATA("XSB4",'sonbinh (2016)'!$A$3,"MA_HT","TIN","MA_QH","NTD")</f>
        <v>0</v>
      </c>
      <c r="AX54" s="35">
        <f>+GETPIVOTDATA("XSB4",'sonbinh (2016)'!$A$3,"MA_HT","TIN","MA_QH","SKX")</f>
        <v>0</v>
      </c>
      <c r="AY54" s="35">
        <f>+GETPIVOTDATA("XSB4",'sonbinh (2016)'!$A$3,"MA_HT","TIN","MA_QH","DSH")</f>
        <v>0</v>
      </c>
      <c r="AZ54" s="35">
        <f>+GETPIVOTDATA("XSB4",'sonbinh (2016)'!$A$3,"MA_HT","TIN","MA_QH","DKV")</f>
        <v>0</v>
      </c>
      <c r="BA54" s="99" t="e">
        <f>$D54-$BF54</f>
        <v>#REF!</v>
      </c>
      <c r="BB54" s="35">
        <f>+GETPIVOTDATA("XSB4",'sonbinh (2016)'!$A$3,"MA_HT","TIN","MA_QH","SON")</f>
        <v>0</v>
      </c>
      <c r="BC54" s="35">
        <f>+GETPIVOTDATA("XSB4",'sonbinh (2016)'!$A$3,"MA_HT","TIN","MA_QH","MNC")</f>
        <v>0</v>
      </c>
      <c r="BD54" s="35">
        <f>+GETPIVOTDATA("XSB4",'sonbinh (2016)'!$A$3,"MA_HT","TIN","MA_QH","PNK")</f>
        <v>0</v>
      </c>
      <c r="BE54" s="58">
        <f>+GETPIVOTDATA("XSB4",'sonbinh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+GETPIVOTDATA("XSB4",'sonbinh (2016)'!$A$3,"MA_HT","SON","MA_QH","LUC")</f>
        <v>0</v>
      </c>
      <c r="H55" s="35">
        <f>+GETPIVOTDATA("XSB4",'sonbinh (2016)'!$A$3,"MA_HT","SON","MA_QH","LUK")</f>
        <v>0</v>
      </c>
      <c r="I55" s="35">
        <f>+GETPIVOTDATA("XSB4",'sonbinh (2016)'!$A$3,"MA_HT","SON","MA_QH","LUN")</f>
        <v>0</v>
      </c>
      <c r="J55" s="35">
        <f>+GETPIVOTDATA("XSB4",'sonbinh (2016)'!$A$3,"MA_HT","SON","MA_QH","HNK")</f>
        <v>0</v>
      </c>
      <c r="K55" s="35">
        <f>+GETPIVOTDATA("XSB4",'sonbinh (2016)'!$A$3,"MA_HT","SON","MA_QH","CLN")</f>
        <v>0</v>
      </c>
      <c r="L55" s="35">
        <f>+GETPIVOTDATA("XSB4",'sonbinh (2016)'!$A$3,"MA_HT","SON","MA_QH","RSX")</f>
        <v>0</v>
      </c>
      <c r="M55" s="35">
        <f>+GETPIVOTDATA("XSB4",'sonbinh (2016)'!$A$3,"MA_HT","SON","MA_QH","RPH")</f>
        <v>0</v>
      </c>
      <c r="N55" s="35">
        <f>+GETPIVOTDATA("XSB4",'sonbinh (2016)'!$A$3,"MA_HT","SON","MA_QH","RDD")</f>
        <v>0</v>
      </c>
      <c r="O55" s="35">
        <f>+GETPIVOTDATA("XSB4",'sonbinh (2016)'!$A$3,"MA_HT","SON","MA_QH","NTS")</f>
        <v>0</v>
      </c>
      <c r="P55" s="35">
        <f>+GETPIVOTDATA("XSB4",'sonbinh (2016)'!$A$3,"MA_HT","SON","MA_QH","LMU")</f>
        <v>0</v>
      </c>
      <c r="Q55" s="35">
        <f>+GETPIVOTDATA("XSB4",'sonbinh (2016)'!$A$3,"MA_HT","SON","MA_QH","NKH")</f>
        <v>0</v>
      </c>
      <c r="R55" s="106">
        <f>SUM(S55:AA55,AN55:AZ55,BC55:BD55)</f>
        <v>0</v>
      </c>
      <c r="S55" s="35">
        <f>+GETPIVOTDATA("XSB4",'sonbinh (2016)'!$A$3,"MA_HT","SON","MA_QH","CQP")</f>
        <v>0</v>
      </c>
      <c r="T55" s="35">
        <f>+GETPIVOTDATA("XSB4",'sonbinh (2016)'!$A$3,"MA_HT","SON","MA_QH","CAN")</f>
        <v>0</v>
      </c>
      <c r="U55" s="35">
        <f>+GETPIVOTDATA("XSB4",'sonbinh (2016)'!$A$3,"MA_HT","SON","MA_QH","SKK")</f>
        <v>0</v>
      </c>
      <c r="V55" s="35">
        <f>+GETPIVOTDATA("XSB4",'sonbinh (2016)'!$A$3,"MA_HT","SON","MA_QH","SKT")</f>
        <v>0</v>
      </c>
      <c r="W55" s="35">
        <f>+GETPIVOTDATA("XSB4",'sonbinh (2016)'!$A$3,"MA_HT","SON","MA_QH","SKN")</f>
        <v>0</v>
      </c>
      <c r="X55" s="35">
        <f>+GETPIVOTDATA("XSB4",'sonbinh (2016)'!$A$3,"MA_HT","SON","MA_QH","TMD")</f>
        <v>0</v>
      </c>
      <c r="Y55" s="35">
        <f>+GETPIVOTDATA("XSB4",'sonbinh (2016)'!$A$3,"MA_HT","SON","MA_QH","SKC")</f>
        <v>0</v>
      </c>
      <c r="Z55" s="35">
        <f>+GETPIVOTDATA("XSB4",'sonbinh (2016)'!$A$3,"MA_HT","SON","MA_QH","SKS")</f>
        <v>0</v>
      </c>
      <c r="AA55" s="64">
        <f t="shared" si="21"/>
        <v>0</v>
      </c>
      <c r="AB55" s="35">
        <f>+GETPIVOTDATA("XSB4",'sonbinh (2016)'!$A$3,"MA_HT","SON","MA_QH","DGT")</f>
        <v>0</v>
      </c>
      <c r="AC55" s="35">
        <f>+GETPIVOTDATA("XSB4",'sonbinh (2016)'!$A$3,"MA_HT","SON","MA_QH","DTL")</f>
        <v>0</v>
      </c>
      <c r="AD55" s="35">
        <f>+GETPIVOTDATA("XSB4",'sonbinh (2016)'!$A$3,"MA_HT","SON","MA_QH","DNL")</f>
        <v>0</v>
      </c>
      <c r="AE55" s="35">
        <f>+GETPIVOTDATA("XSB4",'sonbinh (2016)'!$A$3,"MA_HT","SON","MA_QH","DBV")</f>
        <v>0</v>
      </c>
      <c r="AF55" s="35">
        <f>+GETPIVOTDATA("XSB4",'sonbinh (2016)'!$A$3,"MA_HT","SON","MA_QH","DVH")</f>
        <v>0</v>
      </c>
      <c r="AG55" s="35">
        <f>+GETPIVOTDATA("XSB4",'sonbinh (2016)'!$A$3,"MA_HT","SON","MA_QH","DYT")</f>
        <v>0</v>
      </c>
      <c r="AH55" s="35">
        <f>+GETPIVOTDATA("XSB4",'sonbinh (2016)'!$A$3,"MA_HT","SON","MA_QH","DGD")</f>
        <v>0</v>
      </c>
      <c r="AI55" s="35">
        <f>+GETPIVOTDATA("XSB4",'sonbinh (2016)'!$A$3,"MA_HT","SON","MA_QH","DTT")</f>
        <v>0</v>
      </c>
      <c r="AJ55" s="35">
        <f>+GETPIVOTDATA("XSB4",'sonbinh (2016)'!$A$3,"MA_HT","SON","MA_QH","NCK")</f>
        <v>0</v>
      </c>
      <c r="AK55" s="35">
        <f>+GETPIVOTDATA("XSB4",'sonbinh (2016)'!$A$3,"MA_HT","SON","MA_QH","DXH")</f>
        <v>0</v>
      </c>
      <c r="AL55" s="35">
        <f>+GETPIVOTDATA("XSB4",'sonbinh (2016)'!$A$3,"MA_HT","SON","MA_QH","DCH")</f>
        <v>0</v>
      </c>
      <c r="AM55" s="35">
        <f>+GETPIVOTDATA("XSB4",'sonbinh (2016)'!$A$3,"MA_HT","SON","MA_QH","DKG")</f>
        <v>0</v>
      </c>
      <c r="AN55" s="35">
        <f>+GETPIVOTDATA("XSB4",'sonbinh (2016)'!$A$3,"MA_HT","SON","MA_QH","DDT")</f>
        <v>0</v>
      </c>
      <c r="AO55" s="35">
        <f>+GETPIVOTDATA("XSB4",'sonbinh (2016)'!$A$3,"MA_HT","SON","MA_QH","DDL")</f>
        <v>0</v>
      </c>
      <c r="AP55" s="35">
        <f>+GETPIVOTDATA("XSB4",'sonbinh (2016)'!$A$3,"MA_HT","SON","MA_QH","DRA")</f>
        <v>0</v>
      </c>
      <c r="AQ55" s="35">
        <f>+GETPIVOTDATA("XSB4",'sonbinh (2016)'!$A$3,"MA_HT","SON","MA_QH","ONT")</f>
        <v>0</v>
      </c>
      <c r="AR55" s="35">
        <f>+GETPIVOTDATA("XSB4",'sonbinh (2016)'!$A$3,"MA_HT","SON","MA_QH","ODT")</f>
        <v>0</v>
      </c>
      <c r="AS55" s="35">
        <f>+GETPIVOTDATA("XSB4",'sonbinh (2016)'!$A$3,"MA_HT","SON","MA_QH","TSC")</f>
        <v>0</v>
      </c>
      <c r="AT55" s="35">
        <f>+GETPIVOTDATA("XSB4",'sonbinh (2016)'!$A$3,"MA_HT","SON","MA_QH","DTS")</f>
        <v>0</v>
      </c>
      <c r="AU55" s="35">
        <f>+GETPIVOTDATA("XSB4",'sonbinh (2016)'!$A$3,"MA_HT","SON","MA_QH","DNG")</f>
        <v>0</v>
      </c>
      <c r="AV55" s="35">
        <f>+GETPIVOTDATA("XSB4",'sonbinh (2016)'!$A$3,"MA_HT","SON","MA_QH","TON")</f>
        <v>0</v>
      </c>
      <c r="AW55" s="35">
        <f>+GETPIVOTDATA("XSB4",'sonbinh (2016)'!$A$3,"MA_HT","SON","MA_QH","NTD")</f>
        <v>0</v>
      </c>
      <c r="AX55" s="35">
        <f>+GETPIVOTDATA("XSB4",'sonbinh (2016)'!$A$3,"MA_HT","SON","MA_QH","SKX")</f>
        <v>0</v>
      </c>
      <c r="AY55" s="35">
        <f>+GETPIVOTDATA("XSB4",'sonbinh (2016)'!$A$3,"MA_HT","SON","MA_QH","DSH")</f>
        <v>0</v>
      </c>
      <c r="AZ55" s="35">
        <f>+GETPIVOTDATA("XSB4",'sonbinh (2016)'!$A$3,"MA_HT","SON","MA_QH","DKV")</f>
        <v>0</v>
      </c>
      <c r="BA55" s="140">
        <f>+GETPIVOTDATA("XSB4",'sonbinh (2016)'!$A$3,"MA_HT","SON","MA_QH","TIN")</f>
        <v>0</v>
      </c>
      <c r="BB55" s="99" t="e">
        <f>$D55-$BF55</f>
        <v>#REF!</v>
      </c>
      <c r="BC55" s="74">
        <f>+GETPIVOTDATA("XSB4",'sonbinh (2016)'!$A$3,"MA_HT","SON","MA_QH","MNC")</f>
        <v>0</v>
      </c>
      <c r="BD55" s="35">
        <f>+GETPIVOTDATA("XSB4",'sonbinh (2016)'!$A$3,"MA_HT","SON","MA_QH","PNK")</f>
        <v>0</v>
      </c>
      <c r="BE55" s="58">
        <f>+GETPIVOTDATA("XSB4",'sonbinh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+GETPIVOTDATA("XSB4",'sonbinh (2016)'!$A$3,"MA_HT","MNC","MA_QH","LUC")</f>
        <v>0</v>
      </c>
      <c r="H56" s="35">
        <f>+GETPIVOTDATA("XSB4",'sonbinh (2016)'!$A$3,"MA_HT","MNC","MA_QH","LUK")</f>
        <v>0</v>
      </c>
      <c r="I56" s="35">
        <f>+GETPIVOTDATA("XSB4",'sonbinh (2016)'!$A$3,"MA_HT","MNC","MA_QH","LUN")</f>
        <v>0</v>
      </c>
      <c r="J56" s="35">
        <f>+GETPIVOTDATA("XSB4",'sonbinh (2016)'!$A$3,"MA_HT","MNC","MA_QH","HNK")</f>
        <v>0</v>
      </c>
      <c r="K56" s="35">
        <f>+GETPIVOTDATA("XSB4",'sonbinh (2016)'!$A$3,"MA_HT","MNC","MA_QH","CLN")</f>
        <v>0</v>
      </c>
      <c r="L56" s="35">
        <f>+GETPIVOTDATA("XSB4",'sonbinh (2016)'!$A$3,"MA_HT","MNC","MA_QH","RSX")</f>
        <v>0</v>
      </c>
      <c r="M56" s="35">
        <f>+GETPIVOTDATA("XSB4",'sonbinh (2016)'!$A$3,"MA_HT","MNC","MA_QH","RPH")</f>
        <v>0</v>
      </c>
      <c r="N56" s="35">
        <f>+GETPIVOTDATA("XSB4",'sonbinh (2016)'!$A$3,"MA_HT","MNC","MA_QH","RDD")</f>
        <v>0</v>
      </c>
      <c r="O56" s="35">
        <f>+GETPIVOTDATA("XSB4",'sonbinh (2016)'!$A$3,"MA_HT","MNC","MA_QH","NTS")</f>
        <v>0</v>
      </c>
      <c r="P56" s="35">
        <f>+GETPIVOTDATA("XSB4",'sonbinh (2016)'!$A$3,"MA_HT","MNC","MA_QH","LMU")</f>
        <v>0</v>
      </c>
      <c r="Q56" s="35">
        <f>+GETPIVOTDATA("XSB4",'sonbinh (2016)'!$A$3,"MA_HT","MNC","MA_QH","NKH")</f>
        <v>0</v>
      </c>
      <c r="R56" s="106">
        <f>SUM(S56:AA56,AN56:BB56,BD56)</f>
        <v>0</v>
      </c>
      <c r="S56" s="35">
        <f>+GETPIVOTDATA("XSB4",'sonbinh (2016)'!$A$3,"MA_HT","MNC","MA_QH","CQP")</f>
        <v>0</v>
      </c>
      <c r="T56" s="35">
        <f>+GETPIVOTDATA("XSB4",'sonbinh (2016)'!$A$3,"MA_HT","MNC","MA_QH","CAN")</f>
        <v>0</v>
      </c>
      <c r="U56" s="35">
        <f>+GETPIVOTDATA("XSB4",'sonbinh (2016)'!$A$3,"MA_HT","MNC","MA_QH","SKK")</f>
        <v>0</v>
      </c>
      <c r="V56" s="35">
        <f>+GETPIVOTDATA("XSB4",'sonbinh (2016)'!$A$3,"MA_HT","MNC","MA_QH","SKT")</f>
        <v>0</v>
      </c>
      <c r="W56" s="35">
        <f>+GETPIVOTDATA("XSB4",'sonbinh (2016)'!$A$3,"MA_HT","MNC","MA_QH","SKN")</f>
        <v>0</v>
      </c>
      <c r="X56" s="35">
        <f>+GETPIVOTDATA("XSB4",'sonbinh (2016)'!$A$3,"MA_HT","MNC","MA_QH","TMD")</f>
        <v>0</v>
      </c>
      <c r="Y56" s="35">
        <f>+GETPIVOTDATA("XSB4",'sonbinh (2016)'!$A$3,"MA_HT","MNC","MA_QH","SKC")</f>
        <v>0</v>
      </c>
      <c r="Z56" s="35">
        <f>+GETPIVOTDATA("XSB4",'sonbinh (2016)'!$A$3,"MA_HT","MNC","MA_QH","SKS")</f>
        <v>0</v>
      </c>
      <c r="AA56" s="64">
        <f t="shared" si="21"/>
        <v>0</v>
      </c>
      <c r="AB56" s="35">
        <f>+GETPIVOTDATA("XSB4",'sonbinh (2016)'!$A$3,"MA_HT","MNC","MA_QH","DGT")</f>
        <v>0</v>
      </c>
      <c r="AC56" s="35">
        <f>+GETPIVOTDATA("XSB4",'sonbinh (2016)'!$A$3,"MA_HT","MNC","MA_QH","DTL")</f>
        <v>0</v>
      </c>
      <c r="AD56" s="35">
        <f>+GETPIVOTDATA("XSB4",'sonbinh (2016)'!$A$3,"MA_HT","MNC","MA_QH","DNL")</f>
        <v>0</v>
      </c>
      <c r="AE56" s="35">
        <f>+GETPIVOTDATA("XSB4",'sonbinh (2016)'!$A$3,"MA_HT","MNC","MA_QH","DBV")</f>
        <v>0</v>
      </c>
      <c r="AF56" s="35">
        <f>+GETPIVOTDATA("XSB4",'sonbinh (2016)'!$A$3,"MA_HT","MNC","MA_QH","DVH")</f>
        <v>0</v>
      </c>
      <c r="AG56" s="35">
        <f>+GETPIVOTDATA("XSB4",'sonbinh (2016)'!$A$3,"MA_HT","MNC","MA_QH","DYT")</f>
        <v>0</v>
      </c>
      <c r="AH56" s="35">
        <f>+GETPIVOTDATA("XSB4",'sonbinh (2016)'!$A$3,"MA_HT","MNC","MA_QH","DGD")</f>
        <v>0</v>
      </c>
      <c r="AI56" s="35">
        <f>+GETPIVOTDATA("XSB4",'sonbinh (2016)'!$A$3,"MA_HT","MNC","MA_QH","DTT")</f>
        <v>0</v>
      </c>
      <c r="AJ56" s="35">
        <f>+GETPIVOTDATA("XSB4",'sonbinh (2016)'!$A$3,"MA_HT","MNC","MA_QH","NCK")</f>
        <v>0</v>
      </c>
      <c r="AK56" s="35">
        <f>+GETPIVOTDATA("XSB4",'sonbinh (2016)'!$A$3,"MA_HT","MNC","MA_QH","DXH")</f>
        <v>0</v>
      </c>
      <c r="AL56" s="35">
        <f>+GETPIVOTDATA("XSB4",'sonbinh (2016)'!$A$3,"MA_HT","MNC","MA_QH","DCH")</f>
        <v>0</v>
      </c>
      <c r="AM56" s="35">
        <f>+GETPIVOTDATA("XSB4",'sonbinh (2016)'!$A$3,"MA_HT","MNC","MA_QH","DKG")</f>
        <v>0</v>
      </c>
      <c r="AN56" s="35">
        <f>+GETPIVOTDATA("XSB4",'sonbinh (2016)'!$A$3,"MA_HT","MNC","MA_QH","DDT")</f>
        <v>0</v>
      </c>
      <c r="AO56" s="35">
        <f>+GETPIVOTDATA("XSB4",'sonbinh (2016)'!$A$3,"MA_HT","MNC","MA_QH","DDL")</f>
        <v>0</v>
      </c>
      <c r="AP56" s="35">
        <f>+GETPIVOTDATA("XSB4",'sonbinh (2016)'!$A$3,"MA_HT","MNC","MA_QH","DRA")</f>
        <v>0</v>
      </c>
      <c r="AQ56" s="35">
        <f>+GETPIVOTDATA("XSB4",'sonbinh (2016)'!$A$3,"MA_HT","MNC","MA_QH","ONT")</f>
        <v>0</v>
      </c>
      <c r="AR56" s="35">
        <f>+GETPIVOTDATA("XSB4",'sonbinh (2016)'!$A$3,"MA_HT","MNC","MA_QH","ODT")</f>
        <v>0</v>
      </c>
      <c r="AS56" s="35">
        <f>+GETPIVOTDATA("XSB4",'sonbinh (2016)'!$A$3,"MA_HT","MNC","MA_QH","TSC")</f>
        <v>0</v>
      </c>
      <c r="AT56" s="35">
        <f>+GETPIVOTDATA("XSB4",'sonbinh (2016)'!$A$3,"MA_HT","MNC","MA_QH","DTS")</f>
        <v>0</v>
      </c>
      <c r="AU56" s="35">
        <f>+GETPIVOTDATA("XSB4",'sonbinh (2016)'!$A$3,"MA_HT","MNC","MA_QH","DNG")</f>
        <v>0</v>
      </c>
      <c r="AV56" s="35">
        <f>+GETPIVOTDATA("XSB4",'sonbinh (2016)'!$A$3,"MA_HT","MNC","MA_QH","TON")</f>
        <v>0</v>
      </c>
      <c r="AW56" s="35">
        <f>+GETPIVOTDATA("XSB4",'sonbinh (2016)'!$A$3,"MA_HT","MNC","MA_QH","NTD")</f>
        <v>0</v>
      </c>
      <c r="AX56" s="35">
        <f>+GETPIVOTDATA("XSB4",'sonbinh (2016)'!$A$3,"MA_HT","MNC","MA_QH","SKX")</f>
        <v>0</v>
      </c>
      <c r="AY56" s="35">
        <f>+GETPIVOTDATA("XSB4",'sonbinh (2016)'!$A$3,"MA_HT","MNC","MA_QH","DSH")</f>
        <v>0</v>
      </c>
      <c r="AZ56" s="35">
        <f>+GETPIVOTDATA("XSB4",'sonbinh (2016)'!$A$3,"MA_HT","MNC","MA_QH","DKV")</f>
        <v>0</v>
      </c>
      <c r="BA56" s="140">
        <f>+GETPIVOTDATA("XSB4",'sonbinh (2016)'!$A$3,"MA_HT","MNC","MA_QH","TIN")</f>
        <v>0</v>
      </c>
      <c r="BB56" s="74">
        <f>+GETPIVOTDATA("XSB4",'sonbinh (2016)'!$A$3,"MA_HT","MNC","MA_QH","SON")</f>
        <v>0</v>
      </c>
      <c r="BC56" s="99" t="e">
        <f>$D56-$BF56</f>
        <v>#REF!</v>
      </c>
      <c r="BD56" s="35">
        <f>+GETPIVOTDATA("XSB4",'sonbinh (2016)'!$A$3,"MA_HT","MNC","MA_QH","PNK")</f>
        <v>0</v>
      </c>
      <c r="BE56" s="58">
        <f>+GETPIVOTDATA("XSB4",'sonbinh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+GETPIVOTDATA("XSB4",'sonbinh (2016)'!$A$3,"MA_HT","PNK","MA_QH","LUC")</f>
        <v>0</v>
      </c>
      <c r="H57" s="35">
        <f>+GETPIVOTDATA("XSB4",'sonbinh (2016)'!$A$3,"MA_HT","PNK","MA_QH","LUK")</f>
        <v>0</v>
      </c>
      <c r="I57" s="35">
        <f>+GETPIVOTDATA("XSB4",'sonbinh (2016)'!$A$3,"MA_HT","PNK","MA_QH","LUN")</f>
        <v>0</v>
      </c>
      <c r="J57" s="35">
        <f>+GETPIVOTDATA("XSB4",'sonbinh (2016)'!$A$3,"MA_HT","PNK","MA_QH","HNK")</f>
        <v>0</v>
      </c>
      <c r="K57" s="35">
        <f>+GETPIVOTDATA("XSB4",'sonbinh (2016)'!$A$3,"MA_HT","PNK","MA_QH","CLN")</f>
        <v>0</v>
      </c>
      <c r="L57" s="35">
        <f>+GETPIVOTDATA("XSB4",'sonbinh (2016)'!$A$3,"MA_HT","PNK","MA_QH","RSX")</f>
        <v>0</v>
      </c>
      <c r="M57" s="35">
        <f>+GETPIVOTDATA("XSB4",'sonbinh (2016)'!$A$3,"MA_HT","PNK","MA_QH","RPH")</f>
        <v>0</v>
      </c>
      <c r="N57" s="35">
        <f>+GETPIVOTDATA("XSB4",'sonbinh (2016)'!$A$3,"MA_HT","PNK","MA_QH","RDD")</f>
        <v>0</v>
      </c>
      <c r="O57" s="35">
        <f>+GETPIVOTDATA("XSB4",'sonbinh (2016)'!$A$3,"MA_HT","PNK","MA_QH","NTS")</f>
        <v>0</v>
      </c>
      <c r="P57" s="35">
        <f>+GETPIVOTDATA("XSB4",'sonbinh (2016)'!$A$3,"MA_HT","PNK","MA_QH","LMU")</f>
        <v>0</v>
      </c>
      <c r="Q57" s="35">
        <f>+GETPIVOTDATA("XSB4",'sonbinh (2016)'!$A$3,"MA_HT","PNK","MA_QH","NKH")</f>
        <v>0</v>
      </c>
      <c r="R57" s="106">
        <f>SUM(S57:AA57,AN57:BC57)</f>
        <v>0</v>
      </c>
      <c r="S57" s="35">
        <f>+GETPIVOTDATA("XSB4",'sonbinh (2016)'!$A$3,"MA_HT","PNK","MA_QH","CQP")</f>
        <v>0</v>
      </c>
      <c r="T57" s="35">
        <f>+GETPIVOTDATA("XSB4",'sonbinh (2016)'!$A$3,"MA_HT","PNK","MA_QH","CAN")</f>
        <v>0</v>
      </c>
      <c r="U57" s="35">
        <f>+GETPIVOTDATA("XSB4",'sonbinh (2016)'!$A$3,"MA_HT","PNK","MA_QH","SKK")</f>
        <v>0</v>
      </c>
      <c r="V57" s="35">
        <f>+GETPIVOTDATA("XSB4",'sonbinh (2016)'!$A$3,"MA_HT","PNK","MA_QH","SKT")</f>
        <v>0</v>
      </c>
      <c r="W57" s="35">
        <f>+GETPIVOTDATA("XSB4",'sonbinh (2016)'!$A$3,"MA_HT","PNK","MA_QH","SKN")</f>
        <v>0</v>
      </c>
      <c r="X57" s="35">
        <f>+GETPIVOTDATA("XSB4",'sonbinh (2016)'!$A$3,"MA_HT","PNK","MA_QH","TMD")</f>
        <v>0</v>
      </c>
      <c r="Y57" s="35">
        <f>+GETPIVOTDATA("XSB4",'sonbinh (2016)'!$A$3,"MA_HT","PNK","MA_QH","SKC")</f>
        <v>0</v>
      </c>
      <c r="Z57" s="35">
        <f>+GETPIVOTDATA("XSB4",'sonbinh (2016)'!$A$3,"MA_HT","PNK","MA_QH","SKS")</f>
        <v>0</v>
      </c>
      <c r="AA57" s="64">
        <f t="shared" si="21"/>
        <v>0</v>
      </c>
      <c r="AB57" s="35">
        <f>+GETPIVOTDATA("XSB4",'sonbinh (2016)'!$A$3,"MA_HT","PNK","MA_QH","DGT")</f>
        <v>0</v>
      </c>
      <c r="AC57" s="35">
        <f>+GETPIVOTDATA("XSB4",'sonbinh (2016)'!$A$3,"MA_HT","PNK","MA_QH","DTL")</f>
        <v>0</v>
      </c>
      <c r="AD57" s="35">
        <f>+GETPIVOTDATA("XSB4",'sonbinh (2016)'!$A$3,"MA_HT","PNK","MA_QH","DNL")</f>
        <v>0</v>
      </c>
      <c r="AE57" s="35">
        <f>+GETPIVOTDATA("XSB4",'sonbinh (2016)'!$A$3,"MA_HT","PNK","MA_QH","DBV")</f>
        <v>0</v>
      </c>
      <c r="AF57" s="35">
        <f>+GETPIVOTDATA("XSB4",'sonbinh (2016)'!$A$3,"MA_HT","PNK","MA_QH","DVH")</f>
        <v>0</v>
      </c>
      <c r="AG57" s="35">
        <f>+GETPIVOTDATA("XSB4",'sonbinh (2016)'!$A$3,"MA_HT","PNK","MA_QH","DYT")</f>
        <v>0</v>
      </c>
      <c r="AH57" s="35">
        <f>+GETPIVOTDATA("XSB4",'sonbinh (2016)'!$A$3,"MA_HT","PNK","MA_QH","DGD")</f>
        <v>0</v>
      </c>
      <c r="AI57" s="35">
        <f>+GETPIVOTDATA("XSB4",'sonbinh (2016)'!$A$3,"MA_HT","PNK","MA_QH","DTT")</f>
        <v>0</v>
      </c>
      <c r="AJ57" s="35">
        <f>+GETPIVOTDATA("XSB4",'sonbinh (2016)'!$A$3,"MA_HT","PNK","MA_QH","NCK")</f>
        <v>0</v>
      </c>
      <c r="AK57" s="35">
        <f>+GETPIVOTDATA("XSB4",'sonbinh (2016)'!$A$3,"MA_HT","PNK","MA_QH","DXH")</f>
        <v>0</v>
      </c>
      <c r="AL57" s="35">
        <f>+GETPIVOTDATA("XSB4",'sonbinh (2016)'!$A$3,"MA_HT","PNK","MA_QH","DCH")</f>
        <v>0</v>
      </c>
      <c r="AM57" s="35">
        <f>+GETPIVOTDATA("XSB4",'sonbinh (2016)'!$A$3,"MA_HT","PNK","MA_QH","DKG")</f>
        <v>0</v>
      </c>
      <c r="AN57" s="35">
        <f>+GETPIVOTDATA("XSB4",'sonbinh (2016)'!$A$3,"MA_HT","PNK","MA_QH","DDT")</f>
        <v>0</v>
      </c>
      <c r="AO57" s="35">
        <f>+GETPIVOTDATA("XSB4",'sonbinh (2016)'!$A$3,"MA_HT","PNK","MA_QH","DDL")</f>
        <v>0</v>
      </c>
      <c r="AP57" s="35">
        <f>+GETPIVOTDATA("XSB4",'sonbinh (2016)'!$A$3,"MA_HT","PNK","MA_QH","DRA")</f>
        <v>0</v>
      </c>
      <c r="AQ57" s="35">
        <f>+GETPIVOTDATA("XSB4",'sonbinh (2016)'!$A$3,"MA_HT","PNK","MA_QH","ONT")</f>
        <v>0</v>
      </c>
      <c r="AR57" s="35">
        <f>+GETPIVOTDATA("XSB4",'sonbinh (2016)'!$A$3,"MA_HT","PNK","MA_QH","ODT")</f>
        <v>0</v>
      </c>
      <c r="AS57" s="35">
        <f>+GETPIVOTDATA("XSB4",'sonbinh (2016)'!$A$3,"MA_HT","PNK","MA_QH","TSC")</f>
        <v>0</v>
      </c>
      <c r="AT57" s="35">
        <f>+GETPIVOTDATA("XSB4",'sonbinh (2016)'!$A$3,"MA_HT","PNK","MA_QH","DTS")</f>
        <v>0</v>
      </c>
      <c r="AU57" s="35">
        <f>+GETPIVOTDATA("XSB4",'sonbinh (2016)'!$A$3,"MA_HT","PNK","MA_QH","DNG")</f>
        <v>0</v>
      </c>
      <c r="AV57" s="35">
        <f>+GETPIVOTDATA("XSB4",'sonbinh (2016)'!$A$3,"MA_HT","PNK","MA_QH","TON")</f>
        <v>0</v>
      </c>
      <c r="AW57" s="35">
        <f>+GETPIVOTDATA("XSB4",'sonbinh (2016)'!$A$3,"MA_HT","PNK","MA_QH","NTD")</f>
        <v>0</v>
      </c>
      <c r="AX57" s="35">
        <f>+GETPIVOTDATA("XSB4",'sonbinh (2016)'!$A$3,"MA_HT","PNK","MA_QH","SKX")</f>
        <v>0</v>
      </c>
      <c r="AY57" s="35">
        <f>+GETPIVOTDATA("XSB4",'sonbinh (2016)'!$A$3,"MA_HT","PNK","MA_QH","DSH")</f>
        <v>0</v>
      </c>
      <c r="AZ57" s="35">
        <f>+GETPIVOTDATA("XSB4",'sonbinh (2016)'!$A$3,"MA_HT","PNK","MA_QH","DKV")</f>
        <v>0</v>
      </c>
      <c r="BA57" s="140">
        <f>+GETPIVOTDATA("XSB4",'sonbinh (2016)'!$A$3,"MA_HT","PNK","MA_QH","TIN")</f>
        <v>0</v>
      </c>
      <c r="BB57" s="74">
        <f>+GETPIVOTDATA("XSB4",'sonbinh (2016)'!$A$3,"MA_HT","PNK","MA_QH","SON")</f>
        <v>0</v>
      </c>
      <c r="BC57" s="74">
        <f>+GETPIVOTDATA("XSB4",'sonbinh (2016)'!$A$3,"MA_HT","PNK","MA_QH","MNC")</f>
        <v>0</v>
      </c>
      <c r="BD57" s="99" t="e">
        <f>$D57-$BF57</f>
        <v>#REF!</v>
      </c>
      <c r="BE57" s="58">
        <f>+GETPIVOTDATA("XSB4",'sonbinh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+GETPIVOTDATA("XSB4",'sonbinh (2016)'!$A$3,"MA_HT","CSD","MA_QH","LUC")</f>
        <v>0</v>
      </c>
      <c r="H58" s="58">
        <f>+GETPIVOTDATA("XSB4",'sonbinh (2016)'!$A$3,"MA_HT","CSD","MA_QH","LUK")</f>
        <v>0</v>
      </c>
      <c r="I58" s="58">
        <f>+GETPIVOTDATA("XSB4",'sonbinh (2016)'!$A$3,"MA_HT","CSD","MA_QH","LUN")</f>
        <v>0</v>
      </c>
      <c r="J58" s="58">
        <f>+GETPIVOTDATA("XSB4",'sonbinh (2016)'!$A$3,"MA_HT","CSD","MA_QH","HNK")</f>
        <v>0</v>
      </c>
      <c r="K58" s="58">
        <f>+GETPIVOTDATA("XSB4",'sonbinh (2016)'!$A$3,"MA_HT","CSD","MA_QH","CLN")</f>
        <v>0</v>
      </c>
      <c r="L58" s="58">
        <f>+GETPIVOTDATA("XSB4",'sonbinh (2016)'!$A$3,"MA_HT","CSD","MA_QH","RSX")</f>
        <v>0</v>
      </c>
      <c r="M58" s="58">
        <f>+GETPIVOTDATA("XSB4",'sonbinh (2016)'!$A$3,"MA_HT","CSD","MA_QH","RPH")</f>
        <v>0</v>
      </c>
      <c r="N58" s="58">
        <f>+GETPIVOTDATA("XSB4",'sonbinh (2016)'!$A$3,"MA_HT","CSD","MA_QH","RDD")</f>
        <v>0</v>
      </c>
      <c r="O58" s="58">
        <f>+GETPIVOTDATA("XSB4",'sonbinh (2016)'!$A$3,"MA_HT","CSD","MA_QH","NTS")</f>
        <v>0</v>
      </c>
      <c r="P58" s="58">
        <f>+GETPIVOTDATA("XSB4",'sonbinh (2016)'!$A$3,"MA_HT","CSD","MA_QH","LMU")</f>
        <v>0</v>
      </c>
      <c r="Q58" s="58">
        <f>+GETPIVOTDATA("XSB4",'sonbinh (2016)'!$A$3,"MA_HT","CSD","MA_QH","NKH")</f>
        <v>0</v>
      </c>
      <c r="R58" s="106">
        <f>SUM(S58:AA58,AN58:BD58)</f>
        <v>0</v>
      </c>
      <c r="S58" s="102">
        <f>+GETPIVOTDATA("XSB4",'sonbinh (2016)'!$A$3,"MA_HT","CSD","MA_QH","CQP")</f>
        <v>0</v>
      </c>
      <c r="T58" s="102">
        <f>+GETPIVOTDATA("XSB4",'sonbinh (2016)'!$A$3,"MA_HT","CSD","MA_QH","CAN")</f>
        <v>0</v>
      </c>
      <c r="U58" s="58">
        <f>+GETPIVOTDATA("XSB4",'sonbinh (2016)'!$A$3,"MA_HT","CSD","MA_QH","SKK")</f>
        <v>0</v>
      </c>
      <c r="V58" s="58">
        <f>+GETPIVOTDATA("XSB4",'sonbinh (2016)'!$A$3,"MA_HT","CSD","MA_QH","SKT")</f>
        <v>0</v>
      </c>
      <c r="W58" s="58">
        <f>+GETPIVOTDATA("XSB4",'sonbinh (2016)'!$A$3,"MA_HT","CSD","MA_QH","SKN")</f>
        <v>0</v>
      </c>
      <c r="X58" s="58">
        <f>+GETPIVOTDATA("XSB4",'sonbinh (2016)'!$A$3,"MA_HT","CSD","MA_QH","TMD")</f>
        <v>0</v>
      </c>
      <c r="Y58" s="58">
        <f>+GETPIVOTDATA("XSB4",'sonbinh (2016)'!$A$3,"MA_HT","CSD","MA_QH","SKC")</f>
        <v>0</v>
      </c>
      <c r="Z58" s="58">
        <f>+GETPIVOTDATA("XSB4",'sonbinh (2016)'!$A$3,"MA_HT","CSD","MA_QH","SKS")</f>
        <v>0</v>
      </c>
      <c r="AA58" s="64">
        <f t="shared" si="21"/>
        <v>0</v>
      </c>
      <c r="AB58" s="102">
        <f>+GETPIVOTDATA("XSB4",'sonbinh (2016)'!$A$3,"MA_HT","CSD","MA_QH","DGT")</f>
        <v>0</v>
      </c>
      <c r="AC58" s="102">
        <f>+GETPIVOTDATA("XSB4",'sonbinh (2016)'!$A$3,"MA_HT","CSD","MA_QH","DTL")</f>
        <v>0</v>
      </c>
      <c r="AD58" s="102">
        <f>+GETPIVOTDATA("XSB4",'sonbinh (2016)'!$A$3,"MA_HT","CSD","MA_QH","DNL")</f>
        <v>0</v>
      </c>
      <c r="AE58" s="102">
        <f>+GETPIVOTDATA("XSB4",'sonbinh (2016)'!$A$3,"MA_HT","CSD","MA_QH","DBV")</f>
        <v>0</v>
      </c>
      <c r="AF58" s="102">
        <f>+GETPIVOTDATA("XSB4",'sonbinh (2016)'!$A$3,"MA_HT","CSD","MA_QH","DVH")</f>
        <v>0</v>
      </c>
      <c r="AG58" s="102">
        <f>+GETPIVOTDATA("XSB4",'sonbinh (2016)'!$A$3,"MA_HT","CSD","MA_QH","DYT")</f>
        <v>0</v>
      </c>
      <c r="AH58" s="102">
        <f>+GETPIVOTDATA("XSB4",'sonbinh (2016)'!$A$3,"MA_HT","CSD","MA_QH","DGD")</f>
        <v>0</v>
      </c>
      <c r="AI58" s="102">
        <f>+GETPIVOTDATA("XSB4",'sonbinh (2016)'!$A$3,"MA_HT","CSD","MA_QH","DTT")</f>
        <v>0</v>
      </c>
      <c r="AJ58" s="102">
        <f>+GETPIVOTDATA("XSB4",'sonbinh (2016)'!$A$3,"MA_HT","CSD","MA_QH","NCK")</f>
        <v>0</v>
      </c>
      <c r="AK58" s="102">
        <f>+GETPIVOTDATA("XSB4",'sonbinh (2016)'!$A$3,"MA_HT","CSD","MA_QH","DXH")</f>
        <v>0</v>
      </c>
      <c r="AL58" s="102">
        <f>+GETPIVOTDATA("XSB4",'sonbinh (2016)'!$A$3,"MA_HT","CSD","MA_QH","DCH")</f>
        <v>0</v>
      </c>
      <c r="AM58" s="102">
        <f>+GETPIVOTDATA("XSB4",'sonbinh (2016)'!$A$3,"MA_HT","CSD","MA_QH","DKG")</f>
        <v>0</v>
      </c>
      <c r="AN58" s="58">
        <f>+GETPIVOTDATA("XSB4",'sonbinh (2016)'!$A$3,"MA_HT","CSD","MA_QH","DDT")</f>
        <v>0</v>
      </c>
      <c r="AO58" s="58">
        <f>+GETPIVOTDATA("XSB4",'sonbinh (2016)'!$A$3,"MA_HT","CSD","MA_QH","DDL")</f>
        <v>0</v>
      </c>
      <c r="AP58" s="58">
        <f>+GETPIVOTDATA("XSB4",'sonbinh (2016)'!$A$3,"MA_HT","CSD","MA_QH","DRA")</f>
        <v>0</v>
      </c>
      <c r="AQ58" s="58">
        <f>+GETPIVOTDATA("XSB4",'sonbinh (2016)'!$A$3,"MA_HT","CSD","MA_QH","ONT")</f>
        <v>0</v>
      </c>
      <c r="AR58" s="58">
        <f>+GETPIVOTDATA("XSB4",'sonbinh (2016)'!$A$3,"MA_HT","CSD","MA_QH","ODT")</f>
        <v>0</v>
      </c>
      <c r="AS58" s="58">
        <f>+GETPIVOTDATA("XSB4",'sonbinh (2016)'!$A$3,"MA_HT","CSD","MA_QH","TSC")</f>
        <v>0</v>
      </c>
      <c r="AT58" s="58">
        <f>+GETPIVOTDATA("XSB4",'sonbinh (2016)'!$A$3,"MA_HT","CSD","MA_QH","DTS")</f>
        <v>0</v>
      </c>
      <c r="AU58" s="58">
        <f>+GETPIVOTDATA("XSB4",'sonbinh (2016)'!$A$3,"MA_HT","CSD","MA_QH","DNG")</f>
        <v>0</v>
      </c>
      <c r="AV58" s="58">
        <f>+GETPIVOTDATA("XSB4",'sonbinh (2016)'!$A$3,"MA_HT","CSD","MA_QH","TON")</f>
        <v>0</v>
      </c>
      <c r="AW58" s="58">
        <f>+GETPIVOTDATA("XSB4",'sonbinh (2016)'!$A$3,"MA_HT","CSD","MA_QH","NTD")</f>
        <v>0</v>
      </c>
      <c r="AX58" s="58">
        <f>+GETPIVOTDATA("XSB4",'sonbinh (2016)'!$A$3,"MA_HT","CSD","MA_QH","SKX")</f>
        <v>0</v>
      </c>
      <c r="AY58" s="58">
        <f>+GETPIVOTDATA("XSB4",'sonbinh (2016)'!$A$3,"MA_HT","CSD","MA_QH","DSH")</f>
        <v>0</v>
      </c>
      <c r="AZ58" s="58">
        <f>+GETPIVOTDATA("XSB4",'sonbinh (2016)'!$A$3,"MA_HT","CSD","MA_QH","DKV")</f>
        <v>0</v>
      </c>
      <c r="BA58" s="140">
        <f>+GETPIVOTDATA("XSB4",'sonbinh (2016)'!$A$3,"MA_HT","CSD","MA_QH","TIN")</f>
        <v>0</v>
      </c>
      <c r="BB58" s="102">
        <f>+GETPIVOTDATA("XSB4",'sonbinh (2016)'!$A$3,"MA_HT","CSD","MA_QH","SON")</f>
        <v>0</v>
      </c>
      <c r="BC58" s="102">
        <f>+GETPIVOTDATA("XSB4",'sonbinh (2016)'!$A$3,"MA_HT","CSD","MA_QH","MNC")</f>
        <v>0</v>
      </c>
      <c r="BD58" s="58">
        <f>+GETPIVOTDATA("XSB4",'sonbinh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91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+GETPIVOTDATA("XSN4",'suoinghe (2016)'!$A$3,"MA_HT","LUC","MA_QH","LUK")</f>
        <v>0</v>
      </c>
      <c r="I8" s="74">
        <f>+GETPIVOTDATA("XSN4",'suoinghe (2016)'!$A$3,"MA_HT","LUC","MA_QH","LUN")</f>
        <v>0</v>
      </c>
      <c r="J8" s="74">
        <f>+GETPIVOTDATA("XSN4",'suoinghe (2016)'!$A$3,"MA_HT","LUC","MA_QH","HNK")</f>
        <v>0</v>
      </c>
      <c r="K8" s="74">
        <f>+GETPIVOTDATA("XSN4",'suoinghe (2016)'!$A$3,"MA_HT","LUC","MA_QH","CLN")</f>
        <v>0</v>
      </c>
      <c r="L8" s="74">
        <f>+GETPIVOTDATA("XSN4",'suoinghe (2016)'!$A$3,"MA_HT","LUC","MA_QH","RSX")</f>
        <v>0</v>
      </c>
      <c r="M8" s="74">
        <f>+GETPIVOTDATA("XSN4",'suoinghe (2016)'!$A$3,"MA_HT","LUC","MA_QH","RPH")</f>
        <v>0</v>
      </c>
      <c r="N8" s="74">
        <f>+GETPIVOTDATA("XSN4",'suoinghe (2016)'!$A$3,"MA_HT","LUC","MA_QH","RDD")</f>
        <v>0</v>
      </c>
      <c r="O8" s="74">
        <f>+GETPIVOTDATA("XSN4",'suoinghe (2016)'!$A$3,"MA_HT","LUC","MA_QH","NTS")</f>
        <v>0</v>
      </c>
      <c r="P8" s="74">
        <f>+GETPIVOTDATA("XSN4",'suoinghe (2016)'!$A$3,"MA_HT","LUC","MA_QH","LMU")</f>
        <v>0</v>
      </c>
      <c r="Q8" s="74">
        <f>+GETPIVOTDATA("XSN4",'suoinghe (2016)'!$A$3,"MA_HT","LUC","MA_QH","NKH")</f>
        <v>0</v>
      </c>
      <c r="R8" s="72">
        <f>SUM(S8:AA8,AN8:BD8)</f>
        <v>0</v>
      </c>
      <c r="S8" s="74">
        <f>+GETPIVOTDATA("XSN4",'suoinghe (2016)'!$A$3,"MA_HT","LUC","MA_QH","CQP")</f>
        <v>0</v>
      </c>
      <c r="T8" s="74">
        <f>+GETPIVOTDATA("XSN4",'suoinghe (2016)'!$A$3,"MA_HT","LUC","MA_QH","CAN")</f>
        <v>0</v>
      </c>
      <c r="U8" s="74">
        <f>+GETPIVOTDATA("XSN4",'suoinghe (2016)'!$A$3,"MA_HT","LUC","MA_QH","SKK")</f>
        <v>0</v>
      </c>
      <c r="V8" s="74">
        <f>+GETPIVOTDATA("XSN4",'suoinghe (2016)'!$A$3,"MA_HT","LUC","MA_QH","SKT")</f>
        <v>0</v>
      </c>
      <c r="W8" s="74">
        <f>+GETPIVOTDATA("XSN4",'suoinghe (2016)'!$A$3,"MA_HT","LUC","MA_QH","SKN")</f>
        <v>0</v>
      </c>
      <c r="X8" s="74">
        <f>+GETPIVOTDATA("XSN4",'suoinghe (2016)'!$A$3,"MA_HT","LUC","MA_QH","TMD")</f>
        <v>0</v>
      </c>
      <c r="Y8" s="74">
        <f>+GETPIVOTDATA("XSN4",'suoinghe (2016)'!$A$3,"MA_HT","LUC","MA_QH","SKC")</f>
        <v>0</v>
      </c>
      <c r="Z8" s="74">
        <f>+GETPIVOTDATA("XSN4",'suoinghe (2016)'!$A$3,"MA_HT","LUC","MA_QH","SKS")</f>
        <v>0</v>
      </c>
      <c r="AA8" s="64">
        <f t="shared" si="4"/>
        <v>0</v>
      </c>
      <c r="AB8" s="74">
        <f>+GETPIVOTDATA("XSN4",'suoinghe (2016)'!$A$3,"MA_HT","LUC","MA_QH","DGT")</f>
        <v>0</v>
      </c>
      <c r="AC8" s="74">
        <f>+GETPIVOTDATA("XSN4",'suoinghe (2016)'!$A$3,"MA_HT","LUC","MA_QH","DTL")</f>
        <v>0</v>
      </c>
      <c r="AD8" s="74">
        <f>+GETPIVOTDATA("XSN4",'suoinghe (2016)'!$A$3,"MA_HT","LUC","MA_QH","DNL")</f>
        <v>0</v>
      </c>
      <c r="AE8" s="74">
        <f>+GETPIVOTDATA("XSN4",'suoinghe (2016)'!$A$3,"MA_HT","LUC","MA_QH","DBV")</f>
        <v>0</v>
      </c>
      <c r="AF8" s="74">
        <f>+GETPIVOTDATA("XSN4",'suoinghe (2016)'!$A$3,"MA_HT","LUC","MA_QH","DVH")</f>
        <v>0</v>
      </c>
      <c r="AG8" s="74">
        <f>+GETPIVOTDATA("XSN4",'suoinghe (2016)'!$A$3,"MA_HT","LUC","MA_QH","DYT")</f>
        <v>0</v>
      </c>
      <c r="AH8" s="74">
        <f>+GETPIVOTDATA("XSN4",'suoinghe (2016)'!$A$3,"MA_HT","LUC","MA_QH","DGD")</f>
        <v>0</v>
      </c>
      <c r="AI8" s="74">
        <f>+GETPIVOTDATA("XSN4",'suoinghe (2016)'!$A$3,"MA_HT","LUC","MA_QH","DTT")</f>
        <v>0</v>
      </c>
      <c r="AJ8" s="74">
        <f>+GETPIVOTDATA("XSN4",'suoinghe (2016)'!$A$3,"MA_HT","LUC","MA_QH","NCK")</f>
        <v>0</v>
      </c>
      <c r="AK8" s="74">
        <f>+GETPIVOTDATA("XSN4",'suoinghe (2016)'!$A$3,"MA_HT","LUC","MA_QH","DXH")</f>
        <v>0</v>
      </c>
      <c r="AL8" s="74">
        <f>+GETPIVOTDATA("XSN4",'suoinghe (2016)'!$A$3,"MA_HT","LUC","MA_QH","DCH")</f>
        <v>0</v>
      </c>
      <c r="AM8" s="74">
        <f>+GETPIVOTDATA("XSN4",'suoinghe (2016)'!$A$3,"MA_HT","LUC","MA_QH","DKG")</f>
        <v>0</v>
      </c>
      <c r="AN8" s="74">
        <f>+GETPIVOTDATA("XSN4",'suoinghe (2016)'!$A$3,"MA_HT","LUC","MA_QH","DDT")</f>
        <v>0</v>
      </c>
      <c r="AO8" s="74">
        <f>+GETPIVOTDATA("XSN4",'suoinghe (2016)'!$A$3,"MA_HT","LUC","MA_QH","DDL")</f>
        <v>0</v>
      </c>
      <c r="AP8" s="74">
        <f>+GETPIVOTDATA("XSN4",'suoinghe (2016)'!$A$3,"MA_HT","LUC","MA_QH","DRA")</f>
        <v>0</v>
      </c>
      <c r="AQ8" s="74">
        <f>+GETPIVOTDATA("XSN4",'suoinghe (2016)'!$A$3,"MA_HT","LUC","MA_QH","ONT")</f>
        <v>0</v>
      </c>
      <c r="AR8" s="74">
        <f>+GETPIVOTDATA("XSN4",'suoinghe (2016)'!$A$3,"MA_HT","LUC","MA_QH","ODT")</f>
        <v>0</v>
      </c>
      <c r="AS8" s="74">
        <f>+GETPIVOTDATA("XSN4",'suoinghe (2016)'!$A$3,"MA_HT","LUC","MA_QH","TSC")</f>
        <v>0</v>
      </c>
      <c r="AT8" s="74">
        <f>+GETPIVOTDATA("XSN4",'suoinghe (2016)'!$A$3,"MA_HT","LUC","MA_QH","DTS")</f>
        <v>0</v>
      </c>
      <c r="AU8" s="74">
        <f>+GETPIVOTDATA("XSN4",'suoinghe (2016)'!$A$3,"MA_HT","LUC","MA_QH","DNG")</f>
        <v>0</v>
      </c>
      <c r="AV8" s="74">
        <f>+GETPIVOTDATA("XSN4",'suoinghe (2016)'!$A$3,"MA_HT","LUC","MA_QH","TON")</f>
        <v>0</v>
      </c>
      <c r="AW8" s="74">
        <f>+GETPIVOTDATA("XSN4",'suoinghe (2016)'!$A$3,"MA_HT","LUC","MA_QH","NTD")</f>
        <v>0</v>
      </c>
      <c r="AX8" s="74">
        <f>+GETPIVOTDATA("XSN4",'suoinghe (2016)'!$A$3,"MA_HT","LUC","MA_QH","SKX")</f>
        <v>0</v>
      </c>
      <c r="AY8" s="74">
        <f>+GETPIVOTDATA("XSN4",'suoinghe (2016)'!$A$3,"MA_HT","LUC","MA_QH","DSH")</f>
        <v>0</v>
      </c>
      <c r="AZ8" s="74">
        <f>+GETPIVOTDATA("XSN4",'suoinghe (2016)'!$A$3,"MA_HT","LUC","MA_QH","DKV")</f>
        <v>0</v>
      </c>
      <c r="BA8" s="139">
        <f>+GETPIVOTDATA("XSN4",'suoinghe (2016)'!$A$3,"MA_HT","LUC","MA_QH","TIN")</f>
        <v>0</v>
      </c>
      <c r="BB8" s="74">
        <f>+GETPIVOTDATA("XSN4",'suoinghe (2016)'!$A$3,"MA_HT","LUC","MA_QH","SON")</f>
        <v>0</v>
      </c>
      <c r="BC8" s="74">
        <f>+GETPIVOTDATA("XSN4",'suoinghe (2016)'!$A$3,"MA_HT","LUC","MA_QH","MNC")</f>
        <v>0</v>
      </c>
      <c r="BD8" s="74">
        <f>+GETPIVOTDATA("XSN4",'suoinghe (2016)'!$A$3,"MA_HT","LUC","MA_QH","PNK")</f>
        <v>0</v>
      </c>
      <c r="BE8" s="102">
        <f>+GETPIVOTDATA("XSN4",'suoinghe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+GETPIVOTDATA("XSN4",'suoinghe (2016)'!$A$3,"MA_HT","LUK","MA_QH","LUC")</f>
        <v>0</v>
      </c>
      <c r="H9" s="100" t="e">
        <f>$D9-$BF9</f>
        <v>#REF!</v>
      </c>
      <c r="I9" s="74">
        <f>+GETPIVOTDATA("XSN4",'suoinghe (2016)'!$A$3,"MA_HT","LUK","MA_QH","LUN")</f>
        <v>0</v>
      </c>
      <c r="J9" s="74">
        <f>+GETPIVOTDATA("XSN4",'suoinghe (2016)'!$A$3,"MA_HT","LUK","MA_QH","HNK")</f>
        <v>0</v>
      </c>
      <c r="K9" s="74">
        <f>+GETPIVOTDATA("XSN4",'suoinghe (2016)'!$A$3,"MA_HT","LUK","MA_QH","CLN")</f>
        <v>0</v>
      </c>
      <c r="L9" s="74">
        <f>+GETPIVOTDATA("XSN4",'suoinghe (2016)'!$A$3,"MA_HT","LUK","MA_QH","RSX")</f>
        <v>0</v>
      </c>
      <c r="M9" s="74">
        <f>+GETPIVOTDATA("XSN4",'suoinghe (2016)'!$A$3,"MA_HT","LUK","MA_QH","RPH")</f>
        <v>0</v>
      </c>
      <c r="N9" s="74">
        <f>+GETPIVOTDATA("XSN4",'suoinghe (2016)'!$A$3,"MA_HT","LUK","MA_QH","RDD")</f>
        <v>0</v>
      </c>
      <c r="O9" s="74">
        <f>+GETPIVOTDATA("XSN4",'suoinghe (2016)'!$A$3,"MA_HT","LUK","MA_QH","NTS")</f>
        <v>0</v>
      </c>
      <c r="P9" s="74">
        <f>+GETPIVOTDATA("XSN4",'suoinghe (2016)'!$A$3,"MA_HT","LUK","MA_QH","LMU")</f>
        <v>0</v>
      </c>
      <c r="Q9" s="74">
        <f>+GETPIVOTDATA("XSN4",'suoinghe (2016)'!$A$3,"MA_HT","LUK","MA_QH","NKH")</f>
        <v>0</v>
      </c>
      <c r="R9" s="72">
        <f t="shared" si="2"/>
        <v>0</v>
      </c>
      <c r="S9" s="74">
        <f>+GETPIVOTDATA("XSN4",'suoinghe (2016)'!$A$3,"MA_HT","LUK","MA_QH","CQP")</f>
        <v>0</v>
      </c>
      <c r="T9" s="74">
        <f>+GETPIVOTDATA("XSN4",'suoinghe (2016)'!$A$3,"MA_HT","LUK","MA_QH","CAN")</f>
        <v>0</v>
      </c>
      <c r="U9" s="74">
        <f>+GETPIVOTDATA("XSN4",'suoinghe (2016)'!$A$3,"MA_HT","LUK","MA_QH","SKK")</f>
        <v>0</v>
      </c>
      <c r="V9" s="74">
        <f>+GETPIVOTDATA("XSN4",'suoinghe (2016)'!$A$3,"MA_HT","LUK","MA_QH","SKT")</f>
        <v>0</v>
      </c>
      <c r="W9" s="74">
        <f>+GETPIVOTDATA("XSN4",'suoinghe (2016)'!$A$3,"MA_HT","LUK","MA_QH","SKN")</f>
        <v>0</v>
      </c>
      <c r="X9" s="74">
        <f>+GETPIVOTDATA("XSN4",'suoinghe (2016)'!$A$3,"MA_HT","LUK","MA_QH","TMD")</f>
        <v>0</v>
      </c>
      <c r="Y9" s="74">
        <f>+GETPIVOTDATA("XSN4",'suoinghe (2016)'!$A$3,"MA_HT","LUK","MA_QH","SKC")</f>
        <v>0</v>
      </c>
      <c r="Z9" s="74">
        <f>+GETPIVOTDATA("XSN4",'suoinghe (2016)'!$A$3,"MA_HT","LUK","MA_QH","SKS")</f>
        <v>0</v>
      </c>
      <c r="AA9" s="64">
        <f t="shared" si="4"/>
        <v>0</v>
      </c>
      <c r="AB9" s="74">
        <f>+GETPIVOTDATA("XSN4",'suoinghe (2016)'!$A$3,"MA_HT","LUK","MA_QH","DGT")</f>
        <v>0</v>
      </c>
      <c r="AC9" s="74">
        <f>+GETPIVOTDATA("XSN4",'suoinghe (2016)'!$A$3,"MA_HT","LUK","MA_QH","DTL")</f>
        <v>0</v>
      </c>
      <c r="AD9" s="74">
        <f>+GETPIVOTDATA("XSN4",'suoinghe (2016)'!$A$3,"MA_HT","LUK","MA_QH","DNL")</f>
        <v>0</v>
      </c>
      <c r="AE9" s="74">
        <f>+GETPIVOTDATA("XSN4",'suoinghe (2016)'!$A$3,"MA_HT","LUK","MA_QH","DBV")</f>
        <v>0</v>
      </c>
      <c r="AF9" s="74">
        <f>+GETPIVOTDATA("XSN4",'suoinghe (2016)'!$A$3,"MA_HT","LUK","MA_QH","DVH")</f>
        <v>0</v>
      </c>
      <c r="AG9" s="74">
        <f>+GETPIVOTDATA("XSN4",'suoinghe (2016)'!$A$3,"MA_HT","LUK","MA_QH","DYT")</f>
        <v>0</v>
      </c>
      <c r="AH9" s="74">
        <f>+GETPIVOTDATA("XSN4",'suoinghe (2016)'!$A$3,"MA_HT","LUK","MA_QH","DGD")</f>
        <v>0</v>
      </c>
      <c r="AI9" s="74">
        <f>+GETPIVOTDATA("XSN4",'suoinghe (2016)'!$A$3,"MA_HT","LUK","MA_QH","DTT")</f>
        <v>0</v>
      </c>
      <c r="AJ9" s="74">
        <f>+GETPIVOTDATA("XSN4",'suoinghe (2016)'!$A$3,"MA_HT","LUK","MA_QH","NCK")</f>
        <v>0</v>
      </c>
      <c r="AK9" s="74">
        <f>+GETPIVOTDATA("XSN4",'suoinghe (2016)'!$A$3,"MA_HT","LUK","MA_QH","DXH")</f>
        <v>0</v>
      </c>
      <c r="AL9" s="74">
        <f>+GETPIVOTDATA("XSN4",'suoinghe (2016)'!$A$3,"MA_HT","LUK","MA_QH","DCH")</f>
        <v>0</v>
      </c>
      <c r="AM9" s="74">
        <f>+GETPIVOTDATA("XSN4",'suoinghe (2016)'!$A$3,"MA_HT","LUK","MA_QH","DKG")</f>
        <v>0</v>
      </c>
      <c r="AN9" s="74">
        <f>+GETPIVOTDATA("XSN4",'suoinghe (2016)'!$A$3,"MA_HT","LUK","MA_QH","DDT")</f>
        <v>0</v>
      </c>
      <c r="AO9" s="74">
        <f>+GETPIVOTDATA("XSN4",'suoinghe (2016)'!$A$3,"MA_HT","LUK","MA_QH","DDL")</f>
        <v>0</v>
      </c>
      <c r="AP9" s="74">
        <f>+GETPIVOTDATA("XSN4",'suoinghe (2016)'!$A$3,"MA_HT","LUK","MA_QH","DRA")</f>
        <v>0</v>
      </c>
      <c r="AQ9" s="74">
        <f>+GETPIVOTDATA("XSN4",'suoinghe (2016)'!$A$3,"MA_HT","LUK","MA_QH","ONT")</f>
        <v>0</v>
      </c>
      <c r="AR9" s="74">
        <f>+GETPIVOTDATA("XSN4",'suoinghe (2016)'!$A$3,"MA_HT","LUK","MA_QH","ODT")</f>
        <v>0</v>
      </c>
      <c r="AS9" s="74">
        <f>+GETPIVOTDATA("XSN4",'suoinghe (2016)'!$A$3,"MA_HT","LUK","MA_QH","TSC")</f>
        <v>0</v>
      </c>
      <c r="AT9" s="74">
        <f>+GETPIVOTDATA("XSN4",'suoinghe (2016)'!$A$3,"MA_HT","LUK","MA_QH","DTS")</f>
        <v>0</v>
      </c>
      <c r="AU9" s="74">
        <f>+GETPIVOTDATA("XSN4",'suoinghe (2016)'!$A$3,"MA_HT","LUK","MA_QH","DNG")</f>
        <v>0</v>
      </c>
      <c r="AV9" s="74">
        <f>+GETPIVOTDATA("XSN4",'suoinghe (2016)'!$A$3,"MA_HT","LUK","MA_QH","TON")</f>
        <v>0</v>
      </c>
      <c r="AW9" s="74">
        <f>+GETPIVOTDATA("XSN4",'suoinghe (2016)'!$A$3,"MA_HT","LUK","MA_QH","NTD")</f>
        <v>0</v>
      </c>
      <c r="AX9" s="74">
        <f>+GETPIVOTDATA("XSN4",'suoinghe (2016)'!$A$3,"MA_HT","LUK","MA_QH","SKX")</f>
        <v>0</v>
      </c>
      <c r="AY9" s="74">
        <f>+GETPIVOTDATA("XSN4",'suoinghe (2016)'!$A$3,"MA_HT","LUK","MA_QH","DSH")</f>
        <v>0</v>
      </c>
      <c r="AZ9" s="74">
        <f>+GETPIVOTDATA("XSN4",'suoinghe (2016)'!$A$3,"MA_HT","LUK","MA_QH","DKV")</f>
        <v>0</v>
      </c>
      <c r="BA9" s="139">
        <f>+GETPIVOTDATA("XSN4",'suoinghe (2016)'!$A$3,"MA_HT","LUK","MA_QH","TIN")</f>
        <v>0</v>
      </c>
      <c r="BB9" s="74">
        <f>+GETPIVOTDATA("XSN4",'suoinghe (2016)'!$A$3,"MA_HT","LUK","MA_QH","SON")</f>
        <v>0</v>
      </c>
      <c r="BC9" s="74">
        <f>+GETPIVOTDATA("XSN4",'suoinghe (2016)'!$A$3,"MA_HT","LUK","MA_QH","MNC")</f>
        <v>0</v>
      </c>
      <c r="BD9" s="74">
        <f>+GETPIVOTDATA("XSN4",'suoinghe (2016)'!$A$3,"MA_HT","LUK","MA_QH","PNK")</f>
        <v>0</v>
      </c>
      <c r="BE9" s="102">
        <f>+GETPIVOTDATA("XSN4",'suoinghe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+GETPIVOTDATA("XSN4",'suoinghe (2016)'!$A$3,"MA_HT","LUN","MA_QH","LUC")</f>
        <v>0</v>
      </c>
      <c r="H10" s="74">
        <f>+GETPIVOTDATA("XSN4",'suoinghe (2016)'!$A$3,"MA_HT","LUN","MA_QH","LUK")</f>
        <v>0</v>
      </c>
      <c r="I10" s="100" t="e">
        <f>$D10-$BF10</f>
        <v>#REF!</v>
      </c>
      <c r="J10" s="74">
        <f>+GETPIVOTDATA("XSN4",'suoinghe (2016)'!$A$3,"MA_HT","LUN","MA_QH","HNK")</f>
        <v>0</v>
      </c>
      <c r="K10" s="74">
        <f>+GETPIVOTDATA("XSN4",'suoinghe (2016)'!$A$3,"MA_HT","LUN","MA_QH","CLN")</f>
        <v>0</v>
      </c>
      <c r="L10" s="74">
        <f>+GETPIVOTDATA("XSN4",'suoinghe (2016)'!$A$3,"MA_HT","LUN","MA_QH","RSX")</f>
        <v>0</v>
      </c>
      <c r="M10" s="74">
        <f>+GETPIVOTDATA("XSN4",'suoinghe (2016)'!$A$3,"MA_HT","LUN","MA_QH","RPH")</f>
        <v>0</v>
      </c>
      <c r="N10" s="74">
        <f>+GETPIVOTDATA("XSN4",'suoinghe (2016)'!$A$3,"MA_HT","LUN","MA_QH","RDD")</f>
        <v>0</v>
      </c>
      <c r="O10" s="74">
        <f>+GETPIVOTDATA("XSN4",'suoinghe (2016)'!$A$3,"MA_HT","LUN","MA_QH","NTS")</f>
        <v>0</v>
      </c>
      <c r="P10" s="74">
        <f>+GETPIVOTDATA("XSN4",'suoinghe (2016)'!$A$3,"MA_HT","LUN","MA_QH","LMU")</f>
        <v>0</v>
      </c>
      <c r="Q10" s="74">
        <f>+GETPIVOTDATA("XSN4",'suoinghe (2016)'!$A$3,"MA_HT","LUN","MA_QH","NKH")</f>
        <v>0</v>
      </c>
      <c r="R10" s="72">
        <f t="shared" si="2"/>
        <v>0</v>
      </c>
      <c r="S10" s="74">
        <f>+GETPIVOTDATA("XSN4",'suoinghe (2016)'!$A$3,"MA_HT","LUN","MA_QH","CQP")</f>
        <v>0</v>
      </c>
      <c r="T10" s="74">
        <f>+GETPIVOTDATA("XSN4",'suoinghe (2016)'!$A$3,"MA_HT","LUN","MA_QH","CAN")</f>
        <v>0</v>
      </c>
      <c r="U10" s="74">
        <f>+GETPIVOTDATA("XSN4",'suoinghe (2016)'!$A$3,"MA_HT","LUN","MA_QH","SKK")</f>
        <v>0</v>
      </c>
      <c r="V10" s="74">
        <f>+GETPIVOTDATA("XSN4",'suoinghe (2016)'!$A$3,"MA_HT","LUN","MA_QH","SKT")</f>
        <v>0</v>
      </c>
      <c r="W10" s="74">
        <f>+GETPIVOTDATA("XSN4",'suoinghe (2016)'!$A$3,"MA_HT","LUN","MA_QH","SKN")</f>
        <v>0</v>
      </c>
      <c r="X10" s="74">
        <f>+GETPIVOTDATA("XSN4",'suoinghe (2016)'!$A$3,"MA_HT","LUN","MA_QH","TMD")</f>
        <v>0</v>
      </c>
      <c r="Y10" s="74">
        <f>+GETPIVOTDATA("XSN4",'suoinghe (2016)'!$A$3,"MA_HT","LUN","MA_QH","SKC")</f>
        <v>0</v>
      </c>
      <c r="Z10" s="74">
        <f>+GETPIVOTDATA("XSN4",'suoinghe (2016)'!$A$3,"MA_HT","LUN","MA_QH","SKS")</f>
        <v>0</v>
      </c>
      <c r="AA10" s="64">
        <f t="shared" si="4"/>
        <v>0</v>
      </c>
      <c r="AB10" s="74">
        <f>+GETPIVOTDATA("XSN4",'suoinghe (2016)'!$A$3,"MA_HT","LUN","MA_QH","DGT")</f>
        <v>0</v>
      </c>
      <c r="AC10" s="74">
        <f>+GETPIVOTDATA("XSN4",'suoinghe (2016)'!$A$3,"MA_HT","LUN","MA_QH","DTL")</f>
        <v>0</v>
      </c>
      <c r="AD10" s="74">
        <f>+GETPIVOTDATA("XSN4",'suoinghe (2016)'!$A$3,"MA_HT","LUN","MA_QH","DNL")</f>
        <v>0</v>
      </c>
      <c r="AE10" s="74">
        <f>+GETPIVOTDATA("XSN4",'suoinghe (2016)'!$A$3,"MA_HT","LUN","MA_QH","DBV")</f>
        <v>0</v>
      </c>
      <c r="AF10" s="74">
        <f>+GETPIVOTDATA("XSN4",'suoinghe (2016)'!$A$3,"MA_HT","LUN","MA_QH","DVH")</f>
        <v>0</v>
      </c>
      <c r="AG10" s="74">
        <f>+GETPIVOTDATA("XSN4",'suoinghe (2016)'!$A$3,"MA_HT","LUN","MA_QH","DYT")</f>
        <v>0</v>
      </c>
      <c r="AH10" s="74">
        <f>+GETPIVOTDATA("XSN4",'suoinghe (2016)'!$A$3,"MA_HT","LUN","MA_QH","DGD")</f>
        <v>0</v>
      </c>
      <c r="AI10" s="74">
        <f>+GETPIVOTDATA("XSN4",'suoinghe (2016)'!$A$3,"MA_HT","LUN","MA_QH","DTT")</f>
        <v>0</v>
      </c>
      <c r="AJ10" s="74">
        <f>+GETPIVOTDATA("XSN4",'suoinghe (2016)'!$A$3,"MA_HT","LUN","MA_QH","NCK")</f>
        <v>0</v>
      </c>
      <c r="AK10" s="74">
        <f>+GETPIVOTDATA("XSN4",'suoinghe (2016)'!$A$3,"MA_HT","LUN","MA_QH","DXH")</f>
        <v>0</v>
      </c>
      <c r="AL10" s="74">
        <f>+GETPIVOTDATA("XSN4",'suoinghe (2016)'!$A$3,"MA_HT","LUN","MA_QH","DCH")</f>
        <v>0</v>
      </c>
      <c r="AM10" s="74">
        <f>+GETPIVOTDATA("XSN4",'suoinghe (2016)'!$A$3,"MA_HT","LUN","MA_QH","DKG")</f>
        <v>0</v>
      </c>
      <c r="AN10" s="74">
        <f>+GETPIVOTDATA("XSN4",'suoinghe (2016)'!$A$3,"MA_HT","LUN","MA_QH","DDT")</f>
        <v>0</v>
      </c>
      <c r="AO10" s="74">
        <f>+GETPIVOTDATA("XSN4",'suoinghe (2016)'!$A$3,"MA_HT","LUN","MA_QH","DDL")</f>
        <v>0</v>
      </c>
      <c r="AP10" s="74">
        <f>+GETPIVOTDATA("XSN4",'suoinghe (2016)'!$A$3,"MA_HT","LUN","MA_QH","DRA")</f>
        <v>0</v>
      </c>
      <c r="AQ10" s="74">
        <f>+GETPIVOTDATA("XSN4",'suoinghe (2016)'!$A$3,"MA_HT","LUN","MA_QH","ONT")</f>
        <v>0</v>
      </c>
      <c r="AR10" s="74">
        <f>+GETPIVOTDATA("XSN4",'suoinghe (2016)'!$A$3,"MA_HT","LUN","MA_QH","ODT")</f>
        <v>0</v>
      </c>
      <c r="AS10" s="74">
        <f>+GETPIVOTDATA("XSN4",'suoinghe (2016)'!$A$3,"MA_HT","LUN","MA_QH","TSC")</f>
        <v>0</v>
      </c>
      <c r="AT10" s="74">
        <f>+GETPIVOTDATA("XSN4",'suoinghe (2016)'!$A$3,"MA_HT","LUN","MA_QH","DTS")</f>
        <v>0</v>
      </c>
      <c r="AU10" s="74">
        <f>+GETPIVOTDATA("XSN4",'suoinghe (2016)'!$A$3,"MA_HT","LUN","MA_QH","DNG")</f>
        <v>0</v>
      </c>
      <c r="AV10" s="74">
        <f>+GETPIVOTDATA("XSN4",'suoinghe (2016)'!$A$3,"MA_HT","LUN","MA_QH","TON")</f>
        <v>0</v>
      </c>
      <c r="AW10" s="74">
        <f>+GETPIVOTDATA("XSN4",'suoinghe (2016)'!$A$3,"MA_HT","LUN","MA_QH","NTD")</f>
        <v>0</v>
      </c>
      <c r="AX10" s="74">
        <f>+GETPIVOTDATA("XSN4",'suoinghe (2016)'!$A$3,"MA_HT","LUN","MA_QH","SKX")</f>
        <v>0</v>
      </c>
      <c r="AY10" s="74">
        <f>+GETPIVOTDATA("XSN4",'suoinghe (2016)'!$A$3,"MA_HT","LUN","MA_QH","DSH")</f>
        <v>0</v>
      </c>
      <c r="AZ10" s="74">
        <f>+GETPIVOTDATA("XSN4",'suoinghe (2016)'!$A$3,"MA_HT","LUN","MA_QH","DKV")</f>
        <v>0</v>
      </c>
      <c r="BA10" s="139">
        <f>+GETPIVOTDATA("XSN4",'suoinghe (2016)'!$A$3,"MA_HT","LUN","MA_QH","TIN")</f>
        <v>0</v>
      </c>
      <c r="BB10" s="74">
        <f>+GETPIVOTDATA("XSN4",'suoinghe (2016)'!$A$3,"MA_HT","LUN","MA_QH","SON")</f>
        <v>0</v>
      </c>
      <c r="BC10" s="74">
        <f>+GETPIVOTDATA("XSN4",'suoinghe (2016)'!$A$3,"MA_HT","LUN","MA_QH","MNC")</f>
        <v>0</v>
      </c>
      <c r="BD10" s="74">
        <f>+GETPIVOTDATA("XSN4",'suoinghe (2016)'!$A$3,"MA_HT","LUN","MA_QH","PNK")</f>
        <v>0</v>
      </c>
      <c r="BE10" s="102">
        <f>+GETPIVOTDATA("XSN4",'suoinghe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+GETPIVOTDATA("XSN4",'suoinghe (2016)'!$A$3,"MA_HT","HNK","MA_QH","LUC")</f>
        <v>0</v>
      </c>
      <c r="H11" s="35">
        <f>+GETPIVOTDATA("XSN4",'suoinghe (2016)'!$A$3,"MA_HT","HNK","MA_QH","LUK")</f>
        <v>0</v>
      </c>
      <c r="I11" s="35">
        <f>+GETPIVOTDATA("XSN4",'suoinghe (2016)'!$A$3,"MA_HT","HNK","MA_QH","LUN")</f>
        <v>0</v>
      </c>
      <c r="J11" s="99" t="e">
        <f>$D11-$BF11</f>
        <v>#REF!</v>
      </c>
      <c r="K11" s="35">
        <f>+GETPIVOTDATA("XSN4",'suoinghe (2016)'!$A$3,"MA_HT","HNK","MA_QH","CLN")</f>
        <v>0</v>
      </c>
      <c r="L11" s="35">
        <f>+GETPIVOTDATA("XSN4",'suoinghe (2016)'!$A$3,"MA_HT","HNK","MA_QH","RSX")</f>
        <v>0</v>
      </c>
      <c r="M11" s="35">
        <f>+GETPIVOTDATA("XSN4",'suoinghe (2016)'!$A$3,"MA_HT","HNK","MA_QH","RPH")</f>
        <v>0</v>
      </c>
      <c r="N11" s="35">
        <f>+GETPIVOTDATA("XSN4",'suoinghe (2016)'!$A$3,"MA_HT","HNK","MA_QH","RDD")</f>
        <v>0</v>
      </c>
      <c r="O11" s="35">
        <f>+GETPIVOTDATA("XSN4",'suoinghe (2016)'!$A$3,"MA_HT","HNK","MA_QH","NTS")</f>
        <v>0</v>
      </c>
      <c r="P11" s="35">
        <f>+GETPIVOTDATA("XSN4",'suoinghe (2016)'!$A$3,"MA_HT","HNK","MA_QH","LMU")</f>
        <v>0</v>
      </c>
      <c r="Q11" s="35">
        <f>+GETPIVOTDATA("XSN4",'suoinghe (2016)'!$A$3,"MA_HT","HNK","MA_QH","NKH")</f>
        <v>0</v>
      </c>
      <c r="R11" s="63">
        <f t="shared" si="2"/>
        <v>0</v>
      </c>
      <c r="S11" s="35">
        <f>+GETPIVOTDATA("XSN4",'suoinghe (2016)'!$A$3,"MA_HT","HNK","MA_QH","CQP")</f>
        <v>0</v>
      </c>
      <c r="T11" s="35">
        <f>+GETPIVOTDATA("XSN4",'suoinghe (2016)'!$A$3,"MA_HT","HNK","MA_QH","CAN")</f>
        <v>0</v>
      </c>
      <c r="U11" s="35">
        <f>+GETPIVOTDATA("XSN4",'suoinghe (2016)'!$A$3,"MA_HT","HNK","MA_QH","SKK")</f>
        <v>0</v>
      </c>
      <c r="V11" s="35">
        <f>+GETPIVOTDATA("XSN4",'suoinghe (2016)'!$A$3,"MA_HT","HNK","MA_QH","SKT")</f>
        <v>0</v>
      </c>
      <c r="W11" s="35">
        <f>+GETPIVOTDATA("XSN4",'suoinghe (2016)'!$A$3,"MA_HT","HNK","MA_QH","SKN")</f>
        <v>0</v>
      </c>
      <c r="X11" s="35">
        <f>+GETPIVOTDATA("XSN4",'suoinghe (2016)'!$A$3,"MA_HT","HNK","MA_QH","TMD")</f>
        <v>0</v>
      </c>
      <c r="Y11" s="35">
        <f>+GETPIVOTDATA("XSN4",'suoinghe (2016)'!$A$3,"MA_HT","HNK","MA_QH","SKC")</f>
        <v>0</v>
      </c>
      <c r="Z11" s="35">
        <f>+GETPIVOTDATA("XSN4",'suoinghe (2016)'!$A$3,"MA_HT","HNK","MA_QH","SKS")</f>
        <v>0</v>
      </c>
      <c r="AA11" s="64">
        <f t="shared" si="4"/>
        <v>0</v>
      </c>
      <c r="AB11" s="35">
        <f>+GETPIVOTDATA("XSN4",'suoinghe (2016)'!$A$3,"MA_HT","HNK","MA_QH","DGT")</f>
        <v>0</v>
      </c>
      <c r="AC11" s="35">
        <f>+GETPIVOTDATA("XSN4",'suoinghe (2016)'!$A$3,"MA_HT","HNK","MA_QH","DTL")</f>
        <v>0</v>
      </c>
      <c r="AD11" s="35">
        <f>+GETPIVOTDATA("XSN4",'suoinghe (2016)'!$A$3,"MA_HT","HNK","MA_QH","DNL")</f>
        <v>0</v>
      </c>
      <c r="AE11" s="35">
        <f>+GETPIVOTDATA("XSN4",'suoinghe (2016)'!$A$3,"MA_HT","HNK","MA_QH","DBV")</f>
        <v>0</v>
      </c>
      <c r="AF11" s="35">
        <f>+GETPIVOTDATA("XSN4",'suoinghe (2016)'!$A$3,"MA_HT","HNK","MA_QH","DVH")</f>
        <v>0</v>
      </c>
      <c r="AG11" s="35">
        <f>+GETPIVOTDATA("XSN4",'suoinghe (2016)'!$A$3,"MA_HT","HNK","MA_QH","DYT")</f>
        <v>0</v>
      </c>
      <c r="AH11" s="35">
        <f>+GETPIVOTDATA("XSN4",'suoinghe (2016)'!$A$3,"MA_HT","HNK","MA_QH","DGD")</f>
        <v>0</v>
      </c>
      <c r="AI11" s="35">
        <f>+GETPIVOTDATA("XSN4",'suoinghe (2016)'!$A$3,"MA_HT","HNK","MA_QH","DTT")</f>
        <v>0</v>
      </c>
      <c r="AJ11" s="35">
        <f>+GETPIVOTDATA("XSN4",'suoinghe (2016)'!$A$3,"MA_HT","HNK","MA_QH","NCK")</f>
        <v>0</v>
      </c>
      <c r="AK11" s="35">
        <f>+GETPIVOTDATA("XSN4",'suoinghe (2016)'!$A$3,"MA_HT","HNK","MA_QH","DXH")</f>
        <v>0</v>
      </c>
      <c r="AL11" s="35">
        <f>+GETPIVOTDATA("XSN4",'suoinghe (2016)'!$A$3,"MA_HT","HNK","MA_QH","DCH")</f>
        <v>0</v>
      </c>
      <c r="AM11" s="35">
        <f>+GETPIVOTDATA("XSN4",'suoinghe (2016)'!$A$3,"MA_HT","HNK","MA_QH","DKG")</f>
        <v>0</v>
      </c>
      <c r="AN11" s="35">
        <f>+GETPIVOTDATA("XSN4",'suoinghe (2016)'!$A$3,"MA_HT","HNK","MA_QH","DDT")</f>
        <v>0</v>
      </c>
      <c r="AO11" s="35">
        <f>+GETPIVOTDATA("XSN4",'suoinghe (2016)'!$A$3,"MA_HT","HNK","MA_QH","DDL")</f>
        <v>0</v>
      </c>
      <c r="AP11" s="35">
        <f>+GETPIVOTDATA("XSN4",'suoinghe (2016)'!$A$3,"MA_HT","HNK","MA_QH","DRA")</f>
        <v>0</v>
      </c>
      <c r="AQ11" s="35">
        <f>+GETPIVOTDATA("XSN4",'suoinghe (2016)'!$A$3,"MA_HT","HNK","MA_QH","ONT")</f>
        <v>0</v>
      </c>
      <c r="AR11" s="35">
        <f>+GETPIVOTDATA("XSN4",'suoinghe (2016)'!$A$3,"MA_HT","HNK","MA_QH","ODT")</f>
        <v>0</v>
      </c>
      <c r="AS11" s="35">
        <f>+GETPIVOTDATA("XSN4",'suoinghe (2016)'!$A$3,"MA_HT","HNK","MA_QH","TSC")</f>
        <v>0</v>
      </c>
      <c r="AT11" s="35">
        <f>+GETPIVOTDATA("XSN4",'suoinghe (2016)'!$A$3,"MA_HT","HNK","MA_QH","DTS")</f>
        <v>0</v>
      </c>
      <c r="AU11" s="35">
        <f>+GETPIVOTDATA("XSN4",'suoinghe (2016)'!$A$3,"MA_HT","HNK","MA_QH","DNG")</f>
        <v>0</v>
      </c>
      <c r="AV11" s="35">
        <f>+GETPIVOTDATA("XSN4",'suoinghe (2016)'!$A$3,"MA_HT","HNK","MA_QH","TON")</f>
        <v>0</v>
      </c>
      <c r="AW11" s="35">
        <f>+GETPIVOTDATA("XSN4",'suoinghe (2016)'!$A$3,"MA_HT","HNK","MA_QH","NTD")</f>
        <v>0</v>
      </c>
      <c r="AX11" s="35">
        <f>+GETPIVOTDATA("XSN4",'suoinghe (2016)'!$A$3,"MA_HT","HNK","MA_QH","SKX")</f>
        <v>0</v>
      </c>
      <c r="AY11" s="35">
        <f>+GETPIVOTDATA("XSN4",'suoinghe (2016)'!$A$3,"MA_HT","HNK","MA_QH","DSH")</f>
        <v>0</v>
      </c>
      <c r="AZ11" s="35">
        <f>+GETPIVOTDATA("XSN4",'suoinghe (2016)'!$A$3,"MA_HT","HNK","MA_QH","DKV")</f>
        <v>0</v>
      </c>
      <c r="BA11" s="140">
        <f>+GETPIVOTDATA("XSN4",'suoinghe (2016)'!$A$3,"MA_HT","HNK","MA_QH","TIN")</f>
        <v>0</v>
      </c>
      <c r="BB11" s="74">
        <f>+GETPIVOTDATA("XSN4",'suoinghe (2016)'!$A$3,"MA_HT","HNK","MA_QH","SON")</f>
        <v>0</v>
      </c>
      <c r="BC11" s="74">
        <f>+GETPIVOTDATA("XSN4",'suoinghe (2016)'!$A$3,"MA_HT","HNK","MA_QH","MNC")</f>
        <v>0</v>
      </c>
      <c r="BD11" s="35">
        <f>+GETPIVOTDATA("XSN4",'suoinghe (2016)'!$A$3,"MA_HT","HNK","MA_QH","PNK")</f>
        <v>0</v>
      </c>
      <c r="BE11" s="58">
        <f>+GETPIVOTDATA("XSN4",'suoinghe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+GETPIVOTDATA("XSN4",'suoinghe (2016)'!$A$3,"MA_HT","CLN","MA_QH","LUC")</f>
        <v>0</v>
      </c>
      <c r="H12" s="35">
        <f>+GETPIVOTDATA("XSN4",'suoinghe (2016)'!$A$3,"MA_HT","CLN","MA_QH","LUK")</f>
        <v>0</v>
      </c>
      <c r="I12" s="35">
        <f>+GETPIVOTDATA("XSN4",'suoinghe (2016)'!$A$3,"MA_HT","CLN","MA_QH","LUN")</f>
        <v>0</v>
      </c>
      <c r="J12" s="35">
        <f>+GETPIVOTDATA("XSN4",'suoinghe (2016)'!$A$3,"MA_HT","CLN","MA_QH","HNK")</f>
        <v>0</v>
      </c>
      <c r="K12" s="99" t="e">
        <f>$D12-$BF12</f>
        <v>#REF!</v>
      </c>
      <c r="L12" s="35">
        <f>+GETPIVOTDATA("XSN4",'suoinghe (2016)'!$A$3,"MA_HT","CLN","MA_QH","RSX")</f>
        <v>0</v>
      </c>
      <c r="M12" s="35">
        <f>+GETPIVOTDATA("XSN4",'suoinghe (2016)'!$A$3,"MA_HT","CLN","MA_QH","RPH")</f>
        <v>0</v>
      </c>
      <c r="N12" s="35">
        <f>+GETPIVOTDATA("XSN4",'suoinghe (2016)'!$A$3,"MA_HT","CLN","MA_QH","RDD")</f>
        <v>0</v>
      </c>
      <c r="O12" s="35">
        <f>+GETPIVOTDATA("XSN4",'suoinghe (2016)'!$A$3,"MA_HT","CLN","MA_QH","NTS")</f>
        <v>0</v>
      </c>
      <c r="P12" s="35">
        <f>+GETPIVOTDATA("XSN4",'suoinghe (2016)'!$A$3,"MA_HT","CLN","MA_QH","LMU")</f>
        <v>0</v>
      </c>
      <c r="Q12" s="35">
        <f>+GETPIVOTDATA("XSN4",'suoinghe (2016)'!$A$3,"MA_HT","CLN","MA_QH","NKH")</f>
        <v>0</v>
      </c>
      <c r="R12" s="63">
        <f t="shared" si="2"/>
        <v>0</v>
      </c>
      <c r="S12" s="35">
        <f>+GETPIVOTDATA("XSN4",'suoinghe (2016)'!$A$3,"MA_HT","CLN","MA_QH","CQP")</f>
        <v>0</v>
      </c>
      <c r="T12" s="35">
        <f>+GETPIVOTDATA("XSN4",'suoinghe (2016)'!$A$3,"MA_HT","CLN","MA_QH","CAN")</f>
        <v>0</v>
      </c>
      <c r="U12" s="35">
        <f>+GETPIVOTDATA("XSN4",'suoinghe (2016)'!$A$3,"MA_HT","CLN","MA_QH","SKK")</f>
        <v>0</v>
      </c>
      <c r="V12" s="35">
        <f>+GETPIVOTDATA("XSN4",'suoinghe (2016)'!$A$3,"MA_HT","CLN","MA_QH","SKT")</f>
        <v>0</v>
      </c>
      <c r="W12" s="35">
        <f>+GETPIVOTDATA("XSN4",'suoinghe (2016)'!$A$3,"MA_HT","CLN","MA_QH","SKN")</f>
        <v>0</v>
      </c>
      <c r="X12" s="35">
        <f>+GETPIVOTDATA("XSN4",'suoinghe (2016)'!$A$3,"MA_HT","CLN","MA_QH","TMD")</f>
        <v>0</v>
      </c>
      <c r="Y12" s="35">
        <f>+GETPIVOTDATA("XSN4",'suoinghe (2016)'!$A$3,"MA_HT","CLN","MA_QH","SKC")</f>
        <v>0</v>
      </c>
      <c r="Z12" s="35">
        <f>+GETPIVOTDATA("XSN4",'suoinghe (2016)'!$A$3,"MA_HT","CLN","MA_QH","SKS")</f>
        <v>0</v>
      </c>
      <c r="AA12" s="64">
        <f t="shared" si="4"/>
        <v>0</v>
      </c>
      <c r="AB12" s="35">
        <f>+GETPIVOTDATA("XSN4",'suoinghe (2016)'!$A$3,"MA_HT","CLN","MA_QH","DGT")</f>
        <v>0</v>
      </c>
      <c r="AC12" s="35">
        <f>+GETPIVOTDATA("XSN4",'suoinghe (2016)'!$A$3,"MA_HT","CLN","MA_QH","DTL")</f>
        <v>0</v>
      </c>
      <c r="AD12" s="35">
        <f>+GETPIVOTDATA("XSN4",'suoinghe (2016)'!$A$3,"MA_HT","CLN","MA_QH","DNL")</f>
        <v>0</v>
      </c>
      <c r="AE12" s="35">
        <f>+GETPIVOTDATA("XSN4",'suoinghe (2016)'!$A$3,"MA_HT","CLN","MA_QH","DBV")</f>
        <v>0</v>
      </c>
      <c r="AF12" s="35">
        <f>+GETPIVOTDATA("XSN4",'suoinghe (2016)'!$A$3,"MA_HT","CLN","MA_QH","DVH")</f>
        <v>0</v>
      </c>
      <c r="AG12" s="35">
        <f>+GETPIVOTDATA("XSN4",'suoinghe (2016)'!$A$3,"MA_HT","CLN","MA_QH","DYT")</f>
        <v>0</v>
      </c>
      <c r="AH12" s="35">
        <f>+GETPIVOTDATA("XSN4",'suoinghe (2016)'!$A$3,"MA_HT","CLN","MA_QH","DGD")</f>
        <v>0</v>
      </c>
      <c r="AI12" s="35">
        <f>+GETPIVOTDATA("XSN4",'suoinghe (2016)'!$A$3,"MA_HT","CLN","MA_QH","DTT")</f>
        <v>0</v>
      </c>
      <c r="AJ12" s="35">
        <f>+GETPIVOTDATA("XSN4",'suoinghe (2016)'!$A$3,"MA_HT","CLN","MA_QH","NCK")</f>
        <v>0</v>
      </c>
      <c r="AK12" s="35">
        <f>+GETPIVOTDATA("XSN4",'suoinghe (2016)'!$A$3,"MA_HT","CLN","MA_QH","DXH")</f>
        <v>0</v>
      </c>
      <c r="AL12" s="35">
        <f>+GETPIVOTDATA("XSN4",'suoinghe (2016)'!$A$3,"MA_HT","CLN","MA_QH","DCH")</f>
        <v>0</v>
      </c>
      <c r="AM12" s="35">
        <f>+GETPIVOTDATA("XSN4",'suoinghe (2016)'!$A$3,"MA_HT","CLN","MA_QH","DKG")</f>
        <v>0</v>
      </c>
      <c r="AN12" s="35">
        <f>+GETPIVOTDATA("XSN4",'suoinghe (2016)'!$A$3,"MA_HT","CLN","MA_QH","DDT")</f>
        <v>0</v>
      </c>
      <c r="AO12" s="35">
        <f>+GETPIVOTDATA("XSN4",'suoinghe (2016)'!$A$3,"MA_HT","CLN","MA_QH","DDL")</f>
        <v>0</v>
      </c>
      <c r="AP12" s="35">
        <f>+GETPIVOTDATA("XSN4",'suoinghe (2016)'!$A$3,"MA_HT","CLN","MA_QH","DRA")</f>
        <v>0</v>
      </c>
      <c r="AQ12" s="35">
        <f>+GETPIVOTDATA("XSN4",'suoinghe (2016)'!$A$3,"MA_HT","CLN","MA_QH","ONT")</f>
        <v>0</v>
      </c>
      <c r="AR12" s="35">
        <f>+GETPIVOTDATA("XSN4",'suoinghe (2016)'!$A$3,"MA_HT","CLN","MA_QH","ODT")</f>
        <v>0</v>
      </c>
      <c r="AS12" s="35">
        <f>+GETPIVOTDATA("XSN4",'suoinghe (2016)'!$A$3,"MA_HT","CLN","MA_QH","TSC")</f>
        <v>0</v>
      </c>
      <c r="AT12" s="35">
        <f>+GETPIVOTDATA("XSN4",'suoinghe (2016)'!$A$3,"MA_HT","CLN","MA_QH","DTS")</f>
        <v>0</v>
      </c>
      <c r="AU12" s="35">
        <f>+GETPIVOTDATA("XSN4",'suoinghe (2016)'!$A$3,"MA_HT","CLN","MA_QH","DNG")</f>
        <v>0</v>
      </c>
      <c r="AV12" s="35">
        <f>+GETPIVOTDATA("XSN4",'suoinghe (2016)'!$A$3,"MA_HT","CLN","MA_QH","TON")</f>
        <v>0</v>
      </c>
      <c r="AW12" s="35">
        <f>+GETPIVOTDATA("XSN4",'suoinghe (2016)'!$A$3,"MA_HT","CLN","MA_QH","NTD")</f>
        <v>0</v>
      </c>
      <c r="AX12" s="35">
        <f>+GETPIVOTDATA("XSN4",'suoinghe (2016)'!$A$3,"MA_HT","CLN","MA_QH","SKX")</f>
        <v>0</v>
      </c>
      <c r="AY12" s="35">
        <f>+GETPIVOTDATA("XSN4",'suoinghe (2016)'!$A$3,"MA_HT","CLN","MA_QH","DSH")</f>
        <v>0</v>
      </c>
      <c r="AZ12" s="35">
        <f>+GETPIVOTDATA("XSN4",'suoinghe (2016)'!$A$3,"MA_HT","CLN","MA_QH","DKV")</f>
        <v>0</v>
      </c>
      <c r="BA12" s="140">
        <f>+GETPIVOTDATA("XSN4",'suoinghe (2016)'!$A$3,"MA_HT","CLN","MA_QH","TIN")</f>
        <v>0</v>
      </c>
      <c r="BB12" s="74">
        <f>+GETPIVOTDATA("XSN4",'suoinghe (2016)'!$A$3,"MA_HT","CLN","MA_QH","SON")</f>
        <v>0</v>
      </c>
      <c r="BC12" s="74">
        <f>+GETPIVOTDATA("XSN4",'suoinghe (2016)'!$A$3,"MA_HT","CLN","MA_QH","MNC")</f>
        <v>0</v>
      </c>
      <c r="BD12" s="35">
        <f>+GETPIVOTDATA("XSN4",'suoinghe (2016)'!$A$3,"MA_HT","CLN","MA_QH","PNK")</f>
        <v>0</v>
      </c>
      <c r="BE12" s="58">
        <f>+GETPIVOTDATA("XSN4",'suoinghe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+GETPIVOTDATA("XSN4",'suoinghe (2016)'!$A$3,"MA_HT","RSX","MA_QH","LUC")</f>
        <v>0</v>
      </c>
      <c r="H13" s="35">
        <f>+GETPIVOTDATA("XSN4",'suoinghe (2016)'!$A$3,"MA_HT","RSX","MA_QH","LUK")</f>
        <v>0</v>
      </c>
      <c r="I13" s="35">
        <f>+GETPIVOTDATA("XSN4",'suoinghe (2016)'!$A$3,"MA_HT","RSX","MA_QH","LUN")</f>
        <v>0</v>
      </c>
      <c r="J13" s="35">
        <f>+GETPIVOTDATA("XSN4",'suoinghe (2016)'!$A$3,"MA_HT","RSX","MA_QH","HNK")</f>
        <v>0</v>
      </c>
      <c r="K13" s="35">
        <f>+GETPIVOTDATA("XSN4",'suoinghe (2016)'!$A$3,"MA_HT","RSX","MA_QH","CLN")</f>
        <v>0</v>
      </c>
      <c r="L13" s="99" t="e">
        <f>$D13-$BF13</f>
        <v>#REF!</v>
      </c>
      <c r="M13" s="35">
        <f>+GETPIVOTDATA("XSN4",'suoinghe (2016)'!$A$3,"MA_HT","RSX","MA_QH","RPH")</f>
        <v>0</v>
      </c>
      <c r="N13" s="35">
        <f>+GETPIVOTDATA("XSN4",'suoinghe (2016)'!$A$3,"MA_HT","RSX","MA_QH","RDD")</f>
        <v>0</v>
      </c>
      <c r="O13" s="35">
        <f>+GETPIVOTDATA("XSN4",'suoinghe (2016)'!$A$3,"MA_HT","RSX","MA_QH","NTS")</f>
        <v>0</v>
      </c>
      <c r="P13" s="35">
        <f>+GETPIVOTDATA("XSN4",'suoinghe (2016)'!$A$3,"MA_HT","RSX","MA_QH","LMU")</f>
        <v>0</v>
      </c>
      <c r="Q13" s="35">
        <f>+GETPIVOTDATA("XSN4",'suoinghe (2016)'!$A$3,"MA_HT","RSX","MA_QH","NKH")</f>
        <v>0</v>
      </c>
      <c r="R13" s="63">
        <f t="shared" si="2"/>
        <v>0</v>
      </c>
      <c r="S13" s="35">
        <f>+GETPIVOTDATA("XSN4",'suoinghe (2016)'!$A$3,"MA_HT","RSX","MA_QH","CQP")</f>
        <v>0</v>
      </c>
      <c r="T13" s="35">
        <f>+GETPIVOTDATA("XSN4",'suoinghe (2016)'!$A$3,"MA_HT","RSX","MA_QH","CAN")</f>
        <v>0</v>
      </c>
      <c r="U13" s="35">
        <f>+GETPIVOTDATA("XSN4",'suoinghe (2016)'!$A$3,"MA_HT","RSX","MA_QH","SKK")</f>
        <v>0</v>
      </c>
      <c r="V13" s="35">
        <f>+GETPIVOTDATA("XSN4",'suoinghe (2016)'!$A$3,"MA_HT","RSX","MA_QH","SKT")</f>
        <v>0</v>
      </c>
      <c r="W13" s="35">
        <f>+GETPIVOTDATA("XSN4",'suoinghe (2016)'!$A$3,"MA_HT","RSX","MA_QH","SKN")</f>
        <v>0</v>
      </c>
      <c r="X13" s="35">
        <f>+GETPIVOTDATA("XSN4",'suoinghe (2016)'!$A$3,"MA_HT","RSX","MA_QH","TMD")</f>
        <v>0</v>
      </c>
      <c r="Y13" s="35">
        <f>+GETPIVOTDATA("XSN4",'suoinghe (2016)'!$A$3,"MA_HT","RSX","MA_QH","SKC")</f>
        <v>0</v>
      </c>
      <c r="Z13" s="35">
        <f>+GETPIVOTDATA("XSN4",'suoinghe (2016)'!$A$3,"MA_HT","RSX","MA_QH","SKS")</f>
        <v>0</v>
      </c>
      <c r="AA13" s="64">
        <f t="shared" si="4"/>
        <v>0</v>
      </c>
      <c r="AB13" s="35">
        <f>+GETPIVOTDATA("XSN4",'suoinghe (2016)'!$A$3,"MA_HT","RSX","MA_QH","DGT")</f>
        <v>0</v>
      </c>
      <c r="AC13" s="35">
        <f>+GETPIVOTDATA("XSN4",'suoinghe (2016)'!$A$3,"MA_HT","RSX","MA_QH","DTL")</f>
        <v>0</v>
      </c>
      <c r="AD13" s="35">
        <f>+GETPIVOTDATA("XSN4",'suoinghe (2016)'!$A$3,"MA_HT","RSX","MA_QH","DNL")</f>
        <v>0</v>
      </c>
      <c r="AE13" s="35">
        <f>+GETPIVOTDATA("XSN4",'suoinghe (2016)'!$A$3,"MA_HT","RSX","MA_QH","DBV")</f>
        <v>0</v>
      </c>
      <c r="AF13" s="35">
        <f>+GETPIVOTDATA("XSN4",'suoinghe (2016)'!$A$3,"MA_HT","RSX","MA_QH","DVH")</f>
        <v>0</v>
      </c>
      <c r="AG13" s="35">
        <f>+GETPIVOTDATA("XSN4",'suoinghe (2016)'!$A$3,"MA_HT","RSX","MA_QH","DYT")</f>
        <v>0</v>
      </c>
      <c r="AH13" s="35">
        <f>+GETPIVOTDATA("XSN4",'suoinghe (2016)'!$A$3,"MA_HT","RSX","MA_QH","DGD")</f>
        <v>0</v>
      </c>
      <c r="AI13" s="35">
        <f>+GETPIVOTDATA("XSN4",'suoinghe (2016)'!$A$3,"MA_HT","RSX","MA_QH","DTT")</f>
        <v>0</v>
      </c>
      <c r="AJ13" s="35">
        <f>+GETPIVOTDATA("XSN4",'suoinghe (2016)'!$A$3,"MA_HT","RSX","MA_QH","NCK")</f>
        <v>0</v>
      </c>
      <c r="AK13" s="35">
        <f>+GETPIVOTDATA("XSN4",'suoinghe (2016)'!$A$3,"MA_HT","RSX","MA_QH","DXH")</f>
        <v>0</v>
      </c>
      <c r="AL13" s="35">
        <f>+GETPIVOTDATA("XSN4",'suoinghe (2016)'!$A$3,"MA_HT","RSX","MA_QH","DCH")</f>
        <v>0</v>
      </c>
      <c r="AM13" s="35">
        <f>+GETPIVOTDATA("XSN4",'suoinghe (2016)'!$A$3,"MA_HT","RSX","MA_QH","DKG")</f>
        <v>0</v>
      </c>
      <c r="AN13" s="35">
        <f>+GETPIVOTDATA("XSN4",'suoinghe (2016)'!$A$3,"MA_HT","RSX","MA_QH","DDT")</f>
        <v>0</v>
      </c>
      <c r="AO13" s="35">
        <f>+GETPIVOTDATA("XSN4",'suoinghe (2016)'!$A$3,"MA_HT","RSX","MA_QH","DDL")</f>
        <v>0</v>
      </c>
      <c r="AP13" s="35">
        <f>+GETPIVOTDATA("XSN4",'suoinghe (2016)'!$A$3,"MA_HT","RSX","MA_QH","DRA")</f>
        <v>0</v>
      </c>
      <c r="AQ13" s="35">
        <f>+GETPIVOTDATA("XSN4",'suoinghe (2016)'!$A$3,"MA_HT","RSX","MA_QH","ONT")</f>
        <v>0</v>
      </c>
      <c r="AR13" s="35">
        <f>+GETPIVOTDATA("XSN4",'suoinghe (2016)'!$A$3,"MA_HT","RSX","MA_QH","ODT")</f>
        <v>0</v>
      </c>
      <c r="AS13" s="35">
        <f>+GETPIVOTDATA("XSN4",'suoinghe (2016)'!$A$3,"MA_HT","RSX","MA_QH","TSC")</f>
        <v>0</v>
      </c>
      <c r="AT13" s="35">
        <f>+GETPIVOTDATA("XSN4",'suoinghe (2016)'!$A$3,"MA_HT","RSX","MA_QH","DTS")</f>
        <v>0</v>
      </c>
      <c r="AU13" s="35">
        <f>+GETPIVOTDATA("XSN4",'suoinghe (2016)'!$A$3,"MA_HT","RSX","MA_QH","DNG")</f>
        <v>0</v>
      </c>
      <c r="AV13" s="35">
        <f>+GETPIVOTDATA("XSN4",'suoinghe (2016)'!$A$3,"MA_HT","RSX","MA_QH","TON")</f>
        <v>0</v>
      </c>
      <c r="AW13" s="35">
        <f>+GETPIVOTDATA("XSN4",'suoinghe (2016)'!$A$3,"MA_HT","RSX","MA_QH","NTD")</f>
        <v>0</v>
      </c>
      <c r="AX13" s="35">
        <f>+GETPIVOTDATA("XSN4",'suoinghe (2016)'!$A$3,"MA_HT","RSX","MA_QH","SKX")</f>
        <v>0</v>
      </c>
      <c r="AY13" s="35">
        <f>+GETPIVOTDATA("XSN4",'suoinghe (2016)'!$A$3,"MA_HT","RSX","MA_QH","DSH")</f>
        <v>0</v>
      </c>
      <c r="AZ13" s="35">
        <f>+GETPIVOTDATA("XSN4",'suoinghe (2016)'!$A$3,"MA_HT","RSX","MA_QH","DKV")</f>
        <v>0</v>
      </c>
      <c r="BA13" s="140">
        <f>+GETPIVOTDATA("XSN4",'suoinghe (2016)'!$A$3,"MA_HT","RSX","MA_QH","TIN")</f>
        <v>0</v>
      </c>
      <c r="BB13" s="74">
        <f>+GETPIVOTDATA("XSN4",'suoinghe (2016)'!$A$3,"MA_HT","RSX","MA_QH","SON")</f>
        <v>0</v>
      </c>
      <c r="BC13" s="74">
        <f>+GETPIVOTDATA("XSN4",'suoinghe (2016)'!$A$3,"MA_HT","RSX","MA_QH","MNC")</f>
        <v>0</v>
      </c>
      <c r="BD13" s="35">
        <f>+GETPIVOTDATA("XSN4",'suoinghe (2016)'!$A$3,"MA_HT","RSX","MA_QH","PNK")</f>
        <v>0</v>
      </c>
      <c r="BE13" s="58">
        <f>+GETPIVOTDATA("XSN4",'suoinghe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+GETPIVOTDATA("XSN4",'suoinghe (2016)'!$A$3,"MA_HT","RPH","MA_QH","LUC")</f>
        <v>0</v>
      </c>
      <c r="H14" s="35">
        <f>+GETPIVOTDATA("XSN4",'suoinghe (2016)'!$A$3,"MA_HT","RPH","MA_QH","LUK")</f>
        <v>0</v>
      </c>
      <c r="I14" s="35">
        <f>+GETPIVOTDATA("XSN4",'suoinghe (2016)'!$A$3,"MA_HT","RPH","MA_QH","LUN")</f>
        <v>0</v>
      </c>
      <c r="J14" s="35">
        <f>+GETPIVOTDATA("XSN4",'suoinghe (2016)'!$A$3,"MA_HT","RPH","MA_QH","HNK")</f>
        <v>0</v>
      </c>
      <c r="K14" s="35">
        <f>+GETPIVOTDATA("XSN4",'suoinghe (2016)'!$A$3,"MA_HT","RPH","MA_QH","CLN")</f>
        <v>0</v>
      </c>
      <c r="L14" s="35">
        <f>+GETPIVOTDATA("XSN4",'suoinghe (2016)'!$A$3,"MA_HT","RPH","MA_QH","RSX")</f>
        <v>0</v>
      </c>
      <c r="M14" s="99" t="e">
        <f>$D14-$BF14</f>
        <v>#REF!</v>
      </c>
      <c r="N14" s="35">
        <f>+GETPIVOTDATA("XSN4",'suoinghe (2016)'!$A$3,"MA_HT","RPH","MA_QH","RDD")</f>
        <v>0</v>
      </c>
      <c r="O14" s="35">
        <f>+GETPIVOTDATA("XSN4",'suoinghe (2016)'!$A$3,"MA_HT","RPH","MA_QH","NTS")</f>
        <v>0</v>
      </c>
      <c r="P14" s="35">
        <f>+GETPIVOTDATA("XSN4",'suoinghe (2016)'!$A$3,"MA_HT","RPH","MA_QH","LMU")</f>
        <v>0</v>
      </c>
      <c r="Q14" s="35">
        <f>+GETPIVOTDATA("XSN4",'suoinghe (2016)'!$A$3,"MA_HT","RPH","MA_QH","NKH")</f>
        <v>0</v>
      </c>
      <c r="R14" s="63">
        <f t="shared" si="2"/>
        <v>0</v>
      </c>
      <c r="S14" s="35">
        <f>+GETPIVOTDATA("XSN4",'suoinghe (2016)'!$A$3,"MA_HT","RPH","MA_QH","CQP")</f>
        <v>0</v>
      </c>
      <c r="T14" s="35">
        <f>+GETPIVOTDATA("XSN4",'suoinghe (2016)'!$A$3,"MA_HT","RPH","MA_QH","CAN")</f>
        <v>0</v>
      </c>
      <c r="U14" s="35">
        <f>+GETPIVOTDATA("XSN4",'suoinghe (2016)'!$A$3,"MA_HT","RPH","MA_QH","SKK")</f>
        <v>0</v>
      </c>
      <c r="V14" s="35">
        <f>+GETPIVOTDATA("XSN4",'suoinghe (2016)'!$A$3,"MA_HT","RPH","MA_QH","SKT")</f>
        <v>0</v>
      </c>
      <c r="W14" s="35">
        <f>+GETPIVOTDATA("XSN4",'suoinghe (2016)'!$A$3,"MA_HT","RPH","MA_QH","SKN")</f>
        <v>0</v>
      </c>
      <c r="X14" s="35">
        <f>+GETPIVOTDATA("XSN4",'suoinghe (2016)'!$A$3,"MA_HT","RPH","MA_QH","TMD")</f>
        <v>0</v>
      </c>
      <c r="Y14" s="35">
        <f>+GETPIVOTDATA("XSN4",'suoinghe (2016)'!$A$3,"MA_HT","RPH","MA_QH","SKC")</f>
        <v>0</v>
      </c>
      <c r="Z14" s="35">
        <f>+GETPIVOTDATA("XSN4",'suoinghe (2016)'!$A$3,"MA_HT","RPH","MA_QH","SKS")</f>
        <v>0</v>
      </c>
      <c r="AA14" s="64">
        <f t="shared" si="4"/>
        <v>0</v>
      </c>
      <c r="AB14" s="35">
        <f>+GETPIVOTDATA("XSN4",'suoinghe (2016)'!$A$3,"MA_HT","RPH","MA_QH","DGT")</f>
        <v>0</v>
      </c>
      <c r="AC14" s="35">
        <f>+GETPIVOTDATA("XSN4",'suoinghe (2016)'!$A$3,"MA_HT","RPH","MA_QH","DTL")</f>
        <v>0</v>
      </c>
      <c r="AD14" s="35">
        <f>+GETPIVOTDATA("XSN4",'suoinghe (2016)'!$A$3,"MA_HT","RPH","MA_QH","DNL")</f>
        <v>0</v>
      </c>
      <c r="AE14" s="35">
        <f>+GETPIVOTDATA("XSN4",'suoinghe (2016)'!$A$3,"MA_HT","RPH","MA_QH","DBV")</f>
        <v>0</v>
      </c>
      <c r="AF14" s="35">
        <f>+GETPIVOTDATA("XSN4",'suoinghe (2016)'!$A$3,"MA_HT","RPH","MA_QH","DVH")</f>
        <v>0</v>
      </c>
      <c r="AG14" s="35">
        <f>+GETPIVOTDATA("XSN4",'suoinghe (2016)'!$A$3,"MA_HT","RPH","MA_QH","DYT")</f>
        <v>0</v>
      </c>
      <c r="AH14" s="35">
        <f>+GETPIVOTDATA("XSN4",'suoinghe (2016)'!$A$3,"MA_HT","RPH","MA_QH","DGD")</f>
        <v>0</v>
      </c>
      <c r="AI14" s="35">
        <f>+GETPIVOTDATA("XSN4",'suoinghe (2016)'!$A$3,"MA_HT","RPH","MA_QH","DTT")</f>
        <v>0</v>
      </c>
      <c r="AJ14" s="35">
        <f>+GETPIVOTDATA("XSN4",'suoinghe (2016)'!$A$3,"MA_HT","RPH","MA_QH","NCK")</f>
        <v>0</v>
      </c>
      <c r="AK14" s="35">
        <f>+GETPIVOTDATA("XSN4",'suoinghe (2016)'!$A$3,"MA_HT","RPH","MA_QH","DXH")</f>
        <v>0</v>
      </c>
      <c r="AL14" s="35">
        <f>+GETPIVOTDATA("XSN4",'suoinghe (2016)'!$A$3,"MA_HT","RPH","MA_QH","DCH")</f>
        <v>0</v>
      </c>
      <c r="AM14" s="35">
        <f>+GETPIVOTDATA("XSN4",'suoinghe (2016)'!$A$3,"MA_HT","RPH","MA_QH","DKG")</f>
        <v>0</v>
      </c>
      <c r="AN14" s="35">
        <f>+GETPIVOTDATA("XSN4",'suoinghe (2016)'!$A$3,"MA_HT","RPH","MA_QH","DDT")</f>
        <v>0</v>
      </c>
      <c r="AO14" s="35">
        <f>+GETPIVOTDATA("XSN4",'suoinghe (2016)'!$A$3,"MA_HT","RPH","MA_QH","DDL")</f>
        <v>0</v>
      </c>
      <c r="AP14" s="35">
        <f>+GETPIVOTDATA("XSN4",'suoinghe (2016)'!$A$3,"MA_HT","RPH","MA_QH","DRA")</f>
        <v>0</v>
      </c>
      <c r="AQ14" s="35">
        <f>+GETPIVOTDATA("XSN4",'suoinghe (2016)'!$A$3,"MA_HT","RPH","MA_QH","ONT")</f>
        <v>0</v>
      </c>
      <c r="AR14" s="35">
        <f>+GETPIVOTDATA("XSN4",'suoinghe (2016)'!$A$3,"MA_HT","RPH","MA_QH","ODT")</f>
        <v>0</v>
      </c>
      <c r="AS14" s="35">
        <f>+GETPIVOTDATA("XSN4",'suoinghe (2016)'!$A$3,"MA_HT","RPH","MA_QH","TSC")</f>
        <v>0</v>
      </c>
      <c r="AT14" s="35">
        <f>+GETPIVOTDATA("XSN4",'suoinghe (2016)'!$A$3,"MA_HT","RPH","MA_QH","DTS")</f>
        <v>0</v>
      </c>
      <c r="AU14" s="35">
        <f>+GETPIVOTDATA("XSN4",'suoinghe (2016)'!$A$3,"MA_HT","RPH","MA_QH","DNG")</f>
        <v>0</v>
      </c>
      <c r="AV14" s="35">
        <f>+GETPIVOTDATA("XSN4",'suoinghe (2016)'!$A$3,"MA_HT","RPH","MA_QH","TON")</f>
        <v>0</v>
      </c>
      <c r="AW14" s="35">
        <f>+GETPIVOTDATA("XSN4",'suoinghe (2016)'!$A$3,"MA_HT","RPH","MA_QH","NTD")</f>
        <v>0</v>
      </c>
      <c r="AX14" s="35">
        <f>+GETPIVOTDATA("XSN4",'suoinghe (2016)'!$A$3,"MA_HT","RPH","MA_QH","SKX")</f>
        <v>0</v>
      </c>
      <c r="AY14" s="35">
        <f>+GETPIVOTDATA("XSN4",'suoinghe (2016)'!$A$3,"MA_HT","RPH","MA_QH","DSH")</f>
        <v>0</v>
      </c>
      <c r="AZ14" s="35">
        <f>+GETPIVOTDATA("XSN4",'suoinghe (2016)'!$A$3,"MA_HT","RPH","MA_QH","DKV")</f>
        <v>0</v>
      </c>
      <c r="BA14" s="140">
        <f>+GETPIVOTDATA("XSN4",'suoinghe (2016)'!$A$3,"MA_HT","RPH","MA_QH","TIN")</f>
        <v>0</v>
      </c>
      <c r="BB14" s="74">
        <f>+GETPIVOTDATA("XSN4",'suoinghe (2016)'!$A$3,"MA_HT","RPH","MA_QH","SON")</f>
        <v>0</v>
      </c>
      <c r="BC14" s="74">
        <f>+GETPIVOTDATA("XSN4",'suoinghe (2016)'!$A$3,"MA_HT","RPH","MA_QH","MNC")</f>
        <v>0</v>
      </c>
      <c r="BD14" s="35">
        <f>+GETPIVOTDATA("XSN4",'suoinghe (2016)'!$A$3,"MA_HT","RPH","MA_QH","PNK")</f>
        <v>0</v>
      </c>
      <c r="BE14" s="58">
        <f>+GETPIVOTDATA("XSN4",'suoinghe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+GETPIVOTDATA("XSN4",'suoinghe (2016)'!$A$3,"MA_HT","RDD","MA_QH","LUC")</f>
        <v>0</v>
      </c>
      <c r="H15" s="35">
        <f>+GETPIVOTDATA("XSN4",'suoinghe (2016)'!$A$3,"MA_HT","RDD","MA_QH","LUK")</f>
        <v>0</v>
      </c>
      <c r="I15" s="35">
        <f>+GETPIVOTDATA("XSN4",'suoinghe (2016)'!$A$3,"MA_HT","RDD","MA_QH","LUN")</f>
        <v>0</v>
      </c>
      <c r="J15" s="35">
        <f>+GETPIVOTDATA("XSN4",'suoinghe (2016)'!$A$3,"MA_HT","RDD","MA_QH","HNK")</f>
        <v>0</v>
      </c>
      <c r="K15" s="35">
        <f>+GETPIVOTDATA("XSN4",'suoinghe (2016)'!$A$3,"MA_HT","RDD","MA_QH","CLN")</f>
        <v>0</v>
      </c>
      <c r="L15" s="35">
        <f>+GETPIVOTDATA("XSN4",'suoinghe (2016)'!$A$3,"MA_HT","RDD","MA_QH","RSX")</f>
        <v>0</v>
      </c>
      <c r="M15" s="35">
        <f>+GETPIVOTDATA("XSN4",'suoinghe (2016)'!$A$3,"MA_HT","RDD","MA_QH","RPH")</f>
        <v>0</v>
      </c>
      <c r="N15" s="99" t="e">
        <f>$D15-$BF15</f>
        <v>#REF!</v>
      </c>
      <c r="O15" s="35">
        <f>+GETPIVOTDATA("XSN4",'suoinghe (2016)'!$A$3,"MA_HT","RDD","MA_QH","NTS")</f>
        <v>0</v>
      </c>
      <c r="P15" s="35">
        <f>+GETPIVOTDATA("XSN4",'suoinghe (2016)'!$A$3,"MA_HT","RDD","MA_QH","LMU")</f>
        <v>0</v>
      </c>
      <c r="Q15" s="35">
        <f>+GETPIVOTDATA("XSN4",'suoinghe (2016)'!$A$3,"MA_HT","RDD","MA_QH","NKH")</f>
        <v>0</v>
      </c>
      <c r="R15" s="63">
        <f t="shared" si="2"/>
        <v>0</v>
      </c>
      <c r="S15" s="35">
        <f>+GETPIVOTDATA("XSN4",'suoinghe (2016)'!$A$3,"MA_HT","RDD","MA_QH","CQP")</f>
        <v>0</v>
      </c>
      <c r="T15" s="35">
        <f>+GETPIVOTDATA("XSN4",'suoinghe (2016)'!$A$3,"MA_HT","RDD","MA_QH","CAN")</f>
        <v>0</v>
      </c>
      <c r="U15" s="35">
        <f>+GETPIVOTDATA("XSN4",'suoinghe (2016)'!$A$3,"MA_HT","RDD","MA_QH","SKK")</f>
        <v>0</v>
      </c>
      <c r="V15" s="35">
        <f>+GETPIVOTDATA("XSN4",'suoinghe (2016)'!$A$3,"MA_HT","RDD","MA_QH","SKT")</f>
        <v>0</v>
      </c>
      <c r="W15" s="35">
        <f>+GETPIVOTDATA("XSN4",'suoinghe (2016)'!$A$3,"MA_HT","RDD","MA_QH","SKN")</f>
        <v>0</v>
      </c>
      <c r="X15" s="35">
        <f>+GETPIVOTDATA("XSN4",'suoinghe (2016)'!$A$3,"MA_HT","RDD","MA_QH","TMD")</f>
        <v>0</v>
      </c>
      <c r="Y15" s="35">
        <f>+GETPIVOTDATA("XSN4",'suoinghe (2016)'!$A$3,"MA_HT","RDD","MA_QH","SKC")</f>
        <v>0</v>
      </c>
      <c r="Z15" s="35">
        <f>+GETPIVOTDATA("XSN4",'suoinghe (2016)'!$A$3,"MA_HT","RDD","MA_QH","SKS")</f>
        <v>0</v>
      </c>
      <c r="AA15" s="64">
        <f t="shared" si="4"/>
        <v>0</v>
      </c>
      <c r="AB15" s="35">
        <f>+GETPIVOTDATA("XSN4",'suoinghe (2016)'!$A$3,"MA_HT","RDD","MA_QH","DGT")</f>
        <v>0</v>
      </c>
      <c r="AC15" s="35">
        <f>+GETPIVOTDATA("XSN4",'suoinghe (2016)'!$A$3,"MA_HT","RDD","MA_QH","DTL")</f>
        <v>0</v>
      </c>
      <c r="AD15" s="35">
        <f>+GETPIVOTDATA("XSN4",'suoinghe (2016)'!$A$3,"MA_HT","RDD","MA_QH","DNL")</f>
        <v>0</v>
      </c>
      <c r="AE15" s="35">
        <f>+GETPIVOTDATA("XSN4",'suoinghe (2016)'!$A$3,"MA_HT","RDD","MA_QH","DBV")</f>
        <v>0</v>
      </c>
      <c r="AF15" s="35">
        <f>+GETPIVOTDATA("XSN4",'suoinghe (2016)'!$A$3,"MA_HT","RDD","MA_QH","DVH")</f>
        <v>0</v>
      </c>
      <c r="AG15" s="35">
        <f>+GETPIVOTDATA("XSN4",'suoinghe (2016)'!$A$3,"MA_HT","RDD","MA_QH","DYT")</f>
        <v>0</v>
      </c>
      <c r="AH15" s="35">
        <f>+GETPIVOTDATA("XSN4",'suoinghe (2016)'!$A$3,"MA_HT","RDD","MA_QH","DGD")</f>
        <v>0</v>
      </c>
      <c r="AI15" s="35">
        <f>+GETPIVOTDATA("XSN4",'suoinghe (2016)'!$A$3,"MA_HT","RDD","MA_QH","DTT")</f>
        <v>0</v>
      </c>
      <c r="AJ15" s="35">
        <f>+GETPIVOTDATA("XSN4",'suoinghe (2016)'!$A$3,"MA_HT","RDD","MA_QH","NCK")</f>
        <v>0</v>
      </c>
      <c r="AK15" s="35">
        <f>+GETPIVOTDATA("XSN4",'suoinghe (2016)'!$A$3,"MA_HT","RDD","MA_QH","DXH")</f>
        <v>0</v>
      </c>
      <c r="AL15" s="35">
        <f>+GETPIVOTDATA("XSN4",'suoinghe (2016)'!$A$3,"MA_HT","RDD","MA_QH","DCH")</f>
        <v>0</v>
      </c>
      <c r="AM15" s="35">
        <f>+GETPIVOTDATA("XSN4",'suoinghe (2016)'!$A$3,"MA_HT","RDD","MA_QH","DKG")</f>
        <v>0</v>
      </c>
      <c r="AN15" s="35">
        <f>+GETPIVOTDATA("XSN4",'suoinghe (2016)'!$A$3,"MA_HT","RDD","MA_QH","DDT")</f>
        <v>0</v>
      </c>
      <c r="AO15" s="35">
        <f>+GETPIVOTDATA("XSN4",'suoinghe (2016)'!$A$3,"MA_HT","RDD","MA_QH","DDL")</f>
        <v>0</v>
      </c>
      <c r="AP15" s="35">
        <f>+GETPIVOTDATA("XSN4",'suoinghe (2016)'!$A$3,"MA_HT","RDD","MA_QH","DRA")</f>
        <v>0</v>
      </c>
      <c r="AQ15" s="35">
        <f>+GETPIVOTDATA("XSN4",'suoinghe (2016)'!$A$3,"MA_HT","RDD","MA_QH","ONT")</f>
        <v>0</v>
      </c>
      <c r="AR15" s="35">
        <f>+GETPIVOTDATA("XSN4",'suoinghe (2016)'!$A$3,"MA_HT","RDD","MA_QH","ODT")</f>
        <v>0</v>
      </c>
      <c r="AS15" s="35">
        <f>+GETPIVOTDATA("XSN4",'suoinghe (2016)'!$A$3,"MA_HT","RDD","MA_QH","TSC")</f>
        <v>0</v>
      </c>
      <c r="AT15" s="35">
        <f>+GETPIVOTDATA("XSN4",'suoinghe (2016)'!$A$3,"MA_HT","RDD","MA_QH","DTS")</f>
        <v>0</v>
      </c>
      <c r="AU15" s="35">
        <f>+GETPIVOTDATA("XSN4",'suoinghe (2016)'!$A$3,"MA_HT","RDD","MA_QH","DNG")</f>
        <v>0</v>
      </c>
      <c r="AV15" s="35">
        <f>+GETPIVOTDATA("XSN4",'suoinghe (2016)'!$A$3,"MA_HT","RDD","MA_QH","TON")</f>
        <v>0</v>
      </c>
      <c r="AW15" s="35">
        <f>+GETPIVOTDATA("XSN4",'suoinghe (2016)'!$A$3,"MA_HT","RDD","MA_QH","NTD")</f>
        <v>0</v>
      </c>
      <c r="AX15" s="35">
        <f>+GETPIVOTDATA("XSN4",'suoinghe (2016)'!$A$3,"MA_HT","RDD","MA_QH","SKX")</f>
        <v>0</v>
      </c>
      <c r="AY15" s="35">
        <f>+GETPIVOTDATA("XSN4",'suoinghe (2016)'!$A$3,"MA_HT","RDD","MA_QH","DSH")</f>
        <v>0</v>
      </c>
      <c r="AZ15" s="35">
        <f>+GETPIVOTDATA("XSN4",'suoinghe (2016)'!$A$3,"MA_HT","RDD","MA_QH","DKV")</f>
        <v>0</v>
      </c>
      <c r="BA15" s="140">
        <f>+GETPIVOTDATA("XSN4",'suoinghe (2016)'!$A$3,"MA_HT","RDD","MA_QH","TIN")</f>
        <v>0</v>
      </c>
      <c r="BB15" s="74">
        <f>+GETPIVOTDATA("XSN4",'suoinghe (2016)'!$A$3,"MA_HT","RDD","MA_QH","SON")</f>
        <v>0</v>
      </c>
      <c r="BC15" s="74">
        <f>+GETPIVOTDATA("XSN4",'suoinghe (2016)'!$A$3,"MA_HT","RDD","MA_QH","MNC")</f>
        <v>0</v>
      </c>
      <c r="BD15" s="35">
        <f>+GETPIVOTDATA("XSN4",'suoinghe (2016)'!$A$3,"MA_HT","RDD","MA_QH","PNK")</f>
        <v>0</v>
      </c>
      <c r="BE15" s="58">
        <f>+GETPIVOTDATA("XSN4",'suoinghe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+GETPIVOTDATA("XSN4",'suoinghe (2016)'!$A$3,"MA_HT","NTS","MA_QH","LUC")</f>
        <v>0</v>
      </c>
      <c r="H16" s="35">
        <f>+GETPIVOTDATA("XSN4",'suoinghe (2016)'!$A$3,"MA_HT","NTS","MA_QH","LUK")</f>
        <v>0</v>
      </c>
      <c r="I16" s="35">
        <f>+GETPIVOTDATA("XSN4",'suoinghe (2016)'!$A$3,"MA_HT","NTS","MA_QH","LUN")</f>
        <v>0</v>
      </c>
      <c r="J16" s="35">
        <f>+GETPIVOTDATA("XSN4",'suoinghe (2016)'!$A$3,"MA_HT","NTS","MA_QH","HNK")</f>
        <v>0</v>
      </c>
      <c r="K16" s="35">
        <f>+GETPIVOTDATA("XSN4",'suoinghe (2016)'!$A$3,"MA_HT","NTS","MA_QH","CLN")</f>
        <v>0</v>
      </c>
      <c r="L16" s="35">
        <f>+GETPIVOTDATA("XSN4",'suoinghe (2016)'!$A$3,"MA_HT","NTS","MA_QH","RSX")</f>
        <v>0</v>
      </c>
      <c r="M16" s="35">
        <f>+GETPIVOTDATA("XSN4",'suoinghe (2016)'!$A$3,"MA_HT","NTS","MA_QH","RPH")</f>
        <v>0</v>
      </c>
      <c r="N16" s="35">
        <f>+GETPIVOTDATA("XSN4",'suoinghe (2016)'!$A$3,"MA_HT","NTS","MA_QH","RDD")</f>
        <v>0</v>
      </c>
      <c r="O16" s="99" t="e">
        <f>$D16-$BF16</f>
        <v>#REF!</v>
      </c>
      <c r="P16" s="35">
        <f>+GETPIVOTDATA("XSN4",'suoinghe (2016)'!$A$3,"MA_HT","NTS","MA_QH","LMU")</f>
        <v>0</v>
      </c>
      <c r="Q16" s="35">
        <f>+GETPIVOTDATA("XSN4",'suoinghe (2016)'!$A$3,"MA_HT","NTS","MA_QH","NKH")</f>
        <v>0</v>
      </c>
      <c r="R16" s="63">
        <f t="shared" si="2"/>
        <v>0</v>
      </c>
      <c r="S16" s="35">
        <f>+GETPIVOTDATA("XSN4",'suoinghe (2016)'!$A$3,"MA_HT","NTS","MA_QH","CQP")</f>
        <v>0</v>
      </c>
      <c r="T16" s="35">
        <f>+GETPIVOTDATA("XSN4",'suoinghe (2016)'!$A$3,"MA_HT","NTS","MA_QH","CAN")</f>
        <v>0</v>
      </c>
      <c r="U16" s="35">
        <f>+GETPIVOTDATA("XSN4",'suoinghe (2016)'!$A$3,"MA_HT","NTS","MA_QH","SKK")</f>
        <v>0</v>
      </c>
      <c r="V16" s="35">
        <f>+GETPIVOTDATA("XSN4",'suoinghe (2016)'!$A$3,"MA_HT","NTS","MA_QH","SKT")</f>
        <v>0</v>
      </c>
      <c r="W16" s="35">
        <f>+GETPIVOTDATA("XSN4",'suoinghe (2016)'!$A$3,"MA_HT","NTS","MA_QH","SKN")</f>
        <v>0</v>
      </c>
      <c r="X16" s="35">
        <f>+GETPIVOTDATA("XSN4",'suoinghe (2016)'!$A$3,"MA_HT","NTS","MA_QH","TMD")</f>
        <v>0</v>
      </c>
      <c r="Y16" s="35">
        <f>+GETPIVOTDATA("XSN4",'suoinghe (2016)'!$A$3,"MA_HT","NTS","MA_QH","SKC")</f>
        <v>0</v>
      </c>
      <c r="Z16" s="35">
        <f>+GETPIVOTDATA("XSN4",'suoinghe (2016)'!$A$3,"MA_HT","NTS","MA_QH","SKS")</f>
        <v>0</v>
      </c>
      <c r="AA16" s="64">
        <f t="shared" si="4"/>
        <v>0</v>
      </c>
      <c r="AB16" s="35">
        <f>+GETPIVOTDATA("XSN4",'suoinghe (2016)'!$A$3,"MA_HT","NTS","MA_QH","DGT")</f>
        <v>0</v>
      </c>
      <c r="AC16" s="35">
        <f>+GETPIVOTDATA("XSN4",'suoinghe (2016)'!$A$3,"MA_HT","NTS","MA_QH","DTL")</f>
        <v>0</v>
      </c>
      <c r="AD16" s="35">
        <f>+GETPIVOTDATA("XSN4",'suoinghe (2016)'!$A$3,"MA_HT","NTS","MA_QH","DNL")</f>
        <v>0</v>
      </c>
      <c r="AE16" s="35">
        <f>+GETPIVOTDATA("XSN4",'suoinghe (2016)'!$A$3,"MA_HT","NTS","MA_QH","DBV")</f>
        <v>0</v>
      </c>
      <c r="AF16" s="35">
        <f>+GETPIVOTDATA("XSN4",'suoinghe (2016)'!$A$3,"MA_HT","NTS","MA_QH","DVH")</f>
        <v>0</v>
      </c>
      <c r="AG16" s="35">
        <f>+GETPIVOTDATA("XSN4",'suoinghe (2016)'!$A$3,"MA_HT","NTS","MA_QH","DYT")</f>
        <v>0</v>
      </c>
      <c r="AH16" s="35">
        <f>+GETPIVOTDATA("XSN4",'suoinghe (2016)'!$A$3,"MA_HT","NTS","MA_QH","DGD")</f>
        <v>0</v>
      </c>
      <c r="AI16" s="35">
        <f>+GETPIVOTDATA("XSN4",'suoinghe (2016)'!$A$3,"MA_HT","NTS","MA_QH","DTT")</f>
        <v>0</v>
      </c>
      <c r="AJ16" s="35">
        <f>+GETPIVOTDATA("XSN4",'suoinghe (2016)'!$A$3,"MA_HT","NTS","MA_QH","NCK")</f>
        <v>0</v>
      </c>
      <c r="AK16" s="35">
        <f>+GETPIVOTDATA("XSN4",'suoinghe (2016)'!$A$3,"MA_HT","NTS","MA_QH","DXH")</f>
        <v>0</v>
      </c>
      <c r="AL16" s="35">
        <f>+GETPIVOTDATA("XSN4",'suoinghe (2016)'!$A$3,"MA_HT","NTS","MA_QH","DCH")</f>
        <v>0</v>
      </c>
      <c r="AM16" s="35">
        <f>+GETPIVOTDATA("XSN4",'suoinghe (2016)'!$A$3,"MA_HT","NTS","MA_QH","DKG")</f>
        <v>0</v>
      </c>
      <c r="AN16" s="35">
        <f>+GETPIVOTDATA("XSN4",'suoinghe (2016)'!$A$3,"MA_HT","NTS","MA_QH","DDT")</f>
        <v>0</v>
      </c>
      <c r="AO16" s="35">
        <f>+GETPIVOTDATA("XSN4",'suoinghe (2016)'!$A$3,"MA_HT","NTS","MA_QH","DDL")</f>
        <v>0</v>
      </c>
      <c r="AP16" s="35">
        <f>+GETPIVOTDATA("XSN4",'suoinghe (2016)'!$A$3,"MA_HT","NTS","MA_QH","DRA")</f>
        <v>0</v>
      </c>
      <c r="AQ16" s="35">
        <f>+GETPIVOTDATA("XSN4",'suoinghe (2016)'!$A$3,"MA_HT","NTS","MA_QH","ONT")</f>
        <v>0</v>
      </c>
      <c r="AR16" s="35">
        <f>+GETPIVOTDATA("XSN4",'suoinghe (2016)'!$A$3,"MA_HT","NTS","MA_QH","ODT")</f>
        <v>0</v>
      </c>
      <c r="AS16" s="35">
        <f>+GETPIVOTDATA("XSN4",'suoinghe (2016)'!$A$3,"MA_HT","NTS","MA_QH","TSC")</f>
        <v>0</v>
      </c>
      <c r="AT16" s="35">
        <f>+GETPIVOTDATA("XSN4",'suoinghe (2016)'!$A$3,"MA_HT","NTS","MA_QH","DTS")</f>
        <v>0</v>
      </c>
      <c r="AU16" s="35">
        <f>+GETPIVOTDATA("XSN4",'suoinghe (2016)'!$A$3,"MA_HT","NTS","MA_QH","DNG")</f>
        <v>0</v>
      </c>
      <c r="AV16" s="35">
        <f>+GETPIVOTDATA("XSN4",'suoinghe (2016)'!$A$3,"MA_HT","NTS","MA_QH","TON")</f>
        <v>0</v>
      </c>
      <c r="AW16" s="35">
        <f>+GETPIVOTDATA("XSN4",'suoinghe (2016)'!$A$3,"MA_HT","NTS","MA_QH","NTD")</f>
        <v>0</v>
      </c>
      <c r="AX16" s="35">
        <f>+GETPIVOTDATA("XSN4",'suoinghe (2016)'!$A$3,"MA_HT","NTS","MA_QH","SKX")</f>
        <v>0</v>
      </c>
      <c r="AY16" s="35">
        <f>+GETPIVOTDATA("XSN4",'suoinghe (2016)'!$A$3,"MA_HT","NTS","MA_QH","DSH")</f>
        <v>0</v>
      </c>
      <c r="AZ16" s="35">
        <f>+GETPIVOTDATA("XSN4",'suoinghe (2016)'!$A$3,"MA_HT","NTS","MA_QH","DKV")</f>
        <v>0</v>
      </c>
      <c r="BA16" s="140">
        <f>+GETPIVOTDATA("XSN4",'suoinghe (2016)'!$A$3,"MA_HT","NTS","MA_QH","TIN")</f>
        <v>0</v>
      </c>
      <c r="BB16" s="74">
        <f>+GETPIVOTDATA("XSN4",'suoinghe (2016)'!$A$3,"MA_HT","NTS","MA_QH","SON")</f>
        <v>0</v>
      </c>
      <c r="BC16" s="74">
        <f>+GETPIVOTDATA("XSN4",'suoinghe (2016)'!$A$3,"MA_HT","NTS","MA_QH","MNC")</f>
        <v>0</v>
      </c>
      <c r="BD16" s="35">
        <f>+GETPIVOTDATA("XSN4",'suoinghe (2016)'!$A$3,"MA_HT","NTS","MA_QH","PNK")</f>
        <v>0</v>
      </c>
      <c r="BE16" s="58">
        <f>+GETPIVOTDATA("XSN4",'suoinghe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+GETPIVOTDATA("XSN4",'suoinghe (2016)'!$A$3,"MA_HT","LMU","MA_QH","LUC")</f>
        <v>0</v>
      </c>
      <c r="H17" s="35">
        <f>+GETPIVOTDATA("XSN4",'suoinghe (2016)'!$A$3,"MA_HT","LMU","MA_QH","LUK")</f>
        <v>0</v>
      </c>
      <c r="I17" s="35">
        <f>+GETPIVOTDATA("XSN4",'suoinghe (2016)'!$A$3,"MA_HT","LMU","MA_QH","LUN")</f>
        <v>0</v>
      </c>
      <c r="J17" s="35">
        <f>+GETPIVOTDATA("XSN4",'suoinghe (2016)'!$A$3,"MA_HT","LMU","MA_QH","HNK")</f>
        <v>0</v>
      </c>
      <c r="K17" s="35">
        <f>+GETPIVOTDATA("XSN4",'suoinghe (2016)'!$A$3,"MA_HT","LMU","MA_QH","CLN")</f>
        <v>0</v>
      </c>
      <c r="L17" s="35">
        <f>+GETPIVOTDATA("XSN4",'suoinghe (2016)'!$A$3,"MA_HT","LMU","MA_QH","RSX")</f>
        <v>0</v>
      </c>
      <c r="M17" s="35">
        <f>+GETPIVOTDATA("XSN4",'suoinghe (2016)'!$A$3,"MA_HT","LMU","MA_QH","RPH")</f>
        <v>0</v>
      </c>
      <c r="N17" s="35">
        <f>+GETPIVOTDATA("XSN4",'suoinghe (2016)'!$A$3,"MA_HT","LMU","MA_QH","RDD")</f>
        <v>0</v>
      </c>
      <c r="O17" s="35">
        <f>+GETPIVOTDATA("XSN4",'suoinghe (2016)'!$A$3,"MA_HT","LMU","MA_QH","NTS")</f>
        <v>0</v>
      </c>
      <c r="P17" s="99" t="e">
        <f>$D17-$BF17</f>
        <v>#REF!</v>
      </c>
      <c r="Q17" s="35">
        <f>+GETPIVOTDATA("XSN4",'suoinghe (2016)'!$A$3,"MA_HT","LMU","MA_QH","NKH")</f>
        <v>0</v>
      </c>
      <c r="R17" s="63">
        <f t="shared" si="2"/>
        <v>0</v>
      </c>
      <c r="S17" s="35">
        <f>+GETPIVOTDATA("XSN4",'suoinghe (2016)'!$A$3,"MA_HT","LMU","MA_QH","CQP")</f>
        <v>0</v>
      </c>
      <c r="T17" s="35">
        <f>+GETPIVOTDATA("XSN4",'suoinghe (2016)'!$A$3,"MA_HT","LMU","MA_QH","CAN")</f>
        <v>0</v>
      </c>
      <c r="U17" s="35">
        <f>+GETPIVOTDATA("XSN4",'suoinghe (2016)'!$A$3,"MA_HT","LMU","MA_QH","SKK")</f>
        <v>0</v>
      </c>
      <c r="V17" s="35">
        <f>+GETPIVOTDATA("XSN4",'suoinghe (2016)'!$A$3,"MA_HT","LMU","MA_QH","SKT")</f>
        <v>0</v>
      </c>
      <c r="W17" s="35">
        <f>+GETPIVOTDATA("XSN4",'suoinghe (2016)'!$A$3,"MA_HT","LMU","MA_QH","SKN")</f>
        <v>0</v>
      </c>
      <c r="X17" s="35">
        <f>+GETPIVOTDATA("XSN4",'suoinghe (2016)'!$A$3,"MA_HT","LMU","MA_QH","TMD")</f>
        <v>0</v>
      </c>
      <c r="Y17" s="35">
        <f>+GETPIVOTDATA("XSN4",'suoinghe (2016)'!$A$3,"MA_HT","LMU","MA_QH","SKC")</f>
        <v>0</v>
      </c>
      <c r="Z17" s="35">
        <f>+GETPIVOTDATA("XSN4",'suoinghe (2016)'!$A$3,"MA_HT","LMU","MA_QH","SKS")</f>
        <v>0</v>
      </c>
      <c r="AA17" s="64">
        <f t="shared" si="4"/>
        <v>0</v>
      </c>
      <c r="AB17" s="35">
        <f>+GETPIVOTDATA("XSN4",'suoinghe (2016)'!$A$3,"MA_HT","LMU","MA_QH","DGT")</f>
        <v>0</v>
      </c>
      <c r="AC17" s="35">
        <f>+GETPIVOTDATA("XSN4",'suoinghe (2016)'!$A$3,"MA_HT","LMU","MA_QH","DTL")</f>
        <v>0</v>
      </c>
      <c r="AD17" s="35">
        <f>+GETPIVOTDATA("XSN4",'suoinghe (2016)'!$A$3,"MA_HT","LMU","MA_QH","DNL")</f>
        <v>0</v>
      </c>
      <c r="AE17" s="35">
        <f>+GETPIVOTDATA("XSN4",'suoinghe (2016)'!$A$3,"MA_HT","LMU","MA_QH","DBV")</f>
        <v>0</v>
      </c>
      <c r="AF17" s="35">
        <f>+GETPIVOTDATA("XSN4",'suoinghe (2016)'!$A$3,"MA_HT","LMU","MA_QH","DVH")</f>
        <v>0</v>
      </c>
      <c r="AG17" s="35">
        <f>+GETPIVOTDATA("XSN4",'suoinghe (2016)'!$A$3,"MA_HT","LMU","MA_QH","DYT")</f>
        <v>0</v>
      </c>
      <c r="AH17" s="35">
        <f>+GETPIVOTDATA("XSN4",'suoinghe (2016)'!$A$3,"MA_HT","LMU","MA_QH","DGD")</f>
        <v>0</v>
      </c>
      <c r="AI17" s="35">
        <f>+GETPIVOTDATA("XSN4",'suoinghe (2016)'!$A$3,"MA_HT","LMU","MA_QH","DTT")</f>
        <v>0</v>
      </c>
      <c r="AJ17" s="35">
        <f>+GETPIVOTDATA("XSN4",'suoinghe (2016)'!$A$3,"MA_HT","LMU","MA_QH","NCK")</f>
        <v>0</v>
      </c>
      <c r="AK17" s="35">
        <f>+GETPIVOTDATA("XSN4",'suoinghe (2016)'!$A$3,"MA_HT","LMU","MA_QH","DXH")</f>
        <v>0</v>
      </c>
      <c r="AL17" s="35">
        <f>+GETPIVOTDATA("XSN4",'suoinghe (2016)'!$A$3,"MA_HT","LMU","MA_QH","DCH")</f>
        <v>0</v>
      </c>
      <c r="AM17" s="35">
        <f>+GETPIVOTDATA("XSN4",'suoinghe (2016)'!$A$3,"MA_HT","LMU","MA_QH","DKG")</f>
        <v>0</v>
      </c>
      <c r="AN17" s="35">
        <f>+GETPIVOTDATA("XSN4",'suoinghe (2016)'!$A$3,"MA_HT","LMU","MA_QH","DDT")</f>
        <v>0</v>
      </c>
      <c r="AO17" s="35">
        <f>+GETPIVOTDATA("XSN4",'suoinghe (2016)'!$A$3,"MA_HT","LMU","MA_QH","DDL")</f>
        <v>0</v>
      </c>
      <c r="AP17" s="35">
        <f>+GETPIVOTDATA("XSN4",'suoinghe (2016)'!$A$3,"MA_HT","LMU","MA_QH","DRA")</f>
        <v>0</v>
      </c>
      <c r="AQ17" s="35">
        <f>+GETPIVOTDATA("XSN4",'suoinghe (2016)'!$A$3,"MA_HT","LMU","MA_QH","ONT")</f>
        <v>0</v>
      </c>
      <c r="AR17" s="35">
        <f>+GETPIVOTDATA("XSN4",'suoinghe (2016)'!$A$3,"MA_HT","LMU","MA_QH","ODT")</f>
        <v>0</v>
      </c>
      <c r="AS17" s="35">
        <f>+GETPIVOTDATA("XSN4",'suoinghe (2016)'!$A$3,"MA_HT","LMU","MA_QH","TSC")</f>
        <v>0</v>
      </c>
      <c r="AT17" s="35">
        <f>+GETPIVOTDATA("XSN4",'suoinghe (2016)'!$A$3,"MA_HT","LMU","MA_QH","DTS")</f>
        <v>0</v>
      </c>
      <c r="AU17" s="35">
        <f>+GETPIVOTDATA("XSN4",'suoinghe (2016)'!$A$3,"MA_HT","LMU","MA_QH","DNG")</f>
        <v>0</v>
      </c>
      <c r="AV17" s="35">
        <f>+GETPIVOTDATA("XSN4",'suoinghe (2016)'!$A$3,"MA_HT","LMU","MA_QH","TON")</f>
        <v>0</v>
      </c>
      <c r="AW17" s="35">
        <f>+GETPIVOTDATA("XSN4",'suoinghe (2016)'!$A$3,"MA_HT","LMU","MA_QH","NTD")</f>
        <v>0</v>
      </c>
      <c r="AX17" s="35">
        <f>+GETPIVOTDATA("XSN4",'suoinghe (2016)'!$A$3,"MA_HT","LMU","MA_QH","SKX")</f>
        <v>0</v>
      </c>
      <c r="AY17" s="35">
        <f>+GETPIVOTDATA("XSN4",'suoinghe (2016)'!$A$3,"MA_HT","LMU","MA_QH","DSH")</f>
        <v>0</v>
      </c>
      <c r="AZ17" s="35">
        <f>+GETPIVOTDATA("XSN4",'suoinghe (2016)'!$A$3,"MA_HT","LMU","MA_QH","DKV")</f>
        <v>0</v>
      </c>
      <c r="BA17" s="140">
        <f>+GETPIVOTDATA("XSN4",'suoinghe (2016)'!$A$3,"MA_HT","LMU","MA_QH","TIN")</f>
        <v>0</v>
      </c>
      <c r="BB17" s="74">
        <f>+GETPIVOTDATA("XSN4",'suoinghe (2016)'!$A$3,"MA_HT","LMU","MA_QH","SON")</f>
        <v>0</v>
      </c>
      <c r="BC17" s="74">
        <f>+GETPIVOTDATA("XSN4",'suoinghe (2016)'!$A$3,"MA_HT","LMU","MA_QH","MNC")</f>
        <v>0</v>
      </c>
      <c r="BD17" s="35">
        <f>+GETPIVOTDATA("XSN4",'suoinghe (2016)'!$A$3,"MA_HT","LMU","MA_QH","PNK")</f>
        <v>0</v>
      </c>
      <c r="BE17" s="58">
        <f>+GETPIVOTDATA("XSN4",'suoinghe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+GETPIVOTDATA("XSN4",'suoinghe (2016)'!$A$3,"MA_HT","NKH","MA_QH","LUC")</f>
        <v>0</v>
      </c>
      <c r="H18" s="35">
        <f>+GETPIVOTDATA("XSN4",'suoinghe (2016)'!$A$3,"MA_HT","NKH","MA_QH","LUK")</f>
        <v>0</v>
      </c>
      <c r="I18" s="35">
        <f>+GETPIVOTDATA("XSN4",'suoinghe (2016)'!$A$3,"MA_HT","NKH","MA_QH","LUN")</f>
        <v>0</v>
      </c>
      <c r="J18" s="35">
        <f>+GETPIVOTDATA("XSN4",'suoinghe (2016)'!$A$3,"MA_HT","NKH","MA_QH","HNK")</f>
        <v>0</v>
      </c>
      <c r="K18" s="35">
        <f>+GETPIVOTDATA("XSN4",'suoinghe (2016)'!$A$3,"MA_HT","NKH","MA_QH","CLN")</f>
        <v>0</v>
      </c>
      <c r="L18" s="35">
        <f>+GETPIVOTDATA("XSN4",'suoinghe (2016)'!$A$3,"MA_HT","NKH","MA_QH","RSX")</f>
        <v>0</v>
      </c>
      <c r="M18" s="35">
        <f>+GETPIVOTDATA("XSN4",'suoinghe (2016)'!$A$3,"MA_HT","NKH","MA_QH","RPH")</f>
        <v>0</v>
      </c>
      <c r="N18" s="35">
        <f>+GETPIVOTDATA("XSN4",'suoinghe (2016)'!$A$3,"MA_HT","NKH","MA_QH","RDD")</f>
        <v>0</v>
      </c>
      <c r="O18" s="35">
        <f>+GETPIVOTDATA("XSN4",'suoinghe (2016)'!$A$3,"MA_HT","NKH","MA_QH","NTS")</f>
        <v>0</v>
      </c>
      <c r="P18" s="35">
        <f>+GETPIVOTDATA("XSN4",'suoinghe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+GETPIVOTDATA("XSN4",'suoinghe (2016)'!$A$3,"MA_HT","NKH","MA_QH","CQP")</f>
        <v>0</v>
      </c>
      <c r="T18" s="35">
        <f>+GETPIVOTDATA("XSN4",'suoinghe (2016)'!$A$3,"MA_HT","NKH","MA_QH","CAN")</f>
        <v>0</v>
      </c>
      <c r="U18" s="35">
        <f>+GETPIVOTDATA("XSN4",'suoinghe (2016)'!$A$3,"MA_HT","NKH","MA_QH","SKK")</f>
        <v>0</v>
      </c>
      <c r="V18" s="35">
        <f>+GETPIVOTDATA("XSN4",'suoinghe (2016)'!$A$3,"MA_HT","NKH","MA_QH","SKT")</f>
        <v>0</v>
      </c>
      <c r="W18" s="35">
        <f>+GETPIVOTDATA("XSN4",'suoinghe (2016)'!$A$3,"MA_HT","NKH","MA_QH","SKN")</f>
        <v>0</v>
      </c>
      <c r="X18" s="35">
        <f>+GETPIVOTDATA("XSN4",'suoinghe (2016)'!$A$3,"MA_HT","NKH","MA_QH","TMD")</f>
        <v>0</v>
      </c>
      <c r="Y18" s="35">
        <f>+GETPIVOTDATA("XSN4",'suoinghe (2016)'!$A$3,"MA_HT","NKH","MA_QH","SKC")</f>
        <v>0</v>
      </c>
      <c r="Z18" s="35">
        <f>+GETPIVOTDATA("XSN4",'suoinghe (2016)'!$A$3,"MA_HT","NKH","MA_QH","SKS")</f>
        <v>0</v>
      </c>
      <c r="AA18" s="64">
        <f t="shared" si="4"/>
        <v>0</v>
      </c>
      <c r="AB18" s="35">
        <f>+GETPIVOTDATA("XSN4",'suoinghe (2016)'!$A$3,"MA_HT","NKH","MA_QH","DGT")</f>
        <v>0</v>
      </c>
      <c r="AC18" s="35">
        <f>+GETPIVOTDATA("XSN4",'suoinghe (2016)'!$A$3,"MA_HT","NKH","MA_QH","DTL")</f>
        <v>0</v>
      </c>
      <c r="AD18" s="35">
        <f>+GETPIVOTDATA("XSN4",'suoinghe (2016)'!$A$3,"MA_HT","NKH","MA_QH","DNL")</f>
        <v>0</v>
      </c>
      <c r="AE18" s="35">
        <f>+GETPIVOTDATA("XSN4",'suoinghe (2016)'!$A$3,"MA_HT","NKH","MA_QH","DBV")</f>
        <v>0</v>
      </c>
      <c r="AF18" s="35">
        <f>+GETPIVOTDATA("XSN4",'suoinghe (2016)'!$A$3,"MA_HT","NKH","MA_QH","DVH")</f>
        <v>0</v>
      </c>
      <c r="AG18" s="35">
        <f>+GETPIVOTDATA("XSN4",'suoinghe (2016)'!$A$3,"MA_HT","NKH","MA_QH","DYT")</f>
        <v>0</v>
      </c>
      <c r="AH18" s="35">
        <f>+GETPIVOTDATA("XSN4",'suoinghe (2016)'!$A$3,"MA_HT","NKH","MA_QH","DGD")</f>
        <v>0</v>
      </c>
      <c r="AI18" s="35">
        <f>+GETPIVOTDATA("XSN4",'suoinghe (2016)'!$A$3,"MA_HT","NKH","MA_QH","DTT")</f>
        <v>0</v>
      </c>
      <c r="AJ18" s="35">
        <f>+GETPIVOTDATA("XSN4",'suoinghe (2016)'!$A$3,"MA_HT","NKH","MA_QH","NCK")</f>
        <v>0</v>
      </c>
      <c r="AK18" s="35">
        <f>+GETPIVOTDATA("XSN4",'suoinghe (2016)'!$A$3,"MA_HT","NKH","MA_QH","DXH")</f>
        <v>0</v>
      </c>
      <c r="AL18" s="35">
        <f>+GETPIVOTDATA("XSN4",'suoinghe (2016)'!$A$3,"MA_HT","NKH","MA_QH","DCH")</f>
        <v>0</v>
      </c>
      <c r="AM18" s="35">
        <f>+GETPIVOTDATA("XSN4",'suoinghe (2016)'!$A$3,"MA_HT","NKH","MA_QH","DKG")</f>
        <v>0</v>
      </c>
      <c r="AN18" s="35">
        <f>+GETPIVOTDATA("XSN4",'suoinghe (2016)'!$A$3,"MA_HT","NKH","MA_QH","DDT")</f>
        <v>0</v>
      </c>
      <c r="AO18" s="35">
        <f>+GETPIVOTDATA("XSN4",'suoinghe (2016)'!$A$3,"MA_HT","NKH","MA_QH","DDL")</f>
        <v>0</v>
      </c>
      <c r="AP18" s="35">
        <f>+GETPIVOTDATA("XSN4",'suoinghe (2016)'!$A$3,"MA_HT","NKH","MA_QH","DRA")</f>
        <v>0</v>
      </c>
      <c r="AQ18" s="35">
        <f>+GETPIVOTDATA("XSN4",'suoinghe (2016)'!$A$3,"MA_HT","NKH","MA_QH","ONT")</f>
        <v>0</v>
      </c>
      <c r="AR18" s="35">
        <f>+GETPIVOTDATA("XSN4",'suoinghe (2016)'!$A$3,"MA_HT","NKH","MA_QH","ODT")</f>
        <v>0</v>
      </c>
      <c r="AS18" s="35">
        <f>+GETPIVOTDATA("XSN4",'suoinghe (2016)'!$A$3,"MA_HT","NKH","MA_QH","TSC")</f>
        <v>0</v>
      </c>
      <c r="AT18" s="35">
        <f>+GETPIVOTDATA("XSN4",'suoinghe (2016)'!$A$3,"MA_HT","NKH","MA_QH","DTS")</f>
        <v>0</v>
      </c>
      <c r="AU18" s="35">
        <f>+GETPIVOTDATA("XSN4",'suoinghe (2016)'!$A$3,"MA_HT","NKH","MA_QH","DNG")</f>
        <v>0</v>
      </c>
      <c r="AV18" s="35">
        <f>+GETPIVOTDATA("XSN4",'suoinghe (2016)'!$A$3,"MA_HT","NKH","MA_QH","TON")</f>
        <v>0</v>
      </c>
      <c r="AW18" s="35">
        <f>+GETPIVOTDATA("XSN4",'suoinghe (2016)'!$A$3,"MA_HT","NKH","MA_QH","NTD")</f>
        <v>0</v>
      </c>
      <c r="AX18" s="35">
        <f>+GETPIVOTDATA("XSN4",'suoinghe (2016)'!$A$3,"MA_HT","NKH","MA_QH","SKX")</f>
        <v>0</v>
      </c>
      <c r="AY18" s="35">
        <f>+GETPIVOTDATA("XSN4",'suoinghe (2016)'!$A$3,"MA_HT","NKH","MA_QH","DSH")</f>
        <v>0</v>
      </c>
      <c r="AZ18" s="35">
        <f>+GETPIVOTDATA("XSN4",'suoinghe (2016)'!$A$3,"MA_HT","NKH","MA_QH","DKV")</f>
        <v>0</v>
      </c>
      <c r="BA18" s="140">
        <f>+GETPIVOTDATA("XSN4",'suoinghe (2016)'!$A$3,"MA_HT","NKH","MA_QH","TIN")</f>
        <v>0</v>
      </c>
      <c r="BB18" s="74">
        <f>+GETPIVOTDATA("XSN4",'suoinghe (2016)'!$A$3,"MA_HT","NKH","MA_QH","SON")</f>
        <v>0</v>
      </c>
      <c r="BC18" s="74">
        <f>+GETPIVOTDATA("XSN4",'suoinghe (2016)'!$A$3,"MA_HT","NKH","MA_QH","MNC")</f>
        <v>0</v>
      </c>
      <c r="BD18" s="35">
        <f>+GETPIVOTDATA("XSN4",'suoinghe (2016)'!$A$3,"MA_HT","NKH","MA_QH","PNK")</f>
        <v>0</v>
      </c>
      <c r="BE18" s="58">
        <f>+GETPIVOTDATA("XSN4",'suoinghe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+GETPIVOTDATA("XSN4",'suoinghe (2016)'!$A$3,"MA_HT","CQP","MA_QH","LUC")</f>
        <v>0</v>
      </c>
      <c r="H20" s="35">
        <f>+GETPIVOTDATA("XSN4",'suoinghe (2016)'!$A$3,"MA_HT","CQP","MA_QH","LUK")</f>
        <v>0</v>
      </c>
      <c r="I20" s="35">
        <f>+GETPIVOTDATA("XSN4",'suoinghe (2016)'!$A$3,"MA_HT","CQP","MA_QH","LUN")</f>
        <v>0</v>
      </c>
      <c r="J20" s="35">
        <f>+GETPIVOTDATA("XSN4",'suoinghe (2016)'!$A$3,"MA_HT","CQP","MA_QH","HNK")</f>
        <v>0</v>
      </c>
      <c r="K20" s="35">
        <f>+GETPIVOTDATA("XSN4",'suoinghe (2016)'!$A$3,"MA_HT","CQP","MA_QH","CLN")</f>
        <v>0</v>
      </c>
      <c r="L20" s="35">
        <f>+GETPIVOTDATA("XSN4",'suoinghe (2016)'!$A$3,"MA_HT","CQP","MA_QH","RSX")</f>
        <v>0</v>
      </c>
      <c r="M20" s="35">
        <f>+GETPIVOTDATA("XSN4",'suoinghe (2016)'!$A$3,"MA_HT","CQP","MA_QH","RPH")</f>
        <v>0</v>
      </c>
      <c r="N20" s="35">
        <f>+GETPIVOTDATA("XSN4",'suoinghe (2016)'!$A$3,"MA_HT","CQP","MA_QH","RDD")</f>
        <v>0</v>
      </c>
      <c r="O20" s="35">
        <f>+GETPIVOTDATA("XSN4",'suoinghe (2016)'!$A$3,"MA_HT","CQP","MA_QH","NTS")</f>
        <v>0</v>
      </c>
      <c r="P20" s="35">
        <f>+GETPIVOTDATA("XSN4",'suoinghe (2016)'!$A$3,"MA_HT","CQP","MA_QH","LMU")</f>
        <v>0</v>
      </c>
      <c r="Q20" s="35">
        <f>+GETPIVOTDATA("XSN4",'suoinghe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+GETPIVOTDATA("XSN4",'suoinghe (2016)'!$A$3,"MA_HT","CQP","MA_QH","CAN")</f>
        <v>0</v>
      </c>
      <c r="U20" s="35">
        <f>+GETPIVOTDATA("XSN4",'suoinghe (2016)'!$A$3,"MA_HT","CQP","MA_QH","SKK")</f>
        <v>0</v>
      </c>
      <c r="V20" s="35">
        <f>+GETPIVOTDATA("XSN4",'suoinghe (2016)'!$A$3,"MA_HT","CQP","MA_QH","SKT")</f>
        <v>0</v>
      </c>
      <c r="W20" s="35">
        <f>+GETPIVOTDATA("XSN4",'suoinghe (2016)'!$A$3,"MA_HT","CQP","MA_QH","SKN")</f>
        <v>0</v>
      </c>
      <c r="X20" s="35">
        <f>+GETPIVOTDATA("XSN4",'suoinghe (2016)'!$A$3,"MA_HT","CQP","MA_QH","TMD")</f>
        <v>0</v>
      </c>
      <c r="Y20" s="35">
        <f>+GETPIVOTDATA("XSN4",'suoinghe (2016)'!$A$3,"MA_HT","CQP","MA_QH","SKC")</f>
        <v>0</v>
      </c>
      <c r="Z20" s="35">
        <f>+GETPIVOTDATA("XSN4",'suoinghe (2016)'!$A$3,"MA_HT","CQP","MA_QH","SKS")</f>
        <v>0</v>
      </c>
      <c r="AA20" s="64">
        <f t="shared" ref="AA20:AA27" si="12">+SUM(AB20:AM20)</f>
        <v>0</v>
      </c>
      <c r="AB20" s="35">
        <f>+GETPIVOTDATA("XSN4",'suoinghe (2016)'!$A$3,"MA_HT","CQP","MA_QH","DGT")</f>
        <v>0</v>
      </c>
      <c r="AC20" s="35">
        <f>+GETPIVOTDATA("XSN4",'suoinghe (2016)'!$A$3,"MA_HT","CQP","MA_QH","DTL")</f>
        <v>0</v>
      </c>
      <c r="AD20" s="35">
        <f>+GETPIVOTDATA("XSN4",'suoinghe (2016)'!$A$3,"MA_HT","CQP","MA_QH","DNL")</f>
        <v>0</v>
      </c>
      <c r="AE20" s="35">
        <f>+GETPIVOTDATA("XSN4",'suoinghe (2016)'!$A$3,"MA_HT","CQP","MA_QH","DBV")</f>
        <v>0</v>
      </c>
      <c r="AF20" s="35">
        <f>+GETPIVOTDATA("XSN4",'suoinghe (2016)'!$A$3,"MA_HT","CQP","MA_QH","DVH")</f>
        <v>0</v>
      </c>
      <c r="AG20" s="35">
        <f>+GETPIVOTDATA("XSN4",'suoinghe (2016)'!$A$3,"MA_HT","CQP","MA_QH","DYT")</f>
        <v>0</v>
      </c>
      <c r="AH20" s="35">
        <f>+GETPIVOTDATA("XSN4",'suoinghe (2016)'!$A$3,"MA_HT","CQP","MA_QH","DGD")</f>
        <v>0</v>
      </c>
      <c r="AI20" s="35">
        <f>+GETPIVOTDATA("XSN4",'suoinghe (2016)'!$A$3,"MA_HT","CQP","MA_QH","DTT")</f>
        <v>0</v>
      </c>
      <c r="AJ20" s="35">
        <f>+GETPIVOTDATA("XSN4",'suoinghe (2016)'!$A$3,"MA_HT","CQP","MA_QH","NCK")</f>
        <v>0</v>
      </c>
      <c r="AK20" s="35">
        <f>+GETPIVOTDATA("XSN4",'suoinghe (2016)'!$A$3,"MA_HT","CQP","MA_QH","DXH")</f>
        <v>0</v>
      </c>
      <c r="AL20" s="35">
        <f>+GETPIVOTDATA("XSN4",'suoinghe (2016)'!$A$3,"MA_HT","CQP","MA_QH","DCH")</f>
        <v>0</v>
      </c>
      <c r="AM20" s="35">
        <f>+GETPIVOTDATA("XSN4",'suoinghe (2016)'!$A$3,"MA_HT","CQP","MA_QH","DKG")</f>
        <v>0</v>
      </c>
      <c r="AN20" s="35">
        <f>+GETPIVOTDATA("XSN4",'suoinghe (2016)'!$A$3,"MA_HT","CQP","MA_QH","DDT")</f>
        <v>0</v>
      </c>
      <c r="AO20" s="35">
        <f>+GETPIVOTDATA("XSN4",'suoinghe (2016)'!$A$3,"MA_HT","CQP","MA_QH","DDL")</f>
        <v>0</v>
      </c>
      <c r="AP20" s="35">
        <f>+GETPIVOTDATA("XSN4",'suoinghe (2016)'!$A$3,"MA_HT","CQP","MA_QH","DRA")</f>
        <v>0</v>
      </c>
      <c r="AQ20" s="35">
        <f>+GETPIVOTDATA("XSN4",'suoinghe (2016)'!$A$3,"MA_HT","CQP","MA_QH","ONT")</f>
        <v>0</v>
      </c>
      <c r="AR20" s="35">
        <f>+GETPIVOTDATA("XSN4",'suoinghe (2016)'!$A$3,"MA_HT","CQP","MA_QH","ODT")</f>
        <v>0</v>
      </c>
      <c r="AS20" s="35">
        <f>+GETPIVOTDATA("XSN4",'suoinghe (2016)'!$A$3,"MA_HT","CQP","MA_QH","TSC")</f>
        <v>0</v>
      </c>
      <c r="AT20" s="35">
        <f>+GETPIVOTDATA("XSN4",'suoinghe (2016)'!$A$3,"MA_HT","CQP","MA_QH","DTS")</f>
        <v>0</v>
      </c>
      <c r="AU20" s="35">
        <f>+GETPIVOTDATA("XSN4",'suoinghe (2016)'!$A$3,"MA_HT","CQP","MA_QH","DNG")</f>
        <v>0</v>
      </c>
      <c r="AV20" s="35">
        <f>+GETPIVOTDATA("XSN4",'suoinghe (2016)'!$A$3,"MA_HT","CQP","MA_QH","TON")</f>
        <v>0</v>
      </c>
      <c r="AW20" s="35">
        <f>+GETPIVOTDATA("XSN4",'suoinghe (2016)'!$A$3,"MA_HT","CQP","MA_QH","NTD")</f>
        <v>0</v>
      </c>
      <c r="AX20" s="35">
        <f>+GETPIVOTDATA("XSN4",'suoinghe (2016)'!$A$3,"MA_HT","CQP","MA_QH","SKX")</f>
        <v>0</v>
      </c>
      <c r="AY20" s="35">
        <f>+GETPIVOTDATA("XSN4",'suoinghe (2016)'!$A$3,"MA_HT","CQP","MA_QH","DSH")</f>
        <v>0</v>
      </c>
      <c r="AZ20" s="35">
        <f>+GETPIVOTDATA("XSN4",'suoinghe (2016)'!$A$3,"MA_HT","CQP","MA_QH","DKV")</f>
        <v>0</v>
      </c>
      <c r="BA20" s="140">
        <f>+GETPIVOTDATA("XSN4",'suoinghe (2016)'!$A$3,"MA_HT","CQP","MA_QH","TIN")</f>
        <v>0</v>
      </c>
      <c r="BB20" s="74">
        <f>+GETPIVOTDATA("XSN4",'suoinghe (2016)'!$A$3,"MA_HT","CQP","MA_QH","SON")</f>
        <v>0</v>
      </c>
      <c r="BC20" s="74">
        <f>+GETPIVOTDATA("XSN4",'suoinghe (2016)'!$A$3,"MA_HT","CQP","MA_QH","MNC")</f>
        <v>0</v>
      </c>
      <c r="BD20" s="35">
        <f>+GETPIVOTDATA("XSN4",'suoinghe (2016)'!$A$3,"MA_HT","CQP","MA_QH","PNK")</f>
        <v>0</v>
      </c>
      <c r="BE20" s="58">
        <f>+GETPIVOTDATA("XSN4",'suoinghe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+GETPIVOTDATA("XSN4",'suoinghe (2016)'!$A$3,"MA_HT","CAN","MA_QH","LUC")</f>
        <v>0</v>
      </c>
      <c r="H21" s="35">
        <f>+GETPIVOTDATA("XSN4",'suoinghe (2016)'!$A$3,"MA_HT","CAN","MA_QH","LUK")</f>
        <v>0</v>
      </c>
      <c r="I21" s="35">
        <f>+GETPIVOTDATA("XSN4",'suoinghe (2016)'!$A$3,"MA_HT","CAN","MA_QH","LUN")</f>
        <v>0</v>
      </c>
      <c r="J21" s="35">
        <f>+GETPIVOTDATA("XSN4",'suoinghe (2016)'!$A$3,"MA_HT","CAN","MA_QH","HNK")</f>
        <v>0</v>
      </c>
      <c r="K21" s="35">
        <f>+GETPIVOTDATA("XSN4",'suoinghe (2016)'!$A$3,"MA_HT","CAN","MA_QH","CLN")</f>
        <v>0</v>
      </c>
      <c r="L21" s="35">
        <f>+GETPIVOTDATA("XSN4",'suoinghe (2016)'!$A$3,"MA_HT","CAN","MA_QH","RSX")</f>
        <v>0</v>
      </c>
      <c r="M21" s="35">
        <f>+GETPIVOTDATA("XSN4",'suoinghe (2016)'!$A$3,"MA_HT","CAN","MA_QH","RPH")</f>
        <v>0</v>
      </c>
      <c r="N21" s="35">
        <f>+GETPIVOTDATA("XSN4",'suoinghe (2016)'!$A$3,"MA_HT","CAN","MA_QH","RDD")</f>
        <v>0</v>
      </c>
      <c r="O21" s="35">
        <f>+GETPIVOTDATA("XSN4",'suoinghe (2016)'!$A$3,"MA_HT","CAN","MA_QH","NTS")</f>
        <v>0</v>
      </c>
      <c r="P21" s="35">
        <f>+GETPIVOTDATA("XSN4",'suoinghe (2016)'!$A$3,"MA_HT","CAN","MA_QH","LMU")</f>
        <v>0</v>
      </c>
      <c r="Q21" s="35">
        <f>+GETPIVOTDATA("XSN4",'suoinghe (2016)'!$A$3,"MA_HT","CAN","MA_QH","NKH")</f>
        <v>0</v>
      </c>
      <c r="R21" s="63">
        <f>SUM(S21,U21:AA21,AN21:BD21)</f>
        <v>0</v>
      </c>
      <c r="S21" s="35">
        <f>+GETPIVOTDATA("XSN4",'suoinghe (2016)'!$A$3,"MA_HT","CAN","MA_QH","CQP")</f>
        <v>0</v>
      </c>
      <c r="T21" s="99" t="e">
        <f>$D21-$BF21</f>
        <v>#REF!</v>
      </c>
      <c r="U21" s="35">
        <f>+GETPIVOTDATA("XSN4",'suoinghe (2016)'!$A$3,"MA_HT","CAN","MA_QH","SKK")</f>
        <v>0</v>
      </c>
      <c r="V21" s="35">
        <f>+GETPIVOTDATA("XSN4",'suoinghe (2016)'!$A$3,"MA_HT","CAN","MA_QH","SKT")</f>
        <v>0</v>
      </c>
      <c r="W21" s="35">
        <f>+GETPIVOTDATA("XSN4",'suoinghe (2016)'!$A$3,"MA_HT","CAN","MA_QH","SKN")</f>
        <v>0</v>
      </c>
      <c r="X21" s="35">
        <f>+GETPIVOTDATA("XSN4",'suoinghe (2016)'!$A$3,"MA_HT","CAN","MA_QH","TMD")</f>
        <v>0</v>
      </c>
      <c r="Y21" s="35">
        <f>+GETPIVOTDATA("XSN4",'suoinghe (2016)'!$A$3,"MA_HT","CAN","MA_QH","SKC")</f>
        <v>0</v>
      </c>
      <c r="Z21" s="35">
        <f>+GETPIVOTDATA("XSN4",'suoinghe (2016)'!$A$3,"MA_HT","CAN","MA_QH","SKS")</f>
        <v>0</v>
      </c>
      <c r="AA21" s="64">
        <f t="shared" si="12"/>
        <v>0</v>
      </c>
      <c r="AB21" s="35">
        <f>+GETPIVOTDATA("XSN4",'suoinghe (2016)'!$A$3,"MA_HT","CAN","MA_QH","DGT")</f>
        <v>0</v>
      </c>
      <c r="AC21" s="35">
        <f>+GETPIVOTDATA("XSN4",'suoinghe (2016)'!$A$3,"MA_HT","CAN","MA_QH","DTL")</f>
        <v>0</v>
      </c>
      <c r="AD21" s="35">
        <f>+GETPIVOTDATA("XSN4",'suoinghe (2016)'!$A$3,"MA_HT","CAN","MA_QH","DNL")</f>
        <v>0</v>
      </c>
      <c r="AE21" s="35">
        <f>+GETPIVOTDATA("XSN4",'suoinghe (2016)'!$A$3,"MA_HT","CAN","MA_QH","DBV")</f>
        <v>0</v>
      </c>
      <c r="AF21" s="35">
        <f>+GETPIVOTDATA("XSN4",'suoinghe (2016)'!$A$3,"MA_HT","CAN","MA_QH","DVH")</f>
        <v>0</v>
      </c>
      <c r="AG21" s="35">
        <f>+GETPIVOTDATA("XSN4",'suoinghe (2016)'!$A$3,"MA_HT","CAN","MA_QH","DYT")</f>
        <v>0</v>
      </c>
      <c r="AH21" s="35">
        <f>+GETPIVOTDATA("XSN4",'suoinghe (2016)'!$A$3,"MA_HT","CAN","MA_QH","DGD")</f>
        <v>0</v>
      </c>
      <c r="AI21" s="35">
        <f>+GETPIVOTDATA("XSN4",'suoinghe (2016)'!$A$3,"MA_HT","CAN","MA_QH","DTT")</f>
        <v>0</v>
      </c>
      <c r="AJ21" s="35">
        <f>+GETPIVOTDATA("XSN4",'suoinghe (2016)'!$A$3,"MA_HT","CAN","MA_QH","NCK")</f>
        <v>0</v>
      </c>
      <c r="AK21" s="35">
        <f>+GETPIVOTDATA("XSN4",'suoinghe (2016)'!$A$3,"MA_HT","CAN","MA_QH","DXH")</f>
        <v>0</v>
      </c>
      <c r="AL21" s="35">
        <f>+GETPIVOTDATA("XSN4",'suoinghe (2016)'!$A$3,"MA_HT","CAN","MA_QH","DCH")</f>
        <v>0</v>
      </c>
      <c r="AM21" s="35">
        <f>+GETPIVOTDATA("XSN4",'suoinghe (2016)'!$A$3,"MA_HT","CAN","MA_QH","DKG")</f>
        <v>0</v>
      </c>
      <c r="AN21" s="35">
        <f>+GETPIVOTDATA("XSN4",'suoinghe (2016)'!$A$3,"MA_HT","CAN","MA_QH","DDT")</f>
        <v>0</v>
      </c>
      <c r="AO21" s="35">
        <f>+GETPIVOTDATA("XSN4",'suoinghe (2016)'!$A$3,"MA_HT","CAN","MA_QH","DDL")</f>
        <v>0</v>
      </c>
      <c r="AP21" s="35">
        <f>+GETPIVOTDATA("XSN4",'suoinghe (2016)'!$A$3,"MA_HT","CAN","MA_QH","DRA")</f>
        <v>0</v>
      </c>
      <c r="AQ21" s="35">
        <f>+GETPIVOTDATA("XSN4",'suoinghe (2016)'!$A$3,"MA_HT","CAN","MA_QH","ONT")</f>
        <v>0</v>
      </c>
      <c r="AR21" s="35">
        <f>+GETPIVOTDATA("XSN4",'suoinghe (2016)'!$A$3,"MA_HT","CAN","MA_QH","ODT")</f>
        <v>0</v>
      </c>
      <c r="AS21" s="35">
        <f>+GETPIVOTDATA("XSN4",'suoinghe (2016)'!$A$3,"MA_HT","CAN","MA_QH","TSC")</f>
        <v>0</v>
      </c>
      <c r="AT21" s="35">
        <f>+GETPIVOTDATA("XSN4",'suoinghe (2016)'!$A$3,"MA_HT","CAN","MA_QH","DTS")</f>
        <v>0</v>
      </c>
      <c r="AU21" s="35">
        <f>+GETPIVOTDATA("XSN4",'suoinghe (2016)'!$A$3,"MA_HT","CAN","MA_QH","DNG")</f>
        <v>0</v>
      </c>
      <c r="AV21" s="35">
        <f>+GETPIVOTDATA("XSN4",'suoinghe (2016)'!$A$3,"MA_HT","CAN","MA_QH","TON")</f>
        <v>0</v>
      </c>
      <c r="AW21" s="35">
        <f>+GETPIVOTDATA("XSN4",'suoinghe (2016)'!$A$3,"MA_HT","CAN","MA_QH","NTD")</f>
        <v>0</v>
      </c>
      <c r="AX21" s="35">
        <f>+GETPIVOTDATA("XSN4",'suoinghe (2016)'!$A$3,"MA_HT","CAN","MA_QH","SKX")</f>
        <v>0</v>
      </c>
      <c r="AY21" s="35">
        <f>+GETPIVOTDATA("XSN4",'suoinghe (2016)'!$A$3,"MA_HT","CAN","MA_QH","DSH")</f>
        <v>0</v>
      </c>
      <c r="AZ21" s="35">
        <f>+GETPIVOTDATA("XSN4",'suoinghe (2016)'!$A$3,"MA_HT","CAN","MA_QH","DKV")</f>
        <v>0</v>
      </c>
      <c r="BA21" s="140">
        <f>+GETPIVOTDATA("XSN4",'suoinghe (2016)'!$A$3,"MA_HT","CAN","MA_QH","TIN")</f>
        <v>0</v>
      </c>
      <c r="BB21" s="74">
        <f>+GETPIVOTDATA("XSN4",'suoinghe (2016)'!$A$3,"MA_HT","CAN","MA_QH","SON")</f>
        <v>0</v>
      </c>
      <c r="BC21" s="74">
        <f>+GETPIVOTDATA("XSN4",'suoinghe (2016)'!$A$3,"MA_HT","CAN","MA_QH","MNC")</f>
        <v>0</v>
      </c>
      <c r="BD21" s="35">
        <f>+GETPIVOTDATA("XSN4",'suoinghe (2016)'!$A$3,"MA_HT","CAN","MA_QH","PNK")</f>
        <v>0</v>
      </c>
      <c r="BE21" s="58">
        <f>+GETPIVOTDATA("XSN4",'suoinghe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+GETPIVOTDATA("XSN4",'suoinghe (2016)'!$A$3,"MA_HT","SKK","MA_QH","LUC")</f>
        <v>0</v>
      </c>
      <c r="H22" s="35">
        <f>+GETPIVOTDATA("XSN4",'suoinghe (2016)'!$A$3,"MA_HT","SKK","MA_QH","LUK")</f>
        <v>0</v>
      </c>
      <c r="I22" s="35">
        <f>+GETPIVOTDATA("XSN4",'suoinghe (2016)'!$A$3,"MA_HT","SKK","MA_QH","LUN")</f>
        <v>0</v>
      </c>
      <c r="J22" s="35">
        <f>+GETPIVOTDATA("XSN4",'suoinghe (2016)'!$A$3,"MA_HT","SKK","MA_QH","HNK")</f>
        <v>0</v>
      </c>
      <c r="K22" s="35">
        <f>+GETPIVOTDATA("XSN4",'suoinghe (2016)'!$A$3,"MA_HT","SKK","MA_QH","CLN")</f>
        <v>0</v>
      </c>
      <c r="L22" s="35">
        <f>+GETPIVOTDATA("XSN4",'suoinghe (2016)'!$A$3,"MA_HT","SKK","MA_QH","RSX")</f>
        <v>0</v>
      </c>
      <c r="M22" s="35">
        <f>+GETPIVOTDATA("XSN4",'suoinghe (2016)'!$A$3,"MA_HT","SKK","MA_QH","RPH")</f>
        <v>0</v>
      </c>
      <c r="N22" s="35">
        <f>+GETPIVOTDATA("XSN4",'suoinghe (2016)'!$A$3,"MA_HT","SKK","MA_QH","RDD")</f>
        <v>0</v>
      </c>
      <c r="O22" s="35">
        <f>+GETPIVOTDATA("XSN4",'suoinghe (2016)'!$A$3,"MA_HT","SKK","MA_QH","NTS")</f>
        <v>0</v>
      </c>
      <c r="P22" s="35">
        <f>+GETPIVOTDATA("XSN4",'suoinghe (2016)'!$A$3,"MA_HT","SKK","MA_QH","LMU")</f>
        <v>0</v>
      </c>
      <c r="Q22" s="35">
        <f>+GETPIVOTDATA("XSN4",'suoinghe (2016)'!$A$3,"MA_HT","SKK","MA_QH","NKH")</f>
        <v>0</v>
      </c>
      <c r="R22" s="63">
        <f>SUM(S22:T22,V22:AA22,AN22:BD22)</f>
        <v>0</v>
      </c>
      <c r="S22" s="35">
        <f>+GETPIVOTDATA("XSN4",'suoinghe (2016)'!$A$3,"MA_HT","SKK","MA_QH","CQP")</f>
        <v>0</v>
      </c>
      <c r="T22" s="35">
        <f>+GETPIVOTDATA("XSN4",'suoinghe (2016)'!$A$3,"MA_HT","SKK","MA_QH","CAN")</f>
        <v>0</v>
      </c>
      <c r="U22" s="99" t="e">
        <f>$D22-$BF22</f>
        <v>#REF!</v>
      </c>
      <c r="V22" s="35">
        <f>+GETPIVOTDATA("XSN4",'suoinghe (2016)'!$A$3,"MA_HT","SKK","MA_QH","SKT")</f>
        <v>0</v>
      </c>
      <c r="W22" s="35">
        <f>+GETPIVOTDATA("XSN4",'suoinghe (2016)'!$A$3,"MA_HT","SKK","MA_QH","SKN")</f>
        <v>0</v>
      </c>
      <c r="X22" s="35">
        <f>+GETPIVOTDATA("XSN4",'suoinghe (2016)'!$A$3,"MA_HT","SKK","MA_QH","TMD")</f>
        <v>0</v>
      </c>
      <c r="Y22" s="35">
        <f>+GETPIVOTDATA("XSN4",'suoinghe (2016)'!$A$3,"MA_HT","SKK","MA_QH","SKC")</f>
        <v>0</v>
      </c>
      <c r="Z22" s="35">
        <f>+GETPIVOTDATA("XSN4",'suoinghe (2016)'!$A$3,"MA_HT","SKK","MA_QH","SKS")</f>
        <v>0</v>
      </c>
      <c r="AA22" s="64">
        <f t="shared" si="12"/>
        <v>0</v>
      </c>
      <c r="AB22" s="35">
        <f>+GETPIVOTDATA("XSN4",'suoinghe (2016)'!$A$3,"MA_HT","SKK","MA_QH","DGT")</f>
        <v>0</v>
      </c>
      <c r="AC22" s="35">
        <f>+GETPIVOTDATA("XSN4",'suoinghe (2016)'!$A$3,"MA_HT","SKK","MA_QH","DTL")</f>
        <v>0</v>
      </c>
      <c r="AD22" s="35">
        <f>+GETPIVOTDATA("XSN4",'suoinghe (2016)'!$A$3,"MA_HT","SKK","MA_QH","DNL")</f>
        <v>0</v>
      </c>
      <c r="AE22" s="35">
        <f>+GETPIVOTDATA("XSN4",'suoinghe (2016)'!$A$3,"MA_HT","SKK","MA_QH","DBV")</f>
        <v>0</v>
      </c>
      <c r="AF22" s="35">
        <f>+GETPIVOTDATA("XSN4",'suoinghe (2016)'!$A$3,"MA_HT","SKK","MA_QH","DVH")</f>
        <v>0</v>
      </c>
      <c r="AG22" s="35">
        <f>+GETPIVOTDATA("XSN4",'suoinghe (2016)'!$A$3,"MA_HT","SKK","MA_QH","DYT")</f>
        <v>0</v>
      </c>
      <c r="AH22" s="35">
        <f>+GETPIVOTDATA("XSN4",'suoinghe (2016)'!$A$3,"MA_HT","SKK","MA_QH","DGD")</f>
        <v>0</v>
      </c>
      <c r="AI22" s="35">
        <f>+GETPIVOTDATA("XSN4",'suoinghe (2016)'!$A$3,"MA_HT","SKK","MA_QH","DTT")</f>
        <v>0</v>
      </c>
      <c r="AJ22" s="35">
        <f>+GETPIVOTDATA("XSN4",'suoinghe (2016)'!$A$3,"MA_HT","SKK","MA_QH","NCK")</f>
        <v>0</v>
      </c>
      <c r="AK22" s="35">
        <f>+GETPIVOTDATA("XSN4",'suoinghe (2016)'!$A$3,"MA_HT","SKK","MA_QH","DXH")</f>
        <v>0</v>
      </c>
      <c r="AL22" s="35">
        <f>+GETPIVOTDATA("XSN4",'suoinghe (2016)'!$A$3,"MA_HT","SKK","MA_QH","DCH")</f>
        <v>0</v>
      </c>
      <c r="AM22" s="35">
        <f>+GETPIVOTDATA("XSN4",'suoinghe (2016)'!$A$3,"MA_HT","SKK","MA_QH","DKG")</f>
        <v>0</v>
      </c>
      <c r="AN22" s="35">
        <f>+GETPIVOTDATA("XSN4",'suoinghe (2016)'!$A$3,"MA_HT","SKK","MA_QH","DDT")</f>
        <v>0</v>
      </c>
      <c r="AO22" s="35">
        <f>+GETPIVOTDATA("XSN4",'suoinghe (2016)'!$A$3,"MA_HT","SKK","MA_QH","DDL")</f>
        <v>0</v>
      </c>
      <c r="AP22" s="35">
        <f>+GETPIVOTDATA("XSN4",'suoinghe (2016)'!$A$3,"MA_HT","SKK","MA_QH","DRA")</f>
        <v>0</v>
      </c>
      <c r="AQ22" s="35">
        <f>+GETPIVOTDATA("XSN4",'suoinghe (2016)'!$A$3,"MA_HT","SKK","MA_QH","ONT")</f>
        <v>0</v>
      </c>
      <c r="AR22" s="35">
        <f>+GETPIVOTDATA("XSN4",'suoinghe (2016)'!$A$3,"MA_HT","SKK","MA_QH","ODT")</f>
        <v>0</v>
      </c>
      <c r="AS22" s="35">
        <f>+GETPIVOTDATA("XSN4",'suoinghe (2016)'!$A$3,"MA_HT","SKK","MA_QH","TSC")</f>
        <v>0</v>
      </c>
      <c r="AT22" s="35">
        <f>+GETPIVOTDATA("XSN4",'suoinghe (2016)'!$A$3,"MA_HT","SKK","MA_QH","DTS")</f>
        <v>0</v>
      </c>
      <c r="AU22" s="35">
        <f>+GETPIVOTDATA("XSN4",'suoinghe (2016)'!$A$3,"MA_HT","SKK","MA_QH","DNG")</f>
        <v>0</v>
      </c>
      <c r="AV22" s="35">
        <f>+GETPIVOTDATA("XSN4",'suoinghe (2016)'!$A$3,"MA_HT","SKK","MA_QH","TON")</f>
        <v>0</v>
      </c>
      <c r="AW22" s="35">
        <f>+GETPIVOTDATA("XSN4",'suoinghe (2016)'!$A$3,"MA_HT","SKK","MA_QH","NTD")</f>
        <v>0</v>
      </c>
      <c r="AX22" s="35">
        <f>+GETPIVOTDATA("XSN4",'suoinghe (2016)'!$A$3,"MA_HT","SKK","MA_QH","SKX")</f>
        <v>0</v>
      </c>
      <c r="AY22" s="35">
        <f>+GETPIVOTDATA("XSN4",'suoinghe (2016)'!$A$3,"MA_HT","SKK","MA_QH","DSH")</f>
        <v>0</v>
      </c>
      <c r="AZ22" s="35">
        <f>+GETPIVOTDATA("XSN4",'suoinghe (2016)'!$A$3,"MA_HT","SKK","MA_QH","DKV")</f>
        <v>0</v>
      </c>
      <c r="BA22" s="140">
        <f>+GETPIVOTDATA("XSN4",'suoinghe (2016)'!$A$3,"MA_HT","SKK","MA_QH","TIN")</f>
        <v>0</v>
      </c>
      <c r="BB22" s="74">
        <f>+GETPIVOTDATA("XSN4",'suoinghe (2016)'!$A$3,"MA_HT","SKK","MA_QH","SON")</f>
        <v>0</v>
      </c>
      <c r="BC22" s="74">
        <f>+GETPIVOTDATA("XSN4",'suoinghe (2016)'!$A$3,"MA_HT","SKK","MA_QH","MNC")</f>
        <v>0</v>
      </c>
      <c r="BD22" s="35">
        <f>+GETPIVOTDATA("XSN4",'suoinghe (2016)'!$A$3,"MA_HT","SKK","MA_QH","PNK")</f>
        <v>0</v>
      </c>
      <c r="BE22" s="58">
        <f>+GETPIVOTDATA("XSN4",'suoinghe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+GETPIVOTDATA("XSN4",'suoinghe (2016)'!$A$3,"MA_HT","SKT","MA_QH","LUC")</f>
        <v>0</v>
      </c>
      <c r="H23" s="35">
        <f>+GETPIVOTDATA("XSN4",'suoinghe (2016)'!$A$3,"MA_HT","SKT","MA_QH","LUK")</f>
        <v>0</v>
      </c>
      <c r="I23" s="35">
        <f>+GETPIVOTDATA("XSN4",'suoinghe (2016)'!$A$3,"MA_HT","SKT","MA_QH","LUN")</f>
        <v>0</v>
      </c>
      <c r="J23" s="35">
        <f>+GETPIVOTDATA("XSN4",'suoinghe (2016)'!$A$3,"MA_HT","SKT","MA_QH","HNK")</f>
        <v>0</v>
      </c>
      <c r="K23" s="35">
        <f>+GETPIVOTDATA("XSN4",'suoinghe (2016)'!$A$3,"MA_HT","SKT","MA_QH","CLN")</f>
        <v>0</v>
      </c>
      <c r="L23" s="35">
        <f>+GETPIVOTDATA("XSN4",'suoinghe (2016)'!$A$3,"MA_HT","SKT","MA_QH","RSX")</f>
        <v>0</v>
      </c>
      <c r="M23" s="35">
        <f>+GETPIVOTDATA("XSN4",'suoinghe (2016)'!$A$3,"MA_HT","SKT","MA_QH","RPH")</f>
        <v>0</v>
      </c>
      <c r="N23" s="35">
        <f>+GETPIVOTDATA("XSN4",'suoinghe (2016)'!$A$3,"MA_HT","SKT","MA_QH","RDD")</f>
        <v>0</v>
      </c>
      <c r="O23" s="35">
        <f>+GETPIVOTDATA("XSN4",'suoinghe (2016)'!$A$3,"MA_HT","SKT","MA_QH","NTS")</f>
        <v>0</v>
      </c>
      <c r="P23" s="35">
        <f>+GETPIVOTDATA("XSN4",'suoinghe (2016)'!$A$3,"MA_HT","SKT","MA_QH","LMU")</f>
        <v>0</v>
      </c>
      <c r="Q23" s="35">
        <f>+GETPIVOTDATA("XSN4",'suoinghe (2016)'!$A$3,"MA_HT","SKT","MA_QH","NKH")</f>
        <v>0</v>
      </c>
      <c r="R23" s="63">
        <f>SUM(S23:U23,W23:AA23,AN23:BD23)</f>
        <v>0</v>
      </c>
      <c r="S23" s="35">
        <f>+GETPIVOTDATA("XSN4",'suoinghe (2016)'!$A$3,"MA_HT","SKT","MA_QH","CQP")</f>
        <v>0</v>
      </c>
      <c r="T23" s="35">
        <f>+GETPIVOTDATA("XSN4",'suoinghe (2016)'!$A$3,"MA_HT","SKT","MA_QH","CAN")</f>
        <v>0</v>
      </c>
      <c r="U23" s="35">
        <f>+GETPIVOTDATA("XSN4",'suoinghe (2016)'!$A$3,"MA_HT","SKT","MA_QH","SKK")</f>
        <v>0</v>
      </c>
      <c r="V23" s="99" t="e">
        <f>$D23-$BF23</f>
        <v>#REF!</v>
      </c>
      <c r="W23" s="35">
        <f>+GETPIVOTDATA("XSN4",'suoinghe (2016)'!$A$3,"MA_HT","SKT","MA_QH","SKN")</f>
        <v>0</v>
      </c>
      <c r="X23" s="35">
        <f>+GETPIVOTDATA("XSN4",'suoinghe (2016)'!$A$3,"MA_HT","SKT","MA_QH","TMD")</f>
        <v>0</v>
      </c>
      <c r="Y23" s="35">
        <f>+GETPIVOTDATA("XSN4",'suoinghe (2016)'!$A$3,"MA_HT","SKT","MA_QH","SKC")</f>
        <v>0</v>
      </c>
      <c r="Z23" s="35">
        <f>+GETPIVOTDATA("XSN4",'suoinghe (2016)'!$A$3,"MA_HT","SKT","MA_QH","SKS")</f>
        <v>0</v>
      </c>
      <c r="AA23" s="64">
        <f t="shared" si="12"/>
        <v>0</v>
      </c>
      <c r="AB23" s="35">
        <f>+GETPIVOTDATA("XSN4",'suoinghe (2016)'!$A$3,"MA_HT","SKT","MA_QH","DGT")</f>
        <v>0</v>
      </c>
      <c r="AC23" s="35">
        <f>+GETPIVOTDATA("XSN4",'suoinghe (2016)'!$A$3,"MA_HT","SKT","MA_QH","DTL")</f>
        <v>0</v>
      </c>
      <c r="AD23" s="35">
        <f>+GETPIVOTDATA("XSN4",'suoinghe (2016)'!$A$3,"MA_HT","SKT","MA_QH","DNL")</f>
        <v>0</v>
      </c>
      <c r="AE23" s="35">
        <f>+GETPIVOTDATA("XSN4",'suoinghe (2016)'!$A$3,"MA_HT","SKT","MA_QH","DBV")</f>
        <v>0</v>
      </c>
      <c r="AF23" s="35">
        <f>+GETPIVOTDATA("XSN4",'suoinghe (2016)'!$A$3,"MA_HT","SKT","MA_QH","DVH")</f>
        <v>0</v>
      </c>
      <c r="AG23" s="35">
        <f>+GETPIVOTDATA("XSN4",'suoinghe (2016)'!$A$3,"MA_HT","SKT","MA_QH","DYT")</f>
        <v>0</v>
      </c>
      <c r="AH23" s="35">
        <f>+GETPIVOTDATA("XSN4",'suoinghe (2016)'!$A$3,"MA_HT","SKT","MA_QH","DGD")</f>
        <v>0</v>
      </c>
      <c r="AI23" s="35">
        <f>+GETPIVOTDATA("XSN4",'suoinghe (2016)'!$A$3,"MA_HT","SKT","MA_QH","DTT")</f>
        <v>0</v>
      </c>
      <c r="AJ23" s="35">
        <f>+GETPIVOTDATA("XSN4",'suoinghe (2016)'!$A$3,"MA_HT","SKT","MA_QH","NCK")</f>
        <v>0</v>
      </c>
      <c r="AK23" s="35">
        <f>+GETPIVOTDATA("XSN4",'suoinghe (2016)'!$A$3,"MA_HT","SKT","MA_QH","DXH")</f>
        <v>0</v>
      </c>
      <c r="AL23" s="35">
        <f>+GETPIVOTDATA("XSN4",'suoinghe (2016)'!$A$3,"MA_HT","SKT","MA_QH","DCH")</f>
        <v>0</v>
      </c>
      <c r="AM23" s="35">
        <f>+GETPIVOTDATA("XSN4",'suoinghe (2016)'!$A$3,"MA_HT","SKT","MA_QH","DKG")</f>
        <v>0</v>
      </c>
      <c r="AN23" s="35">
        <f>+GETPIVOTDATA("XSN4",'suoinghe (2016)'!$A$3,"MA_HT","SKT","MA_QH","DDT")</f>
        <v>0</v>
      </c>
      <c r="AO23" s="35">
        <f>+GETPIVOTDATA("XSN4",'suoinghe (2016)'!$A$3,"MA_HT","SKT","MA_QH","DDL")</f>
        <v>0</v>
      </c>
      <c r="AP23" s="35">
        <f>+GETPIVOTDATA("XSN4",'suoinghe (2016)'!$A$3,"MA_HT","SKT","MA_QH","DRA")</f>
        <v>0</v>
      </c>
      <c r="AQ23" s="35">
        <f>+GETPIVOTDATA("XSN4",'suoinghe (2016)'!$A$3,"MA_HT","SKT","MA_QH","ONT")</f>
        <v>0</v>
      </c>
      <c r="AR23" s="35">
        <f>+GETPIVOTDATA("XSN4",'suoinghe (2016)'!$A$3,"MA_HT","SKT","MA_QH","ODT")</f>
        <v>0</v>
      </c>
      <c r="AS23" s="35">
        <f>+GETPIVOTDATA("XSN4",'suoinghe (2016)'!$A$3,"MA_HT","SKT","MA_QH","TSC")</f>
        <v>0</v>
      </c>
      <c r="AT23" s="35">
        <f>+GETPIVOTDATA("XSN4",'suoinghe (2016)'!$A$3,"MA_HT","SKT","MA_QH","DTS")</f>
        <v>0</v>
      </c>
      <c r="AU23" s="35">
        <f>+GETPIVOTDATA("XSN4",'suoinghe (2016)'!$A$3,"MA_HT","SKT","MA_QH","DNG")</f>
        <v>0</v>
      </c>
      <c r="AV23" s="35">
        <f>+GETPIVOTDATA("XSN4",'suoinghe (2016)'!$A$3,"MA_HT","SKT","MA_QH","TON")</f>
        <v>0</v>
      </c>
      <c r="AW23" s="35">
        <f>+GETPIVOTDATA("XSN4",'suoinghe (2016)'!$A$3,"MA_HT","SKT","MA_QH","NTD")</f>
        <v>0</v>
      </c>
      <c r="AX23" s="35">
        <f>+GETPIVOTDATA("XSN4",'suoinghe (2016)'!$A$3,"MA_HT","SKT","MA_QH","SKX")</f>
        <v>0</v>
      </c>
      <c r="AY23" s="35">
        <f>+GETPIVOTDATA("XSN4",'suoinghe (2016)'!$A$3,"MA_HT","SKT","MA_QH","DSH")</f>
        <v>0</v>
      </c>
      <c r="AZ23" s="35">
        <f>+GETPIVOTDATA("XSN4",'suoinghe (2016)'!$A$3,"MA_HT","SKT","MA_QH","DKV")</f>
        <v>0</v>
      </c>
      <c r="BA23" s="140">
        <f>+GETPIVOTDATA("XSN4",'suoinghe (2016)'!$A$3,"MA_HT","SKT","MA_QH","TIN")</f>
        <v>0</v>
      </c>
      <c r="BB23" s="74">
        <f>+GETPIVOTDATA("XSN4",'suoinghe (2016)'!$A$3,"MA_HT","SKT","MA_QH","SON")</f>
        <v>0</v>
      </c>
      <c r="BC23" s="74">
        <f>+GETPIVOTDATA("XSN4",'suoinghe (2016)'!$A$3,"MA_HT","SKT","MA_QH","MNC")</f>
        <v>0</v>
      </c>
      <c r="BD23" s="35">
        <f>+GETPIVOTDATA("XSN4",'suoinghe (2016)'!$A$3,"MA_HT","SKT","MA_QH","PNK")</f>
        <v>0</v>
      </c>
      <c r="BE23" s="58">
        <f>+GETPIVOTDATA("XSN4",'suoinghe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+GETPIVOTDATA("XSN4",'suoinghe (2016)'!$A$3,"MA_HT","SKN","MA_QH","LUC")</f>
        <v>0</v>
      </c>
      <c r="H24" s="35">
        <f>+GETPIVOTDATA("XSN4",'suoinghe (2016)'!$A$3,"MA_HT","SKN","MA_QH","LUK")</f>
        <v>0</v>
      </c>
      <c r="I24" s="35">
        <f>+GETPIVOTDATA("XSN4",'suoinghe (2016)'!$A$3,"MA_HT","SKN","MA_QH","LUN")</f>
        <v>0</v>
      </c>
      <c r="J24" s="35">
        <f>+GETPIVOTDATA("XSN4",'suoinghe (2016)'!$A$3,"MA_HT","SKN","MA_QH","HNK")</f>
        <v>0</v>
      </c>
      <c r="K24" s="35">
        <f>+GETPIVOTDATA("XSN4",'suoinghe (2016)'!$A$3,"MA_HT","SKN","MA_QH","CLN")</f>
        <v>0</v>
      </c>
      <c r="L24" s="35">
        <f>+GETPIVOTDATA("XSN4",'suoinghe (2016)'!$A$3,"MA_HT","SKN","MA_QH","RSX")</f>
        <v>0</v>
      </c>
      <c r="M24" s="35">
        <f>+GETPIVOTDATA("XSN4",'suoinghe (2016)'!$A$3,"MA_HT","SKN","MA_QH","RPH")</f>
        <v>0</v>
      </c>
      <c r="N24" s="35">
        <f>+GETPIVOTDATA("XSN4",'suoinghe (2016)'!$A$3,"MA_HT","SKN","MA_QH","RDD")</f>
        <v>0</v>
      </c>
      <c r="O24" s="35">
        <f>+GETPIVOTDATA("XSN4",'suoinghe (2016)'!$A$3,"MA_HT","SKN","MA_QH","NTS")</f>
        <v>0</v>
      </c>
      <c r="P24" s="35">
        <f>+GETPIVOTDATA("XSN4",'suoinghe (2016)'!$A$3,"MA_HT","SKN","MA_QH","LMU")</f>
        <v>0</v>
      </c>
      <c r="Q24" s="35">
        <f>+GETPIVOTDATA("XSN4",'suoinghe (2016)'!$A$3,"MA_HT","SKN","MA_QH","NKH")</f>
        <v>0</v>
      </c>
      <c r="R24" s="63">
        <f>SUM(S24:V24,X24:AA24,AN24:BD24)</f>
        <v>0</v>
      </c>
      <c r="S24" s="35">
        <f>+GETPIVOTDATA("XSN4",'suoinghe (2016)'!$A$3,"MA_HT","SKN","MA_QH","CQP")</f>
        <v>0</v>
      </c>
      <c r="T24" s="35">
        <f>+GETPIVOTDATA("XSN4",'suoinghe (2016)'!$A$3,"MA_HT","SKN","MA_QH","CAN")</f>
        <v>0</v>
      </c>
      <c r="U24" s="35">
        <f>+GETPIVOTDATA("XSN4",'suoinghe (2016)'!$A$3,"MA_HT","SKN","MA_QH","SKK")</f>
        <v>0</v>
      </c>
      <c r="V24" s="35">
        <f>+GETPIVOTDATA("XSN4",'suoinghe (2016)'!$A$3,"MA_HT","SKN","MA_QH","SKT")</f>
        <v>0</v>
      </c>
      <c r="W24" s="99" t="e">
        <f>$D24-$BF24</f>
        <v>#REF!</v>
      </c>
      <c r="X24" s="35">
        <f>+GETPIVOTDATA("XSN4",'suoinghe (2016)'!$A$3,"MA_HT","SKN","MA_QH","TMD")</f>
        <v>0</v>
      </c>
      <c r="Y24" s="35">
        <f>+GETPIVOTDATA("XSN4",'suoinghe (2016)'!$A$3,"MA_HT","SKN","MA_QH","SKC")</f>
        <v>0</v>
      </c>
      <c r="Z24" s="35">
        <f>+GETPIVOTDATA("XSN4",'suoinghe (2016)'!$A$3,"MA_HT","SKN","MA_QH","SKS")</f>
        <v>0</v>
      </c>
      <c r="AA24" s="64">
        <f t="shared" si="12"/>
        <v>0</v>
      </c>
      <c r="AB24" s="35">
        <f>+GETPIVOTDATA("XSN4",'suoinghe (2016)'!$A$3,"MA_HT","SKN","MA_QH","DGT")</f>
        <v>0</v>
      </c>
      <c r="AC24" s="35">
        <f>+GETPIVOTDATA("XSN4",'suoinghe (2016)'!$A$3,"MA_HT","SKN","MA_QH","DTL")</f>
        <v>0</v>
      </c>
      <c r="AD24" s="35">
        <f>+GETPIVOTDATA("XSN4",'suoinghe (2016)'!$A$3,"MA_HT","SKN","MA_QH","DNL")</f>
        <v>0</v>
      </c>
      <c r="AE24" s="35">
        <f>+GETPIVOTDATA("XSN4",'suoinghe (2016)'!$A$3,"MA_HT","SKN","MA_QH","DBV")</f>
        <v>0</v>
      </c>
      <c r="AF24" s="35">
        <f>+GETPIVOTDATA("XSN4",'suoinghe (2016)'!$A$3,"MA_HT","SKN","MA_QH","DVH")</f>
        <v>0</v>
      </c>
      <c r="AG24" s="35">
        <f>+GETPIVOTDATA("XSN4",'suoinghe (2016)'!$A$3,"MA_HT","SKN","MA_QH","DYT")</f>
        <v>0</v>
      </c>
      <c r="AH24" s="35">
        <f>+GETPIVOTDATA("XSN4",'suoinghe (2016)'!$A$3,"MA_HT","SKN","MA_QH","DGD")</f>
        <v>0</v>
      </c>
      <c r="AI24" s="35">
        <f>+GETPIVOTDATA("XSN4",'suoinghe (2016)'!$A$3,"MA_HT","SKN","MA_QH","DTT")</f>
        <v>0</v>
      </c>
      <c r="AJ24" s="35">
        <f>+GETPIVOTDATA("XSN4",'suoinghe (2016)'!$A$3,"MA_HT","SKN","MA_QH","NCK")</f>
        <v>0</v>
      </c>
      <c r="AK24" s="35">
        <f>+GETPIVOTDATA("XSN4",'suoinghe (2016)'!$A$3,"MA_HT","SKN","MA_QH","DXH")</f>
        <v>0</v>
      </c>
      <c r="AL24" s="35">
        <f>+GETPIVOTDATA("XSN4",'suoinghe (2016)'!$A$3,"MA_HT","SKN","MA_QH","DCH")</f>
        <v>0</v>
      </c>
      <c r="AM24" s="35">
        <f>+GETPIVOTDATA("XSN4",'suoinghe (2016)'!$A$3,"MA_HT","SKN","MA_QH","DKG")</f>
        <v>0</v>
      </c>
      <c r="AN24" s="35">
        <f>+GETPIVOTDATA("XSN4",'suoinghe (2016)'!$A$3,"MA_HT","SKN","MA_QH","DDT")</f>
        <v>0</v>
      </c>
      <c r="AO24" s="35">
        <f>+GETPIVOTDATA("XSN4",'suoinghe (2016)'!$A$3,"MA_HT","SKN","MA_QH","DDL")</f>
        <v>0</v>
      </c>
      <c r="AP24" s="35">
        <f>+GETPIVOTDATA("XSN4",'suoinghe (2016)'!$A$3,"MA_HT","SKN","MA_QH","DRA")</f>
        <v>0</v>
      </c>
      <c r="AQ24" s="35">
        <f>+GETPIVOTDATA("XSN4",'suoinghe (2016)'!$A$3,"MA_HT","SKN","MA_QH","ONT")</f>
        <v>0</v>
      </c>
      <c r="AR24" s="35">
        <f>+GETPIVOTDATA("XSN4",'suoinghe (2016)'!$A$3,"MA_HT","SKN","MA_QH","ODT")</f>
        <v>0</v>
      </c>
      <c r="AS24" s="35">
        <f>+GETPIVOTDATA("XSN4",'suoinghe (2016)'!$A$3,"MA_HT","SKN","MA_QH","TSC")</f>
        <v>0</v>
      </c>
      <c r="AT24" s="35">
        <f>+GETPIVOTDATA("XSN4",'suoinghe (2016)'!$A$3,"MA_HT","SKN","MA_QH","DTS")</f>
        <v>0</v>
      </c>
      <c r="AU24" s="35">
        <f>+GETPIVOTDATA("XSN4",'suoinghe (2016)'!$A$3,"MA_HT","SKN","MA_QH","DNG")</f>
        <v>0</v>
      </c>
      <c r="AV24" s="35">
        <f>+GETPIVOTDATA("XSN4",'suoinghe (2016)'!$A$3,"MA_HT","SKN","MA_QH","TON")</f>
        <v>0</v>
      </c>
      <c r="AW24" s="35">
        <f>+GETPIVOTDATA("XSN4",'suoinghe (2016)'!$A$3,"MA_HT","SKN","MA_QH","NTD")</f>
        <v>0</v>
      </c>
      <c r="AX24" s="35">
        <f>+GETPIVOTDATA("XSN4",'suoinghe (2016)'!$A$3,"MA_HT","SKN","MA_QH","SKX")</f>
        <v>0</v>
      </c>
      <c r="AY24" s="35">
        <f>+GETPIVOTDATA("XSN4",'suoinghe (2016)'!$A$3,"MA_HT","SKN","MA_QH","DSH")</f>
        <v>0</v>
      </c>
      <c r="AZ24" s="35">
        <f>+GETPIVOTDATA("XSN4",'suoinghe (2016)'!$A$3,"MA_HT","SKN","MA_QH","DKV")</f>
        <v>0</v>
      </c>
      <c r="BA24" s="140">
        <f>+GETPIVOTDATA("XSN4",'suoinghe (2016)'!$A$3,"MA_HT","SKN","MA_QH","TIN")</f>
        <v>0</v>
      </c>
      <c r="BB24" s="74">
        <f>+GETPIVOTDATA("XSN4",'suoinghe (2016)'!$A$3,"MA_HT","SKN","MA_QH","SON")</f>
        <v>0</v>
      </c>
      <c r="BC24" s="74">
        <f>+GETPIVOTDATA("XSN4",'suoinghe (2016)'!$A$3,"MA_HT","SKN","MA_QH","MNC")</f>
        <v>0</v>
      </c>
      <c r="BD24" s="35">
        <f>+GETPIVOTDATA("XSN4",'suoinghe (2016)'!$A$3,"MA_HT","SKN","MA_QH","PNK")</f>
        <v>0</v>
      </c>
      <c r="BE24" s="58">
        <f>+GETPIVOTDATA("XSN4",'suoinghe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+GETPIVOTDATA("XSN4",'suoinghe (2016)'!$A$3,"MA_HT","TMD","MA_QH","LUC")</f>
        <v>0</v>
      </c>
      <c r="H25" s="35">
        <f>+GETPIVOTDATA("XSN4",'suoinghe (2016)'!$A$3,"MA_HT","TMD","MA_QH","LUK")</f>
        <v>0</v>
      </c>
      <c r="I25" s="35">
        <f>+GETPIVOTDATA("XSN4",'suoinghe (2016)'!$A$3,"MA_HT","TMD","MA_QH","LUN")</f>
        <v>0</v>
      </c>
      <c r="J25" s="35">
        <f>+GETPIVOTDATA("XSN4",'suoinghe (2016)'!$A$3,"MA_HT","TMD","MA_QH","HNK")</f>
        <v>0</v>
      </c>
      <c r="K25" s="35">
        <f>+GETPIVOTDATA("XSN4",'suoinghe (2016)'!$A$3,"MA_HT","TMD","MA_QH","CLN")</f>
        <v>0</v>
      </c>
      <c r="L25" s="35">
        <f>+GETPIVOTDATA("XSN4",'suoinghe (2016)'!$A$3,"MA_HT","TMD","MA_QH","RSX")</f>
        <v>0</v>
      </c>
      <c r="M25" s="35">
        <f>+GETPIVOTDATA("XSN4",'suoinghe (2016)'!$A$3,"MA_HT","TMD","MA_QH","RPH")</f>
        <v>0</v>
      </c>
      <c r="N25" s="35">
        <f>+GETPIVOTDATA("XSN4",'suoinghe (2016)'!$A$3,"MA_HT","TMD","MA_QH","RDD")</f>
        <v>0</v>
      </c>
      <c r="O25" s="35">
        <f>+GETPIVOTDATA("XSN4",'suoinghe (2016)'!$A$3,"MA_HT","TMD","MA_QH","NTS")</f>
        <v>0</v>
      </c>
      <c r="P25" s="35">
        <f>+GETPIVOTDATA("XSN4",'suoinghe (2016)'!$A$3,"MA_HT","TMD","MA_QH","LMU")</f>
        <v>0</v>
      </c>
      <c r="Q25" s="35">
        <f>+GETPIVOTDATA("XSN4",'suoinghe (2016)'!$A$3,"MA_HT","TMD","MA_QH","NKH")</f>
        <v>0</v>
      </c>
      <c r="R25" s="63">
        <f>SUM(S25:W25,Y25:AA25,AN25:BD25)</f>
        <v>0</v>
      </c>
      <c r="S25" s="35">
        <f>+GETPIVOTDATA("XSN4",'suoinghe (2016)'!$A$3,"MA_HT","TMD","MA_QH","CQP")</f>
        <v>0</v>
      </c>
      <c r="T25" s="35">
        <f>+GETPIVOTDATA("XSN4",'suoinghe (2016)'!$A$3,"MA_HT","TMD","MA_QH","CAN")</f>
        <v>0</v>
      </c>
      <c r="U25" s="35">
        <f>+GETPIVOTDATA("XSN4",'suoinghe (2016)'!$A$3,"MA_HT","TMD","MA_QH","SKK")</f>
        <v>0</v>
      </c>
      <c r="V25" s="35">
        <f>+GETPIVOTDATA("XSN4",'suoinghe (2016)'!$A$3,"MA_HT","TMD","MA_QH","SKT")</f>
        <v>0</v>
      </c>
      <c r="W25" s="35">
        <f>+GETPIVOTDATA("XSN4",'suoinghe (2016)'!$A$3,"MA_HT","TMD","MA_QH","SKN")</f>
        <v>0</v>
      </c>
      <c r="X25" s="99" t="e">
        <f>$D25-$BF25</f>
        <v>#REF!</v>
      </c>
      <c r="Y25" s="35">
        <f>+GETPIVOTDATA("XSN4",'suoinghe (2016)'!$A$3,"MA_HT","TMD","MA_QH","SKC")</f>
        <v>0</v>
      </c>
      <c r="Z25" s="35">
        <f>+GETPIVOTDATA("XSN4",'suoinghe (2016)'!$A$3,"MA_HT","TMD","MA_QH","SKS")</f>
        <v>0</v>
      </c>
      <c r="AA25" s="64">
        <f t="shared" si="12"/>
        <v>0</v>
      </c>
      <c r="AB25" s="35">
        <f>+GETPIVOTDATA("XSN4",'suoinghe (2016)'!$A$3,"MA_HT","TMD","MA_QH","DGT")</f>
        <v>0</v>
      </c>
      <c r="AC25" s="35">
        <f>+GETPIVOTDATA("XSN4",'suoinghe (2016)'!$A$3,"MA_HT","TMD","MA_QH","DTL")</f>
        <v>0</v>
      </c>
      <c r="AD25" s="35">
        <f>+GETPIVOTDATA("XSN4",'suoinghe (2016)'!$A$3,"MA_HT","TMD","MA_QH","DNL")</f>
        <v>0</v>
      </c>
      <c r="AE25" s="35">
        <f>+GETPIVOTDATA("XSN4",'suoinghe (2016)'!$A$3,"MA_HT","TMD","MA_QH","DBV")</f>
        <v>0</v>
      </c>
      <c r="AF25" s="35">
        <f>+GETPIVOTDATA("XSN4",'suoinghe (2016)'!$A$3,"MA_HT","TMD","MA_QH","DVH")</f>
        <v>0</v>
      </c>
      <c r="AG25" s="35">
        <f>+GETPIVOTDATA("XSN4",'suoinghe (2016)'!$A$3,"MA_HT","TMD","MA_QH","DYT")</f>
        <v>0</v>
      </c>
      <c r="AH25" s="35">
        <f>+GETPIVOTDATA("XSN4",'suoinghe (2016)'!$A$3,"MA_HT","TMD","MA_QH","DGD")</f>
        <v>0</v>
      </c>
      <c r="AI25" s="35">
        <f>+GETPIVOTDATA("XSN4",'suoinghe (2016)'!$A$3,"MA_HT","TMD","MA_QH","DTT")</f>
        <v>0</v>
      </c>
      <c r="AJ25" s="35">
        <f>+GETPIVOTDATA("XSN4",'suoinghe (2016)'!$A$3,"MA_HT","TMD","MA_QH","NCK")</f>
        <v>0</v>
      </c>
      <c r="AK25" s="35">
        <f>+GETPIVOTDATA("XSN4",'suoinghe (2016)'!$A$3,"MA_HT","TMD","MA_QH","DXH")</f>
        <v>0</v>
      </c>
      <c r="AL25" s="35">
        <f>+GETPIVOTDATA("XSN4",'suoinghe (2016)'!$A$3,"MA_HT","TMD","MA_QH","DCH")</f>
        <v>0</v>
      </c>
      <c r="AM25" s="35">
        <f>+GETPIVOTDATA("XSN4",'suoinghe (2016)'!$A$3,"MA_HT","TMD","MA_QH","DKG")</f>
        <v>0</v>
      </c>
      <c r="AN25" s="35">
        <f>+GETPIVOTDATA("XSN4",'suoinghe (2016)'!$A$3,"MA_HT","TMD","MA_QH","DDT")</f>
        <v>0</v>
      </c>
      <c r="AO25" s="35">
        <f>+GETPIVOTDATA("XSN4",'suoinghe (2016)'!$A$3,"MA_HT","TMD","MA_QH","DDL")</f>
        <v>0</v>
      </c>
      <c r="AP25" s="35">
        <f>+GETPIVOTDATA("XSN4",'suoinghe (2016)'!$A$3,"MA_HT","TMD","MA_QH","DRA")</f>
        <v>0</v>
      </c>
      <c r="AQ25" s="35">
        <f>+GETPIVOTDATA("XSN4",'suoinghe (2016)'!$A$3,"MA_HT","TMD","MA_QH","ONT")</f>
        <v>0</v>
      </c>
      <c r="AR25" s="35">
        <f>+GETPIVOTDATA("XSN4",'suoinghe (2016)'!$A$3,"MA_HT","TMD","MA_QH","ODT")</f>
        <v>0</v>
      </c>
      <c r="AS25" s="35">
        <f>+GETPIVOTDATA("XSN4",'suoinghe (2016)'!$A$3,"MA_HT","TMD","MA_QH","TSC")</f>
        <v>0</v>
      </c>
      <c r="AT25" s="35">
        <f>+GETPIVOTDATA("XSN4",'suoinghe (2016)'!$A$3,"MA_HT","TMD","MA_QH","DTS")</f>
        <v>0</v>
      </c>
      <c r="AU25" s="35">
        <f>+GETPIVOTDATA("XSN4",'suoinghe (2016)'!$A$3,"MA_HT","TMD","MA_QH","DNG")</f>
        <v>0</v>
      </c>
      <c r="AV25" s="35">
        <f>+GETPIVOTDATA("XSN4",'suoinghe (2016)'!$A$3,"MA_HT","TMD","MA_QH","TON")</f>
        <v>0</v>
      </c>
      <c r="AW25" s="35">
        <f>+GETPIVOTDATA("XSN4",'suoinghe (2016)'!$A$3,"MA_HT","TMD","MA_QH","NTD")</f>
        <v>0</v>
      </c>
      <c r="AX25" s="35">
        <f>+GETPIVOTDATA("XSN4",'suoinghe (2016)'!$A$3,"MA_HT","TMD","MA_QH","SKX")</f>
        <v>0</v>
      </c>
      <c r="AY25" s="35">
        <f>+GETPIVOTDATA("XSN4",'suoinghe (2016)'!$A$3,"MA_HT","TMD","MA_QH","DSH")</f>
        <v>0</v>
      </c>
      <c r="AZ25" s="35">
        <f>+GETPIVOTDATA("XSN4",'suoinghe (2016)'!$A$3,"MA_HT","TMD","MA_QH","DKV")</f>
        <v>0</v>
      </c>
      <c r="BA25" s="140">
        <f>+GETPIVOTDATA("XSN4",'suoinghe (2016)'!$A$3,"MA_HT","TMD","MA_QH","TIN")</f>
        <v>0</v>
      </c>
      <c r="BB25" s="74">
        <f>+GETPIVOTDATA("XSN4",'suoinghe (2016)'!$A$3,"MA_HT","TMD","MA_QH","SON")</f>
        <v>0</v>
      </c>
      <c r="BC25" s="74">
        <f>+GETPIVOTDATA("XSN4",'suoinghe (2016)'!$A$3,"MA_HT","TMD","MA_QH","MNC")</f>
        <v>0</v>
      </c>
      <c r="BD25" s="35">
        <f>+GETPIVOTDATA("XSN4",'suoinghe (2016)'!$A$3,"MA_HT","TMD","MA_QH","PNK")</f>
        <v>0</v>
      </c>
      <c r="BE25" s="58">
        <f>+GETPIVOTDATA("XSN4",'suoinghe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+GETPIVOTDATA("XSN4",'suoinghe (2016)'!$A$3,"MA_HT","SKC","MA_QH","LUC")</f>
        <v>0</v>
      </c>
      <c r="H26" s="35">
        <f>+GETPIVOTDATA("XSN4",'suoinghe (2016)'!$A$3,"MA_HT","SKC","MA_QH","LUK")</f>
        <v>0</v>
      </c>
      <c r="I26" s="35">
        <f>+GETPIVOTDATA("XSN4",'suoinghe (2016)'!$A$3,"MA_HT","SKC","MA_QH","LUN")</f>
        <v>0</v>
      </c>
      <c r="J26" s="35">
        <f>+GETPIVOTDATA("XSN4",'suoinghe (2016)'!$A$3,"MA_HT","SKC","MA_QH","HNK")</f>
        <v>0</v>
      </c>
      <c r="K26" s="35">
        <f>+GETPIVOTDATA("XSN4",'suoinghe (2016)'!$A$3,"MA_HT","SKC","MA_QH","CLN")</f>
        <v>0</v>
      </c>
      <c r="L26" s="35">
        <f>+GETPIVOTDATA("XSN4",'suoinghe (2016)'!$A$3,"MA_HT","SKC","MA_QH","RSX")</f>
        <v>0</v>
      </c>
      <c r="M26" s="35">
        <f>+GETPIVOTDATA("XSN4",'suoinghe (2016)'!$A$3,"MA_HT","SKC","MA_QH","RPH")</f>
        <v>0</v>
      </c>
      <c r="N26" s="35">
        <f>+GETPIVOTDATA("XSN4",'suoinghe (2016)'!$A$3,"MA_HT","SKC","MA_QH","RDD")</f>
        <v>0</v>
      </c>
      <c r="O26" s="35">
        <f>+GETPIVOTDATA("XSN4",'suoinghe (2016)'!$A$3,"MA_HT","SKC","MA_QH","NTS")</f>
        <v>0</v>
      </c>
      <c r="P26" s="35">
        <f>+GETPIVOTDATA("XSN4",'suoinghe (2016)'!$A$3,"MA_HT","SKC","MA_QH","LMU")</f>
        <v>0</v>
      </c>
      <c r="Q26" s="35">
        <f>+GETPIVOTDATA("XSN4",'suoinghe (2016)'!$A$3,"MA_HT","SKC","MA_QH","NKH")</f>
        <v>0</v>
      </c>
      <c r="R26" s="63">
        <f>SUM(S26:X26,Z26,AN26:BD26)</f>
        <v>0</v>
      </c>
      <c r="S26" s="35">
        <f>+GETPIVOTDATA("XSN4",'suoinghe (2016)'!$A$3,"MA_HT","SKC","MA_QH","CQP")</f>
        <v>0</v>
      </c>
      <c r="T26" s="35">
        <f>+GETPIVOTDATA("XSN4",'suoinghe (2016)'!$A$3,"MA_HT","SKC","MA_QH","CAN")</f>
        <v>0</v>
      </c>
      <c r="U26" s="35">
        <f>+GETPIVOTDATA("XSN4",'suoinghe (2016)'!$A$3,"MA_HT","SKC","MA_QH","SKK")</f>
        <v>0</v>
      </c>
      <c r="V26" s="35">
        <f>+GETPIVOTDATA("XSN4",'suoinghe (2016)'!$A$3,"MA_HT","SKC","MA_QH","SKT")</f>
        <v>0</v>
      </c>
      <c r="W26" s="35">
        <f>+GETPIVOTDATA("XSN4",'suoinghe (2016)'!$A$3,"MA_HT","SKC","MA_QH","SKN")</f>
        <v>0</v>
      </c>
      <c r="X26" s="35">
        <f>+GETPIVOTDATA("XSN4",'suoinghe (2016)'!$A$3,"MA_HT","SKC","MA_QH","TMD")</f>
        <v>0</v>
      </c>
      <c r="Y26" s="99" t="e">
        <f>$D26-$BF26</f>
        <v>#REF!</v>
      </c>
      <c r="Z26" s="35">
        <f>+GETPIVOTDATA("XSN4",'suoinghe (2016)'!$A$3,"MA_HT","SKC","MA_QH","SKS")</f>
        <v>0</v>
      </c>
      <c r="AA26" s="64">
        <f t="shared" si="12"/>
        <v>0</v>
      </c>
      <c r="AB26" s="35">
        <f>+GETPIVOTDATA("XSN4",'suoinghe (2016)'!$A$3,"MA_HT","SKC","MA_QH","DGT")</f>
        <v>0</v>
      </c>
      <c r="AC26" s="35">
        <f>+GETPIVOTDATA("XSN4",'suoinghe (2016)'!$A$3,"MA_HT","SKC","MA_QH","DTL")</f>
        <v>0</v>
      </c>
      <c r="AD26" s="35">
        <f>+GETPIVOTDATA("XSN4",'suoinghe (2016)'!$A$3,"MA_HT","SKC","MA_QH","DNL")</f>
        <v>0</v>
      </c>
      <c r="AE26" s="35">
        <f>+GETPIVOTDATA("XSN4",'suoinghe (2016)'!$A$3,"MA_HT","SKC","MA_QH","DBV")</f>
        <v>0</v>
      </c>
      <c r="AF26" s="35">
        <f>+GETPIVOTDATA("XSN4",'suoinghe (2016)'!$A$3,"MA_HT","SKC","MA_QH","DVH")</f>
        <v>0</v>
      </c>
      <c r="AG26" s="35">
        <f>+GETPIVOTDATA("XSN4",'suoinghe (2016)'!$A$3,"MA_HT","SKC","MA_QH","DYT")</f>
        <v>0</v>
      </c>
      <c r="AH26" s="35">
        <f>+GETPIVOTDATA("XSN4",'suoinghe (2016)'!$A$3,"MA_HT","SKC","MA_QH","DGD")</f>
        <v>0</v>
      </c>
      <c r="AI26" s="35">
        <f>+GETPIVOTDATA("XSN4",'suoinghe (2016)'!$A$3,"MA_HT","SKC","MA_QH","DTT")</f>
        <v>0</v>
      </c>
      <c r="AJ26" s="35">
        <f>+GETPIVOTDATA("XSN4",'suoinghe (2016)'!$A$3,"MA_HT","SKC","MA_QH","NCK")</f>
        <v>0</v>
      </c>
      <c r="AK26" s="35">
        <f>+GETPIVOTDATA("XSN4",'suoinghe (2016)'!$A$3,"MA_HT","SKC","MA_QH","DXH")</f>
        <v>0</v>
      </c>
      <c r="AL26" s="35">
        <f>+GETPIVOTDATA("XSN4",'suoinghe (2016)'!$A$3,"MA_HT","SKC","MA_QH","DCH")</f>
        <v>0</v>
      </c>
      <c r="AM26" s="35">
        <f>+GETPIVOTDATA("XSN4",'suoinghe (2016)'!$A$3,"MA_HT","SKC","MA_QH","DKG")</f>
        <v>0</v>
      </c>
      <c r="AN26" s="35">
        <f>+GETPIVOTDATA("XSN4",'suoinghe (2016)'!$A$3,"MA_HT","SKC","MA_QH","DDT")</f>
        <v>0</v>
      </c>
      <c r="AO26" s="35">
        <f>+GETPIVOTDATA("XSN4",'suoinghe (2016)'!$A$3,"MA_HT","SKC","MA_QH","DDL")</f>
        <v>0</v>
      </c>
      <c r="AP26" s="35">
        <f>+GETPIVOTDATA("XSN4",'suoinghe (2016)'!$A$3,"MA_HT","SKC","MA_QH","DRA")</f>
        <v>0</v>
      </c>
      <c r="AQ26" s="35">
        <f>+GETPIVOTDATA("XSN4",'suoinghe (2016)'!$A$3,"MA_HT","SKC","MA_QH","ONT")</f>
        <v>0</v>
      </c>
      <c r="AR26" s="35">
        <f>+GETPIVOTDATA("XSN4",'suoinghe (2016)'!$A$3,"MA_HT","SKC","MA_QH","ODT")</f>
        <v>0</v>
      </c>
      <c r="AS26" s="35">
        <f>+GETPIVOTDATA("XSN4",'suoinghe (2016)'!$A$3,"MA_HT","SKC","MA_QH","TSC")</f>
        <v>0</v>
      </c>
      <c r="AT26" s="35">
        <f>+GETPIVOTDATA("XSN4",'suoinghe (2016)'!$A$3,"MA_HT","SKC","MA_QH","DTS")</f>
        <v>0</v>
      </c>
      <c r="AU26" s="35">
        <f>+GETPIVOTDATA("XSN4",'suoinghe (2016)'!$A$3,"MA_HT","SKC","MA_QH","DNG")</f>
        <v>0</v>
      </c>
      <c r="AV26" s="35">
        <f>+GETPIVOTDATA("XSN4",'suoinghe (2016)'!$A$3,"MA_HT","SKC","MA_QH","TON")</f>
        <v>0</v>
      </c>
      <c r="AW26" s="35">
        <f>+GETPIVOTDATA("XSN4",'suoinghe (2016)'!$A$3,"MA_HT","SKC","MA_QH","NTD")</f>
        <v>0</v>
      </c>
      <c r="AX26" s="35">
        <f>+GETPIVOTDATA("XSN4",'suoinghe (2016)'!$A$3,"MA_HT","SKC","MA_QH","SKX")</f>
        <v>0</v>
      </c>
      <c r="AY26" s="35">
        <f>+GETPIVOTDATA("XSN4",'suoinghe (2016)'!$A$3,"MA_HT","SKC","MA_QH","DSH")</f>
        <v>0</v>
      </c>
      <c r="AZ26" s="35">
        <f>+GETPIVOTDATA("XSN4",'suoinghe (2016)'!$A$3,"MA_HT","SKC","MA_QH","DKV")</f>
        <v>0</v>
      </c>
      <c r="BA26" s="140">
        <f>+GETPIVOTDATA("XSN4",'suoinghe (2016)'!$A$3,"MA_HT","SKC","MA_QH","TIN")</f>
        <v>0</v>
      </c>
      <c r="BB26" s="74">
        <f>+GETPIVOTDATA("XSN4",'suoinghe (2016)'!$A$3,"MA_HT","SKC","MA_QH","SON")</f>
        <v>0</v>
      </c>
      <c r="BC26" s="74">
        <f>+GETPIVOTDATA("XSN4",'suoinghe (2016)'!$A$3,"MA_HT","SKC","MA_QH","MNC")</f>
        <v>0</v>
      </c>
      <c r="BD26" s="35">
        <f>+GETPIVOTDATA("XSN4",'suoinghe (2016)'!$A$3,"MA_HT","SKC","MA_QH","PNK")</f>
        <v>0</v>
      </c>
      <c r="BE26" s="58">
        <f>+GETPIVOTDATA("XSN4",'suoinghe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+GETPIVOTDATA("XSN4",'suoinghe (2016)'!$A$3,"MA_HT","SKS","MA_QH","LUC")</f>
        <v>0</v>
      </c>
      <c r="H27" s="35">
        <f>+GETPIVOTDATA("XSN4",'suoinghe (2016)'!$A$3,"MA_HT","SKS","MA_QH","LUK")</f>
        <v>0</v>
      </c>
      <c r="I27" s="35">
        <f>+GETPIVOTDATA("XSN4",'suoinghe (2016)'!$A$3,"MA_HT","SKS","MA_QH","LUN")</f>
        <v>0</v>
      </c>
      <c r="J27" s="35">
        <f>+GETPIVOTDATA("XSN4",'suoinghe (2016)'!$A$3,"MA_HT","SKS","MA_QH","HNK")</f>
        <v>0</v>
      </c>
      <c r="K27" s="35">
        <f>+GETPIVOTDATA("XSN4",'suoinghe (2016)'!$A$3,"MA_HT","SKS","MA_QH","CLN")</f>
        <v>0</v>
      </c>
      <c r="L27" s="35">
        <f>+GETPIVOTDATA("XSN4",'suoinghe (2016)'!$A$3,"MA_HT","SKS","MA_QH","RSX")</f>
        <v>0</v>
      </c>
      <c r="M27" s="35">
        <f>+GETPIVOTDATA("XSN4",'suoinghe (2016)'!$A$3,"MA_HT","SKS","MA_QH","RPH")</f>
        <v>0</v>
      </c>
      <c r="N27" s="35">
        <f>+GETPIVOTDATA("XSN4",'suoinghe (2016)'!$A$3,"MA_HT","SKS","MA_QH","RDD")</f>
        <v>0</v>
      </c>
      <c r="O27" s="35">
        <f>+GETPIVOTDATA("XSN4",'suoinghe (2016)'!$A$3,"MA_HT","SKS","MA_QH","NTS")</f>
        <v>0</v>
      </c>
      <c r="P27" s="35">
        <f>+GETPIVOTDATA("XSN4",'suoinghe (2016)'!$A$3,"MA_HT","SKS","MA_QH","LMU")</f>
        <v>0</v>
      </c>
      <c r="Q27" s="35">
        <f>+GETPIVOTDATA("XSN4",'suoinghe (2016)'!$A$3,"MA_HT","SKS","MA_QH","NKH")</f>
        <v>0</v>
      </c>
      <c r="R27" s="63">
        <f>SUM(S27:Y27,AA27,AN27:BD27)</f>
        <v>0</v>
      </c>
      <c r="S27" s="35">
        <f>+GETPIVOTDATA("XSN4",'suoinghe (2016)'!$A$3,"MA_HT","SKS","MA_QH","CQP")</f>
        <v>0</v>
      </c>
      <c r="T27" s="35">
        <f>+GETPIVOTDATA("XSN4",'suoinghe (2016)'!$A$3,"MA_HT","SKS","MA_QH","CAN")</f>
        <v>0</v>
      </c>
      <c r="U27" s="35">
        <f>+GETPIVOTDATA("XSN4",'suoinghe (2016)'!$A$3,"MA_HT","SKS","MA_QH","SKK")</f>
        <v>0</v>
      </c>
      <c r="V27" s="35">
        <f>+GETPIVOTDATA("XSN4",'suoinghe (2016)'!$A$3,"MA_HT","SKS","MA_QH","SKT")</f>
        <v>0</v>
      </c>
      <c r="W27" s="35">
        <f>+GETPIVOTDATA("XSN4",'suoinghe (2016)'!$A$3,"MA_HT","SKS","MA_QH","SKN")</f>
        <v>0</v>
      </c>
      <c r="X27" s="35">
        <f>+GETPIVOTDATA("XSN4",'suoinghe (2016)'!$A$3,"MA_HT","SKS","MA_QH","TMD")</f>
        <v>0</v>
      </c>
      <c r="Y27" s="35">
        <f>+GETPIVOTDATA("XSN4",'suoinghe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+GETPIVOTDATA("XSN4",'suoinghe (2016)'!$A$3,"MA_HT","SKS","MA_QH","DGT")</f>
        <v>0</v>
      </c>
      <c r="AC27" s="35">
        <f>+GETPIVOTDATA("XSN4",'suoinghe (2016)'!$A$3,"MA_HT","SKS","MA_QH","DTL")</f>
        <v>0</v>
      </c>
      <c r="AD27" s="35">
        <f>+GETPIVOTDATA("XSN4",'suoinghe (2016)'!$A$3,"MA_HT","SKS","MA_QH","DNL")</f>
        <v>0</v>
      </c>
      <c r="AE27" s="35">
        <f>+GETPIVOTDATA("XSN4",'suoinghe (2016)'!$A$3,"MA_HT","SKS","MA_QH","DBV")</f>
        <v>0</v>
      </c>
      <c r="AF27" s="35">
        <f>+GETPIVOTDATA("XSN4",'suoinghe (2016)'!$A$3,"MA_HT","SKS","MA_QH","DVH")</f>
        <v>0</v>
      </c>
      <c r="AG27" s="35">
        <f>+GETPIVOTDATA("XSN4",'suoinghe (2016)'!$A$3,"MA_HT","SKS","MA_QH","DYT")</f>
        <v>0</v>
      </c>
      <c r="AH27" s="35">
        <f>+GETPIVOTDATA("XSN4",'suoinghe (2016)'!$A$3,"MA_HT","SKS","MA_QH","DGD")</f>
        <v>0</v>
      </c>
      <c r="AI27" s="35">
        <f>+GETPIVOTDATA("XSN4",'suoinghe (2016)'!$A$3,"MA_HT","SKS","MA_QH","DTT")</f>
        <v>0</v>
      </c>
      <c r="AJ27" s="35">
        <f>+GETPIVOTDATA("XSN4",'suoinghe (2016)'!$A$3,"MA_HT","SKS","MA_QH","NCK")</f>
        <v>0</v>
      </c>
      <c r="AK27" s="35">
        <f>+GETPIVOTDATA("XSN4",'suoinghe (2016)'!$A$3,"MA_HT","SKS","MA_QH","DXH")</f>
        <v>0</v>
      </c>
      <c r="AL27" s="35">
        <f>+GETPIVOTDATA("XSN4",'suoinghe (2016)'!$A$3,"MA_HT","SKS","MA_QH","DCH")</f>
        <v>0</v>
      </c>
      <c r="AM27" s="35">
        <f>+GETPIVOTDATA("XSN4",'suoinghe (2016)'!$A$3,"MA_HT","SKS","MA_QH","DKG")</f>
        <v>0</v>
      </c>
      <c r="AN27" s="35">
        <f>+GETPIVOTDATA("XSN4",'suoinghe (2016)'!$A$3,"MA_HT","SKS","MA_QH","DDT")</f>
        <v>0</v>
      </c>
      <c r="AO27" s="35">
        <f>+GETPIVOTDATA("XSN4",'suoinghe (2016)'!$A$3,"MA_HT","SKS","MA_QH","DDL")</f>
        <v>0</v>
      </c>
      <c r="AP27" s="35">
        <f>+GETPIVOTDATA("XSN4",'suoinghe (2016)'!$A$3,"MA_HT","SKS","MA_QH","DRA")</f>
        <v>0</v>
      </c>
      <c r="AQ27" s="35">
        <f>+GETPIVOTDATA("XSN4",'suoinghe (2016)'!$A$3,"MA_HT","SKS","MA_QH","ONT")</f>
        <v>0</v>
      </c>
      <c r="AR27" s="35">
        <f>+GETPIVOTDATA("XSN4",'suoinghe (2016)'!$A$3,"MA_HT","SKS","MA_QH","ODT")</f>
        <v>0</v>
      </c>
      <c r="AS27" s="35">
        <f>+GETPIVOTDATA("XSN4",'suoinghe (2016)'!$A$3,"MA_HT","SKS","MA_QH","TSC")</f>
        <v>0</v>
      </c>
      <c r="AT27" s="35">
        <f>+GETPIVOTDATA("XSN4",'suoinghe (2016)'!$A$3,"MA_HT","SKS","MA_QH","DTS")</f>
        <v>0</v>
      </c>
      <c r="AU27" s="35">
        <f>+GETPIVOTDATA("XSN4",'suoinghe (2016)'!$A$3,"MA_HT","SKS","MA_QH","DNG")</f>
        <v>0</v>
      </c>
      <c r="AV27" s="35">
        <f>+GETPIVOTDATA("XSN4",'suoinghe (2016)'!$A$3,"MA_HT","SKS","MA_QH","TON")</f>
        <v>0</v>
      </c>
      <c r="AW27" s="35">
        <f>+GETPIVOTDATA("XSN4",'suoinghe (2016)'!$A$3,"MA_HT","SKS","MA_QH","NTD")</f>
        <v>0</v>
      </c>
      <c r="AX27" s="35">
        <f>+GETPIVOTDATA("XSN4",'suoinghe (2016)'!$A$3,"MA_HT","SKS","MA_QH","SKX")</f>
        <v>0</v>
      </c>
      <c r="AY27" s="35">
        <f>+GETPIVOTDATA("XSN4",'suoinghe (2016)'!$A$3,"MA_HT","SKS","MA_QH","DSH")</f>
        <v>0</v>
      </c>
      <c r="AZ27" s="35">
        <f>+GETPIVOTDATA("XSN4",'suoinghe (2016)'!$A$3,"MA_HT","SKS","MA_QH","DKV")</f>
        <v>0</v>
      </c>
      <c r="BA27" s="140">
        <f>+GETPIVOTDATA("XSN4",'suoinghe (2016)'!$A$3,"MA_HT","SKS","MA_QH","TIN")</f>
        <v>0</v>
      </c>
      <c r="BB27" s="74">
        <f>+GETPIVOTDATA("XSN4",'suoinghe (2016)'!$A$3,"MA_HT","SKS","MA_QH","SON")</f>
        <v>0</v>
      </c>
      <c r="BC27" s="74">
        <f>+GETPIVOTDATA("XSN4",'suoinghe (2016)'!$A$3,"MA_HT","SKS","MA_QH","MNC")</f>
        <v>0</v>
      </c>
      <c r="BD27" s="35">
        <f>+GETPIVOTDATA("XSN4",'suoinghe (2016)'!$A$3,"MA_HT","SKS","MA_QH","PNK")</f>
        <v>0</v>
      </c>
      <c r="BE27" s="58">
        <f>+GETPIVOTDATA("XSN4",'suoinghe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+GETPIVOTDATA("XSN4",'suoinghe (2016)'!$A$3,"MA_HT","DGT","MA_QH","LUC")</f>
        <v>0</v>
      </c>
      <c r="H29" s="74">
        <f>+GETPIVOTDATA("XSN4",'suoinghe (2016)'!$A$3,"MA_HT","DGT","MA_QH","LUK")</f>
        <v>0</v>
      </c>
      <c r="I29" s="74">
        <f>+GETPIVOTDATA("XSN4",'suoinghe (2016)'!$A$3,"MA_HT","DGT","MA_QH","LUN")</f>
        <v>0</v>
      </c>
      <c r="J29" s="74">
        <f>+GETPIVOTDATA("XSN4",'suoinghe (2016)'!$A$3,"MA_HT","DGT","MA_QH","HNK")</f>
        <v>0</v>
      </c>
      <c r="K29" s="74">
        <f>+GETPIVOTDATA("XSN4",'suoinghe (2016)'!$A$3,"MA_HT","DGT","MA_QH","CLN")</f>
        <v>0</v>
      </c>
      <c r="L29" s="74">
        <f>+GETPIVOTDATA("XSN4",'suoinghe (2016)'!$A$3,"MA_HT","DGT","MA_QH","RSX")</f>
        <v>0</v>
      </c>
      <c r="M29" s="74">
        <f>+GETPIVOTDATA("XSN4",'suoinghe (2016)'!$A$3,"MA_HT","DGT","MA_QH","RPH")</f>
        <v>0</v>
      </c>
      <c r="N29" s="74">
        <f>+GETPIVOTDATA("XSN4",'suoinghe (2016)'!$A$3,"MA_HT","DGT","MA_QH","RDD")</f>
        <v>0</v>
      </c>
      <c r="O29" s="74">
        <f>+GETPIVOTDATA("XSN4",'suoinghe (2016)'!$A$3,"MA_HT","DGT","MA_QH","NTS")</f>
        <v>0</v>
      </c>
      <c r="P29" s="74">
        <f>+GETPIVOTDATA("XSN4",'suoinghe (2016)'!$A$3,"MA_HT","DGT","MA_QH","LMU")</f>
        <v>0</v>
      </c>
      <c r="Q29" s="74">
        <f>+GETPIVOTDATA("XSN4",'suoinghe (2016)'!$A$3,"MA_HT","DGT","MA_QH","NKH")</f>
        <v>0</v>
      </c>
      <c r="R29" s="72">
        <f>SUM(S29:AA29,AN29:BD29)</f>
        <v>0</v>
      </c>
      <c r="S29" s="74">
        <f>+GETPIVOTDATA("XSN4",'suoinghe (2016)'!$A$3,"MA_HT","DGT","MA_QH","CQP")</f>
        <v>0</v>
      </c>
      <c r="T29" s="74">
        <f>+GETPIVOTDATA("XSN4",'suoinghe (2016)'!$A$3,"MA_HT","DGT","MA_QH","CAN")</f>
        <v>0</v>
      </c>
      <c r="U29" s="74">
        <f>+GETPIVOTDATA("XSN4",'suoinghe (2016)'!$A$3,"MA_HT","DGT","MA_QH","SKK")</f>
        <v>0</v>
      </c>
      <c r="V29" s="74">
        <f>+GETPIVOTDATA("XSN4",'suoinghe (2016)'!$A$3,"MA_HT","DGT","MA_QH","SKT")</f>
        <v>0</v>
      </c>
      <c r="W29" s="74">
        <f>+GETPIVOTDATA("XSN4",'suoinghe (2016)'!$A$3,"MA_HT","DGT","MA_QH","SKN")</f>
        <v>0</v>
      </c>
      <c r="X29" s="74">
        <f>+GETPIVOTDATA("XSN4",'suoinghe (2016)'!$A$3,"MA_HT","DGT","MA_QH","TMD")</f>
        <v>0</v>
      </c>
      <c r="Y29" s="74">
        <f>+GETPIVOTDATA("XSN4",'suoinghe (2016)'!$A$3,"MA_HT","DGT","MA_QH","SKC")</f>
        <v>0</v>
      </c>
      <c r="Z29" s="74">
        <f>+GETPIVOTDATA("XSN4",'suoinghe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+GETPIVOTDATA("XSN4",'suoinghe (2016)'!$A$3,"MA_HT","DGT","MA_QH","DTL")</f>
        <v>0</v>
      </c>
      <c r="AD29" s="74">
        <f>+GETPIVOTDATA("XSN4",'suoinghe (2016)'!$A$3,"MA_HT","DGT","MA_QH","DNL")</f>
        <v>0</v>
      </c>
      <c r="AE29" s="74">
        <f>+GETPIVOTDATA("XSN4",'suoinghe (2016)'!$A$3,"MA_HT","DGT","MA_QH","DBV")</f>
        <v>0</v>
      </c>
      <c r="AF29" s="74">
        <f>+GETPIVOTDATA("XSN4",'suoinghe (2016)'!$A$3,"MA_HT","DGT","MA_QH","DVH")</f>
        <v>0</v>
      </c>
      <c r="AG29" s="74">
        <f>+GETPIVOTDATA("XSN4",'suoinghe (2016)'!$A$3,"MA_HT","DGT","MA_QH","DYT")</f>
        <v>0</v>
      </c>
      <c r="AH29" s="74">
        <f>+GETPIVOTDATA("XSN4",'suoinghe (2016)'!$A$3,"MA_HT","DGT","MA_QH","DGD")</f>
        <v>0</v>
      </c>
      <c r="AI29" s="74">
        <f>+GETPIVOTDATA("XSN4",'suoinghe (2016)'!$A$3,"MA_HT","DGT","MA_QH","DTT")</f>
        <v>0</v>
      </c>
      <c r="AJ29" s="74">
        <f>+GETPIVOTDATA("XSN4",'suoinghe (2016)'!$A$3,"MA_HT","DGT","MA_QH","NCK")</f>
        <v>0</v>
      </c>
      <c r="AK29" s="74">
        <f>+GETPIVOTDATA("XSN4",'suoinghe (2016)'!$A$3,"MA_HT","DGT","MA_QH","DXH")</f>
        <v>0</v>
      </c>
      <c r="AL29" s="74">
        <f>+GETPIVOTDATA("XSN4",'suoinghe (2016)'!$A$3,"MA_HT","DGT","MA_QH","DCH")</f>
        <v>0</v>
      </c>
      <c r="AM29" s="74">
        <f>+GETPIVOTDATA("XSN4",'suoinghe (2016)'!$A$3,"MA_HT","DGT","MA_QH","DKG")</f>
        <v>0</v>
      </c>
      <c r="AN29" s="74">
        <f>+GETPIVOTDATA("XSN4",'suoinghe (2016)'!$A$3,"MA_HT","DGT","MA_QH","DDT")</f>
        <v>0</v>
      </c>
      <c r="AO29" s="74">
        <f>+GETPIVOTDATA("XSN4",'suoinghe (2016)'!$A$3,"MA_HT","DGT","MA_QH","DDL")</f>
        <v>0</v>
      </c>
      <c r="AP29" s="74">
        <f>+GETPIVOTDATA("XSN4",'suoinghe (2016)'!$A$3,"MA_HT","DGT","MA_QH","DRA")</f>
        <v>0</v>
      </c>
      <c r="AQ29" s="74">
        <f>+GETPIVOTDATA("XSN4",'suoinghe (2016)'!$A$3,"MA_HT","DGT","MA_QH","ONT")</f>
        <v>0</v>
      </c>
      <c r="AR29" s="74">
        <f>+GETPIVOTDATA("XSN4",'suoinghe (2016)'!$A$3,"MA_HT","DGT","MA_QH","ODT")</f>
        <v>0</v>
      </c>
      <c r="AS29" s="74">
        <f>+GETPIVOTDATA("XSN4",'suoinghe (2016)'!$A$3,"MA_HT","DGT","MA_QH","TSC")</f>
        <v>0</v>
      </c>
      <c r="AT29" s="74">
        <f>+GETPIVOTDATA("XSN4",'suoinghe (2016)'!$A$3,"MA_HT","DGT","MA_QH","DTS")</f>
        <v>0</v>
      </c>
      <c r="AU29" s="74">
        <f>+GETPIVOTDATA("XSN4",'suoinghe (2016)'!$A$3,"MA_HT","DGT","MA_QH","DNG")</f>
        <v>0</v>
      </c>
      <c r="AV29" s="74">
        <f>+GETPIVOTDATA("XSN4",'suoinghe (2016)'!$A$3,"MA_HT","DGT","MA_QH","TON")</f>
        <v>0</v>
      </c>
      <c r="AW29" s="74">
        <f>+GETPIVOTDATA("XSN4",'suoinghe (2016)'!$A$3,"MA_HT","DGT","MA_QH","NTD")</f>
        <v>0</v>
      </c>
      <c r="AX29" s="74">
        <f>+GETPIVOTDATA("XSN4",'suoinghe (2016)'!$A$3,"MA_HT","DGT","MA_QH","SKX")</f>
        <v>0</v>
      </c>
      <c r="AY29" s="74">
        <f>+GETPIVOTDATA("XSN4",'suoinghe (2016)'!$A$3,"MA_HT","DGT","MA_QH","DSH")</f>
        <v>0</v>
      </c>
      <c r="AZ29" s="74">
        <f>+GETPIVOTDATA("XSN4",'suoinghe (2016)'!$A$3,"MA_HT","DGT","MA_QH","DKV")</f>
        <v>0</v>
      </c>
      <c r="BA29" s="139">
        <f>+GETPIVOTDATA("XSN4",'suoinghe (2016)'!$A$3,"MA_HT","DGT","MA_QH","TIN")</f>
        <v>0</v>
      </c>
      <c r="BB29" s="74">
        <f>+GETPIVOTDATA("XSN4",'suoinghe (2016)'!$A$3,"MA_HT","DGT","MA_QH","SON")</f>
        <v>0</v>
      </c>
      <c r="BC29" s="74">
        <f>+GETPIVOTDATA("XSN4",'suoinghe (2016)'!$A$3,"MA_HT","DGT","MA_QH","MNC")</f>
        <v>0</v>
      </c>
      <c r="BD29" s="74">
        <f>+GETPIVOTDATA("XSN4",'suoinghe (2016)'!$A$3,"MA_HT","DGT","MA_QH","PNK")</f>
        <v>0</v>
      </c>
      <c r="BE29" s="102">
        <f>+GETPIVOTDATA("XSN4",'suoinghe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+GETPIVOTDATA("XSN4",'suoinghe (2016)'!$A$3,"MA_HT","DTL","MA_QH","LUC")</f>
        <v>0</v>
      </c>
      <c r="H30" s="74">
        <f>+GETPIVOTDATA("XSN4",'suoinghe (2016)'!$A$3,"MA_HT","DTL","MA_QH","LUK")</f>
        <v>0</v>
      </c>
      <c r="I30" s="74">
        <f>+GETPIVOTDATA("XSN4",'suoinghe (2016)'!$A$3,"MA_HT","DTL","MA_QH","LUN")</f>
        <v>0</v>
      </c>
      <c r="J30" s="74">
        <f>+GETPIVOTDATA("XSN4",'suoinghe (2016)'!$A$3,"MA_HT","DTL","MA_QH","HNK")</f>
        <v>0</v>
      </c>
      <c r="K30" s="74">
        <f>+GETPIVOTDATA("XSN4",'suoinghe (2016)'!$A$3,"MA_HT","DTL","MA_QH","CLN")</f>
        <v>0</v>
      </c>
      <c r="L30" s="74">
        <f>+GETPIVOTDATA("XSN4",'suoinghe (2016)'!$A$3,"MA_HT","DTL","MA_QH","RSX")</f>
        <v>0</v>
      </c>
      <c r="M30" s="74">
        <f>+GETPIVOTDATA("XSN4",'suoinghe (2016)'!$A$3,"MA_HT","DTL","MA_QH","RPH")</f>
        <v>0</v>
      </c>
      <c r="N30" s="74">
        <f>+GETPIVOTDATA("XSN4",'suoinghe (2016)'!$A$3,"MA_HT","DTL","MA_QH","RDD")</f>
        <v>0</v>
      </c>
      <c r="O30" s="74">
        <f>+GETPIVOTDATA("XSN4",'suoinghe (2016)'!$A$3,"MA_HT","DTL","MA_QH","NTS")</f>
        <v>0</v>
      </c>
      <c r="P30" s="74">
        <f>+GETPIVOTDATA("XSN4",'suoinghe (2016)'!$A$3,"MA_HT","DTL","MA_QH","LMU")</f>
        <v>0</v>
      </c>
      <c r="Q30" s="74">
        <f>+GETPIVOTDATA("XSN4",'suoinghe (2016)'!$A$3,"MA_HT","DTL","MA_QH","NKH")</f>
        <v>0</v>
      </c>
      <c r="R30" s="72">
        <f t="shared" ref="R30:R39" si="20">SUM(S30:AA30,AN30:BD30)</f>
        <v>0</v>
      </c>
      <c r="S30" s="74">
        <f>+GETPIVOTDATA("XSN4",'suoinghe (2016)'!$A$3,"MA_HT","DTL","MA_QH","CQP")</f>
        <v>0</v>
      </c>
      <c r="T30" s="74">
        <f>+GETPIVOTDATA("XSN4",'suoinghe (2016)'!$A$3,"MA_HT","DTL","MA_QH","CAN")</f>
        <v>0</v>
      </c>
      <c r="U30" s="74">
        <f>+GETPIVOTDATA("XSN4",'suoinghe (2016)'!$A$3,"MA_HT","DTL","MA_QH","SKK")</f>
        <v>0</v>
      </c>
      <c r="V30" s="74">
        <f>+GETPIVOTDATA("XSN4",'suoinghe (2016)'!$A$3,"MA_HT","DTL","MA_QH","SKT")</f>
        <v>0</v>
      </c>
      <c r="W30" s="74">
        <f>+GETPIVOTDATA("XSN4",'suoinghe (2016)'!$A$3,"MA_HT","DTL","MA_QH","SKN")</f>
        <v>0</v>
      </c>
      <c r="X30" s="74">
        <f>+GETPIVOTDATA("XSN4",'suoinghe (2016)'!$A$3,"MA_HT","DTL","MA_QH","TMD")</f>
        <v>0</v>
      </c>
      <c r="Y30" s="74">
        <f>+GETPIVOTDATA("XSN4",'suoinghe (2016)'!$A$3,"MA_HT","DTL","MA_QH","SKC")</f>
        <v>0</v>
      </c>
      <c r="Z30" s="74">
        <f>+GETPIVOTDATA("XSN4",'suoinghe (2016)'!$A$3,"MA_HT","DTL","MA_QH","SKS")</f>
        <v>0</v>
      </c>
      <c r="AA30" s="64">
        <f>+SUM(AB30,AD30:AM30)</f>
        <v>0</v>
      </c>
      <c r="AB30" s="74">
        <f>+GETPIVOTDATA("XSN4",'suoinghe (2016)'!$A$3,"MA_HT","DTL","MA_QH","DGT")</f>
        <v>0</v>
      </c>
      <c r="AC30" s="100" t="e">
        <f>$D30-$BF30</f>
        <v>#REF!</v>
      </c>
      <c r="AD30" s="74">
        <f>+GETPIVOTDATA("XSN4",'suoinghe (2016)'!$A$3,"MA_HT","DTL","MA_QH","DNL")</f>
        <v>0</v>
      </c>
      <c r="AE30" s="74">
        <f>+GETPIVOTDATA("XSN4",'suoinghe (2016)'!$A$3,"MA_HT","DTL","MA_QH","DBV")</f>
        <v>0</v>
      </c>
      <c r="AF30" s="74">
        <f>+GETPIVOTDATA("XSN4",'suoinghe (2016)'!$A$3,"MA_HT","DTL","MA_QH","DVH")</f>
        <v>0</v>
      </c>
      <c r="AG30" s="74">
        <f>+GETPIVOTDATA("XSN4",'suoinghe (2016)'!$A$3,"MA_HT","DTL","MA_QH","DYT")</f>
        <v>0</v>
      </c>
      <c r="AH30" s="74">
        <f>+GETPIVOTDATA("XSN4",'suoinghe (2016)'!$A$3,"MA_HT","DTL","MA_QH","DGD")</f>
        <v>0</v>
      </c>
      <c r="AI30" s="74">
        <f>+GETPIVOTDATA("XSN4",'suoinghe (2016)'!$A$3,"MA_HT","DTL","MA_QH","DTT")</f>
        <v>0</v>
      </c>
      <c r="AJ30" s="74">
        <f>+GETPIVOTDATA("XSN4",'suoinghe (2016)'!$A$3,"MA_HT","DTL","MA_QH","NCK")</f>
        <v>0</v>
      </c>
      <c r="AK30" s="74">
        <f>+GETPIVOTDATA("XSN4",'suoinghe (2016)'!$A$3,"MA_HT","DTL","MA_QH","DXH")</f>
        <v>0</v>
      </c>
      <c r="AL30" s="74">
        <f>+GETPIVOTDATA("XSN4",'suoinghe (2016)'!$A$3,"MA_HT","DTL","MA_QH","DCH")</f>
        <v>0</v>
      </c>
      <c r="AM30" s="74">
        <f>+GETPIVOTDATA("XSN4",'suoinghe (2016)'!$A$3,"MA_HT","DTL","MA_QH","DKG")</f>
        <v>0</v>
      </c>
      <c r="AN30" s="74">
        <f>+GETPIVOTDATA("XSN4",'suoinghe (2016)'!$A$3,"MA_HT","DTL","MA_QH","DDT")</f>
        <v>0</v>
      </c>
      <c r="AO30" s="74">
        <f>+GETPIVOTDATA("XSN4",'suoinghe (2016)'!$A$3,"MA_HT","DTL","MA_QH","DDL")</f>
        <v>0</v>
      </c>
      <c r="AP30" s="74">
        <f>+GETPIVOTDATA("XSN4",'suoinghe (2016)'!$A$3,"MA_HT","DTL","MA_QH","DRA")</f>
        <v>0</v>
      </c>
      <c r="AQ30" s="74">
        <f>+GETPIVOTDATA("XSN4",'suoinghe (2016)'!$A$3,"MA_HT","DTL","MA_QH","ONT")</f>
        <v>0</v>
      </c>
      <c r="AR30" s="74">
        <f>+GETPIVOTDATA("XSN4",'suoinghe (2016)'!$A$3,"MA_HT","DTL","MA_QH","ODT")</f>
        <v>0</v>
      </c>
      <c r="AS30" s="74">
        <f>+GETPIVOTDATA("XSN4",'suoinghe (2016)'!$A$3,"MA_HT","DTL","MA_QH","TSC")</f>
        <v>0</v>
      </c>
      <c r="AT30" s="74">
        <f>+GETPIVOTDATA("XSN4",'suoinghe (2016)'!$A$3,"MA_HT","DTL","MA_QH","DTS")</f>
        <v>0</v>
      </c>
      <c r="AU30" s="74">
        <f>+GETPIVOTDATA("XSN4",'suoinghe (2016)'!$A$3,"MA_HT","DTL","MA_QH","DNG")</f>
        <v>0</v>
      </c>
      <c r="AV30" s="74">
        <f>+GETPIVOTDATA("XSN4",'suoinghe (2016)'!$A$3,"MA_HT","DTL","MA_QH","TON")</f>
        <v>0</v>
      </c>
      <c r="AW30" s="74">
        <f>+GETPIVOTDATA("XSN4",'suoinghe (2016)'!$A$3,"MA_HT","DTL","MA_QH","NTD")</f>
        <v>0</v>
      </c>
      <c r="AX30" s="74">
        <f>+GETPIVOTDATA("XSN4",'suoinghe (2016)'!$A$3,"MA_HT","DTL","MA_QH","SKX")</f>
        <v>0</v>
      </c>
      <c r="AY30" s="74">
        <f>+GETPIVOTDATA("XSN4",'suoinghe (2016)'!$A$3,"MA_HT","DTL","MA_QH","DSH")</f>
        <v>0</v>
      </c>
      <c r="AZ30" s="74">
        <f>+GETPIVOTDATA("XSN4",'suoinghe (2016)'!$A$3,"MA_HT","DTL","MA_QH","DKV")</f>
        <v>0</v>
      </c>
      <c r="BA30" s="139">
        <f>+GETPIVOTDATA("XSN4",'suoinghe (2016)'!$A$3,"MA_HT","DTL","MA_QH","TIN")</f>
        <v>0</v>
      </c>
      <c r="BB30" s="74">
        <f>+GETPIVOTDATA("XSN4",'suoinghe (2016)'!$A$3,"MA_HT","DTL","MA_QH","SON")</f>
        <v>0</v>
      </c>
      <c r="BC30" s="74">
        <f>+GETPIVOTDATA("XSN4",'suoinghe (2016)'!$A$3,"MA_HT","DTL","MA_QH","MNC")</f>
        <v>0</v>
      </c>
      <c r="BD30" s="74">
        <f>+GETPIVOTDATA("XSN4",'suoinghe (2016)'!$A$3,"MA_HT","DTL","MA_QH","PNK")</f>
        <v>0</v>
      </c>
      <c r="BE30" s="102">
        <f>+GETPIVOTDATA("XSN4",'suoinghe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+GETPIVOTDATA("XSN4",'suoinghe (2016)'!$A$3,"MA_HT","DNL","MA_QH","LUC")</f>
        <v>0</v>
      </c>
      <c r="H31" s="74">
        <f>+GETPIVOTDATA("XSN4",'suoinghe (2016)'!$A$3,"MA_HT","DNL","MA_QH","LUK")</f>
        <v>0</v>
      </c>
      <c r="I31" s="74">
        <f>+GETPIVOTDATA("XSN4",'suoinghe (2016)'!$A$3,"MA_HT","DNL","MA_QH","LUN")</f>
        <v>0</v>
      </c>
      <c r="J31" s="74">
        <f>+GETPIVOTDATA("XSN4",'suoinghe (2016)'!$A$3,"MA_HT","DNL","MA_QH","HNK")</f>
        <v>0</v>
      </c>
      <c r="K31" s="74">
        <f>+GETPIVOTDATA("XSN4",'suoinghe (2016)'!$A$3,"MA_HT","DNL","MA_QH","CLN")</f>
        <v>0</v>
      </c>
      <c r="L31" s="74">
        <f>+GETPIVOTDATA("XSN4",'suoinghe (2016)'!$A$3,"MA_HT","DNL","MA_QH","RSX")</f>
        <v>0</v>
      </c>
      <c r="M31" s="74">
        <f>+GETPIVOTDATA("XSN4",'suoinghe (2016)'!$A$3,"MA_HT","DNL","MA_QH","RPH")</f>
        <v>0</v>
      </c>
      <c r="N31" s="74">
        <f>+GETPIVOTDATA("XSN4",'suoinghe (2016)'!$A$3,"MA_HT","DNL","MA_QH","RDD")</f>
        <v>0</v>
      </c>
      <c r="O31" s="74">
        <f>+GETPIVOTDATA("XSN4",'suoinghe (2016)'!$A$3,"MA_HT","DNL","MA_QH","NTS")</f>
        <v>0</v>
      </c>
      <c r="P31" s="74">
        <f>+GETPIVOTDATA("XSN4",'suoinghe (2016)'!$A$3,"MA_HT","DNL","MA_QH","LMU")</f>
        <v>0</v>
      </c>
      <c r="Q31" s="74">
        <f>+GETPIVOTDATA("XSN4",'suoinghe (2016)'!$A$3,"MA_HT","DNL","MA_QH","NKH")</f>
        <v>0</v>
      </c>
      <c r="R31" s="72">
        <f t="shared" si="20"/>
        <v>0</v>
      </c>
      <c r="S31" s="74">
        <f>+GETPIVOTDATA("XSN4",'suoinghe (2016)'!$A$3,"MA_HT","DNL","MA_QH","CQP")</f>
        <v>0</v>
      </c>
      <c r="T31" s="74">
        <f>+GETPIVOTDATA("XSN4",'suoinghe (2016)'!$A$3,"MA_HT","DNL","MA_QH","CAN")</f>
        <v>0</v>
      </c>
      <c r="U31" s="74">
        <f>+GETPIVOTDATA("XSN4",'suoinghe (2016)'!$A$3,"MA_HT","DNL","MA_QH","SKK")</f>
        <v>0</v>
      </c>
      <c r="V31" s="74">
        <f>+GETPIVOTDATA("XSN4",'suoinghe (2016)'!$A$3,"MA_HT","DNL","MA_QH","SKT")</f>
        <v>0</v>
      </c>
      <c r="W31" s="74">
        <f>+GETPIVOTDATA("XSN4",'suoinghe (2016)'!$A$3,"MA_HT","DNL","MA_QH","SKN")</f>
        <v>0</v>
      </c>
      <c r="X31" s="74">
        <f>+GETPIVOTDATA("XSN4",'suoinghe (2016)'!$A$3,"MA_HT","DNL","MA_QH","TMD")</f>
        <v>0</v>
      </c>
      <c r="Y31" s="74">
        <f>+GETPIVOTDATA("XSN4",'suoinghe (2016)'!$A$3,"MA_HT","DNL","MA_QH","SKC")</f>
        <v>0</v>
      </c>
      <c r="Z31" s="74">
        <f>+GETPIVOTDATA("XSN4",'suoinghe (2016)'!$A$3,"MA_HT","DNL","MA_QH","SKS")</f>
        <v>0</v>
      </c>
      <c r="AA31" s="64">
        <f>+SUM(AB31:AC31,AE31:AM31)</f>
        <v>0</v>
      </c>
      <c r="AB31" s="74">
        <f>+GETPIVOTDATA("XSN4",'suoinghe (2016)'!$A$3,"MA_HT","DNL","MA_QH","DGT")</f>
        <v>0</v>
      </c>
      <c r="AC31" s="74">
        <f>+GETPIVOTDATA("XSN4",'suoinghe (2016)'!$A$3,"MA_HT","DNL","MA_QH","DTL")</f>
        <v>0</v>
      </c>
      <c r="AD31" s="100" t="e">
        <f>$D31-$BF31</f>
        <v>#REF!</v>
      </c>
      <c r="AE31" s="74">
        <f>+GETPIVOTDATA("XSN4",'suoinghe (2016)'!$A$3,"MA_HT","DNL","MA_QH","DBV")</f>
        <v>0</v>
      </c>
      <c r="AF31" s="74">
        <f>+GETPIVOTDATA("XSN4",'suoinghe (2016)'!$A$3,"MA_HT","DNL","MA_QH","DVH")</f>
        <v>0</v>
      </c>
      <c r="AG31" s="74">
        <f>+GETPIVOTDATA("XSN4",'suoinghe (2016)'!$A$3,"MA_HT","DNL","MA_QH","DYT")</f>
        <v>0</v>
      </c>
      <c r="AH31" s="74">
        <f>+GETPIVOTDATA("XSN4",'suoinghe (2016)'!$A$3,"MA_HT","DNL","MA_QH","DGD")</f>
        <v>0</v>
      </c>
      <c r="AI31" s="74">
        <f>+GETPIVOTDATA("XSN4",'suoinghe (2016)'!$A$3,"MA_HT","DNL","MA_QH","DTT")</f>
        <v>0</v>
      </c>
      <c r="AJ31" s="74">
        <f>+GETPIVOTDATA("XSN4",'suoinghe (2016)'!$A$3,"MA_HT","DNL","MA_QH","NCK")</f>
        <v>0</v>
      </c>
      <c r="AK31" s="74">
        <f>+GETPIVOTDATA("XSN4",'suoinghe (2016)'!$A$3,"MA_HT","DNL","MA_QH","DXH")</f>
        <v>0</v>
      </c>
      <c r="AL31" s="74">
        <f>+GETPIVOTDATA("XSN4",'suoinghe (2016)'!$A$3,"MA_HT","DNL","MA_QH","DCH")</f>
        <v>0</v>
      </c>
      <c r="AM31" s="74">
        <f>+GETPIVOTDATA("XSN4",'suoinghe (2016)'!$A$3,"MA_HT","DNL","MA_QH","DKG")</f>
        <v>0</v>
      </c>
      <c r="AN31" s="74">
        <f>+GETPIVOTDATA("XSN4",'suoinghe (2016)'!$A$3,"MA_HT","DNL","MA_QH","DDT")</f>
        <v>0</v>
      </c>
      <c r="AO31" s="74">
        <f>+GETPIVOTDATA("XSN4",'suoinghe (2016)'!$A$3,"MA_HT","DNL","MA_QH","DDL")</f>
        <v>0</v>
      </c>
      <c r="AP31" s="74">
        <f>+GETPIVOTDATA("XSN4",'suoinghe (2016)'!$A$3,"MA_HT","DNL","MA_QH","DRA")</f>
        <v>0</v>
      </c>
      <c r="AQ31" s="74">
        <f>+GETPIVOTDATA("XSN4",'suoinghe (2016)'!$A$3,"MA_HT","DNL","MA_QH","ONT")</f>
        <v>0</v>
      </c>
      <c r="AR31" s="74">
        <f>+GETPIVOTDATA("XSN4",'suoinghe (2016)'!$A$3,"MA_HT","DNL","MA_QH","ODT")</f>
        <v>0</v>
      </c>
      <c r="AS31" s="74">
        <f>+GETPIVOTDATA("XSN4",'suoinghe (2016)'!$A$3,"MA_HT","DNL","MA_QH","TSC")</f>
        <v>0</v>
      </c>
      <c r="AT31" s="74">
        <f>+GETPIVOTDATA("XSN4",'suoinghe (2016)'!$A$3,"MA_HT","DNL","MA_QH","DTS")</f>
        <v>0</v>
      </c>
      <c r="AU31" s="74">
        <f>+GETPIVOTDATA("XSN4",'suoinghe (2016)'!$A$3,"MA_HT","DNL","MA_QH","DNG")</f>
        <v>0</v>
      </c>
      <c r="AV31" s="74">
        <f>+GETPIVOTDATA("XSN4",'suoinghe (2016)'!$A$3,"MA_HT","DNL","MA_QH","TON")</f>
        <v>0</v>
      </c>
      <c r="AW31" s="74">
        <f>+GETPIVOTDATA("XSN4",'suoinghe (2016)'!$A$3,"MA_HT","DNL","MA_QH","NTD")</f>
        <v>0</v>
      </c>
      <c r="AX31" s="74">
        <f>+GETPIVOTDATA("XSN4",'suoinghe (2016)'!$A$3,"MA_HT","DNL","MA_QH","SKX")</f>
        <v>0</v>
      </c>
      <c r="AY31" s="74">
        <f>+GETPIVOTDATA("XSN4",'suoinghe (2016)'!$A$3,"MA_HT","DNL","MA_QH","DSH")</f>
        <v>0</v>
      </c>
      <c r="AZ31" s="74">
        <f>+GETPIVOTDATA("XSN4",'suoinghe (2016)'!$A$3,"MA_HT","DNL","MA_QH","DKV")</f>
        <v>0</v>
      </c>
      <c r="BA31" s="139">
        <f>+GETPIVOTDATA("XSN4",'suoinghe (2016)'!$A$3,"MA_HT","DNL","MA_QH","TIN")</f>
        <v>0</v>
      </c>
      <c r="BB31" s="74">
        <f>+GETPIVOTDATA("XSN4",'suoinghe (2016)'!$A$3,"MA_HT","DNL","MA_QH","SON")</f>
        <v>0</v>
      </c>
      <c r="BC31" s="74">
        <f>+GETPIVOTDATA("XSN4",'suoinghe (2016)'!$A$3,"MA_HT","DNL","MA_QH","MNC")</f>
        <v>0</v>
      </c>
      <c r="BD31" s="74">
        <f>+GETPIVOTDATA("XSN4",'suoinghe (2016)'!$A$3,"MA_HT","DNL","MA_QH","PNK")</f>
        <v>0</v>
      </c>
      <c r="BE31" s="102">
        <f>+GETPIVOTDATA("XSN4",'suoinghe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+GETPIVOTDATA("XSN4",'suoinghe (2016)'!$A$3,"MA_HT","DBV","MA_QH","LUC")</f>
        <v>0</v>
      </c>
      <c r="H32" s="74">
        <f>+GETPIVOTDATA("XSN4",'suoinghe (2016)'!$A$3,"MA_HT","DBV","MA_QH","LUK")</f>
        <v>0</v>
      </c>
      <c r="I32" s="74">
        <f>+GETPIVOTDATA("XSN4",'suoinghe (2016)'!$A$3,"MA_HT","DBV","MA_QH","LUN")</f>
        <v>0</v>
      </c>
      <c r="J32" s="74">
        <f>+GETPIVOTDATA("XSN4",'suoinghe (2016)'!$A$3,"MA_HT","DBV","MA_QH","HNK")</f>
        <v>0</v>
      </c>
      <c r="K32" s="74">
        <f>+GETPIVOTDATA("XSN4",'suoinghe (2016)'!$A$3,"MA_HT","DBV","MA_QH","CLN")</f>
        <v>0</v>
      </c>
      <c r="L32" s="74">
        <f>+GETPIVOTDATA("XSN4",'suoinghe (2016)'!$A$3,"MA_HT","DBV","MA_QH","RSX")</f>
        <v>0</v>
      </c>
      <c r="M32" s="74">
        <f>+GETPIVOTDATA("XSN4",'suoinghe (2016)'!$A$3,"MA_HT","DBV","MA_QH","RPH")</f>
        <v>0</v>
      </c>
      <c r="N32" s="74">
        <f>+GETPIVOTDATA("XSN4",'suoinghe (2016)'!$A$3,"MA_HT","DBV","MA_QH","RDD")</f>
        <v>0</v>
      </c>
      <c r="O32" s="74">
        <f>+GETPIVOTDATA("XSN4",'suoinghe (2016)'!$A$3,"MA_HT","DBV","MA_QH","NTS")</f>
        <v>0</v>
      </c>
      <c r="P32" s="74">
        <f>+GETPIVOTDATA("XSN4",'suoinghe (2016)'!$A$3,"MA_HT","DBV","MA_QH","LMU")</f>
        <v>0</v>
      </c>
      <c r="Q32" s="74">
        <f>+GETPIVOTDATA("XSN4",'suoinghe (2016)'!$A$3,"MA_HT","DBV","MA_QH","NKH")</f>
        <v>0</v>
      </c>
      <c r="R32" s="72">
        <f t="shared" si="20"/>
        <v>0</v>
      </c>
      <c r="S32" s="74">
        <f>+GETPIVOTDATA("XSN4",'suoinghe (2016)'!$A$3,"MA_HT","DBV","MA_QH","CQP")</f>
        <v>0</v>
      </c>
      <c r="T32" s="74">
        <f>+GETPIVOTDATA("XSN4",'suoinghe (2016)'!$A$3,"MA_HT","DBV","MA_QH","CAN")</f>
        <v>0</v>
      </c>
      <c r="U32" s="74">
        <f>+GETPIVOTDATA("XSN4",'suoinghe (2016)'!$A$3,"MA_HT","DBV","MA_QH","SKK")</f>
        <v>0</v>
      </c>
      <c r="V32" s="74">
        <f>+GETPIVOTDATA("XSN4",'suoinghe (2016)'!$A$3,"MA_HT","DBV","MA_QH","SKT")</f>
        <v>0</v>
      </c>
      <c r="W32" s="74">
        <f>+GETPIVOTDATA("XSN4",'suoinghe (2016)'!$A$3,"MA_HT","DBV","MA_QH","SKN")</f>
        <v>0</v>
      </c>
      <c r="X32" s="74">
        <f>+GETPIVOTDATA("XSN4",'suoinghe (2016)'!$A$3,"MA_HT","DBV","MA_QH","TMD")</f>
        <v>0</v>
      </c>
      <c r="Y32" s="74">
        <f>+GETPIVOTDATA("XSN4",'suoinghe (2016)'!$A$3,"MA_HT","DBV","MA_QH","SKC")</f>
        <v>0</v>
      </c>
      <c r="Z32" s="74">
        <f>+GETPIVOTDATA("XSN4",'suoinghe (2016)'!$A$3,"MA_HT","DBV","MA_QH","SKS")</f>
        <v>0</v>
      </c>
      <c r="AA32" s="64">
        <f>+SUM(AB32:AD32,AF32:AM32)</f>
        <v>0</v>
      </c>
      <c r="AB32" s="74">
        <f>+GETPIVOTDATA("XSN4",'suoinghe (2016)'!$A$3,"MA_HT","DBV","MA_QH","DGT")</f>
        <v>0</v>
      </c>
      <c r="AC32" s="74">
        <f>+GETPIVOTDATA("XSN4",'suoinghe (2016)'!$A$3,"MA_HT","DBV","MA_QH","DTL")</f>
        <v>0</v>
      </c>
      <c r="AD32" s="74">
        <f>+GETPIVOTDATA("XSN4",'suoinghe (2016)'!$A$3,"MA_HT","DBV","MA_QH","DNL")</f>
        <v>0</v>
      </c>
      <c r="AE32" s="100" t="e">
        <f>$D32-$BF32</f>
        <v>#REF!</v>
      </c>
      <c r="AF32" s="74">
        <f>+GETPIVOTDATA("XSN4",'suoinghe (2016)'!$A$3,"MA_HT","DBV","MA_QH","DVH")</f>
        <v>0</v>
      </c>
      <c r="AG32" s="74">
        <f>+GETPIVOTDATA("XSN4",'suoinghe (2016)'!$A$3,"MA_HT","DBV","MA_QH","DYT")</f>
        <v>0</v>
      </c>
      <c r="AH32" s="74">
        <f>+GETPIVOTDATA("XSN4",'suoinghe (2016)'!$A$3,"MA_HT","DBV","MA_QH","DGD")</f>
        <v>0</v>
      </c>
      <c r="AI32" s="74">
        <f>+GETPIVOTDATA("XSN4",'suoinghe (2016)'!$A$3,"MA_HT","DBV","MA_QH","DTT")</f>
        <v>0</v>
      </c>
      <c r="AJ32" s="74">
        <f>+GETPIVOTDATA("XSN4",'suoinghe (2016)'!$A$3,"MA_HT","DBV","MA_QH","NCK")</f>
        <v>0</v>
      </c>
      <c r="AK32" s="74">
        <f>+GETPIVOTDATA("XSN4",'suoinghe (2016)'!$A$3,"MA_HT","DBV","MA_QH","DXH")</f>
        <v>0</v>
      </c>
      <c r="AL32" s="74">
        <f>+GETPIVOTDATA("XSN4",'suoinghe (2016)'!$A$3,"MA_HT","DBV","MA_QH","DCH")</f>
        <v>0</v>
      </c>
      <c r="AM32" s="74">
        <f>+GETPIVOTDATA("XSN4",'suoinghe (2016)'!$A$3,"MA_HT","DBV","MA_QH","DKG")</f>
        <v>0</v>
      </c>
      <c r="AN32" s="74">
        <f>+GETPIVOTDATA("XSN4",'suoinghe (2016)'!$A$3,"MA_HT","DBV","MA_QH","DDT")</f>
        <v>0</v>
      </c>
      <c r="AO32" s="74">
        <f>+GETPIVOTDATA("XSN4",'suoinghe (2016)'!$A$3,"MA_HT","DBV","MA_QH","DDL")</f>
        <v>0</v>
      </c>
      <c r="AP32" s="74">
        <f>+GETPIVOTDATA("XSN4",'suoinghe (2016)'!$A$3,"MA_HT","DBV","MA_QH","DRA")</f>
        <v>0</v>
      </c>
      <c r="AQ32" s="74">
        <f>+GETPIVOTDATA("XSN4",'suoinghe (2016)'!$A$3,"MA_HT","DBV","MA_QH","ONT")</f>
        <v>0</v>
      </c>
      <c r="AR32" s="74">
        <f>+GETPIVOTDATA("XSN4",'suoinghe (2016)'!$A$3,"MA_HT","DBV","MA_QH","ODT")</f>
        <v>0</v>
      </c>
      <c r="AS32" s="74">
        <f>+GETPIVOTDATA("XSN4",'suoinghe (2016)'!$A$3,"MA_HT","DBV","MA_QH","TSC")</f>
        <v>0</v>
      </c>
      <c r="AT32" s="74">
        <f>+GETPIVOTDATA("XSN4",'suoinghe (2016)'!$A$3,"MA_HT","DBV","MA_QH","DTS")</f>
        <v>0</v>
      </c>
      <c r="AU32" s="74">
        <f>+GETPIVOTDATA("XSN4",'suoinghe (2016)'!$A$3,"MA_HT","DBV","MA_QH","DNG")</f>
        <v>0</v>
      </c>
      <c r="AV32" s="74">
        <f>+GETPIVOTDATA("XSN4",'suoinghe (2016)'!$A$3,"MA_HT","DBV","MA_QH","TON")</f>
        <v>0</v>
      </c>
      <c r="AW32" s="74">
        <f>+GETPIVOTDATA("XSN4",'suoinghe (2016)'!$A$3,"MA_HT","DBV","MA_QH","NTD")</f>
        <v>0</v>
      </c>
      <c r="AX32" s="74">
        <f>+GETPIVOTDATA("XSN4",'suoinghe (2016)'!$A$3,"MA_HT","DBV","MA_QH","SKX")</f>
        <v>0</v>
      </c>
      <c r="AY32" s="74">
        <f>+GETPIVOTDATA("XSN4",'suoinghe (2016)'!$A$3,"MA_HT","DBV","MA_QH","DSH")</f>
        <v>0</v>
      </c>
      <c r="AZ32" s="74">
        <f>+GETPIVOTDATA("XSN4",'suoinghe (2016)'!$A$3,"MA_HT","DBV","MA_QH","DKV")</f>
        <v>0</v>
      </c>
      <c r="BA32" s="139">
        <f>+GETPIVOTDATA("XSN4",'suoinghe (2016)'!$A$3,"MA_HT","DBV","MA_QH","TIN")</f>
        <v>0</v>
      </c>
      <c r="BB32" s="74">
        <f>+GETPIVOTDATA("XSN4",'suoinghe (2016)'!$A$3,"MA_HT","DBV","MA_QH","SON")</f>
        <v>0</v>
      </c>
      <c r="BC32" s="74">
        <f>+GETPIVOTDATA("XSN4",'suoinghe (2016)'!$A$3,"MA_HT","DBV","MA_QH","MNC")</f>
        <v>0</v>
      </c>
      <c r="BD32" s="74">
        <f>+GETPIVOTDATA("XSN4",'suoinghe (2016)'!$A$3,"MA_HT","DBV","MA_QH","PNK")</f>
        <v>0</v>
      </c>
      <c r="BE32" s="102">
        <f>+GETPIVOTDATA("XSN4",'suoinghe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+GETPIVOTDATA("XSN4",'suoinghe (2016)'!$A$3,"MA_HT","DVH","MA_QH","LUC")</f>
        <v>0</v>
      </c>
      <c r="H33" s="74">
        <f>+GETPIVOTDATA("XSN4",'suoinghe (2016)'!$A$3,"MA_HT","DVH","MA_QH","LUK")</f>
        <v>0</v>
      </c>
      <c r="I33" s="74">
        <f>+GETPIVOTDATA("XSN4",'suoinghe (2016)'!$A$3,"MA_HT","DVH","MA_QH","LUN")</f>
        <v>0</v>
      </c>
      <c r="J33" s="74">
        <f>+GETPIVOTDATA("XSN4",'suoinghe (2016)'!$A$3,"MA_HT","DVH","MA_QH","HNK")</f>
        <v>0</v>
      </c>
      <c r="K33" s="74">
        <f>+GETPIVOTDATA("XSN4",'suoinghe (2016)'!$A$3,"MA_HT","DVH","MA_QH","CLN")</f>
        <v>0</v>
      </c>
      <c r="L33" s="74">
        <f>+GETPIVOTDATA("XSN4",'suoinghe (2016)'!$A$3,"MA_HT","DVH","MA_QH","RSX")</f>
        <v>0</v>
      </c>
      <c r="M33" s="74">
        <f>+GETPIVOTDATA("XSN4",'suoinghe (2016)'!$A$3,"MA_HT","DVH","MA_QH","RPH")</f>
        <v>0</v>
      </c>
      <c r="N33" s="74">
        <f>+GETPIVOTDATA("XSN4",'suoinghe (2016)'!$A$3,"MA_HT","DVH","MA_QH","RDD")</f>
        <v>0</v>
      </c>
      <c r="O33" s="74">
        <f>+GETPIVOTDATA("XSN4",'suoinghe (2016)'!$A$3,"MA_HT","DVH","MA_QH","NTS")</f>
        <v>0</v>
      </c>
      <c r="P33" s="74">
        <f>+GETPIVOTDATA("XSN4",'suoinghe (2016)'!$A$3,"MA_HT","DVH","MA_QH","LMU")</f>
        <v>0</v>
      </c>
      <c r="Q33" s="74">
        <f>+GETPIVOTDATA("XSN4",'suoinghe (2016)'!$A$3,"MA_HT","DVH","MA_QH","NKH")</f>
        <v>0</v>
      </c>
      <c r="R33" s="72">
        <f t="shared" si="20"/>
        <v>0</v>
      </c>
      <c r="S33" s="74">
        <f>+GETPIVOTDATA("XSN4",'suoinghe (2016)'!$A$3,"MA_HT","DVH","MA_QH","CQP")</f>
        <v>0</v>
      </c>
      <c r="T33" s="74">
        <f>+GETPIVOTDATA("XSN4",'suoinghe (2016)'!$A$3,"MA_HT","DVH","MA_QH","CAN")</f>
        <v>0</v>
      </c>
      <c r="U33" s="74">
        <f>+GETPIVOTDATA("XSN4",'suoinghe (2016)'!$A$3,"MA_HT","DVH","MA_QH","SKK")</f>
        <v>0</v>
      </c>
      <c r="V33" s="74">
        <f>+GETPIVOTDATA("XSN4",'suoinghe (2016)'!$A$3,"MA_HT","DVH","MA_QH","SKT")</f>
        <v>0</v>
      </c>
      <c r="W33" s="74">
        <f>+GETPIVOTDATA("XSN4",'suoinghe (2016)'!$A$3,"MA_HT","DVH","MA_QH","SKN")</f>
        <v>0</v>
      </c>
      <c r="X33" s="74">
        <f>+GETPIVOTDATA("XSN4",'suoinghe (2016)'!$A$3,"MA_HT","DVH","MA_QH","TMD")</f>
        <v>0</v>
      </c>
      <c r="Y33" s="74">
        <f>+GETPIVOTDATA("XSN4",'suoinghe (2016)'!$A$3,"MA_HT","DVH","MA_QH","SKC")</f>
        <v>0</v>
      </c>
      <c r="Z33" s="74">
        <f>+GETPIVOTDATA("XSN4",'suoinghe (2016)'!$A$3,"MA_HT","DVH","MA_QH","SKS")</f>
        <v>0</v>
      </c>
      <c r="AA33" s="64">
        <f>+SUM(AB33:AE33,AG33:AM33)</f>
        <v>0</v>
      </c>
      <c r="AB33" s="74">
        <f>+GETPIVOTDATA("XSN4",'suoinghe (2016)'!$A$3,"MA_HT","DVH","MA_QH","DGT")</f>
        <v>0</v>
      </c>
      <c r="AC33" s="74">
        <f>+GETPIVOTDATA("XSN4",'suoinghe (2016)'!$A$3,"MA_HT","DVH","MA_QH","DTL")</f>
        <v>0</v>
      </c>
      <c r="AD33" s="74">
        <f>+GETPIVOTDATA("XSN4",'suoinghe (2016)'!$A$3,"MA_HT","DVH","MA_QH","DNL")</f>
        <v>0</v>
      </c>
      <c r="AE33" s="74">
        <f>+GETPIVOTDATA("XSN4",'suoinghe (2016)'!$A$3,"MA_HT","DVH","MA_QH","DBV")</f>
        <v>0</v>
      </c>
      <c r="AF33" s="100" t="e">
        <f>$D33-$BF33</f>
        <v>#REF!</v>
      </c>
      <c r="AG33" s="74">
        <f>+GETPIVOTDATA("XSN4",'suoinghe (2016)'!$A$3,"MA_HT","DVH","MA_QH","DYT")</f>
        <v>0</v>
      </c>
      <c r="AH33" s="74">
        <f>+GETPIVOTDATA("XSN4",'suoinghe (2016)'!$A$3,"MA_HT","DVH","MA_QH","DGD")</f>
        <v>0</v>
      </c>
      <c r="AI33" s="74">
        <f>+GETPIVOTDATA("XSN4",'suoinghe (2016)'!$A$3,"MA_HT","DVH","MA_QH","DTT")</f>
        <v>0</v>
      </c>
      <c r="AJ33" s="74">
        <f>+GETPIVOTDATA("XSN4",'suoinghe (2016)'!$A$3,"MA_HT","DVH","MA_QH","NCK")</f>
        <v>0</v>
      </c>
      <c r="AK33" s="74">
        <f>+GETPIVOTDATA("XSN4",'suoinghe (2016)'!$A$3,"MA_HT","DVH","MA_QH","DXH")</f>
        <v>0</v>
      </c>
      <c r="AL33" s="74">
        <f>+GETPIVOTDATA("XSN4",'suoinghe (2016)'!$A$3,"MA_HT","DVH","MA_QH","DCH")</f>
        <v>0</v>
      </c>
      <c r="AM33" s="74">
        <f>+GETPIVOTDATA("XSN4",'suoinghe (2016)'!$A$3,"MA_HT","DVH","MA_QH","DKG")</f>
        <v>0</v>
      </c>
      <c r="AN33" s="74">
        <f>+GETPIVOTDATA("XSN4",'suoinghe (2016)'!$A$3,"MA_HT","DVH","MA_QH","DDT")</f>
        <v>0</v>
      </c>
      <c r="AO33" s="74">
        <f>+GETPIVOTDATA("XSN4",'suoinghe (2016)'!$A$3,"MA_HT","DVH","MA_QH","DDL")</f>
        <v>0</v>
      </c>
      <c r="AP33" s="74">
        <f>+GETPIVOTDATA("XSN4",'suoinghe (2016)'!$A$3,"MA_HT","DVH","MA_QH","DRA")</f>
        <v>0</v>
      </c>
      <c r="AQ33" s="74">
        <f>+GETPIVOTDATA("XSN4",'suoinghe (2016)'!$A$3,"MA_HT","DVH","MA_QH","ONT")</f>
        <v>0</v>
      </c>
      <c r="AR33" s="74">
        <f>+GETPIVOTDATA("XSN4",'suoinghe (2016)'!$A$3,"MA_HT","DVH","MA_QH","ODT")</f>
        <v>0</v>
      </c>
      <c r="AS33" s="74">
        <f>+GETPIVOTDATA("XSN4",'suoinghe (2016)'!$A$3,"MA_HT","DVH","MA_QH","TSC")</f>
        <v>0</v>
      </c>
      <c r="AT33" s="74">
        <f>+GETPIVOTDATA("XSN4",'suoinghe (2016)'!$A$3,"MA_HT","DVH","MA_QH","DTS")</f>
        <v>0</v>
      </c>
      <c r="AU33" s="74">
        <f>+GETPIVOTDATA("XSN4",'suoinghe (2016)'!$A$3,"MA_HT","DVH","MA_QH","DNG")</f>
        <v>0</v>
      </c>
      <c r="AV33" s="74">
        <f>+GETPIVOTDATA("XSN4",'suoinghe (2016)'!$A$3,"MA_HT","DVH","MA_QH","TON")</f>
        <v>0</v>
      </c>
      <c r="AW33" s="74">
        <f>+GETPIVOTDATA("XSN4",'suoinghe (2016)'!$A$3,"MA_HT","DVH","MA_QH","NTD")</f>
        <v>0</v>
      </c>
      <c r="AX33" s="74">
        <f>+GETPIVOTDATA("XSN4",'suoinghe (2016)'!$A$3,"MA_HT","DVH","MA_QH","SKX")</f>
        <v>0</v>
      </c>
      <c r="AY33" s="74">
        <f>+GETPIVOTDATA("XSN4",'suoinghe (2016)'!$A$3,"MA_HT","DVH","MA_QH","DSH")</f>
        <v>0</v>
      </c>
      <c r="AZ33" s="74">
        <f>+GETPIVOTDATA("XSN4",'suoinghe (2016)'!$A$3,"MA_HT","DVH","MA_QH","DKV")</f>
        <v>0</v>
      </c>
      <c r="BA33" s="139">
        <f>+GETPIVOTDATA("XSN4",'suoinghe (2016)'!$A$3,"MA_HT","DVH","MA_QH","TIN")</f>
        <v>0</v>
      </c>
      <c r="BB33" s="74">
        <f>+GETPIVOTDATA("XSN4",'suoinghe (2016)'!$A$3,"MA_HT","DVH","MA_QH","SON")</f>
        <v>0</v>
      </c>
      <c r="BC33" s="74">
        <f>+GETPIVOTDATA("XSN4",'suoinghe (2016)'!$A$3,"MA_HT","DVH","MA_QH","MNC")</f>
        <v>0</v>
      </c>
      <c r="BD33" s="74">
        <f>+GETPIVOTDATA("XSN4",'suoinghe (2016)'!$A$3,"MA_HT","DVH","MA_QH","PNK")</f>
        <v>0</v>
      </c>
      <c r="BE33" s="102">
        <f>+GETPIVOTDATA("XSN4",'suoinghe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+GETPIVOTDATA("XSN4",'suoinghe (2016)'!$A$3,"MA_HT","DYT","MA_QH","LUC")</f>
        <v>0</v>
      </c>
      <c r="H34" s="74">
        <f>+GETPIVOTDATA("XSN4",'suoinghe (2016)'!$A$3,"MA_HT","DYT","MA_QH","LUK")</f>
        <v>0</v>
      </c>
      <c r="I34" s="74">
        <f>+GETPIVOTDATA("XSN4",'suoinghe (2016)'!$A$3,"MA_HT","DYT","MA_QH","LUN")</f>
        <v>0</v>
      </c>
      <c r="J34" s="74">
        <f>+GETPIVOTDATA("XSN4",'suoinghe (2016)'!$A$3,"MA_HT","DYT","MA_QH","HNK")</f>
        <v>0</v>
      </c>
      <c r="K34" s="74">
        <f>+GETPIVOTDATA("XSN4",'suoinghe (2016)'!$A$3,"MA_HT","DYT","MA_QH","CLN")</f>
        <v>0</v>
      </c>
      <c r="L34" s="74">
        <f>+GETPIVOTDATA("XSN4",'suoinghe (2016)'!$A$3,"MA_HT","DYT","MA_QH","RSX")</f>
        <v>0</v>
      </c>
      <c r="M34" s="74">
        <f>+GETPIVOTDATA("XSN4",'suoinghe (2016)'!$A$3,"MA_HT","DYT","MA_QH","RPH")</f>
        <v>0</v>
      </c>
      <c r="N34" s="74">
        <f>+GETPIVOTDATA("XSN4",'suoinghe (2016)'!$A$3,"MA_HT","DYT","MA_QH","RDD")</f>
        <v>0</v>
      </c>
      <c r="O34" s="74">
        <f>+GETPIVOTDATA("XSN4",'suoinghe (2016)'!$A$3,"MA_HT","DYT","MA_QH","NTS")</f>
        <v>0</v>
      </c>
      <c r="P34" s="74">
        <f>+GETPIVOTDATA("XSN4",'suoinghe (2016)'!$A$3,"MA_HT","DYT","MA_QH","LMU")</f>
        <v>0</v>
      </c>
      <c r="Q34" s="74">
        <f>+GETPIVOTDATA("XSN4",'suoinghe (2016)'!$A$3,"MA_HT","DYT","MA_QH","NKH")</f>
        <v>0</v>
      </c>
      <c r="R34" s="72">
        <f t="shared" si="20"/>
        <v>0</v>
      </c>
      <c r="S34" s="74">
        <f>+GETPIVOTDATA("XSN4",'suoinghe (2016)'!$A$3,"MA_HT","DYT","MA_QH","CQP")</f>
        <v>0</v>
      </c>
      <c r="T34" s="74">
        <f>+GETPIVOTDATA("XSN4",'suoinghe (2016)'!$A$3,"MA_HT","DYT","MA_QH","CAN")</f>
        <v>0</v>
      </c>
      <c r="U34" s="74">
        <f>+GETPIVOTDATA("XSN4",'suoinghe (2016)'!$A$3,"MA_HT","DYT","MA_QH","SKK")</f>
        <v>0</v>
      </c>
      <c r="V34" s="74">
        <f>+GETPIVOTDATA("XSN4",'suoinghe (2016)'!$A$3,"MA_HT","DYT","MA_QH","SKT")</f>
        <v>0</v>
      </c>
      <c r="W34" s="74">
        <f>+GETPIVOTDATA("XSN4",'suoinghe (2016)'!$A$3,"MA_HT","DYT","MA_QH","SKN")</f>
        <v>0</v>
      </c>
      <c r="X34" s="74">
        <f>+GETPIVOTDATA("XSN4",'suoinghe (2016)'!$A$3,"MA_HT","DYT","MA_QH","TMD")</f>
        <v>0</v>
      </c>
      <c r="Y34" s="74">
        <f>+GETPIVOTDATA("XSN4",'suoinghe (2016)'!$A$3,"MA_HT","DYT","MA_QH","SKC")</f>
        <v>0</v>
      </c>
      <c r="Z34" s="74">
        <f>+GETPIVOTDATA("XSN4",'suoinghe (2016)'!$A$3,"MA_HT","DYT","MA_QH","SKS")</f>
        <v>0</v>
      </c>
      <c r="AA34" s="64">
        <f>+SUM(AB34:AF34,AH34:AM34)</f>
        <v>0</v>
      </c>
      <c r="AB34" s="74">
        <f>+GETPIVOTDATA("XSN4",'suoinghe (2016)'!$A$3,"MA_HT","DYT","MA_QH","DGT")</f>
        <v>0</v>
      </c>
      <c r="AC34" s="74">
        <f>+GETPIVOTDATA("XSN4",'suoinghe (2016)'!$A$3,"MA_HT","DYT","MA_QH","DTL")</f>
        <v>0</v>
      </c>
      <c r="AD34" s="74">
        <f>+GETPIVOTDATA("XSN4",'suoinghe (2016)'!$A$3,"MA_HT","DYT","MA_QH","DNL")</f>
        <v>0</v>
      </c>
      <c r="AE34" s="74">
        <f>+GETPIVOTDATA("XSN4",'suoinghe (2016)'!$A$3,"MA_HT","DYT","MA_QH","DBV")</f>
        <v>0</v>
      </c>
      <c r="AF34" s="74">
        <f>+GETPIVOTDATA("XSN4",'suoinghe (2016)'!$A$3,"MA_HT","DYT","MA_QH","DVH")</f>
        <v>0</v>
      </c>
      <c r="AG34" s="100" t="e">
        <f>$D34-$BF34</f>
        <v>#REF!</v>
      </c>
      <c r="AH34" s="74">
        <f>+GETPIVOTDATA("XSN4",'suoinghe (2016)'!$A$3,"MA_HT","DYT","MA_QH","DGD")</f>
        <v>0</v>
      </c>
      <c r="AI34" s="74">
        <f>+GETPIVOTDATA("XSN4",'suoinghe (2016)'!$A$3,"MA_HT","DYT","MA_QH","DTT")</f>
        <v>0</v>
      </c>
      <c r="AJ34" s="74">
        <f>+GETPIVOTDATA("XSN4",'suoinghe (2016)'!$A$3,"MA_HT","DYT","MA_QH","NCK")</f>
        <v>0</v>
      </c>
      <c r="AK34" s="74">
        <f>+GETPIVOTDATA("XSN4",'suoinghe (2016)'!$A$3,"MA_HT","DYT","MA_QH","DXH")</f>
        <v>0</v>
      </c>
      <c r="AL34" s="74">
        <f>+GETPIVOTDATA("XSN4",'suoinghe (2016)'!$A$3,"MA_HT","DYT","MA_QH","DCH")</f>
        <v>0</v>
      </c>
      <c r="AM34" s="74">
        <f>+GETPIVOTDATA("XSN4",'suoinghe (2016)'!$A$3,"MA_HT","DYT","MA_QH","DKG")</f>
        <v>0</v>
      </c>
      <c r="AN34" s="74">
        <f>+GETPIVOTDATA("XSN4",'suoinghe (2016)'!$A$3,"MA_HT","DYT","MA_QH","DDT")</f>
        <v>0</v>
      </c>
      <c r="AO34" s="74">
        <f>+GETPIVOTDATA("XSN4",'suoinghe (2016)'!$A$3,"MA_HT","DYT","MA_QH","DDL")</f>
        <v>0</v>
      </c>
      <c r="AP34" s="74">
        <f>+GETPIVOTDATA("XSN4",'suoinghe (2016)'!$A$3,"MA_HT","DYT","MA_QH","DRA")</f>
        <v>0</v>
      </c>
      <c r="AQ34" s="74">
        <f>+GETPIVOTDATA("XSN4",'suoinghe (2016)'!$A$3,"MA_HT","DYT","MA_QH","ONT")</f>
        <v>0</v>
      </c>
      <c r="AR34" s="74">
        <f>+GETPIVOTDATA("XSN4",'suoinghe (2016)'!$A$3,"MA_HT","DYT","MA_QH","ODT")</f>
        <v>0</v>
      </c>
      <c r="AS34" s="74">
        <f>+GETPIVOTDATA("XSN4",'suoinghe (2016)'!$A$3,"MA_HT","DYT","MA_QH","TSC")</f>
        <v>0</v>
      </c>
      <c r="AT34" s="74">
        <f>+GETPIVOTDATA("XSN4",'suoinghe (2016)'!$A$3,"MA_HT","DYT","MA_QH","DTS")</f>
        <v>0</v>
      </c>
      <c r="AU34" s="74">
        <f>+GETPIVOTDATA("XSN4",'suoinghe (2016)'!$A$3,"MA_HT","DYT","MA_QH","DNG")</f>
        <v>0</v>
      </c>
      <c r="AV34" s="74">
        <f>+GETPIVOTDATA("XSN4",'suoinghe (2016)'!$A$3,"MA_HT","DYT","MA_QH","TON")</f>
        <v>0</v>
      </c>
      <c r="AW34" s="74">
        <f>+GETPIVOTDATA("XSN4",'suoinghe (2016)'!$A$3,"MA_HT","DYT","MA_QH","NTD")</f>
        <v>0</v>
      </c>
      <c r="AX34" s="74">
        <f>+GETPIVOTDATA("XSN4",'suoinghe (2016)'!$A$3,"MA_HT","DYT","MA_QH","SKX")</f>
        <v>0</v>
      </c>
      <c r="AY34" s="74">
        <f>+GETPIVOTDATA("XSN4",'suoinghe (2016)'!$A$3,"MA_HT","DYT","MA_QH","DSH")</f>
        <v>0</v>
      </c>
      <c r="AZ34" s="74">
        <f>+GETPIVOTDATA("XSN4",'suoinghe (2016)'!$A$3,"MA_HT","DYT","MA_QH","DKV")</f>
        <v>0</v>
      </c>
      <c r="BA34" s="139">
        <f>+GETPIVOTDATA("XSN4",'suoinghe (2016)'!$A$3,"MA_HT","DYT","MA_QH","TIN")</f>
        <v>0</v>
      </c>
      <c r="BB34" s="74">
        <f>+GETPIVOTDATA("XSN4",'suoinghe (2016)'!$A$3,"MA_HT","DYT","MA_QH","SON")</f>
        <v>0</v>
      </c>
      <c r="BC34" s="74">
        <f>+GETPIVOTDATA("XSN4",'suoinghe (2016)'!$A$3,"MA_HT","DYT","MA_QH","MNC")</f>
        <v>0</v>
      </c>
      <c r="BD34" s="74">
        <f>+GETPIVOTDATA("XSN4",'suoinghe (2016)'!$A$3,"MA_HT","DYT","MA_QH","PNK")</f>
        <v>0</v>
      </c>
      <c r="BE34" s="102">
        <f>+GETPIVOTDATA("XSN4",'suoinghe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+GETPIVOTDATA("XSN4",'suoinghe (2016)'!$A$3,"MA_HT","DGD","MA_QH","LUC")</f>
        <v>0</v>
      </c>
      <c r="H35" s="74">
        <f>+GETPIVOTDATA("XSN4",'suoinghe (2016)'!$A$3,"MA_HT","DGD","MA_QH","LUK")</f>
        <v>0</v>
      </c>
      <c r="I35" s="74">
        <f>+GETPIVOTDATA("XSN4",'suoinghe (2016)'!$A$3,"MA_HT","DGD","MA_QH","LUN")</f>
        <v>0</v>
      </c>
      <c r="J35" s="74">
        <f>+GETPIVOTDATA("XSN4",'suoinghe (2016)'!$A$3,"MA_HT","DGD","MA_QH","HNK")</f>
        <v>0</v>
      </c>
      <c r="K35" s="74">
        <f>+GETPIVOTDATA("XSN4",'suoinghe (2016)'!$A$3,"MA_HT","DGD","MA_QH","CLN")</f>
        <v>0</v>
      </c>
      <c r="L35" s="74">
        <f>+GETPIVOTDATA("XSN4",'suoinghe (2016)'!$A$3,"MA_HT","DGD","MA_QH","RSX")</f>
        <v>0</v>
      </c>
      <c r="M35" s="74">
        <f>+GETPIVOTDATA("XSN4",'suoinghe (2016)'!$A$3,"MA_HT","DGD","MA_QH","RPH")</f>
        <v>0</v>
      </c>
      <c r="N35" s="74">
        <f>+GETPIVOTDATA("XSN4",'suoinghe (2016)'!$A$3,"MA_HT","DGD","MA_QH","RDD")</f>
        <v>0</v>
      </c>
      <c r="O35" s="74">
        <f>+GETPIVOTDATA("XSN4",'suoinghe (2016)'!$A$3,"MA_HT","DGD","MA_QH","NTS")</f>
        <v>0</v>
      </c>
      <c r="P35" s="74">
        <f>+GETPIVOTDATA("XSN4",'suoinghe (2016)'!$A$3,"MA_HT","DGD","MA_QH","LMU")</f>
        <v>0</v>
      </c>
      <c r="Q35" s="74">
        <f>+GETPIVOTDATA("XSN4",'suoinghe (2016)'!$A$3,"MA_HT","DGD","MA_QH","NKH")</f>
        <v>0</v>
      </c>
      <c r="R35" s="72">
        <f t="shared" si="20"/>
        <v>0</v>
      </c>
      <c r="S35" s="74">
        <f>+GETPIVOTDATA("XSN4",'suoinghe (2016)'!$A$3,"MA_HT","DGD","MA_QH","CQP")</f>
        <v>0</v>
      </c>
      <c r="T35" s="74">
        <f>+GETPIVOTDATA("XSN4",'suoinghe (2016)'!$A$3,"MA_HT","DGD","MA_QH","CAN")</f>
        <v>0</v>
      </c>
      <c r="U35" s="74">
        <f>+GETPIVOTDATA("XSN4",'suoinghe (2016)'!$A$3,"MA_HT","DGD","MA_QH","SKK")</f>
        <v>0</v>
      </c>
      <c r="V35" s="74">
        <f>+GETPIVOTDATA("XSN4",'suoinghe (2016)'!$A$3,"MA_HT","DGD","MA_QH","SKT")</f>
        <v>0</v>
      </c>
      <c r="W35" s="74">
        <f>+GETPIVOTDATA("XSN4",'suoinghe (2016)'!$A$3,"MA_HT","DGD","MA_QH","SKN")</f>
        <v>0</v>
      </c>
      <c r="X35" s="74">
        <f>+GETPIVOTDATA("XSN4",'suoinghe (2016)'!$A$3,"MA_HT","DGD","MA_QH","TMD")</f>
        <v>0</v>
      </c>
      <c r="Y35" s="74">
        <f>+GETPIVOTDATA("XSN4",'suoinghe (2016)'!$A$3,"MA_HT","DGD","MA_QH","SKC")</f>
        <v>0</v>
      </c>
      <c r="Z35" s="74">
        <f>+GETPIVOTDATA("XSN4",'suoinghe (2016)'!$A$3,"MA_HT","DGD","MA_QH","SKS")</f>
        <v>0</v>
      </c>
      <c r="AA35" s="64">
        <f>+SUM(AB35:AG35,AI35:AM35)</f>
        <v>0</v>
      </c>
      <c r="AB35" s="74">
        <f>+GETPIVOTDATA("XSN4",'suoinghe (2016)'!$A$3,"MA_HT","DGD","MA_QH","DGT")</f>
        <v>0</v>
      </c>
      <c r="AC35" s="74">
        <f>+GETPIVOTDATA("XSN4",'suoinghe (2016)'!$A$3,"MA_HT","DGD","MA_QH","DTL")</f>
        <v>0</v>
      </c>
      <c r="AD35" s="74">
        <f>+GETPIVOTDATA("XSN4",'suoinghe (2016)'!$A$3,"MA_HT","DGD","MA_QH","DNL")</f>
        <v>0</v>
      </c>
      <c r="AE35" s="74">
        <f>+GETPIVOTDATA("XSN4",'suoinghe (2016)'!$A$3,"MA_HT","DGD","MA_QH","DBV")</f>
        <v>0</v>
      </c>
      <c r="AF35" s="74">
        <f>+GETPIVOTDATA("XSN4",'suoinghe (2016)'!$A$3,"MA_HT","DGD","MA_QH","DVH")</f>
        <v>0</v>
      </c>
      <c r="AG35" s="74">
        <f>+GETPIVOTDATA("XSN4",'suoinghe (2016)'!$A$3,"MA_HT","DGD","MA_QH","DYT")</f>
        <v>0</v>
      </c>
      <c r="AH35" s="100" t="e">
        <f>$D35-$BF35</f>
        <v>#REF!</v>
      </c>
      <c r="AI35" s="74">
        <f>+GETPIVOTDATA("XSN4",'suoinghe (2016)'!$A$3,"MA_HT","DGD","MA_QH","DTT")</f>
        <v>0</v>
      </c>
      <c r="AJ35" s="74">
        <f>+GETPIVOTDATA("XSN4",'suoinghe (2016)'!$A$3,"MA_HT","DGD","MA_QH","NCK")</f>
        <v>0</v>
      </c>
      <c r="AK35" s="74">
        <f>+GETPIVOTDATA("XSN4",'suoinghe (2016)'!$A$3,"MA_HT","DGD","MA_QH","DXH")</f>
        <v>0</v>
      </c>
      <c r="AL35" s="74">
        <f>+GETPIVOTDATA("XSN4",'suoinghe (2016)'!$A$3,"MA_HT","DGD","MA_QH","DCH")</f>
        <v>0</v>
      </c>
      <c r="AM35" s="74">
        <f>+GETPIVOTDATA("XSN4",'suoinghe (2016)'!$A$3,"MA_HT","DGD","MA_QH","DKG")</f>
        <v>0</v>
      </c>
      <c r="AN35" s="74">
        <f>+GETPIVOTDATA("XSN4",'suoinghe (2016)'!$A$3,"MA_HT","DGD","MA_QH","DDT")</f>
        <v>0</v>
      </c>
      <c r="AO35" s="74">
        <f>+GETPIVOTDATA("XSN4",'suoinghe (2016)'!$A$3,"MA_HT","DGD","MA_QH","DDL")</f>
        <v>0</v>
      </c>
      <c r="AP35" s="74">
        <f>+GETPIVOTDATA("XSN4",'suoinghe (2016)'!$A$3,"MA_HT","DGD","MA_QH","DRA")</f>
        <v>0</v>
      </c>
      <c r="AQ35" s="74">
        <f>+GETPIVOTDATA("XSN4",'suoinghe (2016)'!$A$3,"MA_HT","DGD","MA_QH","ONT")</f>
        <v>0</v>
      </c>
      <c r="AR35" s="74">
        <f>+GETPIVOTDATA("XSN4",'suoinghe (2016)'!$A$3,"MA_HT","DGD","MA_QH","ODT")</f>
        <v>0</v>
      </c>
      <c r="AS35" s="74">
        <f>+GETPIVOTDATA("XSN4",'suoinghe (2016)'!$A$3,"MA_HT","DGD","MA_QH","TSC")</f>
        <v>0</v>
      </c>
      <c r="AT35" s="74">
        <f>+GETPIVOTDATA("XSN4",'suoinghe (2016)'!$A$3,"MA_HT","DGD","MA_QH","DTS")</f>
        <v>0</v>
      </c>
      <c r="AU35" s="74">
        <f>+GETPIVOTDATA("XSN4",'suoinghe (2016)'!$A$3,"MA_HT","DGD","MA_QH","DNG")</f>
        <v>0</v>
      </c>
      <c r="AV35" s="74">
        <f>+GETPIVOTDATA("XSN4",'suoinghe (2016)'!$A$3,"MA_HT","DGD","MA_QH","TON")</f>
        <v>0</v>
      </c>
      <c r="AW35" s="74">
        <f>+GETPIVOTDATA("XSN4",'suoinghe (2016)'!$A$3,"MA_HT","DGD","MA_QH","NTD")</f>
        <v>0</v>
      </c>
      <c r="AX35" s="74">
        <f>+GETPIVOTDATA("XSN4",'suoinghe (2016)'!$A$3,"MA_HT","DGD","MA_QH","SKX")</f>
        <v>0</v>
      </c>
      <c r="AY35" s="74">
        <f>+GETPIVOTDATA("XSN4",'suoinghe (2016)'!$A$3,"MA_HT","DGD","MA_QH","DSH")</f>
        <v>0</v>
      </c>
      <c r="AZ35" s="74">
        <f>+GETPIVOTDATA("XSN4",'suoinghe (2016)'!$A$3,"MA_HT","DGD","MA_QH","DKV")</f>
        <v>0</v>
      </c>
      <c r="BA35" s="139">
        <f>+GETPIVOTDATA("XSN4",'suoinghe (2016)'!$A$3,"MA_HT","DGD","MA_QH","TIN")</f>
        <v>0</v>
      </c>
      <c r="BB35" s="74">
        <f>+GETPIVOTDATA("XSN4",'suoinghe (2016)'!$A$3,"MA_HT","DGD","MA_QH","SON")</f>
        <v>0</v>
      </c>
      <c r="BC35" s="74">
        <f>+GETPIVOTDATA("XSN4",'suoinghe (2016)'!$A$3,"MA_HT","DGD","MA_QH","MNC")</f>
        <v>0</v>
      </c>
      <c r="BD35" s="74">
        <f>+GETPIVOTDATA("XSN4",'suoinghe (2016)'!$A$3,"MA_HT","DGD","MA_QH","PNK")</f>
        <v>0</v>
      </c>
      <c r="BE35" s="102">
        <f>+GETPIVOTDATA("XSN4",'suoinghe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+GETPIVOTDATA("XSN4",'suoinghe (2016)'!$A$3,"MA_HT","DTT","MA_QH","LUC")</f>
        <v>0</v>
      </c>
      <c r="H36" s="74">
        <f>+GETPIVOTDATA("XSN4",'suoinghe (2016)'!$A$3,"MA_HT","DTT","MA_QH","LUK")</f>
        <v>0</v>
      </c>
      <c r="I36" s="74">
        <f>+GETPIVOTDATA("XSN4",'suoinghe (2016)'!$A$3,"MA_HT","DTT","MA_QH","LUN")</f>
        <v>0</v>
      </c>
      <c r="J36" s="74">
        <f>+GETPIVOTDATA("XSN4",'suoinghe (2016)'!$A$3,"MA_HT","DTT","MA_QH","HNK")</f>
        <v>0</v>
      </c>
      <c r="K36" s="74">
        <f>+GETPIVOTDATA("XSN4",'suoinghe (2016)'!$A$3,"MA_HT","DTT","MA_QH","CLN")</f>
        <v>0</v>
      </c>
      <c r="L36" s="74">
        <f>+GETPIVOTDATA("XSN4",'suoinghe (2016)'!$A$3,"MA_HT","DTT","MA_QH","RSX")</f>
        <v>0</v>
      </c>
      <c r="M36" s="74">
        <f>+GETPIVOTDATA("XSN4",'suoinghe (2016)'!$A$3,"MA_HT","DTT","MA_QH","RPH")</f>
        <v>0</v>
      </c>
      <c r="N36" s="74">
        <f>+GETPIVOTDATA("XSN4",'suoinghe (2016)'!$A$3,"MA_HT","DTT","MA_QH","RDD")</f>
        <v>0</v>
      </c>
      <c r="O36" s="74">
        <f>+GETPIVOTDATA("XSN4",'suoinghe (2016)'!$A$3,"MA_HT","DTT","MA_QH","NTS")</f>
        <v>0</v>
      </c>
      <c r="P36" s="74">
        <f>+GETPIVOTDATA("XSN4",'suoinghe (2016)'!$A$3,"MA_HT","DTT","MA_QH","LMU")</f>
        <v>0</v>
      </c>
      <c r="Q36" s="74">
        <f>+GETPIVOTDATA("XSN4",'suoinghe (2016)'!$A$3,"MA_HT","DTT","MA_QH","NKH")</f>
        <v>0</v>
      </c>
      <c r="R36" s="72">
        <f>SUM(S36:AA36,AN36:BD36)</f>
        <v>0</v>
      </c>
      <c r="S36" s="74">
        <f>+GETPIVOTDATA("XSN4",'suoinghe (2016)'!$A$3,"MA_HT","DTT","MA_QH","CQP")</f>
        <v>0</v>
      </c>
      <c r="T36" s="74">
        <f>+GETPIVOTDATA("XSN4",'suoinghe (2016)'!$A$3,"MA_HT","DTT","MA_QH","CAN")</f>
        <v>0</v>
      </c>
      <c r="U36" s="74">
        <f>+GETPIVOTDATA("XSN4",'suoinghe (2016)'!$A$3,"MA_HT","DTT","MA_QH","SKK")</f>
        <v>0</v>
      </c>
      <c r="V36" s="74">
        <f>+GETPIVOTDATA("XSN4",'suoinghe (2016)'!$A$3,"MA_HT","DTT","MA_QH","SKT")</f>
        <v>0</v>
      </c>
      <c r="W36" s="74">
        <f>+GETPIVOTDATA("XSN4",'suoinghe (2016)'!$A$3,"MA_HT","DTT","MA_QH","SKN")</f>
        <v>0</v>
      </c>
      <c r="X36" s="74">
        <f>+GETPIVOTDATA("XSN4",'suoinghe (2016)'!$A$3,"MA_HT","DTT","MA_QH","TMD")</f>
        <v>0</v>
      </c>
      <c r="Y36" s="74">
        <f>+GETPIVOTDATA("XSN4",'suoinghe (2016)'!$A$3,"MA_HT","DTT","MA_QH","SKC")</f>
        <v>0</v>
      </c>
      <c r="Z36" s="74">
        <f>+GETPIVOTDATA("XSN4",'suoinghe (2016)'!$A$3,"MA_HT","DTT","MA_QH","SKS")</f>
        <v>0</v>
      </c>
      <c r="AA36" s="64">
        <f>+SUM(AB36:AH36,AJ36:AM36)</f>
        <v>0</v>
      </c>
      <c r="AB36" s="74">
        <f>+GETPIVOTDATA("XSN4",'suoinghe (2016)'!$A$3,"MA_HT","DTT","MA_QH","DGT")</f>
        <v>0</v>
      </c>
      <c r="AC36" s="74">
        <f>+GETPIVOTDATA("XSN4",'suoinghe (2016)'!$A$3,"MA_HT","DTT","MA_QH","DTL")</f>
        <v>0</v>
      </c>
      <c r="AD36" s="74">
        <f>+GETPIVOTDATA("XSN4",'suoinghe (2016)'!$A$3,"MA_HT","DTT","MA_QH","DNL")</f>
        <v>0</v>
      </c>
      <c r="AE36" s="74">
        <f>+GETPIVOTDATA("XSN4",'suoinghe (2016)'!$A$3,"MA_HT","DTT","MA_QH","DBV")</f>
        <v>0</v>
      </c>
      <c r="AF36" s="74">
        <f>+GETPIVOTDATA("XSN4",'suoinghe (2016)'!$A$3,"MA_HT","DTT","MA_QH","DVH")</f>
        <v>0</v>
      </c>
      <c r="AG36" s="74">
        <f>+GETPIVOTDATA("XSN4",'suoinghe (2016)'!$A$3,"MA_HT","DTT","MA_QH","DYT")</f>
        <v>0</v>
      </c>
      <c r="AH36" s="74">
        <f>+GETPIVOTDATA("XSN4",'suoinghe (2016)'!$A$3,"MA_HT","DTT","MA_QH","DGD")</f>
        <v>0</v>
      </c>
      <c r="AI36" s="100" t="e">
        <f>$D36-$BF36</f>
        <v>#REF!</v>
      </c>
      <c r="AJ36" s="74">
        <f>+GETPIVOTDATA("XSN4",'suoinghe (2016)'!$A$3,"MA_HT","DTT","MA_QH","NCK")</f>
        <v>0</v>
      </c>
      <c r="AK36" s="74">
        <f>+GETPIVOTDATA("XSN4",'suoinghe (2016)'!$A$3,"MA_HT","DTT","MA_QH","DXH")</f>
        <v>0</v>
      </c>
      <c r="AL36" s="74">
        <f>+GETPIVOTDATA("XSN4",'suoinghe (2016)'!$A$3,"MA_HT","DTT","MA_QH","DCH")</f>
        <v>0</v>
      </c>
      <c r="AM36" s="74">
        <f>+GETPIVOTDATA("XSN4",'suoinghe (2016)'!$A$3,"MA_HT","DTT","MA_QH","DKG")</f>
        <v>0</v>
      </c>
      <c r="AN36" s="74">
        <f>+GETPIVOTDATA("XSN4",'suoinghe (2016)'!$A$3,"MA_HT","DTT","MA_QH","DDT")</f>
        <v>0</v>
      </c>
      <c r="AO36" s="74">
        <f>+GETPIVOTDATA("XSN4",'suoinghe (2016)'!$A$3,"MA_HT","DTT","MA_QH","DDL")</f>
        <v>0</v>
      </c>
      <c r="AP36" s="74">
        <f>+GETPIVOTDATA("XSN4",'suoinghe (2016)'!$A$3,"MA_HT","DTT","MA_QH","DRA")</f>
        <v>0</v>
      </c>
      <c r="AQ36" s="74">
        <f>+GETPIVOTDATA("XSN4",'suoinghe (2016)'!$A$3,"MA_HT","DTT","MA_QH","ONT")</f>
        <v>0</v>
      </c>
      <c r="AR36" s="74">
        <f>+GETPIVOTDATA("XSN4",'suoinghe (2016)'!$A$3,"MA_HT","DTT","MA_QH","ODT")</f>
        <v>0</v>
      </c>
      <c r="AS36" s="74">
        <f>+GETPIVOTDATA("XSN4",'suoinghe (2016)'!$A$3,"MA_HT","DTT","MA_QH","TSC")</f>
        <v>0</v>
      </c>
      <c r="AT36" s="74">
        <f>+GETPIVOTDATA("XSN4",'suoinghe (2016)'!$A$3,"MA_HT","DTT","MA_QH","DTS")</f>
        <v>0</v>
      </c>
      <c r="AU36" s="74">
        <f>+GETPIVOTDATA("XSN4",'suoinghe (2016)'!$A$3,"MA_HT","DTT","MA_QH","DNG")</f>
        <v>0</v>
      </c>
      <c r="AV36" s="74">
        <f>+GETPIVOTDATA("XSN4",'suoinghe (2016)'!$A$3,"MA_HT","DTT","MA_QH","TON")</f>
        <v>0</v>
      </c>
      <c r="AW36" s="74">
        <f>+GETPIVOTDATA("XSN4",'suoinghe (2016)'!$A$3,"MA_HT","DTT","MA_QH","NTD")</f>
        <v>0</v>
      </c>
      <c r="AX36" s="74">
        <f>+GETPIVOTDATA("XSN4",'suoinghe (2016)'!$A$3,"MA_HT","DTT","MA_QH","SKX")</f>
        <v>0</v>
      </c>
      <c r="AY36" s="74">
        <f>+GETPIVOTDATA("XSN4",'suoinghe (2016)'!$A$3,"MA_HT","DTT","MA_QH","DSH")</f>
        <v>0</v>
      </c>
      <c r="AZ36" s="74">
        <f>+GETPIVOTDATA("XSN4",'suoinghe (2016)'!$A$3,"MA_HT","DTT","MA_QH","DKV")</f>
        <v>0</v>
      </c>
      <c r="BA36" s="139">
        <f>+GETPIVOTDATA("XSN4",'suoinghe (2016)'!$A$3,"MA_HT","DTT","MA_QH","TIN")</f>
        <v>0</v>
      </c>
      <c r="BB36" s="74">
        <f>+GETPIVOTDATA("XSN4",'suoinghe (2016)'!$A$3,"MA_HT","DTT","MA_QH","SON")</f>
        <v>0</v>
      </c>
      <c r="BC36" s="74">
        <f>+GETPIVOTDATA("XSN4",'suoinghe (2016)'!$A$3,"MA_HT","DTT","MA_QH","MNC")</f>
        <v>0</v>
      </c>
      <c r="BD36" s="74">
        <f>+GETPIVOTDATA("XSN4",'suoinghe (2016)'!$A$3,"MA_HT","DTT","MA_QH","PNK")</f>
        <v>0</v>
      </c>
      <c r="BE36" s="102">
        <f>+GETPIVOTDATA("XSN4",'suoinghe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+GETPIVOTDATA("XSN4",'suoinghe (2016)'!$A$3,"MA_HT","NCK","MA_QH","LUC")</f>
        <v>0</v>
      </c>
      <c r="H37" s="74">
        <f>+GETPIVOTDATA("XSN4",'suoinghe (2016)'!$A$3,"MA_HT","NCK","MA_QH","LUK")</f>
        <v>0</v>
      </c>
      <c r="I37" s="74">
        <f>+GETPIVOTDATA("XSN4",'suoinghe (2016)'!$A$3,"MA_HT","NCK","MA_QH","LUN")</f>
        <v>0</v>
      </c>
      <c r="J37" s="74">
        <f>+GETPIVOTDATA("XSN4",'suoinghe (2016)'!$A$3,"MA_HT","NCK","MA_QH","HNK")</f>
        <v>0</v>
      </c>
      <c r="K37" s="74">
        <f>+GETPIVOTDATA("XSN4",'suoinghe (2016)'!$A$3,"MA_HT","NCK","MA_QH","CLN")</f>
        <v>0</v>
      </c>
      <c r="L37" s="74">
        <f>+GETPIVOTDATA("XSN4",'suoinghe (2016)'!$A$3,"MA_HT","NCK","MA_QH","RSX")</f>
        <v>0</v>
      </c>
      <c r="M37" s="74">
        <f>+GETPIVOTDATA("XSN4",'suoinghe (2016)'!$A$3,"MA_HT","NCK","MA_QH","RPH")</f>
        <v>0</v>
      </c>
      <c r="N37" s="74">
        <f>+GETPIVOTDATA("XSN4",'suoinghe (2016)'!$A$3,"MA_HT","NCK","MA_QH","RDD")</f>
        <v>0</v>
      </c>
      <c r="O37" s="74">
        <f>+GETPIVOTDATA("XSN4",'suoinghe (2016)'!$A$3,"MA_HT","NCK","MA_QH","NTS")</f>
        <v>0</v>
      </c>
      <c r="P37" s="74">
        <f>+GETPIVOTDATA("XSN4",'suoinghe (2016)'!$A$3,"MA_HT","NCK","MA_QH","LMU")</f>
        <v>0</v>
      </c>
      <c r="Q37" s="74">
        <f>+GETPIVOTDATA("XSN4",'suoinghe (2016)'!$A$3,"MA_HT","NCK","MA_QH","NKH")</f>
        <v>0</v>
      </c>
      <c r="R37" s="72">
        <f t="shared" si="20"/>
        <v>0</v>
      </c>
      <c r="S37" s="74">
        <f>+GETPIVOTDATA("XSN4",'suoinghe (2016)'!$A$3,"MA_HT","NCK","MA_QH","CQP")</f>
        <v>0</v>
      </c>
      <c r="T37" s="74">
        <f>+GETPIVOTDATA("XSN4",'suoinghe (2016)'!$A$3,"MA_HT","NCK","MA_QH","CAN")</f>
        <v>0</v>
      </c>
      <c r="U37" s="74">
        <f>+GETPIVOTDATA("XSN4",'suoinghe (2016)'!$A$3,"MA_HT","NCK","MA_QH","SKK")</f>
        <v>0</v>
      </c>
      <c r="V37" s="74">
        <f>+GETPIVOTDATA("XSN4",'suoinghe (2016)'!$A$3,"MA_HT","NCK","MA_QH","SKT")</f>
        <v>0</v>
      </c>
      <c r="W37" s="74">
        <f>+GETPIVOTDATA("XSN4",'suoinghe (2016)'!$A$3,"MA_HT","NCK","MA_QH","SKN")</f>
        <v>0</v>
      </c>
      <c r="X37" s="74">
        <f>+GETPIVOTDATA("XSN4",'suoinghe (2016)'!$A$3,"MA_HT","NCK","MA_QH","TMD")</f>
        <v>0</v>
      </c>
      <c r="Y37" s="74">
        <f>+GETPIVOTDATA("XSN4",'suoinghe (2016)'!$A$3,"MA_HT","NCK","MA_QH","SKC")</f>
        <v>0</v>
      </c>
      <c r="Z37" s="74">
        <f>+GETPIVOTDATA("XSN4",'suoinghe (2016)'!$A$3,"MA_HT","NCK","MA_QH","SKS")</f>
        <v>0</v>
      </c>
      <c r="AA37" s="64">
        <f>+SUM(AB37:AI37,AK37:AM37)</f>
        <v>0</v>
      </c>
      <c r="AB37" s="74">
        <f>+GETPIVOTDATA("XSN4",'suoinghe (2016)'!$A$3,"MA_HT","NCK","MA_QH","DGT")</f>
        <v>0</v>
      </c>
      <c r="AC37" s="74">
        <f>+GETPIVOTDATA("XSN4",'suoinghe (2016)'!$A$3,"MA_HT","NCK","MA_QH","DTL")</f>
        <v>0</v>
      </c>
      <c r="AD37" s="74">
        <f>+GETPIVOTDATA("XSN4",'suoinghe (2016)'!$A$3,"MA_HT","NCK","MA_QH","DNL")</f>
        <v>0</v>
      </c>
      <c r="AE37" s="74">
        <f>+GETPIVOTDATA("XSN4",'suoinghe (2016)'!$A$3,"MA_HT","NCK","MA_QH","DBV")</f>
        <v>0</v>
      </c>
      <c r="AF37" s="74">
        <f>+GETPIVOTDATA("XSN4",'suoinghe (2016)'!$A$3,"MA_HT","NCK","MA_QH","DVH")</f>
        <v>0</v>
      </c>
      <c r="AG37" s="74">
        <f>+GETPIVOTDATA("XSN4",'suoinghe (2016)'!$A$3,"MA_HT","NCK","MA_QH","DYT")</f>
        <v>0</v>
      </c>
      <c r="AH37" s="74">
        <f>+GETPIVOTDATA("XSN4",'suoinghe (2016)'!$A$3,"MA_HT","NCK","MA_QH","DGD")</f>
        <v>0</v>
      </c>
      <c r="AI37" s="74">
        <f>+GETPIVOTDATA("XSN4",'suoinghe (2016)'!$A$3,"MA_HT","NCK","MA_QH","DTT")</f>
        <v>0</v>
      </c>
      <c r="AJ37" s="100" t="e">
        <f>$D37-$BF37</f>
        <v>#REF!</v>
      </c>
      <c r="AK37" s="74">
        <f>+GETPIVOTDATA("XSN4",'suoinghe (2016)'!$A$3,"MA_HT","NCK","MA_QH","DXH")</f>
        <v>0</v>
      </c>
      <c r="AL37" s="74">
        <f>+GETPIVOTDATA("XSN4",'suoinghe (2016)'!$A$3,"MA_HT","NCK","MA_QH","DCH")</f>
        <v>0</v>
      </c>
      <c r="AM37" s="74">
        <f>+GETPIVOTDATA("XSN4",'suoinghe (2016)'!$A$3,"MA_HT","NCK","MA_QH","DKG")</f>
        <v>0</v>
      </c>
      <c r="AN37" s="74">
        <f>+GETPIVOTDATA("XSN4",'suoinghe (2016)'!$A$3,"MA_HT","NCK","MA_QH","DDT")</f>
        <v>0</v>
      </c>
      <c r="AO37" s="74">
        <f>+GETPIVOTDATA("XSN4",'suoinghe (2016)'!$A$3,"MA_HT","NCK","MA_QH","DDL")</f>
        <v>0</v>
      </c>
      <c r="AP37" s="74">
        <f>+GETPIVOTDATA("XSN4",'suoinghe (2016)'!$A$3,"MA_HT","NCK","MA_QH","DRA")</f>
        <v>0</v>
      </c>
      <c r="AQ37" s="74">
        <f>+GETPIVOTDATA("XSN4",'suoinghe (2016)'!$A$3,"MA_HT","NCK","MA_QH","ONT")</f>
        <v>0</v>
      </c>
      <c r="AR37" s="74">
        <f>+GETPIVOTDATA("XSN4",'suoinghe (2016)'!$A$3,"MA_HT","NCK","MA_QH","ODT")</f>
        <v>0</v>
      </c>
      <c r="AS37" s="74">
        <f>+GETPIVOTDATA("XSN4",'suoinghe (2016)'!$A$3,"MA_HT","NCK","MA_QH","TSC")</f>
        <v>0</v>
      </c>
      <c r="AT37" s="74">
        <f>+GETPIVOTDATA("XSN4",'suoinghe (2016)'!$A$3,"MA_HT","NCK","MA_QH","DTS")</f>
        <v>0</v>
      </c>
      <c r="AU37" s="74">
        <f>+GETPIVOTDATA("XSN4",'suoinghe (2016)'!$A$3,"MA_HT","NCK","MA_QH","DNG")</f>
        <v>0</v>
      </c>
      <c r="AV37" s="74">
        <f>+GETPIVOTDATA("XSN4",'suoinghe (2016)'!$A$3,"MA_HT","NCK","MA_QH","TON")</f>
        <v>0</v>
      </c>
      <c r="AW37" s="74">
        <f>+GETPIVOTDATA("XSN4",'suoinghe (2016)'!$A$3,"MA_HT","NCK","MA_QH","NTD")</f>
        <v>0</v>
      </c>
      <c r="AX37" s="74">
        <f>+GETPIVOTDATA("XSN4",'suoinghe (2016)'!$A$3,"MA_HT","NCK","MA_QH","SKX")</f>
        <v>0</v>
      </c>
      <c r="AY37" s="74">
        <f>+GETPIVOTDATA("XSN4",'suoinghe (2016)'!$A$3,"MA_HT","NCK","MA_QH","DSH")</f>
        <v>0</v>
      </c>
      <c r="AZ37" s="74">
        <f>+GETPIVOTDATA("XSN4",'suoinghe (2016)'!$A$3,"MA_HT","NCK","MA_QH","DKV")</f>
        <v>0</v>
      </c>
      <c r="BA37" s="139">
        <f>+GETPIVOTDATA("XSN4",'suoinghe (2016)'!$A$3,"MA_HT","NCK","MA_QH","TIN")</f>
        <v>0</v>
      </c>
      <c r="BB37" s="74">
        <f>+GETPIVOTDATA("XSN4",'suoinghe (2016)'!$A$3,"MA_HT","NCK","MA_QH","SON")</f>
        <v>0</v>
      </c>
      <c r="BC37" s="74">
        <f>+GETPIVOTDATA("XSN4",'suoinghe (2016)'!$A$3,"MA_HT","NCK","MA_QH","MNC")</f>
        <v>0</v>
      </c>
      <c r="BD37" s="74">
        <f>+GETPIVOTDATA("XSN4",'suoinghe (2016)'!$A$3,"MA_HT","NCK","MA_QH","PNK")</f>
        <v>0</v>
      </c>
      <c r="BE37" s="102">
        <f>+GETPIVOTDATA("XSN4",'suoinghe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+GETPIVOTDATA("XSN4",'suoinghe (2016)'!$A$3,"MA_HT","DXH","MA_QH","LUC")</f>
        <v>0</v>
      </c>
      <c r="H38" s="74">
        <f>+GETPIVOTDATA("XSN4",'suoinghe (2016)'!$A$3,"MA_HT","DXH","MA_QH","LUK")</f>
        <v>0</v>
      </c>
      <c r="I38" s="74">
        <f>+GETPIVOTDATA("XSN4",'suoinghe (2016)'!$A$3,"MA_HT","DXH","MA_QH","LUN")</f>
        <v>0</v>
      </c>
      <c r="J38" s="74">
        <f>+GETPIVOTDATA("XSN4",'suoinghe (2016)'!$A$3,"MA_HT","DXH","MA_QH","HNK")</f>
        <v>0</v>
      </c>
      <c r="K38" s="74">
        <f>+GETPIVOTDATA("XSN4",'suoinghe (2016)'!$A$3,"MA_HT","DXH","MA_QH","CLN")</f>
        <v>0</v>
      </c>
      <c r="L38" s="74">
        <f>+GETPIVOTDATA("XSN4",'suoinghe (2016)'!$A$3,"MA_HT","DXH","MA_QH","RSX")</f>
        <v>0</v>
      </c>
      <c r="M38" s="74">
        <f>+GETPIVOTDATA("XSN4",'suoinghe (2016)'!$A$3,"MA_HT","DXH","MA_QH","RPH")</f>
        <v>0</v>
      </c>
      <c r="N38" s="74">
        <f>+GETPIVOTDATA("XSN4",'suoinghe (2016)'!$A$3,"MA_HT","DXH","MA_QH","RDD")</f>
        <v>0</v>
      </c>
      <c r="O38" s="74">
        <f>+GETPIVOTDATA("XSN4",'suoinghe (2016)'!$A$3,"MA_HT","DXH","MA_QH","NTS")</f>
        <v>0</v>
      </c>
      <c r="P38" s="74">
        <f>+GETPIVOTDATA("XSN4",'suoinghe (2016)'!$A$3,"MA_HT","DXH","MA_QH","LMU")</f>
        <v>0</v>
      </c>
      <c r="Q38" s="74">
        <f>+GETPIVOTDATA("XSN4",'suoinghe (2016)'!$A$3,"MA_HT","DXH","MA_QH","NKH")</f>
        <v>0</v>
      </c>
      <c r="R38" s="72">
        <f t="shared" si="20"/>
        <v>0</v>
      </c>
      <c r="S38" s="74">
        <f>+GETPIVOTDATA("XSN4",'suoinghe (2016)'!$A$3,"MA_HT","DXH","MA_QH","CQP")</f>
        <v>0</v>
      </c>
      <c r="T38" s="74">
        <f>+GETPIVOTDATA("XSN4",'suoinghe (2016)'!$A$3,"MA_HT","DXH","MA_QH","CAN")</f>
        <v>0</v>
      </c>
      <c r="U38" s="74">
        <f>+GETPIVOTDATA("XSN4",'suoinghe (2016)'!$A$3,"MA_HT","DXH","MA_QH","SKK")</f>
        <v>0</v>
      </c>
      <c r="V38" s="74">
        <f>+GETPIVOTDATA("XSN4",'suoinghe (2016)'!$A$3,"MA_HT","DXH","MA_QH","SKT")</f>
        <v>0</v>
      </c>
      <c r="W38" s="74">
        <f>+GETPIVOTDATA("XSN4",'suoinghe (2016)'!$A$3,"MA_HT","DXH","MA_QH","SKN")</f>
        <v>0</v>
      </c>
      <c r="X38" s="74">
        <f>+GETPIVOTDATA("XSN4",'suoinghe (2016)'!$A$3,"MA_HT","DXH","MA_QH","TMD")</f>
        <v>0</v>
      </c>
      <c r="Y38" s="74">
        <f>+GETPIVOTDATA("XSN4",'suoinghe (2016)'!$A$3,"MA_HT","DXH","MA_QH","SKC")</f>
        <v>0</v>
      </c>
      <c r="Z38" s="74">
        <f>+GETPIVOTDATA("XSN4",'suoinghe (2016)'!$A$3,"MA_HT","DXH","MA_QH","SKS")</f>
        <v>0</v>
      </c>
      <c r="AA38" s="64">
        <f>+SUM(AB38:AJ38,AL38:AM38)</f>
        <v>0</v>
      </c>
      <c r="AB38" s="74">
        <f>+GETPIVOTDATA("XSN4",'suoinghe (2016)'!$A$3,"MA_HT","DXH","MA_QH","DGT")</f>
        <v>0</v>
      </c>
      <c r="AC38" s="74">
        <f>+GETPIVOTDATA("XSN4",'suoinghe (2016)'!$A$3,"MA_HT","DXH","MA_QH","DTL")</f>
        <v>0</v>
      </c>
      <c r="AD38" s="74">
        <f>+GETPIVOTDATA("XSN4",'suoinghe (2016)'!$A$3,"MA_HT","DXH","MA_QH","DNL")</f>
        <v>0</v>
      </c>
      <c r="AE38" s="74">
        <f>+GETPIVOTDATA("XSN4",'suoinghe (2016)'!$A$3,"MA_HT","DXH","MA_QH","DBV")</f>
        <v>0</v>
      </c>
      <c r="AF38" s="74">
        <f>+GETPIVOTDATA("XSN4",'suoinghe (2016)'!$A$3,"MA_HT","DXH","MA_QH","DVH")</f>
        <v>0</v>
      </c>
      <c r="AG38" s="74">
        <f>+GETPIVOTDATA("XSN4",'suoinghe (2016)'!$A$3,"MA_HT","DXH","MA_QH","DYT")</f>
        <v>0</v>
      </c>
      <c r="AH38" s="74">
        <f>+GETPIVOTDATA("XSN4",'suoinghe (2016)'!$A$3,"MA_HT","DXH","MA_QH","DGD")</f>
        <v>0</v>
      </c>
      <c r="AI38" s="74">
        <f>+GETPIVOTDATA("XSN4",'suoinghe (2016)'!$A$3,"MA_HT","DXH","MA_QH","DTT")</f>
        <v>0</v>
      </c>
      <c r="AJ38" s="74">
        <f>+GETPIVOTDATA("XSN4",'suoinghe (2016)'!$A$3,"MA_HT","DXH","MA_QH","NCK")</f>
        <v>0</v>
      </c>
      <c r="AK38" s="100" t="e">
        <f>$D38-$BF38</f>
        <v>#REF!</v>
      </c>
      <c r="AL38" s="74">
        <f>+GETPIVOTDATA("XSN4",'suoinghe (2016)'!$A$3,"MA_HT","DXH","MA_QH","DCH")</f>
        <v>0</v>
      </c>
      <c r="AM38" s="74">
        <f>+GETPIVOTDATA("XSN4",'suoinghe (2016)'!$A$3,"MA_HT","DXH","MA_QH","DKG")</f>
        <v>0</v>
      </c>
      <c r="AN38" s="74">
        <f>+GETPIVOTDATA("XSN4",'suoinghe (2016)'!$A$3,"MA_HT","DXH","MA_QH","DDT")</f>
        <v>0</v>
      </c>
      <c r="AO38" s="74">
        <f>+GETPIVOTDATA("XSN4",'suoinghe (2016)'!$A$3,"MA_HT","DXH","MA_QH","DDL")</f>
        <v>0</v>
      </c>
      <c r="AP38" s="74">
        <f>+GETPIVOTDATA("XSN4",'suoinghe (2016)'!$A$3,"MA_HT","DXH","MA_QH","DRA")</f>
        <v>0</v>
      </c>
      <c r="AQ38" s="74">
        <f>+GETPIVOTDATA("XSN4",'suoinghe (2016)'!$A$3,"MA_HT","DXH","MA_QH","ONT")</f>
        <v>0</v>
      </c>
      <c r="AR38" s="74">
        <f>+GETPIVOTDATA("XSN4",'suoinghe (2016)'!$A$3,"MA_HT","DXH","MA_QH","ODT")</f>
        <v>0</v>
      </c>
      <c r="AS38" s="74">
        <f>+GETPIVOTDATA("XSN4",'suoinghe (2016)'!$A$3,"MA_HT","DXH","MA_QH","TSC")</f>
        <v>0</v>
      </c>
      <c r="AT38" s="74">
        <f>+GETPIVOTDATA("XSN4",'suoinghe (2016)'!$A$3,"MA_HT","DXH","MA_QH","DTS")</f>
        <v>0</v>
      </c>
      <c r="AU38" s="74">
        <f>+GETPIVOTDATA("XSN4",'suoinghe (2016)'!$A$3,"MA_HT","DXH","MA_QH","DNG")</f>
        <v>0</v>
      </c>
      <c r="AV38" s="74">
        <f>+GETPIVOTDATA("XSN4",'suoinghe (2016)'!$A$3,"MA_HT","DXH","MA_QH","TON")</f>
        <v>0</v>
      </c>
      <c r="AW38" s="74">
        <f>+GETPIVOTDATA("XSN4",'suoinghe (2016)'!$A$3,"MA_HT","DXH","MA_QH","NTD")</f>
        <v>0</v>
      </c>
      <c r="AX38" s="74">
        <f>+GETPIVOTDATA("XSN4",'suoinghe (2016)'!$A$3,"MA_HT","DXH","MA_QH","SKX")</f>
        <v>0</v>
      </c>
      <c r="AY38" s="74">
        <f>+GETPIVOTDATA("XSN4",'suoinghe (2016)'!$A$3,"MA_HT","DXH","MA_QH","DSH")</f>
        <v>0</v>
      </c>
      <c r="AZ38" s="74">
        <f>+GETPIVOTDATA("XSN4",'suoinghe (2016)'!$A$3,"MA_HT","DXH","MA_QH","DKV")</f>
        <v>0</v>
      </c>
      <c r="BA38" s="139">
        <f>+GETPIVOTDATA("XSN4",'suoinghe (2016)'!$A$3,"MA_HT","DXH","MA_QH","TIN")</f>
        <v>0</v>
      </c>
      <c r="BB38" s="74">
        <f>+GETPIVOTDATA("XSN4",'suoinghe (2016)'!$A$3,"MA_HT","DXH","MA_QH","SON")</f>
        <v>0</v>
      </c>
      <c r="BC38" s="74">
        <f>+GETPIVOTDATA("XSN4",'suoinghe (2016)'!$A$3,"MA_HT","DXH","MA_QH","MNC")</f>
        <v>0</v>
      </c>
      <c r="BD38" s="74">
        <f>+GETPIVOTDATA("XSN4",'suoinghe (2016)'!$A$3,"MA_HT","DXH","MA_QH","PNK")</f>
        <v>0</v>
      </c>
      <c r="BE38" s="102">
        <f>+GETPIVOTDATA("XSN4",'suoinghe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+GETPIVOTDATA("XSN4",'suoinghe (2016)'!$A$3,"MA_HT","DCH","MA_QH","LUC")</f>
        <v>0</v>
      </c>
      <c r="H39" s="74">
        <f>+GETPIVOTDATA("XSN4",'suoinghe (2016)'!$A$3,"MA_HT","DCH","MA_QH","LUK")</f>
        <v>0</v>
      </c>
      <c r="I39" s="74">
        <f>+GETPIVOTDATA("XSN4",'suoinghe (2016)'!$A$3,"MA_HT","DCH","MA_QH","LUN")</f>
        <v>0</v>
      </c>
      <c r="J39" s="74">
        <f>+GETPIVOTDATA("XSN4",'suoinghe (2016)'!$A$3,"MA_HT","DCH","MA_QH","HNK")</f>
        <v>0</v>
      </c>
      <c r="K39" s="74">
        <f>+GETPIVOTDATA("XSN4",'suoinghe (2016)'!$A$3,"MA_HT","DCH","MA_QH","CLN")</f>
        <v>0</v>
      </c>
      <c r="L39" s="74">
        <f>+GETPIVOTDATA("XSN4",'suoinghe (2016)'!$A$3,"MA_HT","DCH","MA_QH","RSX")</f>
        <v>0</v>
      </c>
      <c r="M39" s="74">
        <f>+GETPIVOTDATA("XSN4",'suoinghe (2016)'!$A$3,"MA_HT","DCH","MA_QH","RPH")</f>
        <v>0</v>
      </c>
      <c r="N39" s="74">
        <f>+GETPIVOTDATA("XSN4",'suoinghe (2016)'!$A$3,"MA_HT","DCH","MA_QH","RDD")</f>
        <v>0</v>
      </c>
      <c r="O39" s="74">
        <f>+GETPIVOTDATA("XSN4",'suoinghe (2016)'!$A$3,"MA_HT","DCH","MA_QH","NTS")</f>
        <v>0</v>
      </c>
      <c r="P39" s="74">
        <f>+GETPIVOTDATA("XSN4",'suoinghe (2016)'!$A$3,"MA_HT","DCH","MA_QH","LMU")</f>
        <v>0</v>
      </c>
      <c r="Q39" s="74">
        <f>+GETPIVOTDATA("XSN4",'suoinghe (2016)'!$A$3,"MA_HT","DCH","MA_QH","NKH")</f>
        <v>0</v>
      </c>
      <c r="R39" s="72">
        <f t="shared" si="20"/>
        <v>0</v>
      </c>
      <c r="S39" s="74">
        <f>+GETPIVOTDATA("XSN4",'suoinghe (2016)'!$A$3,"MA_HT","DCH","MA_QH","CQP")</f>
        <v>0</v>
      </c>
      <c r="T39" s="74">
        <f>+GETPIVOTDATA("XSN4",'suoinghe (2016)'!$A$3,"MA_HT","DCH","MA_QH","CAN")</f>
        <v>0</v>
      </c>
      <c r="U39" s="74">
        <f>+GETPIVOTDATA("XSN4",'suoinghe (2016)'!$A$3,"MA_HT","DCH","MA_QH","SKK")</f>
        <v>0</v>
      </c>
      <c r="V39" s="74">
        <f>+GETPIVOTDATA("XSN4",'suoinghe (2016)'!$A$3,"MA_HT","DCH","MA_QH","SKT")</f>
        <v>0</v>
      </c>
      <c r="W39" s="74">
        <f>+GETPIVOTDATA("XSN4",'suoinghe (2016)'!$A$3,"MA_HT","DCH","MA_QH","SKN")</f>
        <v>0</v>
      </c>
      <c r="X39" s="74">
        <f>+GETPIVOTDATA("XSN4",'suoinghe (2016)'!$A$3,"MA_HT","DCH","MA_QH","TMD")</f>
        <v>0</v>
      </c>
      <c r="Y39" s="74">
        <f>+GETPIVOTDATA("XSN4",'suoinghe (2016)'!$A$3,"MA_HT","DCH","MA_QH","SKC")</f>
        <v>0</v>
      </c>
      <c r="Z39" s="74">
        <f>+GETPIVOTDATA("XSN4",'suoinghe (2016)'!$A$3,"MA_HT","DCH","MA_QH","SKS")</f>
        <v>0</v>
      </c>
      <c r="AA39" s="64">
        <f>+SUM(AB39:AK39,AM39)</f>
        <v>0</v>
      </c>
      <c r="AB39" s="74">
        <f>+GETPIVOTDATA("XSN4",'suoinghe (2016)'!$A$3,"MA_HT","DCH","MA_QH","DGT")</f>
        <v>0</v>
      </c>
      <c r="AC39" s="74">
        <f>+GETPIVOTDATA("XSN4",'suoinghe (2016)'!$A$3,"MA_HT","DCH","MA_QH","DTL")</f>
        <v>0</v>
      </c>
      <c r="AD39" s="74">
        <f>+GETPIVOTDATA("XSN4",'suoinghe (2016)'!$A$3,"MA_HT","DCH","MA_QH","DNL")</f>
        <v>0</v>
      </c>
      <c r="AE39" s="74">
        <f>+GETPIVOTDATA("XSN4",'suoinghe (2016)'!$A$3,"MA_HT","DCH","MA_QH","DBV")</f>
        <v>0</v>
      </c>
      <c r="AF39" s="74">
        <f>+GETPIVOTDATA("XSN4",'suoinghe (2016)'!$A$3,"MA_HT","DCH","MA_QH","DVH")</f>
        <v>0</v>
      </c>
      <c r="AG39" s="74">
        <f>+GETPIVOTDATA("XSN4",'suoinghe (2016)'!$A$3,"MA_HT","DCH","MA_QH","DYT")</f>
        <v>0</v>
      </c>
      <c r="AH39" s="74">
        <f>+GETPIVOTDATA("XSN4",'suoinghe (2016)'!$A$3,"MA_HT","DCH","MA_QH","DGD")</f>
        <v>0</v>
      </c>
      <c r="AI39" s="74">
        <f>+GETPIVOTDATA("XSN4",'suoinghe (2016)'!$A$3,"MA_HT","DCH","MA_QH","DTT")</f>
        <v>0</v>
      </c>
      <c r="AJ39" s="74">
        <f>+GETPIVOTDATA("XSN4",'suoinghe (2016)'!$A$3,"MA_HT","DCH","MA_QH","NCK")</f>
        <v>0</v>
      </c>
      <c r="AK39" s="74">
        <f>+GETPIVOTDATA("XSN4",'suoinghe (2016)'!$A$3,"MA_HT","DCH","MA_QH","DXH")</f>
        <v>0</v>
      </c>
      <c r="AL39" s="100" t="e">
        <f>$D39-$BF39</f>
        <v>#REF!</v>
      </c>
      <c r="AM39" s="74">
        <f>+GETPIVOTDATA("XSN4",'suoinghe (2016)'!$A$3,"MA_HT","DXH","MA_QH","DKG")</f>
        <v>0</v>
      </c>
      <c r="AN39" s="74">
        <f>+GETPIVOTDATA("XSN4",'suoinghe (2016)'!$A$3,"MA_HT","DCH","MA_QH","DDT")</f>
        <v>0</v>
      </c>
      <c r="AO39" s="74">
        <f>+GETPIVOTDATA("XSN4",'suoinghe (2016)'!$A$3,"MA_HT","DCH","MA_QH","DDL")</f>
        <v>0</v>
      </c>
      <c r="AP39" s="74">
        <f>+GETPIVOTDATA("XSN4",'suoinghe (2016)'!$A$3,"MA_HT","DCH","MA_QH","DRA")</f>
        <v>0</v>
      </c>
      <c r="AQ39" s="74">
        <f>+GETPIVOTDATA("XSN4",'suoinghe (2016)'!$A$3,"MA_HT","DCH","MA_QH","ONT")</f>
        <v>0</v>
      </c>
      <c r="AR39" s="74">
        <f>+GETPIVOTDATA("XSN4",'suoinghe (2016)'!$A$3,"MA_HT","DCH","MA_QH","ODT")</f>
        <v>0</v>
      </c>
      <c r="AS39" s="74">
        <f>+GETPIVOTDATA("XSN4",'suoinghe (2016)'!$A$3,"MA_HT","DCH","MA_QH","TSC")</f>
        <v>0</v>
      </c>
      <c r="AT39" s="74">
        <f>+GETPIVOTDATA("XSN4",'suoinghe (2016)'!$A$3,"MA_HT","DCH","MA_QH","DTS")</f>
        <v>0</v>
      </c>
      <c r="AU39" s="74">
        <f>+GETPIVOTDATA("XSN4",'suoinghe (2016)'!$A$3,"MA_HT","DCH","MA_QH","DNG")</f>
        <v>0</v>
      </c>
      <c r="AV39" s="74">
        <f>+GETPIVOTDATA("XSN4",'suoinghe (2016)'!$A$3,"MA_HT","DCH","MA_QH","TON")</f>
        <v>0</v>
      </c>
      <c r="AW39" s="74">
        <f>+GETPIVOTDATA("XSN4",'suoinghe (2016)'!$A$3,"MA_HT","DCH","MA_QH","NTD")</f>
        <v>0</v>
      </c>
      <c r="AX39" s="74">
        <f>+GETPIVOTDATA("XSN4",'suoinghe (2016)'!$A$3,"MA_HT","DCH","MA_QH","SKX")</f>
        <v>0</v>
      </c>
      <c r="AY39" s="74">
        <f>+GETPIVOTDATA("XSN4",'suoinghe (2016)'!$A$3,"MA_HT","DCH","MA_QH","DSH")</f>
        <v>0</v>
      </c>
      <c r="AZ39" s="74">
        <f>+GETPIVOTDATA("XSN4",'suoinghe (2016)'!$A$3,"MA_HT","DCH","MA_QH","DKV")</f>
        <v>0</v>
      </c>
      <c r="BA39" s="139">
        <f>+GETPIVOTDATA("XSN4",'suoinghe (2016)'!$A$3,"MA_HT","DCH","MA_QH","TIN")</f>
        <v>0</v>
      </c>
      <c r="BB39" s="74">
        <f>+GETPIVOTDATA("XSN4",'suoinghe (2016)'!$A$3,"MA_HT","DCH","MA_QH","SON")</f>
        <v>0</v>
      </c>
      <c r="BC39" s="74">
        <f>+GETPIVOTDATA("XSN4",'suoinghe (2016)'!$A$3,"MA_HT","DCH","MA_QH","MNC")</f>
        <v>0</v>
      </c>
      <c r="BD39" s="74">
        <f>+GETPIVOTDATA("XSN4",'suoinghe (2016)'!$A$3,"MA_HT","DCH","MA_QH","PNK")</f>
        <v>0</v>
      </c>
      <c r="BE39" s="102">
        <f>+GETPIVOTDATA("XSN4",'suoinghe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+GETPIVOTDATA("XSN4",'suoinghe (2016)'!$A$3,"MA_HT","DKG","MA_QH","LUC")</f>
        <v>0</v>
      </c>
      <c r="H40" s="74">
        <f>+GETPIVOTDATA("XSN4",'suoinghe (2016)'!$A$3,"MA_HT","DKG","MA_QH","LUK")</f>
        <v>0</v>
      </c>
      <c r="I40" s="74">
        <f>+GETPIVOTDATA("XSN4",'suoinghe (2016)'!$A$3,"MA_HT","DKG","MA_QH","LUN")</f>
        <v>0</v>
      </c>
      <c r="J40" s="74">
        <f>+GETPIVOTDATA("XSN4",'suoinghe (2016)'!$A$3,"MA_HT","DKG","MA_QH","HNK")</f>
        <v>0</v>
      </c>
      <c r="K40" s="74">
        <f>+GETPIVOTDATA("XSN4",'suoinghe (2016)'!$A$3,"MA_HT","DKG","MA_QH","CLN")</f>
        <v>0</v>
      </c>
      <c r="L40" s="74">
        <f>+GETPIVOTDATA("XSN4",'suoinghe (2016)'!$A$3,"MA_HT","DKG","MA_QH","RSX")</f>
        <v>0</v>
      </c>
      <c r="M40" s="74">
        <f>+GETPIVOTDATA("XSN4",'suoinghe (2016)'!$A$3,"MA_HT","DKG","MA_QH","RPH")</f>
        <v>0</v>
      </c>
      <c r="N40" s="74">
        <f>+GETPIVOTDATA("XSN4",'suoinghe (2016)'!$A$3,"MA_HT","DKG","MA_QH","RDD")</f>
        <v>0</v>
      </c>
      <c r="O40" s="74">
        <f>+GETPIVOTDATA("XSN4",'suoinghe (2016)'!$A$3,"MA_HT","DKG","MA_QH","NTS")</f>
        <v>0</v>
      </c>
      <c r="P40" s="74">
        <f>+GETPIVOTDATA("XSN4",'suoinghe (2016)'!$A$3,"MA_HT","DKG","MA_QH","LMU")</f>
        <v>0</v>
      </c>
      <c r="Q40" s="74">
        <f>+GETPIVOTDATA("XSN4",'suoinghe (2016)'!$A$3,"MA_HT","DKG","MA_QH","NKH")</f>
        <v>0</v>
      </c>
      <c r="R40" s="72">
        <f>SUM(S40:AA40,AN40:BD40)</f>
        <v>0</v>
      </c>
      <c r="S40" s="74">
        <f>+GETPIVOTDATA("XSN4",'suoinghe (2016)'!$A$3,"MA_HT","DKG","MA_QH","CQP")</f>
        <v>0</v>
      </c>
      <c r="T40" s="74">
        <f>+GETPIVOTDATA("XSN4",'suoinghe (2016)'!$A$3,"MA_HT","DKG","MA_QH","CAN")</f>
        <v>0</v>
      </c>
      <c r="U40" s="74">
        <f>+GETPIVOTDATA("XSN4",'suoinghe (2016)'!$A$3,"MA_HT","DKG","MA_QH","SKK")</f>
        <v>0</v>
      </c>
      <c r="V40" s="74">
        <f>+GETPIVOTDATA("XSN4",'suoinghe (2016)'!$A$3,"MA_HT","DKG","MA_QH","SKT")</f>
        <v>0</v>
      </c>
      <c r="W40" s="74">
        <f>+GETPIVOTDATA("XSN4",'suoinghe (2016)'!$A$3,"MA_HT","DKG","MA_QH","SKN")</f>
        <v>0</v>
      </c>
      <c r="X40" s="74">
        <f>+GETPIVOTDATA("XSN4",'suoinghe (2016)'!$A$3,"MA_HT","DKG","MA_QH","TMD")</f>
        <v>0</v>
      </c>
      <c r="Y40" s="74">
        <f>+GETPIVOTDATA("XSN4",'suoinghe (2016)'!$A$3,"MA_HT","DKG","MA_QH","SKC")</f>
        <v>0</v>
      </c>
      <c r="Z40" s="74">
        <f>+GETPIVOTDATA("XSN4",'suoinghe (2016)'!$A$3,"MA_HT","DKG","MA_QH","SKS")</f>
        <v>0</v>
      </c>
      <c r="AA40" s="64">
        <f>+SUM(AB40:AL40)</f>
        <v>0</v>
      </c>
      <c r="AB40" s="74">
        <f>+GETPIVOTDATA("XSN4",'suoinghe (2016)'!$A$3,"MA_HT","DKG","MA_QH","DGT")</f>
        <v>0</v>
      </c>
      <c r="AC40" s="74">
        <f>+GETPIVOTDATA("XSN4",'suoinghe (2016)'!$A$3,"MA_HT","DKG","MA_QH","DTL")</f>
        <v>0</v>
      </c>
      <c r="AD40" s="74">
        <f>+GETPIVOTDATA("XSN4",'suoinghe (2016)'!$A$3,"MA_HT","DKG","MA_QH","DNL")</f>
        <v>0</v>
      </c>
      <c r="AE40" s="74">
        <f>+GETPIVOTDATA("XSN4",'suoinghe (2016)'!$A$3,"MA_HT","DKG","MA_QH","DBV")</f>
        <v>0</v>
      </c>
      <c r="AF40" s="74">
        <f>+GETPIVOTDATA("XSN4",'suoinghe (2016)'!$A$3,"MA_HT","DKG","MA_QH","DVH")</f>
        <v>0</v>
      </c>
      <c r="AG40" s="74">
        <f>+GETPIVOTDATA("XSN4",'suoinghe (2016)'!$A$3,"MA_HT","DKG","MA_QH","DYT")</f>
        <v>0</v>
      </c>
      <c r="AH40" s="74">
        <f>+GETPIVOTDATA("XSN4",'suoinghe (2016)'!$A$3,"MA_HT","DKG","MA_QH","DGD")</f>
        <v>0</v>
      </c>
      <c r="AI40" s="74">
        <f>+GETPIVOTDATA("XSN4",'suoinghe (2016)'!$A$3,"MA_HT","DKG","MA_QH","DTT")</f>
        <v>0</v>
      </c>
      <c r="AJ40" s="74">
        <f>+GETPIVOTDATA("XSN4",'suoinghe (2016)'!$A$3,"MA_HT","DKG","MA_QH","NCK")</f>
        <v>0</v>
      </c>
      <c r="AK40" s="74">
        <f>+GETPIVOTDATA("XSN4",'suoinghe (2016)'!$A$3,"MA_HT","DKG","MA_QH","DXH")</f>
        <v>0</v>
      </c>
      <c r="AL40" s="122">
        <f>+GETPIVOTDATA("XSN4",'suoinghe (2016)'!$A$3,"MA_HT","DDT","MA_QH","DKG")</f>
        <v>0</v>
      </c>
      <c r="AM40" s="100" t="e">
        <f>$D40-$BF40</f>
        <v>#REF!</v>
      </c>
      <c r="AN40" s="74">
        <f>+GETPIVOTDATA("XSN4",'suoinghe (2016)'!$A$3,"MA_HT","DKG","MA_QH","DDT")</f>
        <v>0</v>
      </c>
      <c r="AO40" s="74">
        <f>+GETPIVOTDATA("XSN4",'suoinghe (2016)'!$A$3,"MA_HT","DKG","MA_QH","DDL")</f>
        <v>0</v>
      </c>
      <c r="AP40" s="74">
        <f>+GETPIVOTDATA("XSN4",'suoinghe (2016)'!$A$3,"MA_HT","DKG","MA_QH","DRA")</f>
        <v>0</v>
      </c>
      <c r="AQ40" s="74">
        <f>+GETPIVOTDATA("XSN4",'suoinghe (2016)'!$A$3,"MA_HT","DKG","MA_QH","ONT")</f>
        <v>0</v>
      </c>
      <c r="AR40" s="74">
        <f>+GETPIVOTDATA("XSN4",'suoinghe (2016)'!$A$3,"MA_HT","DKG","MA_QH","ODT")</f>
        <v>0</v>
      </c>
      <c r="AS40" s="74">
        <f>+GETPIVOTDATA("XSN4",'suoinghe (2016)'!$A$3,"MA_HT","DKG","MA_QH","TSC")</f>
        <v>0</v>
      </c>
      <c r="AT40" s="74">
        <f>+GETPIVOTDATA("XSN4",'suoinghe (2016)'!$A$3,"MA_HT","DKG","MA_QH","DTS")</f>
        <v>0</v>
      </c>
      <c r="AU40" s="74">
        <f>+GETPIVOTDATA("XSN4",'suoinghe (2016)'!$A$3,"MA_HT","DKG","MA_QH","DNG")</f>
        <v>0</v>
      </c>
      <c r="AV40" s="74">
        <f>+GETPIVOTDATA("XSN4",'suoinghe (2016)'!$A$3,"MA_HT","DKG","MA_QH","TON")</f>
        <v>0</v>
      </c>
      <c r="AW40" s="74">
        <f>+GETPIVOTDATA("XSN4",'suoinghe (2016)'!$A$3,"MA_HT","DKG","MA_QH","NTD")</f>
        <v>0</v>
      </c>
      <c r="AX40" s="74">
        <f>+GETPIVOTDATA("XSN4",'suoinghe (2016)'!$A$3,"MA_HT","DKG","MA_QH","SKX")</f>
        <v>0</v>
      </c>
      <c r="AY40" s="74">
        <f>+GETPIVOTDATA("XSN4",'suoinghe (2016)'!$A$3,"MA_HT","DKG","MA_QH","DSH")</f>
        <v>0</v>
      </c>
      <c r="AZ40" s="74">
        <f>+GETPIVOTDATA("XSN4",'suoinghe (2016)'!$A$3,"MA_HT","DKG","MA_QH","DKV")</f>
        <v>0</v>
      </c>
      <c r="BA40" s="139">
        <f>+GETPIVOTDATA("XSN4",'suoinghe (2016)'!$A$3,"MA_HT","DKG","MA_QH","TIN")</f>
        <v>0</v>
      </c>
      <c r="BB40" s="74">
        <f>+GETPIVOTDATA("XSN4",'suoinghe (2016)'!$A$3,"MA_HT","DKG","MA_QH","SON")</f>
        <v>0</v>
      </c>
      <c r="BC40" s="74">
        <f>+GETPIVOTDATA("XSN4",'suoinghe (2016)'!$A$3,"MA_HT","DKG","MA_QH","MNC")</f>
        <v>0</v>
      </c>
      <c r="BD40" s="74">
        <f>+GETPIVOTDATA("XSN4",'suoinghe (2016)'!$A$3,"MA_HT","DKG","MA_QH","PNK")</f>
        <v>0</v>
      </c>
      <c r="BE40" s="102">
        <f>+GETPIVOTDATA("XSN4",'suoinghe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+GETPIVOTDATA("XSN4",'suoinghe (2016)'!$A$3,"MA_HT","DDT","MA_QH","LUC")</f>
        <v>0</v>
      </c>
      <c r="H41" s="122">
        <f>+GETPIVOTDATA("XSN4",'suoinghe (2016)'!$A$3,"MA_HT","DDT","MA_QH","LUK")</f>
        <v>0</v>
      </c>
      <c r="I41" s="122">
        <f>+GETPIVOTDATA("XSN4",'suoinghe (2016)'!$A$3,"MA_HT","DDT","MA_QH","LUN")</f>
        <v>0</v>
      </c>
      <c r="J41" s="122">
        <f>+GETPIVOTDATA("XSN4",'suoinghe (2016)'!$A$3,"MA_HT","DDT","MA_QH","HNK")</f>
        <v>0</v>
      </c>
      <c r="K41" s="122">
        <f>+GETPIVOTDATA("XSN4",'suoinghe (2016)'!$A$3,"MA_HT","DDT","MA_QH","CLN")</f>
        <v>0</v>
      </c>
      <c r="L41" s="122">
        <f>+GETPIVOTDATA("XSN4",'suoinghe (2016)'!$A$3,"MA_HT","DDT","MA_QH","RSX")</f>
        <v>0</v>
      </c>
      <c r="M41" s="122">
        <f>+GETPIVOTDATA("XSN4",'suoinghe (2016)'!$A$3,"MA_HT","DDT","MA_QH","RPH")</f>
        <v>0</v>
      </c>
      <c r="N41" s="122">
        <f>+GETPIVOTDATA("XSN4",'suoinghe (2016)'!$A$3,"MA_HT","DDT","MA_QH","RDD")</f>
        <v>0</v>
      </c>
      <c r="O41" s="122">
        <f>+GETPIVOTDATA("XSN4",'suoinghe (2016)'!$A$3,"MA_HT","DDT","MA_QH","NTS")</f>
        <v>0</v>
      </c>
      <c r="P41" s="122">
        <f>+GETPIVOTDATA("XSN4",'suoinghe (2016)'!$A$3,"MA_HT","DDT","MA_QH","LMU")</f>
        <v>0</v>
      </c>
      <c r="Q41" s="122">
        <f>+GETPIVOTDATA("XSN4",'suoinghe (2016)'!$A$3,"MA_HT","DDT","MA_QH","NKH")</f>
        <v>0</v>
      </c>
      <c r="R41" s="123">
        <f>SUM(S41:AA41,AO41:BD41)</f>
        <v>0</v>
      </c>
      <c r="S41" s="122">
        <f>+GETPIVOTDATA("XSN4",'suoinghe (2016)'!$A$3,"MA_HT","DDT","MA_QH","CQP")</f>
        <v>0</v>
      </c>
      <c r="T41" s="122">
        <f>+GETPIVOTDATA("XSN4",'suoinghe (2016)'!$A$3,"MA_HT","DDT","MA_QH","CAN")</f>
        <v>0</v>
      </c>
      <c r="U41" s="122">
        <f>+GETPIVOTDATA("XSN4",'suoinghe (2016)'!$A$3,"MA_HT","DDT","MA_QH","SKK")</f>
        <v>0</v>
      </c>
      <c r="V41" s="122">
        <f>+GETPIVOTDATA("XSN4",'suoinghe (2016)'!$A$3,"MA_HT","DDT","MA_QH","SKT")</f>
        <v>0</v>
      </c>
      <c r="W41" s="122">
        <f>+GETPIVOTDATA("XSN4",'suoinghe (2016)'!$A$3,"MA_HT","DDT","MA_QH","SKN")</f>
        <v>0</v>
      </c>
      <c r="X41" s="122">
        <f>+GETPIVOTDATA("XSN4",'suoinghe (2016)'!$A$3,"MA_HT","DDT","MA_QH","TMD")</f>
        <v>0</v>
      </c>
      <c r="Y41" s="122">
        <f>+GETPIVOTDATA("XSN4",'suoinghe (2016)'!$A$3,"MA_HT","DDT","MA_QH","SKC")</f>
        <v>0</v>
      </c>
      <c r="Z41" s="122">
        <f>+GETPIVOTDATA("XSN4",'suoinghe (2016)'!$A$3,"MA_HT","DDT","MA_QH","SKS")</f>
        <v>0</v>
      </c>
      <c r="AA41" s="121">
        <f t="shared" ref="AA41:AA58" si="21">+SUM(AB41:AM41)</f>
        <v>0</v>
      </c>
      <c r="AB41" s="122">
        <f>+GETPIVOTDATA("XSN4",'suoinghe (2016)'!$A$3,"MA_HT","DDT","MA_QH","DGT")</f>
        <v>0</v>
      </c>
      <c r="AC41" s="122">
        <f>+GETPIVOTDATA("XSN4",'suoinghe (2016)'!$A$3,"MA_HT","DDT","MA_QH","DTL")</f>
        <v>0</v>
      </c>
      <c r="AD41" s="122">
        <f>+GETPIVOTDATA("XSN4",'suoinghe (2016)'!$A$3,"MA_HT","DDT","MA_QH","DNL")</f>
        <v>0</v>
      </c>
      <c r="AE41" s="122">
        <f>+GETPIVOTDATA("XSN4",'suoinghe (2016)'!$A$3,"MA_HT","DDT","MA_QH","DBV")</f>
        <v>0</v>
      </c>
      <c r="AF41" s="122">
        <f>+GETPIVOTDATA("XSN4",'suoinghe (2016)'!$A$3,"MA_HT","DDT","MA_QH","DVH")</f>
        <v>0</v>
      </c>
      <c r="AG41" s="122">
        <f>+GETPIVOTDATA("XSN4",'suoinghe (2016)'!$A$3,"MA_HT","DDT","MA_QH","DYT")</f>
        <v>0</v>
      </c>
      <c r="AH41" s="122">
        <f>+GETPIVOTDATA("XSN4",'suoinghe (2016)'!$A$3,"MA_HT","DDT","MA_QH","DGD")</f>
        <v>0</v>
      </c>
      <c r="AI41" s="122">
        <f>+GETPIVOTDATA("XSN4",'suoinghe (2016)'!$A$3,"MA_HT","DDT","MA_QH","DTT")</f>
        <v>0</v>
      </c>
      <c r="AJ41" s="122">
        <f>+GETPIVOTDATA("XSN4",'suoinghe (2016)'!$A$3,"MA_HT","DDT","MA_QH","NCK")</f>
        <v>0</v>
      </c>
      <c r="AK41" s="122">
        <f>+GETPIVOTDATA("XSN4",'suoinghe (2016)'!$A$3,"MA_HT","DDT","MA_QH","DXH")</f>
        <v>0</v>
      </c>
      <c r="AL41" s="122">
        <f>+GETPIVOTDATA("XSN4",'suoinghe (2016)'!$A$3,"MA_HT","DDT","MA_QH","DCH")</f>
        <v>0</v>
      </c>
      <c r="AM41" s="122">
        <f>+GETPIVOTDATA("XSN4",'suoinghe (2016)'!$A$3,"MA_HT","DDT","MA_QH","DKG")</f>
        <v>0</v>
      </c>
      <c r="AN41" s="124" t="e">
        <f>$D41-$BF41</f>
        <v>#REF!</v>
      </c>
      <c r="AO41" s="122">
        <f>+GETPIVOTDATA("XSN4",'suoinghe (2016)'!$A$3,"MA_HT","DDT","MA_QH","DDL")</f>
        <v>0</v>
      </c>
      <c r="AP41" s="122">
        <f>+GETPIVOTDATA("XSN4",'suoinghe (2016)'!$A$3,"MA_HT","DDT","MA_QH","DRA")</f>
        <v>0</v>
      </c>
      <c r="AQ41" s="122">
        <f>+GETPIVOTDATA("XSN4",'suoinghe (2016)'!$A$3,"MA_HT","DDT","MA_QH","ONT")</f>
        <v>0</v>
      </c>
      <c r="AR41" s="122">
        <f>+GETPIVOTDATA("XSN4",'suoinghe (2016)'!$A$3,"MA_HT","DDT","MA_QH","ODT")</f>
        <v>0</v>
      </c>
      <c r="AS41" s="122">
        <f>+GETPIVOTDATA("XSN4",'suoinghe (2016)'!$A$3,"MA_HT","DDT","MA_QH","TSC")</f>
        <v>0</v>
      </c>
      <c r="AT41" s="122">
        <f>+GETPIVOTDATA("XSN4",'suoinghe (2016)'!$A$3,"MA_HT","DDT","MA_QH","DTS")</f>
        <v>0</v>
      </c>
      <c r="AU41" s="122">
        <f>+GETPIVOTDATA("XSN4",'suoinghe (2016)'!$A$3,"MA_HT","DDT","MA_QH","DNG")</f>
        <v>0</v>
      </c>
      <c r="AV41" s="122">
        <f>+GETPIVOTDATA("XSN4",'suoinghe (2016)'!$A$3,"MA_HT","DDT","MA_QH","TON")</f>
        <v>0</v>
      </c>
      <c r="AW41" s="122">
        <f>+GETPIVOTDATA("XSN4",'suoinghe (2016)'!$A$3,"MA_HT","DDT","MA_QH","NTD")</f>
        <v>0</v>
      </c>
      <c r="AX41" s="122">
        <f>+GETPIVOTDATA("XSN4",'suoinghe (2016)'!$A$3,"MA_HT","DDT","MA_QH","SKX")</f>
        <v>0</v>
      </c>
      <c r="AY41" s="122">
        <f>+GETPIVOTDATA("XSN4",'suoinghe (2016)'!$A$3,"MA_HT","DDT","MA_QH","DSH")</f>
        <v>0</v>
      </c>
      <c r="AZ41" s="122">
        <f>+GETPIVOTDATA("XSN4",'suoinghe (2016)'!$A$3,"MA_HT","DDT","MA_QH","DKV")</f>
        <v>0</v>
      </c>
      <c r="BA41" s="141">
        <f>+GETPIVOTDATA("XSN4",'suoinghe (2016)'!$A$3,"MA_HT","DDT","MA_QH","TIN")</f>
        <v>0</v>
      </c>
      <c r="BB41" s="125">
        <f>+GETPIVOTDATA("XSN4",'suoinghe (2016)'!$A$3,"MA_HT","DDT","MA_QH","SON")</f>
        <v>0</v>
      </c>
      <c r="BC41" s="125">
        <f>+GETPIVOTDATA("XSN4",'suoinghe (2016)'!$A$3,"MA_HT","DDT","MA_QH","MNC")</f>
        <v>0</v>
      </c>
      <c r="BD41" s="122">
        <f>+GETPIVOTDATA("XSN4",'suoinghe (2016)'!$A$3,"MA_HT","DDT","MA_QH","PNK")</f>
        <v>0</v>
      </c>
      <c r="BE41" s="126">
        <f>+GETPIVOTDATA("XSN4",'suoinghe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+GETPIVOTDATA("XSN4",'suoinghe (2016)'!$A$3,"MA_HT","DDL","MA_QH","LUC")</f>
        <v>0</v>
      </c>
      <c r="H42" s="35">
        <f>+GETPIVOTDATA("XSN4",'suoinghe (2016)'!$A$3,"MA_HT","DDL","MA_QH","LUK")</f>
        <v>0</v>
      </c>
      <c r="I42" s="35">
        <f>+GETPIVOTDATA("XSN4",'suoinghe (2016)'!$A$3,"MA_HT","DDL","MA_QH","LUN")</f>
        <v>0</v>
      </c>
      <c r="J42" s="35">
        <f>+GETPIVOTDATA("XSN4",'suoinghe (2016)'!$A$3,"MA_HT","DDL","MA_QH","HNK")</f>
        <v>0</v>
      </c>
      <c r="K42" s="35">
        <f>+GETPIVOTDATA("XSN4",'suoinghe (2016)'!$A$3,"MA_HT","DDL","MA_QH","CLN")</f>
        <v>0</v>
      </c>
      <c r="L42" s="35">
        <f>+GETPIVOTDATA("XSN4",'suoinghe (2016)'!$A$3,"MA_HT","DDL","MA_QH","RSX")</f>
        <v>0</v>
      </c>
      <c r="M42" s="35">
        <f>+GETPIVOTDATA("XSN4",'suoinghe (2016)'!$A$3,"MA_HT","DDL","MA_QH","RPH")</f>
        <v>0</v>
      </c>
      <c r="N42" s="35">
        <f>+GETPIVOTDATA("XSN4",'suoinghe (2016)'!$A$3,"MA_HT","DDL","MA_QH","RDD")</f>
        <v>0</v>
      </c>
      <c r="O42" s="35">
        <f>+GETPIVOTDATA("XSN4",'suoinghe (2016)'!$A$3,"MA_HT","DDL","MA_QH","NTS")</f>
        <v>0</v>
      </c>
      <c r="P42" s="35">
        <f>+GETPIVOTDATA("XSN4",'suoinghe (2016)'!$A$3,"MA_HT","DDL","MA_QH","LMU")</f>
        <v>0</v>
      </c>
      <c r="Q42" s="35">
        <f>+GETPIVOTDATA("XSN4",'suoinghe (2016)'!$A$3,"MA_HT","DDL","MA_QH","NKH")</f>
        <v>0</v>
      </c>
      <c r="R42" s="106">
        <f>SUM(S42:AA42,AN42,AP42:BD42)</f>
        <v>0</v>
      </c>
      <c r="S42" s="35">
        <f>+GETPIVOTDATA("XSN4",'suoinghe (2016)'!$A$3,"MA_HT","DDL","MA_QH","CQP")</f>
        <v>0</v>
      </c>
      <c r="T42" s="35">
        <f>+GETPIVOTDATA("XSN4",'suoinghe (2016)'!$A$3,"MA_HT","DDL","MA_QH","CAN")</f>
        <v>0</v>
      </c>
      <c r="U42" s="35">
        <f>+GETPIVOTDATA("XSN4",'suoinghe (2016)'!$A$3,"MA_HT","DDL","MA_QH","SKK")</f>
        <v>0</v>
      </c>
      <c r="V42" s="35">
        <f>+GETPIVOTDATA("XSN4",'suoinghe (2016)'!$A$3,"MA_HT","DDL","MA_QH","SKT")</f>
        <v>0</v>
      </c>
      <c r="W42" s="35">
        <f>+GETPIVOTDATA("XSN4",'suoinghe (2016)'!$A$3,"MA_HT","DDL","MA_QH","SKN")</f>
        <v>0</v>
      </c>
      <c r="X42" s="35">
        <f>+GETPIVOTDATA("XSN4",'suoinghe (2016)'!$A$3,"MA_HT","DDL","MA_QH","TMD")</f>
        <v>0</v>
      </c>
      <c r="Y42" s="35">
        <f>+GETPIVOTDATA("XSN4",'suoinghe (2016)'!$A$3,"MA_HT","DDL","MA_QH","SKC")</f>
        <v>0</v>
      </c>
      <c r="Z42" s="35">
        <f>+GETPIVOTDATA("XSN4",'suoinghe (2016)'!$A$3,"MA_HT","DDL","MA_QH","SKS")</f>
        <v>0</v>
      </c>
      <c r="AA42" s="64">
        <f t="shared" si="21"/>
        <v>0</v>
      </c>
      <c r="AB42" s="35">
        <f>+GETPIVOTDATA("XSN4",'suoinghe (2016)'!$A$3,"MA_HT","DDL","MA_QH","DGT")</f>
        <v>0</v>
      </c>
      <c r="AC42" s="35">
        <f>+GETPIVOTDATA("XSN4",'suoinghe (2016)'!$A$3,"MA_HT","DDL","MA_QH","DTL")</f>
        <v>0</v>
      </c>
      <c r="AD42" s="35">
        <f>+GETPIVOTDATA("XSN4",'suoinghe (2016)'!$A$3,"MA_HT","DDL","MA_QH","DNL")</f>
        <v>0</v>
      </c>
      <c r="AE42" s="35">
        <f>+GETPIVOTDATA("XSN4",'suoinghe (2016)'!$A$3,"MA_HT","DDL","MA_QH","DBV")</f>
        <v>0</v>
      </c>
      <c r="AF42" s="35">
        <f>+GETPIVOTDATA("XSN4",'suoinghe (2016)'!$A$3,"MA_HT","DDL","MA_QH","DVH")</f>
        <v>0</v>
      </c>
      <c r="AG42" s="35">
        <f>+GETPIVOTDATA("XSN4",'suoinghe (2016)'!$A$3,"MA_HT","DDL","MA_QH","DYT")</f>
        <v>0</v>
      </c>
      <c r="AH42" s="35">
        <f>+GETPIVOTDATA("XSN4",'suoinghe (2016)'!$A$3,"MA_HT","DDL","MA_QH","DGD")</f>
        <v>0</v>
      </c>
      <c r="AI42" s="35">
        <f>+GETPIVOTDATA("XSN4",'suoinghe (2016)'!$A$3,"MA_HT","DDL","MA_QH","DTT")</f>
        <v>0</v>
      </c>
      <c r="AJ42" s="35">
        <f>+GETPIVOTDATA("XSN4",'suoinghe (2016)'!$A$3,"MA_HT","DDL","MA_QH","NCK")</f>
        <v>0</v>
      </c>
      <c r="AK42" s="35">
        <f>+GETPIVOTDATA("XSN4",'suoinghe (2016)'!$A$3,"MA_HT","DDL","MA_QH","DXH")</f>
        <v>0</v>
      </c>
      <c r="AL42" s="35">
        <f>+GETPIVOTDATA("XSN4",'suoinghe (2016)'!$A$3,"MA_HT","DDL","MA_QH","DCH")</f>
        <v>0</v>
      </c>
      <c r="AM42" s="35">
        <f>+GETPIVOTDATA("XSN4",'suoinghe (2016)'!$A$3,"MA_HT","DDL","MA_QH","DKG")</f>
        <v>0</v>
      </c>
      <c r="AN42" s="35">
        <f>+GETPIVOTDATA("XSN4",'suoinghe (2016)'!$A$3,"MA_HT","DDL","MA_QH","DDT")</f>
        <v>0</v>
      </c>
      <c r="AO42" s="99" t="e">
        <f>$D42-$BF42</f>
        <v>#REF!</v>
      </c>
      <c r="AP42" s="35">
        <f>+GETPIVOTDATA("XSN4",'suoinghe (2016)'!$A$3,"MA_HT","DDL","MA_QH","DRA")</f>
        <v>0</v>
      </c>
      <c r="AQ42" s="35">
        <f>+GETPIVOTDATA("XSN4",'suoinghe (2016)'!$A$3,"MA_HT","DDL","MA_QH","ONT")</f>
        <v>0</v>
      </c>
      <c r="AR42" s="35">
        <f>+GETPIVOTDATA("XSN4",'suoinghe (2016)'!$A$3,"MA_HT","DDL","MA_QH","ODT")</f>
        <v>0</v>
      </c>
      <c r="AS42" s="35">
        <f>+GETPIVOTDATA("XSN4",'suoinghe (2016)'!$A$3,"MA_HT","DDL","MA_QH","TSC")</f>
        <v>0</v>
      </c>
      <c r="AT42" s="35">
        <f>+GETPIVOTDATA("XSN4",'suoinghe (2016)'!$A$3,"MA_HT","DDL","MA_QH","DTS")</f>
        <v>0</v>
      </c>
      <c r="AU42" s="35">
        <f>+GETPIVOTDATA("XSN4",'suoinghe (2016)'!$A$3,"MA_HT","DDL","MA_QH","DNG")</f>
        <v>0</v>
      </c>
      <c r="AV42" s="35">
        <f>+GETPIVOTDATA("XSN4",'suoinghe (2016)'!$A$3,"MA_HT","DDL","MA_QH","TON")</f>
        <v>0</v>
      </c>
      <c r="AW42" s="35">
        <f>+GETPIVOTDATA("XSN4",'suoinghe (2016)'!$A$3,"MA_HT","DDL","MA_QH","NTD")</f>
        <v>0</v>
      </c>
      <c r="AX42" s="35">
        <f>+GETPIVOTDATA("XSN4",'suoinghe (2016)'!$A$3,"MA_HT","DDL","MA_QH","SKX")</f>
        <v>0</v>
      </c>
      <c r="AY42" s="35">
        <f>+GETPIVOTDATA("XSN4",'suoinghe (2016)'!$A$3,"MA_HT","DDL","MA_QH","DSH")</f>
        <v>0</v>
      </c>
      <c r="AZ42" s="35">
        <f>+GETPIVOTDATA("XSN4",'suoinghe (2016)'!$A$3,"MA_HT","DDL","MA_QH","DKV")</f>
        <v>0</v>
      </c>
      <c r="BA42" s="140">
        <f>+GETPIVOTDATA("XSN4",'suoinghe (2016)'!$A$3,"MA_HT","DDL","MA_QH","TIN")</f>
        <v>0</v>
      </c>
      <c r="BB42" s="74">
        <f>+GETPIVOTDATA("XSN4",'suoinghe (2016)'!$A$3,"MA_HT","DDL","MA_QH","SON")</f>
        <v>0</v>
      </c>
      <c r="BC42" s="74">
        <f>+GETPIVOTDATA("XSN4",'suoinghe (2016)'!$A$3,"MA_HT","DDL","MA_QH","MNC")</f>
        <v>0</v>
      </c>
      <c r="BD42" s="35">
        <f>+GETPIVOTDATA("XSN4",'suoinghe (2016)'!$A$3,"MA_HT","DDL","MA_QH","PNK")</f>
        <v>0</v>
      </c>
      <c r="BE42" s="58">
        <f>+GETPIVOTDATA("XSN4",'suoinghe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+GETPIVOTDATA("XSN4",'suoinghe (2016)'!$A$3,"MA_HT","DRA","MA_QH","LUC")</f>
        <v>0</v>
      </c>
      <c r="H43" s="35">
        <f>+GETPIVOTDATA("XSN4",'suoinghe (2016)'!$A$3,"MA_HT","DRA","MA_QH","LUK")</f>
        <v>0</v>
      </c>
      <c r="I43" s="35">
        <f>+GETPIVOTDATA("XSN4",'suoinghe (2016)'!$A$3,"MA_HT","DRA","MA_QH","LUN")</f>
        <v>0</v>
      </c>
      <c r="J43" s="35">
        <f>+GETPIVOTDATA("XSN4",'suoinghe (2016)'!$A$3,"MA_HT","DRA","MA_QH","HNK")</f>
        <v>0</v>
      </c>
      <c r="K43" s="35">
        <f>+GETPIVOTDATA("XSN4",'suoinghe (2016)'!$A$3,"MA_HT","DRA","MA_QH","CLN")</f>
        <v>0</v>
      </c>
      <c r="L43" s="35">
        <f>+GETPIVOTDATA("XSN4",'suoinghe (2016)'!$A$3,"MA_HT","DRA","MA_QH","RSX")</f>
        <v>0</v>
      </c>
      <c r="M43" s="35">
        <f>+GETPIVOTDATA("XSN4",'suoinghe (2016)'!$A$3,"MA_HT","DRA","MA_QH","RPH")</f>
        <v>0</v>
      </c>
      <c r="N43" s="35">
        <f>+GETPIVOTDATA("XSN4",'suoinghe (2016)'!$A$3,"MA_HT","DRA","MA_QH","RDD")</f>
        <v>0</v>
      </c>
      <c r="O43" s="35">
        <f>+GETPIVOTDATA("XSN4",'suoinghe (2016)'!$A$3,"MA_HT","DRA","MA_QH","NTS")</f>
        <v>0</v>
      </c>
      <c r="P43" s="35">
        <f>+GETPIVOTDATA("XSN4",'suoinghe (2016)'!$A$3,"MA_HT","DRA","MA_QH","LMU")</f>
        <v>0</v>
      </c>
      <c r="Q43" s="35">
        <f>+GETPIVOTDATA("XSN4",'suoinghe (2016)'!$A$3,"MA_HT","DRA","MA_QH","NKH")</f>
        <v>0</v>
      </c>
      <c r="R43" s="106">
        <f>SUM(S43:AA43,AN43:AO43,AQ43:BD43)</f>
        <v>0</v>
      </c>
      <c r="S43" s="35">
        <f>+GETPIVOTDATA("XSN4",'suoinghe (2016)'!$A$3,"MA_HT","DRA","MA_QH","CQP")</f>
        <v>0</v>
      </c>
      <c r="T43" s="35">
        <f>+GETPIVOTDATA("XSN4",'suoinghe (2016)'!$A$3,"MA_HT","DRA","MA_QH","CAN")</f>
        <v>0</v>
      </c>
      <c r="U43" s="35">
        <f>+GETPIVOTDATA("XSN4",'suoinghe (2016)'!$A$3,"MA_HT","DRA","MA_QH","SKK")</f>
        <v>0</v>
      </c>
      <c r="V43" s="35">
        <f>+GETPIVOTDATA("XSN4",'suoinghe (2016)'!$A$3,"MA_HT","DRA","MA_QH","SKT")</f>
        <v>0</v>
      </c>
      <c r="W43" s="35">
        <f>+GETPIVOTDATA("XSN4",'suoinghe (2016)'!$A$3,"MA_HT","DRA","MA_QH","SKN")</f>
        <v>0</v>
      </c>
      <c r="X43" s="35">
        <f>+GETPIVOTDATA("XSN4",'suoinghe (2016)'!$A$3,"MA_HT","DRA","MA_QH","TMD")</f>
        <v>0</v>
      </c>
      <c r="Y43" s="35">
        <f>+GETPIVOTDATA("XSN4",'suoinghe (2016)'!$A$3,"MA_HT","DRA","MA_QH","SKC")</f>
        <v>0</v>
      </c>
      <c r="Z43" s="35">
        <f>+GETPIVOTDATA("XSN4",'suoinghe (2016)'!$A$3,"MA_HT","DRA","MA_QH","SKS")</f>
        <v>0</v>
      </c>
      <c r="AA43" s="64">
        <f t="shared" si="21"/>
        <v>0</v>
      </c>
      <c r="AB43" s="35">
        <f>+GETPIVOTDATA("XSN4",'suoinghe (2016)'!$A$3,"MA_HT","DRA","MA_QH","DGT")</f>
        <v>0</v>
      </c>
      <c r="AC43" s="35">
        <f>+GETPIVOTDATA("XSN4",'suoinghe (2016)'!$A$3,"MA_HT","DRA","MA_QH","DTL")</f>
        <v>0</v>
      </c>
      <c r="AD43" s="35">
        <f>+GETPIVOTDATA("XSN4",'suoinghe (2016)'!$A$3,"MA_HT","DRA","MA_QH","DNL")</f>
        <v>0</v>
      </c>
      <c r="AE43" s="35">
        <f>+GETPIVOTDATA("XSN4",'suoinghe (2016)'!$A$3,"MA_HT","DRA","MA_QH","DBV")</f>
        <v>0</v>
      </c>
      <c r="AF43" s="35">
        <f>+GETPIVOTDATA("XSN4",'suoinghe (2016)'!$A$3,"MA_HT","DRA","MA_QH","DVH")</f>
        <v>0</v>
      </c>
      <c r="AG43" s="35">
        <f>+GETPIVOTDATA("XSN4",'suoinghe (2016)'!$A$3,"MA_HT","DRA","MA_QH","DYT")</f>
        <v>0</v>
      </c>
      <c r="AH43" s="35">
        <f>+GETPIVOTDATA("XSN4",'suoinghe (2016)'!$A$3,"MA_HT","DRA","MA_QH","DGD")</f>
        <v>0</v>
      </c>
      <c r="AI43" s="35">
        <f>+GETPIVOTDATA("XSN4",'suoinghe (2016)'!$A$3,"MA_HT","DRA","MA_QH","DTT")</f>
        <v>0</v>
      </c>
      <c r="AJ43" s="35">
        <f>+GETPIVOTDATA("XSN4",'suoinghe (2016)'!$A$3,"MA_HT","DRA","MA_QH","NCK")</f>
        <v>0</v>
      </c>
      <c r="AK43" s="35">
        <f>+GETPIVOTDATA("XSN4",'suoinghe (2016)'!$A$3,"MA_HT","DRA","MA_QH","DXH")</f>
        <v>0</v>
      </c>
      <c r="AL43" s="35">
        <f>+GETPIVOTDATA("XSN4",'suoinghe (2016)'!$A$3,"MA_HT","DRA","MA_QH","DCH")</f>
        <v>0</v>
      </c>
      <c r="AM43" s="35">
        <f>+GETPIVOTDATA("XSN4",'suoinghe (2016)'!$A$3,"MA_HT","DRA","MA_QH","DKG")</f>
        <v>0</v>
      </c>
      <c r="AN43" s="35">
        <f>+GETPIVOTDATA("XSN4",'suoinghe (2016)'!$A$3,"MA_HT","DRA","MA_QH","DDT")</f>
        <v>0</v>
      </c>
      <c r="AO43" s="35">
        <f>+GETPIVOTDATA("XSN4",'suoinghe (2016)'!$A$3,"MA_HT","DRA","MA_QH","DDL")</f>
        <v>0</v>
      </c>
      <c r="AP43" s="99" t="e">
        <f>$D43-$BF43</f>
        <v>#REF!</v>
      </c>
      <c r="AQ43" s="35">
        <f>+GETPIVOTDATA("XSN4",'suoinghe (2016)'!$A$3,"MA_HT","DRA","MA_QH","ONT")</f>
        <v>0</v>
      </c>
      <c r="AR43" s="35">
        <f>+GETPIVOTDATA("XSN4",'suoinghe (2016)'!$A$3,"MA_HT","DRA","MA_QH","ODT")</f>
        <v>0</v>
      </c>
      <c r="AS43" s="35">
        <f>+GETPIVOTDATA("XSN4",'suoinghe (2016)'!$A$3,"MA_HT","DRA","MA_QH","TSC")</f>
        <v>0</v>
      </c>
      <c r="AT43" s="35">
        <f>+GETPIVOTDATA("XSN4",'suoinghe (2016)'!$A$3,"MA_HT","DRA","MA_QH","DTS")</f>
        <v>0</v>
      </c>
      <c r="AU43" s="35">
        <f>+GETPIVOTDATA("XSN4",'suoinghe (2016)'!$A$3,"MA_HT","DRA","MA_QH","DNG")</f>
        <v>0</v>
      </c>
      <c r="AV43" s="35">
        <f>+GETPIVOTDATA("XSN4",'suoinghe (2016)'!$A$3,"MA_HT","DRA","MA_QH","TON")</f>
        <v>0</v>
      </c>
      <c r="AW43" s="35">
        <f>+GETPIVOTDATA("XSN4",'suoinghe (2016)'!$A$3,"MA_HT","DRA","MA_QH","NTD")</f>
        <v>0</v>
      </c>
      <c r="AX43" s="35">
        <f>+GETPIVOTDATA("XSN4",'suoinghe (2016)'!$A$3,"MA_HT","DRA","MA_QH","SKX")</f>
        <v>0</v>
      </c>
      <c r="AY43" s="35">
        <f>+GETPIVOTDATA("XSN4",'suoinghe (2016)'!$A$3,"MA_HT","DRA","MA_QH","DSH")</f>
        <v>0</v>
      </c>
      <c r="AZ43" s="35">
        <f>+GETPIVOTDATA("XSN4",'suoinghe (2016)'!$A$3,"MA_HT","DRA","MA_QH","DKV")</f>
        <v>0</v>
      </c>
      <c r="BA43" s="140">
        <f>+GETPIVOTDATA("XSN4",'suoinghe (2016)'!$A$3,"MA_HT","DRA","MA_QH","TIN")</f>
        <v>0</v>
      </c>
      <c r="BB43" s="74">
        <f>+GETPIVOTDATA("XSN4",'suoinghe (2016)'!$A$3,"MA_HT","DRA","MA_QH","SON")</f>
        <v>0</v>
      </c>
      <c r="BC43" s="74">
        <f>+GETPIVOTDATA("XSN4",'suoinghe (2016)'!$A$3,"MA_HT","DRA","MA_QH","MNC")</f>
        <v>0</v>
      </c>
      <c r="BD43" s="35">
        <f>+GETPIVOTDATA("XSN4",'suoinghe (2016)'!$A$3,"MA_HT","DRA","MA_QH","PNK")</f>
        <v>0</v>
      </c>
      <c r="BE43" s="58">
        <f>+GETPIVOTDATA("XSN4",'suoinghe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+GETPIVOTDATA("XSN4",'suoinghe (2016)'!$A$3,"MA_HT","ONT","MA_QH","LUC")</f>
        <v>0</v>
      </c>
      <c r="H44" s="35">
        <f>+GETPIVOTDATA("XSN4",'suoinghe (2016)'!$A$3,"MA_HT","ONT","MA_QH","LUK")</f>
        <v>0</v>
      </c>
      <c r="I44" s="35">
        <f>+GETPIVOTDATA("XSN4",'suoinghe (2016)'!$A$3,"MA_HT","ONT","MA_QH","LUN")</f>
        <v>0</v>
      </c>
      <c r="J44" s="35">
        <f>+GETPIVOTDATA("XSN4",'suoinghe (2016)'!$A$3,"MA_HT","ONT","MA_QH","HNK")</f>
        <v>0</v>
      </c>
      <c r="K44" s="35">
        <f>+GETPIVOTDATA("XSN4",'suoinghe (2016)'!$A$3,"MA_HT","ONT","MA_QH","CLN")</f>
        <v>0</v>
      </c>
      <c r="L44" s="35">
        <f>+GETPIVOTDATA("XSN4",'suoinghe (2016)'!$A$3,"MA_HT","ONT","MA_QH","RSX")</f>
        <v>0</v>
      </c>
      <c r="M44" s="35">
        <f>+GETPIVOTDATA("XSN4",'suoinghe (2016)'!$A$3,"MA_HT","ONT","MA_QH","RPH")</f>
        <v>0</v>
      </c>
      <c r="N44" s="35">
        <f>+GETPIVOTDATA("XSN4",'suoinghe (2016)'!$A$3,"MA_HT","ONT","MA_QH","RDD")</f>
        <v>0</v>
      </c>
      <c r="O44" s="35">
        <f>+GETPIVOTDATA("XSN4",'suoinghe (2016)'!$A$3,"MA_HT","ONT","MA_QH","NTS")</f>
        <v>0</v>
      </c>
      <c r="P44" s="35">
        <f>+GETPIVOTDATA("XSN4",'suoinghe (2016)'!$A$3,"MA_HT","ONT","MA_QH","LMU")</f>
        <v>0</v>
      </c>
      <c r="Q44" s="35">
        <f>+GETPIVOTDATA("XSN4",'suoinghe (2016)'!$A$3,"MA_HT","ONT","MA_QH","NKH")</f>
        <v>0</v>
      </c>
      <c r="R44" s="106">
        <f>SUM(S44:AA44,AN44:AP44,AR44:BD44)</f>
        <v>0</v>
      </c>
      <c r="S44" s="35">
        <f>+GETPIVOTDATA("XSN4",'suoinghe (2016)'!$A$3,"MA_HT","ONT","MA_QH","CQP")</f>
        <v>0</v>
      </c>
      <c r="T44" s="35">
        <f>+GETPIVOTDATA("XSN4",'suoinghe (2016)'!$A$3,"MA_HT","ONT","MA_QH","CAN")</f>
        <v>0</v>
      </c>
      <c r="U44" s="35">
        <f>+GETPIVOTDATA("XSN4",'suoinghe (2016)'!$A$3,"MA_HT","ONT","MA_QH","SKK")</f>
        <v>0</v>
      </c>
      <c r="V44" s="35">
        <f>+GETPIVOTDATA("XSN4",'suoinghe (2016)'!$A$3,"MA_HT","ONT","MA_QH","SKT")</f>
        <v>0</v>
      </c>
      <c r="W44" s="35">
        <f>+GETPIVOTDATA("XSN4",'suoinghe (2016)'!$A$3,"MA_HT","ONT","MA_QH","SKN")</f>
        <v>0</v>
      </c>
      <c r="X44" s="35">
        <f>+GETPIVOTDATA("XSN4",'suoinghe (2016)'!$A$3,"MA_HT","ONT","MA_QH","TMD")</f>
        <v>0</v>
      </c>
      <c r="Y44" s="35">
        <f>+GETPIVOTDATA("XSN4",'suoinghe (2016)'!$A$3,"MA_HT","ONT","MA_QH","SKC")</f>
        <v>0</v>
      </c>
      <c r="Z44" s="35">
        <f>+GETPIVOTDATA("XSN4",'suoinghe (2016)'!$A$3,"MA_HT","ONT","MA_QH","SKS")</f>
        <v>0</v>
      </c>
      <c r="AA44" s="64">
        <f t="shared" si="21"/>
        <v>0</v>
      </c>
      <c r="AB44" s="35">
        <f>+GETPIVOTDATA("XSN4",'suoinghe (2016)'!$A$3,"MA_HT","ONT","MA_QH","DGT")</f>
        <v>0</v>
      </c>
      <c r="AC44" s="35">
        <f>+GETPIVOTDATA("XSN4",'suoinghe (2016)'!$A$3,"MA_HT","ONT","MA_QH","DTL")</f>
        <v>0</v>
      </c>
      <c r="AD44" s="35">
        <f>+GETPIVOTDATA("XSN4",'suoinghe (2016)'!$A$3,"MA_HT","ONT","MA_QH","DNL")</f>
        <v>0</v>
      </c>
      <c r="AE44" s="35">
        <f>+GETPIVOTDATA("XSN4",'suoinghe (2016)'!$A$3,"MA_HT","ONT","MA_QH","DBV")</f>
        <v>0</v>
      </c>
      <c r="AF44" s="35">
        <f>+GETPIVOTDATA("XSN4",'suoinghe (2016)'!$A$3,"MA_HT","ONT","MA_QH","DVH")</f>
        <v>0</v>
      </c>
      <c r="AG44" s="35">
        <f>+GETPIVOTDATA("XSN4",'suoinghe (2016)'!$A$3,"MA_HT","ONT","MA_QH","DYT")</f>
        <v>0</v>
      </c>
      <c r="AH44" s="35">
        <f>+GETPIVOTDATA("XSN4",'suoinghe (2016)'!$A$3,"MA_HT","ONT","MA_QH","DGD")</f>
        <v>0</v>
      </c>
      <c r="AI44" s="35">
        <f>+GETPIVOTDATA("XSN4",'suoinghe (2016)'!$A$3,"MA_HT","ONT","MA_QH","DTT")</f>
        <v>0</v>
      </c>
      <c r="AJ44" s="35">
        <f>+GETPIVOTDATA("XSN4",'suoinghe (2016)'!$A$3,"MA_HT","ONT","MA_QH","NCK")</f>
        <v>0</v>
      </c>
      <c r="AK44" s="35">
        <f>+GETPIVOTDATA("XSN4",'suoinghe (2016)'!$A$3,"MA_HT","ONT","MA_QH","DXH")</f>
        <v>0</v>
      </c>
      <c r="AL44" s="35">
        <f>+GETPIVOTDATA("XSN4",'suoinghe (2016)'!$A$3,"MA_HT","ONT","MA_QH","DCH")</f>
        <v>0</v>
      </c>
      <c r="AM44" s="35">
        <f>+GETPIVOTDATA("XSN4",'suoinghe (2016)'!$A$3,"MA_HT","ONT","MA_QH","DKG")</f>
        <v>0</v>
      </c>
      <c r="AN44" s="35">
        <f>+GETPIVOTDATA("XSN4",'suoinghe (2016)'!$A$3,"MA_HT","ONT","MA_QH","DDT")</f>
        <v>0</v>
      </c>
      <c r="AO44" s="35">
        <f>+GETPIVOTDATA("XSN4",'suoinghe (2016)'!$A$3,"MA_HT","ONT","MA_QH","DDL")</f>
        <v>0</v>
      </c>
      <c r="AP44" s="35">
        <f>+GETPIVOTDATA("XSN4",'suoinghe (2016)'!$A$3,"MA_HT","ONT","MA_QH","DRA")</f>
        <v>0</v>
      </c>
      <c r="AQ44" s="99" t="e">
        <f>$D44-$BF44</f>
        <v>#REF!</v>
      </c>
      <c r="AR44" s="35">
        <f>+GETPIVOTDATA("XSN4",'suoinghe (2016)'!$A$3,"MA_HT","ONT","MA_QH","ODT")</f>
        <v>0</v>
      </c>
      <c r="AS44" s="35">
        <f>+GETPIVOTDATA("XSN4",'suoinghe (2016)'!$A$3,"MA_HT","ONT","MA_QH","TSC")</f>
        <v>0</v>
      </c>
      <c r="AT44" s="35">
        <f>+GETPIVOTDATA("XSN4",'suoinghe (2016)'!$A$3,"MA_HT","ONT","MA_QH","DTS")</f>
        <v>0</v>
      </c>
      <c r="AU44" s="35">
        <f>+GETPIVOTDATA("XSN4",'suoinghe (2016)'!$A$3,"MA_HT","ONT","MA_QH","DNG")</f>
        <v>0</v>
      </c>
      <c r="AV44" s="35">
        <f>+GETPIVOTDATA("XSN4",'suoinghe (2016)'!$A$3,"MA_HT","ONT","MA_QH","TON")</f>
        <v>0</v>
      </c>
      <c r="AW44" s="35">
        <f>+GETPIVOTDATA("XSN4",'suoinghe (2016)'!$A$3,"MA_HT","ONT","MA_QH","NTD")</f>
        <v>0</v>
      </c>
      <c r="AX44" s="35">
        <f>+GETPIVOTDATA("XSN4",'suoinghe (2016)'!$A$3,"MA_HT","ONT","MA_QH","SKX")</f>
        <v>0</v>
      </c>
      <c r="AY44" s="35">
        <f>+GETPIVOTDATA("XSN4",'suoinghe (2016)'!$A$3,"MA_HT","ONT","MA_QH","DSH")</f>
        <v>0</v>
      </c>
      <c r="AZ44" s="35">
        <f>+GETPIVOTDATA("XSN4",'suoinghe (2016)'!$A$3,"MA_HT","ONT","MA_QH","DKV")</f>
        <v>0</v>
      </c>
      <c r="BA44" s="140">
        <f>+GETPIVOTDATA("XSN4",'suoinghe (2016)'!$A$3,"MA_HT","ONT","MA_QH","TIN")</f>
        <v>0</v>
      </c>
      <c r="BB44" s="74">
        <f>+GETPIVOTDATA("XSN4",'suoinghe (2016)'!$A$3,"MA_HT","ONT","MA_QH","SON")</f>
        <v>0</v>
      </c>
      <c r="BC44" s="74">
        <f>+GETPIVOTDATA("XSN4",'suoinghe (2016)'!$A$3,"MA_HT","ONT","MA_QH","MNC")</f>
        <v>0</v>
      </c>
      <c r="BD44" s="35">
        <f>+GETPIVOTDATA("XSN4",'suoinghe (2016)'!$A$3,"MA_HT","ONT","MA_QH","PNK")</f>
        <v>0</v>
      </c>
      <c r="BE44" s="58">
        <f>+GETPIVOTDATA("XSN4",'suoinghe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+GETPIVOTDATA("XSN4",'suoinghe (2016)'!$A$3,"MA_HT","ODT","MA_QH","LUC")</f>
        <v>0</v>
      </c>
      <c r="H45" s="111">
        <f>+GETPIVOTDATA("XSN4",'suoinghe (2016)'!$A$3,"MA_HT","ODT","MA_QH","LUK")</f>
        <v>0</v>
      </c>
      <c r="I45" s="111">
        <f>+GETPIVOTDATA("XSN4",'suoinghe (2016)'!$A$3,"MA_HT","ODT","MA_QH","LUN")</f>
        <v>0</v>
      </c>
      <c r="J45" s="111">
        <f>+GETPIVOTDATA("XSN4",'suoinghe (2016)'!$A$3,"MA_HT","ODT","MA_QH","HNK")</f>
        <v>0</v>
      </c>
      <c r="K45" s="111">
        <f>+GETPIVOTDATA("XSN4",'suoinghe (2016)'!$A$3,"MA_HT","ODT","MA_QH","CLN")</f>
        <v>0</v>
      </c>
      <c r="L45" s="111">
        <f>+GETPIVOTDATA("XSN4",'suoinghe (2016)'!$A$3,"MA_HT","ODT","MA_QH","RSX")</f>
        <v>0</v>
      </c>
      <c r="M45" s="111">
        <f>+GETPIVOTDATA("XSN4",'suoinghe (2016)'!$A$3,"MA_HT","ODT","MA_QH","RPH")</f>
        <v>0</v>
      </c>
      <c r="N45" s="111">
        <f>+GETPIVOTDATA("XSN4",'suoinghe (2016)'!$A$3,"MA_HT","ODT","MA_QH","RDD")</f>
        <v>0</v>
      </c>
      <c r="O45" s="111">
        <f>+GETPIVOTDATA("XSN4",'suoinghe (2016)'!$A$3,"MA_HT","ODT","MA_QH","NTS")</f>
        <v>0</v>
      </c>
      <c r="P45" s="111">
        <f>+GETPIVOTDATA("XSN4",'suoinghe (2016)'!$A$3,"MA_HT","ODT","MA_QH","LMU")</f>
        <v>0</v>
      </c>
      <c r="Q45" s="111">
        <f>+GETPIVOTDATA("XSN4",'suoinghe (2016)'!$A$3,"MA_HT","ODT","MA_QH","NKH")</f>
        <v>0</v>
      </c>
      <c r="R45" s="106">
        <f>SUM(S45:AA45,AN45:AQ45,AS45:BD45)</f>
        <v>0</v>
      </c>
      <c r="S45" s="111">
        <f>+GETPIVOTDATA("XSN4",'suoinghe (2016)'!$A$3,"MA_HT","ODT","MA_QH","CQP")</f>
        <v>0</v>
      </c>
      <c r="T45" s="111">
        <f>+GETPIVOTDATA("XSN4",'suoinghe (2016)'!$A$3,"MA_HT","ODT","MA_QH","CAN")</f>
        <v>0</v>
      </c>
      <c r="U45" s="111">
        <f>+GETPIVOTDATA("XSN4",'suoinghe (2016)'!$A$3,"MA_HT","ODT","MA_QH","SKK")</f>
        <v>0</v>
      </c>
      <c r="V45" s="111">
        <f>+GETPIVOTDATA("XSN4",'suoinghe (2016)'!$A$3,"MA_HT","ODT","MA_QH","SKT")</f>
        <v>0</v>
      </c>
      <c r="W45" s="111">
        <f>+GETPIVOTDATA("XSN4",'suoinghe (2016)'!$A$3,"MA_HT","ODT","MA_QH","SKN")</f>
        <v>0</v>
      </c>
      <c r="X45" s="111">
        <f>+GETPIVOTDATA("XSN4",'suoinghe (2016)'!$A$3,"MA_HT","ODT","MA_QH","TMD")</f>
        <v>0</v>
      </c>
      <c r="Y45" s="111">
        <f>+GETPIVOTDATA("XSN4",'suoinghe (2016)'!$A$3,"MA_HT","ODT","MA_QH","SKC")</f>
        <v>0</v>
      </c>
      <c r="Z45" s="111">
        <f>+GETPIVOTDATA("XSN4",'suoinghe (2016)'!$A$3,"MA_HT","ODT","MA_QH","SKS")</f>
        <v>0</v>
      </c>
      <c r="AA45" s="104">
        <f t="shared" si="21"/>
        <v>0</v>
      </c>
      <c r="AB45" s="111">
        <f>+GETPIVOTDATA("XSN4",'suoinghe (2016)'!$A$3,"MA_HT","ODT","MA_QH","DGT")</f>
        <v>0</v>
      </c>
      <c r="AC45" s="111">
        <f>+GETPIVOTDATA("XSN4",'suoinghe (2016)'!$A$3,"MA_HT","ODT","MA_QH","DTL")</f>
        <v>0</v>
      </c>
      <c r="AD45" s="111">
        <f>+GETPIVOTDATA("XSN4",'suoinghe (2016)'!$A$3,"MA_HT","ODT","MA_QH","DNL")</f>
        <v>0</v>
      </c>
      <c r="AE45" s="111">
        <f>+GETPIVOTDATA("XSN4",'suoinghe (2016)'!$A$3,"MA_HT","ODT","MA_QH","DBV")</f>
        <v>0</v>
      </c>
      <c r="AF45" s="111">
        <f>+GETPIVOTDATA("XSN4",'suoinghe (2016)'!$A$3,"MA_HT","ODT","MA_QH","DVH")</f>
        <v>0</v>
      </c>
      <c r="AG45" s="111">
        <f>+GETPIVOTDATA("XSN4",'suoinghe (2016)'!$A$3,"MA_HT","ODT","MA_QH","DYT")</f>
        <v>0</v>
      </c>
      <c r="AH45" s="111">
        <f>+GETPIVOTDATA("XSN4",'suoinghe (2016)'!$A$3,"MA_HT","ODT","MA_QH","DGD")</f>
        <v>0</v>
      </c>
      <c r="AI45" s="111">
        <f>+GETPIVOTDATA("XSN4",'suoinghe (2016)'!$A$3,"MA_HT","ODT","MA_QH","DTT")</f>
        <v>0</v>
      </c>
      <c r="AJ45" s="111">
        <f>+GETPIVOTDATA("XSN4",'suoinghe (2016)'!$A$3,"MA_HT","ODT","MA_QH","NCK")</f>
        <v>0</v>
      </c>
      <c r="AK45" s="111">
        <f>+GETPIVOTDATA("XSN4",'suoinghe (2016)'!$A$3,"MA_HT","ODT","MA_QH","DXH")</f>
        <v>0</v>
      </c>
      <c r="AL45" s="111">
        <f>+GETPIVOTDATA("XSN4",'suoinghe (2016)'!$A$3,"MA_HT","ODT","MA_QH","DCH")</f>
        <v>0</v>
      </c>
      <c r="AM45" s="111">
        <f>+GETPIVOTDATA("XSN4",'suoinghe (2016)'!$A$3,"MA_HT","ODT","MA_QH","DKG")</f>
        <v>0</v>
      </c>
      <c r="AN45" s="111">
        <f>+GETPIVOTDATA("XSN4",'suoinghe (2016)'!$A$3,"MA_HT","ODT","MA_QH","DDT")</f>
        <v>0</v>
      </c>
      <c r="AO45" s="111">
        <f>+GETPIVOTDATA("XSN4",'suoinghe (2016)'!$A$3,"MA_HT","ODT","MA_QH","DDL")</f>
        <v>0</v>
      </c>
      <c r="AP45" s="111">
        <f>+GETPIVOTDATA("XSN4",'suoinghe (2016)'!$A$3,"MA_HT","ODT","MA_QH","DRA")</f>
        <v>0</v>
      </c>
      <c r="AQ45" s="111">
        <f>+GETPIVOTDATA("XSN4",'suoinghe (2016)'!$A$3,"MA_HT","ODT","MA_QH","ONT")</f>
        <v>0</v>
      </c>
      <c r="AR45" s="112" t="e">
        <f>$D45-$BF45</f>
        <v>#REF!</v>
      </c>
      <c r="AS45" s="111">
        <f>+GETPIVOTDATA("XSN4",'suoinghe (2016)'!$A$3,"MA_HT","ODT","MA_QH","TSC")</f>
        <v>0</v>
      </c>
      <c r="AT45" s="111">
        <f>+GETPIVOTDATA("XSN4",'suoinghe (2016)'!$A$3,"MA_HT","ODT","MA_QH","DTS")</f>
        <v>0</v>
      </c>
      <c r="AU45" s="111">
        <f>+GETPIVOTDATA("XSN4",'suoinghe (2016)'!$A$3,"MA_HT","ODT","MA_QH","DNG")</f>
        <v>0</v>
      </c>
      <c r="AV45" s="111">
        <f>+GETPIVOTDATA("XSN4",'suoinghe (2016)'!$A$3,"MA_HT","ODT","MA_QH","TON")</f>
        <v>0</v>
      </c>
      <c r="AW45" s="111">
        <f>+GETPIVOTDATA("XSN4",'suoinghe (2016)'!$A$3,"MA_HT","ODT","MA_QH","NTD")</f>
        <v>0</v>
      </c>
      <c r="AX45" s="111">
        <f>+GETPIVOTDATA("XSN4",'suoinghe (2016)'!$A$3,"MA_HT","ODT","MA_QH","SKX")</f>
        <v>0</v>
      </c>
      <c r="AY45" s="111">
        <f>+GETPIVOTDATA("XSN4",'suoinghe (2016)'!$A$3,"MA_HT","ODT","MA_QH","DSH")</f>
        <v>0</v>
      </c>
      <c r="AZ45" s="111">
        <f>+GETPIVOTDATA("XSN4",'suoinghe (2016)'!$A$3,"MA_HT","ODT","MA_QH","DKV")</f>
        <v>0</v>
      </c>
      <c r="BA45" s="142">
        <f>+GETPIVOTDATA("XSN4",'suoinghe (2016)'!$A$3,"MA_HT","ODT","MA_QH","TIN")</f>
        <v>0</v>
      </c>
      <c r="BB45" s="105">
        <f>+GETPIVOTDATA("XSN4",'suoinghe (2016)'!$A$3,"MA_HT","ODT","MA_QH","SON")</f>
        <v>0</v>
      </c>
      <c r="BC45" s="105">
        <f>+GETPIVOTDATA("XSN4",'suoinghe (2016)'!$A$3,"MA_HT","ODT","MA_QH","MNC")</f>
        <v>0</v>
      </c>
      <c r="BD45" s="111">
        <f>+GETPIVOTDATA("XSN4",'suoinghe (2016)'!$A$3,"MA_HT","ODT","MA_QH","PNK")</f>
        <v>0</v>
      </c>
      <c r="BE45" s="113">
        <f>+GETPIVOTDATA("XSN4",'suoinghe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+GETPIVOTDATA("XSN4",'suoinghe (2016)'!$A$3,"MA_HT","TSC","MA_QH","LUC")</f>
        <v>0</v>
      </c>
      <c r="H46" s="35">
        <f>+GETPIVOTDATA("XSN4",'suoinghe (2016)'!$A$3,"MA_HT","TSC","MA_QH","LUK")</f>
        <v>0</v>
      </c>
      <c r="I46" s="35">
        <f>+GETPIVOTDATA("XSN4",'suoinghe (2016)'!$A$3,"MA_HT","TSC","MA_QH","LUN")</f>
        <v>0</v>
      </c>
      <c r="J46" s="35">
        <f>+GETPIVOTDATA("XSN4",'suoinghe (2016)'!$A$3,"MA_HT","TSC","MA_QH","HNK")</f>
        <v>0</v>
      </c>
      <c r="K46" s="35">
        <f>+GETPIVOTDATA("XSN4",'suoinghe (2016)'!$A$3,"MA_HT","TSC","MA_QH","CLN")</f>
        <v>0</v>
      </c>
      <c r="L46" s="35">
        <f>+GETPIVOTDATA("XSN4",'suoinghe (2016)'!$A$3,"MA_HT","TSC","MA_QH","RSX")</f>
        <v>0</v>
      </c>
      <c r="M46" s="35">
        <f>+GETPIVOTDATA("XSN4",'suoinghe (2016)'!$A$3,"MA_HT","TSC","MA_QH","RPH")</f>
        <v>0</v>
      </c>
      <c r="N46" s="35">
        <f>+GETPIVOTDATA("XSN4",'suoinghe (2016)'!$A$3,"MA_HT","TSC","MA_QH","RDD")</f>
        <v>0</v>
      </c>
      <c r="O46" s="35">
        <f>+GETPIVOTDATA("XSN4",'suoinghe (2016)'!$A$3,"MA_HT","TSC","MA_QH","NTS")</f>
        <v>0</v>
      </c>
      <c r="P46" s="35">
        <f>+GETPIVOTDATA("XSN4",'suoinghe (2016)'!$A$3,"MA_HT","TSC","MA_QH","LMU")</f>
        <v>0</v>
      </c>
      <c r="Q46" s="35">
        <f>+GETPIVOTDATA("XSN4",'suoinghe (2016)'!$A$3,"MA_HT","TSC","MA_QH","NKH")</f>
        <v>0</v>
      </c>
      <c r="R46" s="72">
        <f>SUM(S46:AA46,AN46:AR46,AT46:BD46)</f>
        <v>0</v>
      </c>
      <c r="S46" s="35">
        <f>+GETPIVOTDATA("XSN4",'suoinghe (2016)'!$A$3,"MA_HT","TSC","MA_QH","CQP")</f>
        <v>0</v>
      </c>
      <c r="T46" s="35">
        <f>+GETPIVOTDATA("XSN4",'suoinghe (2016)'!$A$3,"MA_HT","TSC","MA_QH","CAN")</f>
        <v>0</v>
      </c>
      <c r="U46" s="35">
        <f>+GETPIVOTDATA("XSN4",'suoinghe (2016)'!$A$3,"MA_HT","TSC","MA_QH","SKK")</f>
        <v>0</v>
      </c>
      <c r="V46" s="35">
        <f>+GETPIVOTDATA("XSN4",'suoinghe (2016)'!$A$3,"MA_HT","TSC","MA_QH","SKT")</f>
        <v>0</v>
      </c>
      <c r="W46" s="35">
        <f>+GETPIVOTDATA("XSN4",'suoinghe (2016)'!$A$3,"MA_HT","TSC","MA_QH","SKN")</f>
        <v>0</v>
      </c>
      <c r="X46" s="35">
        <f>+GETPIVOTDATA("XSN4",'suoinghe (2016)'!$A$3,"MA_HT","TSC","MA_QH","TMD")</f>
        <v>0</v>
      </c>
      <c r="Y46" s="35">
        <f>+GETPIVOTDATA("XSN4",'suoinghe (2016)'!$A$3,"MA_HT","TSC","MA_QH","SKC")</f>
        <v>0</v>
      </c>
      <c r="Z46" s="35">
        <f>+GETPIVOTDATA("XSN4",'suoinghe (2016)'!$A$3,"MA_HT","TSC","MA_QH","SKS")</f>
        <v>0</v>
      </c>
      <c r="AA46" s="64">
        <f t="shared" si="21"/>
        <v>0</v>
      </c>
      <c r="AB46" s="35">
        <f>+GETPIVOTDATA("XSN4",'suoinghe (2016)'!$A$3,"MA_HT","TSC","MA_QH","DGT")</f>
        <v>0</v>
      </c>
      <c r="AC46" s="35">
        <f>+GETPIVOTDATA("XSN4",'suoinghe (2016)'!$A$3,"MA_HT","TSC","MA_QH","DTL")</f>
        <v>0</v>
      </c>
      <c r="AD46" s="35">
        <f>+GETPIVOTDATA("XSN4",'suoinghe (2016)'!$A$3,"MA_HT","TSC","MA_QH","DNL")</f>
        <v>0</v>
      </c>
      <c r="AE46" s="35">
        <f>+GETPIVOTDATA("XSN4",'suoinghe (2016)'!$A$3,"MA_HT","TSC","MA_QH","DBV")</f>
        <v>0</v>
      </c>
      <c r="AF46" s="35">
        <f>+GETPIVOTDATA("XSN4",'suoinghe (2016)'!$A$3,"MA_HT","TSC","MA_QH","DVH")</f>
        <v>0</v>
      </c>
      <c r="AG46" s="35">
        <f>+GETPIVOTDATA("XSN4",'suoinghe (2016)'!$A$3,"MA_HT","TSC","MA_QH","DYT")</f>
        <v>0</v>
      </c>
      <c r="AH46" s="35">
        <f>+GETPIVOTDATA("XSN4",'suoinghe (2016)'!$A$3,"MA_HT","TSC","MA_QH","DGD")</f>
        <v>0</v>
      </c>
      <c r="AI46" s="35">
        <f>+GETPIVOTDATA("XSN4",'suoinghe (2016)'!$A$3,"MA_HT","TSC","MA_QH","DTT")</f>
        <v>0</v>
      </c>
      <c r="AJ46" s="35">
        <f>+GETPIVOTDATA("XSN4",'suoinghe (2016)'!$A$3,"MA_HT","TSC","MA_QH","NCK")</f>
        <v>0</v>
      </c>
      <c r="AK46" s="35">
        <f>+GETPIVOTDATA("XSN4",'suoinghe (2016)'!$A$3,"MA_HT","TSC","MA_QH","DXH")</f>
        <v>0</v>
      </c>
      <c r="AL46" s="35">
        <f>+GETPIVOTDATA("XSN4",'suoinghe (2016)'!$A$3,"MA_HT","TSC","MA_QH","DCH")</f>
        <v>0</v>
      </c>
      <c r="AM46" s="35">
        <f>+GETPIVOTDATA("XSN4",'suoinghe (2016)'!$A$3,"MA_HT","TSC","MA_QH","DKG")</f>
        <v>0</v>
      </c>
      <c r="AN46" s="35">
        <f>+GETPIVOTDATA("XSN4",'suoinghe (2016)'!$A$3,"MA_HT","TSC","MA_QH","DDT")</f>
        <v>0</v>
      </c>
      <c r="AO46" s="35">
        <f>+GETPIVOTDATA("XSN4",'suoinghe (2016)'!$A$3,"MA_HT","TSC","MA_QH","DDL")</f>
        <v>0</v>
      </c>
      <c r="AP46" s="35">
        <f>+GETPIVOTDATA("XSN4",'suoinghe (2016)'!$A$3,"MA_HT","TSC","MA_QH","DRA")</f>
        <v>0</v>
      </c>
      <c r="AQ46" s="35">
        <f>+GETPIVOTDATA("XSN4",'suoinghe (2016)'!$A$3,"MA_HT","TSC","MA_QH","ONT")</f>
        <v>0</v>
      </c>
      <c r="AR46" s="35">
        <f>+GETPIVOTDATA("XSN4",'suoinghe (2016)'!$A$3,"MA_HT","TSC","MA_QH","ODT")</f>
        <v>0</v>
      </c>
      <c r="AS46" s="99" t="e">
        <f>$D46-$BF46</f>
        <v>#REF!</v>
      </c>
      <c r="AT46" s="35">
        <f>+GETPIVOTDATA("XSN4",'suoinghe (2016)'!$A$3,"MA_HT","TSC","MA_QH","DTS")</f>
        <v>0</v>
      </c>
      <c r="AU46" s="35">
        <f>+GETPIVOTDATA("XSN4",'suoinghe (2016)'!$A$3,"MA_HT","TSC","MA_QH","DNG")</f>
        <v>0</v>
      </c>
      <c r="AV46" s="35">
        <f>+GETPIVOTDATA("XSN4",'suoinghe (2016)'!$A$3,"MA_HT","TSC","MA_QH","TON")</f>
        <v>0</v>
      </c>
      <c r="AW46" s="35">
        <f>+GETPIVOTDATA("XSN4",'suoinghe (2016)'!$A$3,"MA_HT","TSC","MA_QH","NTD")</f>
        <v>0</v>
      </c>
      <c r="AX46" s="35">
        <f>+GETPIVOTDATA("XSN4",'suoinghe (2016)'!$A$3,"MA_HT","TSC","MA_QH","SKX")</f>
        <v>0</v>
      </c>
      <c r="AY46" s="35">
        <f>+GETPIVOTDATA("XSN4",'suoinghe (2016)'!$A$3,"MA_HT","TSC","MA_QH","DSH")</f>
        <v>0</v>
      </c>
      <c r="AZ46" s="35">
        <f>+GETPIVOTDATA("XSN4",'suoinghe (2016)'!$A$3,"MA_HT","TSC","MA_QH","DKV")</f>
        <v>0</v>
      </c>
      <c r="BA46" s="140">
        <f>+GETPIVOTDATA("XSN4",'suoinghe (2016)'!$A$3,"MA_HT","TSC","MA_QH","TIN")</f>
        <v>0</v>
      </c>
      <c r="BB46" s="74">
        <f>+GETPIVOTDATA("XSN4",'suoinghe (2016)'!$A$3,"MA_HT","TSC","MA_QH","SON")</f>
        <v>0</v>
      </c>
      <c r="BC46" s="74">
        <f>+GETPIVOTDATA("XSN4",'suoinghe (2016)'!$A$3,"MA_HT","TSC","MA_QH","MNC")</f>
        <v>0</v>
      </c>
      <c r="BD46" s="35">
        <f>+GETPIVOTDATA("XSN4",'suoinghe (2016)'!$A$3,"MA_HT","TSC","MA_QH","PNK")</f>
        <v>0</v>
      </c>
      <c r="BE46" s="58">
        <f>+GETPIVOTDATA("XSN4",'suoinghe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+GETPIVOTDATA("XSN4",'suoinghe (2016)'!$A$3,"MA_HT","DTS","MA_QH","LUC")</f>
        <v>0</v>
      </c>
      <c r="H47" s="122">
        <f>+GETPIVOTDATA("XSN4",'suoinghe (2016)'!$A$3,"MA_HT","DTS","MA_QH","LUK")</f>
        <v>0</v>
      </c>
      <c r="I47" s="122">
        <f>+GETPIVOTDATA("XSN4",'suoinghe (2016)'!$A$3,"MA_HT","DTS","MA_QH","LUN")</f>
        <v>0</v>
      </c>
      <c r="J47" s="122">
        <f>+GETPIVOTDATA("XSN4",'suoinghe (2016)'!$A$3,"MA_HT","DTS","MA_QH","HNK")</f>
        <v>0</v>
      </c>
      <c r="K47" s="122">
        <f>+GETPIVOTDATA("XSN4",'suoinghe (2016)'!$A$3,"MA_HT","DTS","MA_QH","CLN")</f>
        <v>0</v>
      </c>
      <c r="L47" s="122">
        <f>+GETPIVOTDATA("XSN4",'suoinghe (2016)'!$A$3,"MA_HT","DTS","MA_QH","RSX")</f>
        <v>0</v>
      </c>
      <c r="M47" s="122">
        <f>+GETPIVOTDATA("XSN4",'suoinghe (2016)'!$A$3,"MA_HT","DTS","MA_QH","RPH")</f>
        <v>0</v>
      </c>
      <c r="N47" s="122">
        <f>+GETPIVOTDATA("XSN4",'suoinghe (2016)'!$A$3,"MA_HT","DTS","MA_QH","RDD")</f>
        <v>0</v>
      </c>
      <c r="O47" s="122">
        <f>+GETPIVOTDATA("XSN4",'suoinghe (2016)'!$A$3,"MA_HT","DTS","MA_QH","NTS")</f>
        <v>0</v>
      </c>
      <c r="P47" s="122">
        <f>+GETPIVOTDATA("XSN4",'suoinghe (2016)'!$A$3,"MA_HT","DTS","MA_QH","LMU")</f>
        <v>0</v>
      </c>
      <c r="Q47" s="122">
        <f>+GETPIVOTDATA("XSN4",'suoinghe (2016)'!$A$3,"MA_HT","DTS","MA_QH","NKH")</f>
        <v>0</v>
      </c>
      <c r="R47" s="123">
        <f>SUM(S47:AA47,AN47:AS47,AU47:BD47)</f>
        <v>0</v>
      </c>
      <c r="S47" s="122">
        <f>+GETPIVOTDATA("XSN4",'suoinghe (2016)'!$A$3,"MA_HT","DTS","MA_QH","CQP")</f>
        <v>0</v>
      </c>
      <c r="T47" s="122">
        <f>+GETPIVOTDATA("XSN4",'suoinghe (2016)'!$A$3,"MA_HT","DTS","MA_QH","CAN")</f>
        <v>0</v>
      </c>
      <c r="U47" s="122">
        <f>+GETPIVOTDATA("XSN4",'suoinghe (2016)'!$A$3,"MA_HT","DTS","MA_QH","SKK")</f>
        <v>0</v>
      </c>
      <c r="V47" s="122">
        <f>+GETPIVOTDATA("XSN4",'suoinghe (2016)'!$A$3,"MA_HT","DTS","MA_QH","SKT")</f>
        <v>0</v>
      </c>
      <c r="W47" s="122">
        <f>+GETPIVOTDATA("XSN4",'suoinghe (2016)'!$A$3,"MA_HT","DTS","MA_QH","SKN")</f>
        <v>0</v>
      </c>
      <c r="X47" s="122">
        <f>+GETPIVOTDATA("XSN4",'suoinghe (2016)'!$A$3,"MA_HT","DTS","MA_QH","TMD")</f>
        <v>0</v>
      </c>
      <c r="Y47" s="122">
        <f>+GETPIVOTDATA("XSN4",'suoinghe (2016)'!$A$3,"MA_HT","DTS","MA_QH","SKC")</f>
        <v>0</v>
      </c>
      <c r="Z47" s="122">
        <f>+GETPIVOTDATA("XSN4",'suoinghe (2016)'!$A$3,"MA_HT","DTS","MA_QH","SKS")</f>
        <v>0</v>
      </c>
      <c r="AA47" s="121">
        <f t="shared" si="21"/>
        <v>0</v>
      </c>
      <c r="AB47" s="122">
        <f>+GETPIVOTDATA("XSN4",'suoinghe (2016)'!$A$3,"MA_HT","DTS","MA_QH","DGT")</f>
        <v>0</v>
      </c>
      <c r="AC47" s="122">
        <f>+GETPIVOTDATA("XSN4",'suoinghe (2016)'!$A$3,"MA_HT","DTS","MA_QH","DTL")</f>
        <v>0</v>
      </c>
      <c r="AD47" s="122">
        <f>+GETPIVOTDATA("XSN4",'suoinghe (2016)'!$A$3,"MA_HT","DTS","MA_QH","DNL")</f>
        <v>0</v>
      </c>
      <c r="AE47" s="122">
        <f>+GETPIVOTDATA("XSN4",'suoinghe (2016)'!$A$3,"MA_HT","DTS","MA_QH","DBV")</f>
        <v>0</v>
      </c>
      <c r="AF47" s="122">
        <f>+GETPIVOTDATA("XSN4",'suoinghe (2016)'!$A$3,"MA_HT","DTS","MA_QH","DVH")</f>
        <v>0</v>
      </c>
      <c r="AG47" s="122">
        <f>+GETPIVOTDATA("XSN4",'suoinghe (2016)'!$A$3,"MA_HT","DTS","MA_QH","DYT")</f>
        <v>0</v>
      </c>
      <c r="AH47" s="122">
        <f>+GETPIVOTDATA("XSN4",'suoinghe (2016)'!$A$3,"MA_HT","DTS","MA_QH","DGD")</f>
        <v>0</v>
      </c>
      <c r="AI47" s="122">
        <f>+GETPIVOTDATA("XSN4",'suoinghe (2016)'!$A$3,"MA_HT","DTS","MA_QH","DTT")</f>
        <v>0</v>
      </c>
      <c r="AJ47" s="122">
        <f>+GETPIVOTDATA("XSN4",'suoinghe (2016)'!$A$3,"MA_HT","DTS","MA_QH","NCK")</f>
        <v>0</v>
      </c>
      <c r="AK47" s="122">
        <f>+GETPIVOTDATA("XSN4",'suoinghe (2016)'!$A$3,"MA_HT","DTS","MA_QH","DXH")</f>
        <v>0</v>
      </c>
      <c r="AL47" s="122">
        <f>+GETPIVOTDATA("XSN4",'suoinghe (2016)'!$A$3,"MA_HT","DTS","MA_QH","DCH")</f>
        <v>0</v>
      </c>
      <c r="AM47" s="122">
        <f>+GETPIVOTDATA("XSN4",'suoinghe (2016)'!$A$3,"MA_HT","DTS","MA_QH","DKG")</f>
        <v>0</v>
      </c>
      <c r="AN47" s="122">
        <f>+GETPIVOTDATA("XSN4",'suoinghe (2016)'!$A$3,"MA_HT","DTS","MA_QH","DDT")</f>
        <v>0</v>
      </c>
      <c r="AO47" s="122">
        <f>+GETPIVOTDATA("XSN4",'suoinghe (2016)'!$A$3,"MA_HT","DTS","MA_QH","DDL")</f>
        <v>0</v>
      </c>
      <c r="AP47" s="122">
        <f>+GETPIVOTDATA("XSN4",'suoinghe (2016)'!$A$3,"MA_HT","DTS","MA_QH","DRA")</f>
        <v>0</v>
      </c>
      <c r="AQ47" s="122">
        <f>+GETPIVOTDATA("XSN4",'suoinghe (2016)'!$A$3,"MA_HT","DTS","MA_QH","ONT")</f>
        <v>0</v>
      </c>
      <c r="AR47" s="122">
        <f>+GETPIVOTDATA("XSN4",'suoinghe (2016)'!$A$3,"MA_HT","DTS","MA_QH","ODT")</f>
        <v>0</v>
      </c>
      <c r="AS47" s="122">
        <f>+GETPIVOTDATA("XSN4",'suoinghe (2016)'!$A$3,"MA_HT","DTS","MA_QH","TSC")</f>
        <v>0</v>
      </c>
      <c r="AT47" s="124" t="e">
        <f>$D47-$BF47</f>
        <v>#REF!</v>
      </c>
      <c r="AU47" s="122">
        <f>+GETPIVOTDATA("XSN4",'suoinghe (2016)'!$A$3,"MA_HT","DTS","MA_QH","DNG")</f>
        <v>0</v>
      </c>
      <c r="AV47" s="122">
        <f>+GETPIVOTDATA("XSN4",'suoinghe (2016)'!$A$3,"MA_HT","DTS","MA_QH","TON")</f>
        <v>0</v>
      </c>
      <c r="AW47" s="122">
        <f>+GETPIVOTDATA("XSN4",'suoinghe (2016)'!$A$3,"MA_HT","DTS","MA_QH","NTD")</f>
        <v>0</v>
      </c>
      <c r="AX47" s="122">
        <f>+GETPIVOTDATA("XSN4",'suoinghe (2016)'!$A$3,"MA_HT","DTS","MA_QH","SKX")</f>
        <v>0</v>
      </c>
      <c r="AY47" s="122">
        <f>+GETPIVOTDATA("XSN4",'suoinghe (2016)'!$A$3,"MA_HT","DTS","MA_QH","DSH")</f>
        <v>0</v>
      </c>
      <c r="AZ47" s="122">
        <f>+GETPIVOTDATA("XSN4",'suoinghe (2016)'!$A$3,"MA_HT","DTS","MA_QH","DKV")</f>
        <v>0</v>
      </c>
      <c r="BA47" s="141">
        <f>+GETPIVOTDATA("XSN4",'suoinghe (2016)'!$A$3,"MA_HT","DTS","MA_QH","TIN")</f>
        <v>0</v>
      </c>
      <c r="BB47" s="125">
        <f>+GETPIVOTDATA("XSN4",'suoinghe (2016)'!$A$3,"MA_HT","DTS","MA_QH","SON")</f>
        <v>0</v>
      </c>
      <c r="BC47" s="125">
        <f>+GETPIVOTDATA("XSN4",'suoinghe (2016)'!$A$3,"MA_HT","DTS","MA_QH","MNC")</f>
        <v>0</v>
      </c>
      <c r="BD47" s="122">
        <f>+GETPIVOTDATA("XSN4",'suoinghe (2016)'!$A$3,"MA_HT","DTS","MA_QH","PNK")</f>
        <v>0</v>
      </c>
      <c r="BE47" s="126">
        <f>+GETPIVOTDATA("XSN4",'suoinghe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+GETPIVOTDATA("XSN4",'suoinghe (2016)'!$A$3,"MA_HT","DNG","MA_QH","LUC")</f>
        <v>0</v>
      </c>
      <c r="H48" s="35">
        <f>+GETPIVOTDATA("XSN4",'suoinghe (2016)'!$A$3,"MA_HT","DNG","MA_QH","LUK")</f>
        <v>0</v>
      </c>
      <c r="I48" s="35">
        <f>+GETPIVOTDATA("XSN4",'suoinghe (2016)'!$A$3,"MA_HT","DNG","MA_QH","LUN")</f>
        <v>0</v>
      </c>
      <c r="J48" s="35">
        <f>+GETPIVOTDATA("XSN4",'suoinghe (2016)'!$A$3,"MA_HT","DNG","MA_QH","HNK")</f>
        <v>0</v>
      </c>
      <c r="K48" s="35">
        <f>+GETPIVOTDATA("XSN4",'suoinghe (2016)'!$A$3,"MA_HT","DNG","MA_QH","CLN")</f>
        <v>0</v>
      </c>
      <c r="L48" s="35">
        <f>+GETPIVOTDATA("XSN4",'suoinghe (2016)'!$A$3,"MA_HT","DNG","MA_QH","RSX")</f>
        <v>0</v>
      </c>
      <c r="M48" s="35">
        <f>+GETPIVOTDATA("XSN4",'suoinghe (2016)'!$A$3,"MA_HT","DNG","MA_QH","RPH")</f>
        <v>0</v>
      </c>
      <c r="N48" s="35">
        <f>+GETPIVOTDATA("XSN4",'suoinghe (2016)'!$A$3,"MA_HT","DNG","MA_QH","RDD")</f>
        <v>0</v>
      </c>
      <c r="O48" s="35">
        <f>+GETPIVOTDATA("XSN4",'suoinghe (2016)'!$A$3,"MA_HT","DNG","MA_QH","NTS")</f>
        <v>0</v>
      </c>
      <c r="P48" s="35">
        <f>+GETPIVOTDATA("XSN4",'suoinghe (2016)'!$A$3,"MA_HT","DNG","MA_QH","LMU")</f>
        <v>0</v>
      </c>
      <c r="Q48" s="35">
        <f>+GETPIVOTDATA("XSN4",'suoinghe (2016)'!$A$3,"MA_HT","DNG","MA_QH","NKH")</f>
        <v>0</v>
      </c>
      <c r="R48" s="106">
        <f>SUM(S48:AA48,AN48:AT48,AV48:BD48)</f>
        <v>0</v>
      </c>
      <c r="S48" s="35">
        <f>+GETPIVOTDATA("XSN4",'suoinghe (2016)'!$A$3,"MA_HT","DNG","MA_QH","CQP")</f>
        <v>0</v>
      </c>
      <c r="T48" s="35">
        <f>+GETPIVOTDATA("XSN4",'suoinghe (2016)'!$A$3,"MA_HT","DNG","MA_QH","CAN")</f>
        <v>0</v>
      </c>
      <c r="U48" s="35">
        <f>+GETPIVOTDATA("XSN4",'suoinghe (2016)'!$A$3,"MA_HT","DNG","MA_QH","SKK")</f>
        <v>0</v>
      </c>
      <c r="V48" s="35">
        <f>+GETPIVOTDATA("XSN4",'suoinghe (2016)'!$A$3,"MA_HT","DNG","MA_QH","SKT")</f>
        <v>0</v>
      </c>
      <c r="W48" s="35">
        <f>+GETPIVOTDATA("XSN4",'suoinghe (2016)'!$A$3,"MA_HT","DNG","MA_QH","SKN")</f>
        <v>0</v>
      </c>
      <c r="X48" s="35">
        <f>+GETPIVOTDATA("XSN4",'suoinghe (2016)'!$A$3,"MA_HT","DNG","MA_QH","TMD")</f>
        <v>0</v>
      </c>
      <c r="Y48" s="35">
        <f>+GETPIVOTDATA("XSN4",'suoinghe (2016)'!$A$3,"MA_HT","DNG","MA_QH","SKC")</f>
        <v>0</v>
      </c>
      <c r="Z48" s="35">
        <f>+GETPIVOTDATA("XSN4",'suoinghe (2016)'!$A$3,"MA_HT","DNG","MA_QH","SKS")</f>
        <v>0</v>
      </c>
      <c r="AA48" s="64">
        <f t="shared" si="21"/>
        <v>0</v>
      </c>
      <c r="AB48" s="35">
        <f>+GETPIVOTDATA("XSN4",'suoinghe (2016)'!$A$3,"MA_HT","DNG","MA_QH","DGT")</f>
        <v>0</v>
      </c>
      <c r="AC48" s="35">
        <f>+GETPIVOTDATA("XSN4",'suoinghe (2016)'!$A$3,"MA_HT","DNG","MA_QH","DTL")</f>
        <v>0</v>
      </c>
      <c r="AD48" s="35">
        <f>+GETPIVOTDATA("XSN4",'suoinghe (2016)'!$A$3,"MA_HT","DNG","MA_QH","DNL")</f>
        <v>0</v>
      </c>
      <c r="AE48" s="35">
        <f>+GETPIVOTDATA("XSN4",'suoinghe (2016)'!$A$3,"MA_HT","DNG","MA_QH","DBV")</f>
        <v>0</v>
      </c>
      <c r="AF48" s="35">
        <f>+GETPIVOTDATA("XSN4",'suoinghe (2016)'!$A$3,"MA_HT","DNG","MA_QH","DVH")</f>
        <v>0</v>
      </c>
      <c r="AG48" s="35">
        <f>+GETPIVOTDATA("XSN4",'suoinghe (2016)'!$A$3,"MA_HT","DNG","MA_QH","DYT")</f>
        <v>0</v>
      </c>
      <c r="AH48" s="35">
        <f>+GETPIVOTDATA("XSN4",'suoinghe (2016)'!$A$3,"MA_HT","DNG","MA_QH","DGD")</f>
        <v>0</v>
      </c>
      <c r="AI48" s="35">
        <f>+GETPIVOTDATA("XSN4",'suoinghe (2016)'!$A$3,"MA_HT","DNG","MA_QH","DTT")</f>
        <v>0</v>
      </c>
      <c r="AJ48" s="35">
        <f>+GETPIVOTDATA("XSN4",'suoinghe (2016)'!$A$3,"MA_HT","DNG","MA_QH","NCK")</f>
        <v>0</v>
      </c>
      <c r="AK48" s="35">
        <f>+GETPIVOTDATA("XSN4",'suoinghe (2016)'!$A$3,"MA_HT","DNG","MA_QH","DXH")</f>
        <v>0</v>
      </c>
      <c r="AL48" s="35">
        <f>+GETPIVOTDATA("XSN4",'suoinghe (2016)'!$A$3,"MA_HT","DNG","MA_QH","DCH")</f>
        <v>0</v>
      </c>
      <c r="AM48" s="35">
        <f>+GETPIVOTDATA("XSN4",'suoinghe (2016)'!$A$3,"MA_HT","DNG","MA_QH","DKG")</f>
        <v>0</v>
      </c>
      <c r="AN48" s="35">
        <f>+GETPIVOTDATA("XSN4",'suoinghe (2016)'!$A$3,"MA_HT","DNG","MA_QH","DDT")</f>
        <v>0</v>
      </c>
      <c r="AO48" s="35">
        <f>+GETPIVOTDATA("XSN4",'suoinghe (2016)'!$A$3,"MA_HT","DNG","MA_QH","DDL")</f>
        <v>0</v>
      </c>
      <c r="AP48" s="35">
        <f>+GETPIVOTDATA("XSN4",'suoinghe (2016)'!$A$3,"MA_HT","DNG","MA_QH","DRA")</f>
        <v>0</v>
      </c>
      <c r="AQ48" s="35">
        <f>+GETPIVOTDATA("XSN4",'suoinghe (2016)'!$A$3,"MA_HT","DNG","MA_QH","ONT")</f>
        <v>0</v>
      </c>
      <c r="AR48" s="35">
        <f>+GETPIVOTDATA("XSN4",'suoinghe (2016)'!$A$3,"MA_HT","DNG","MA_QH","ODT")</f>
        <v>0</v>
      </c>
      <c r="AS48" s="35">
        <f>+GETPIVOTDATA("XSN4",'suoinghe (2016)'!$A$3,"MA_HT","DNG","MA_QH","TSC")</f>
        <v>0</v>
      </c>
      <c r="AT48" s="35">
        <f>+GETPIVOTDATA("XSN4",'suoinghe (2016)'!$A$3,"MA_HT","DNG","MA_QH","DTS")</f>
        <v>0</v>
      </c>
      <c r="AU48" s="99" t="e">
        <f>$D48-$BF48</f>
        <v>#REF!</v>
      </c>
      <c r="AV48" s="35">
        <f>+GETPIVOTDATA("XSN4",'suoinghe (2016)'!$A$3,"MA_HT","DNG","MA_QH","TON")</f>
        <v>0</v>
      </c>
      <c r="AW48" s="35">
        <f>+GETPIVOTDATA("XSN4",'suoinghe (2016)'!$A$3,"MA_HT","DNG","MA_QH","NTD")</f>
        <v>0</v>
      </c>
      <c r="AX48" s="35">
        <f>+GETPIVOTDATA("XSN4",'suoinghe (2016)'!$A$3,"MA_HT","DNG","MA_QH","SKX")</f>
        <v>0</v>
      </c>
      <c r="AY48" s="35">
        <f>+GETPIVOTDATA("XSN4",'suoinghe (2016)'!$A$3,"MA_HT","DNG","MA_QH","DSH")</f>
        <v>0</v>
      </c>
      <c r="AZ48" s="35">
        <f>+GETPIVOTDATA("XSN4",'suoinghe (2016)'!$A$3,"MA_HT","DNG","MA_QH","DKV")</f>
        <v>0</v>
      </c>
      <c r="BA48" s="140">
        <f>+GETPIVOTDATA("XSN4",'suoinghe (2016)'!$A$3,"MA_HT","DNG","MA_QH","TIN")</f>
        <v>0</v>
      </c>
      <c r="BB48" s="74">
        <f>+GETPIVOTDATA("XSN4",'suoinghe (2016)'!$A$3,"MA_HT","DNG","MA_QH","SON")</f>
        <v>0</v>
      </c>
      <c r="BC48" s="74">
        <f>+GETPIVOTDATA("XSN4",'suoinghe (2016)'!$A$3,"MA_HT","DNG","MA_QH","MNC")</f>
        <v>0</v>
      </c>
      <c r="BD48" s="35">
        <f>+GETPIVOTDATA("XSN4",'suoinghe (2016)'!$A$3,"MA_HT","DNG","MA_QH","PNK")</f>
        <v>0</v>
      </c>
      <c r="BE48" s="58">
        <f>+GETPIVOTDATA("XSN4",'suoinghe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+GETPIVOTDATA("XSN4",'suoinghe (2016)'!$A$3,"MA_HT","TON","MA_QH","LUC")</f>
        <v>0</v>
      </c>
      <c r="H49" s="35">
        <f>+GETPIVOTDATA("XSN4",'suoinghe (2016)'!$A$3,"MA_HT","TON","MA_QH","LUK")</f>
        <v>0</v>
      </c>
      <c r="I49" s="35">
        <f>+GETPIVOTDATA("XSN4",'suoinghe (2016)'!$A$3,"MA_HT","TON","MA_QH","LUN")</f>
        <v>0</v>
      </c>
      <c r="J49" s="35">
        <f>+GETPIVOTDATA("XSN4",'suoinghe (2016)'!$A$3,"MA_HT","TON","MA_QH","HNK")</f>
        <v>0</v>
      </c>
      <c r="K49" s="35">
        <f>+GETPIVOTDATA("XSN4",'suoinghe (2016)'!$A$3,"MA_HT","TON","MA_QH","CLN")</f>
        <v>0</v>
      </c>
      <c r="L49" s="35">
        <f>+GETPIVOTDATA("XSN4",'suoinghe (2016)'!$A$3,"MA_HT","TON","MA_QH","RSX")</f>
        <v>0</v>
      </c>
      <c r="M49" s="35">
        <f>+GETPIVOTDATA("XSN4",'suoinghe (2016)'!$A$3,"MA_HT","TON","MA_QH","RPH")</f>
        <v>0</v>
      </c>
      <c r="N49" s="35">
        <f>+GETPIVOTDATA("XSN4",'suoinghe (2016)'!$A$3,"MA_HT","TON","MA_QH","RDD")</f>
        <v>0</v>
      </c>
      <c r="O49" s="35">
        <f>+GETPIVOTDATA("XSN4",'suoinghe (2016)'!$A$3,"MA_HT","TON","MA_QH","NTS")</f>
        <v>0</v>
      </c>
      <c r="P49" s="35">
        <f>+GETPIVOTDATA("XSN4",'suoinghe (2016)'!$A$3,"MA_HT","TON","MA_QH","LMU")</f>
        <v>0</v>
      </c>
      <c r="Q49" s="35">
        <f>+GETPIVOTDATA("XSN4",'suoinghe (2016)'!$A$3,"MA_HT","TON","MA_QH","NKH")</f>
        <v>0</v>
      </c>
      <c r="R49" s="106">
        <f>SUM(S49:AA49,AN49:AU49,AW49:BD49)</f>
        <v>0</v>
      </c>
      <c r="S49" s="35">
        <f>+GETPIVOTDATA("XSN4",'suoinghe (2016)'!$A$3,"MA_HT","TON","MA_QH","CQP")</f>
        <v>0</v>
      </c>
      <c r="T49" s="35">
        <f>+GETPIVOTDATA("XSN4",'suoinghe (2016)'!$A$3,"MA_HT","TON","MA_QH","CAN")</f>
        <v>0</v>
      </c>
      <c r="U49" s="35">
        <f>+GETPIVOTDATA("XSN4",'suoinghe (2016)'!$A$3,"MA_HT","TON","MA_QH","SKK")</f>
        <v>0</v>
      </c>
      <c r="V49" s="35">
        <f>+GETPIVOTDATA("XSN4",'suoinghe (2016)'!$A$3,"MA_HT","TON","MA_QH","SKT")</f>
        <v>0</v>
      </c>
      <c r="W49" s="35">
        <f>+GETPIVOTDATA("XSN4",'suoinghe (2016)'!$A$3,"MA_HT","TON","MA_QH","SKN")</f>
        <v>0</v>
      </c>
      <c r="X49" s="35">
        <f>+GETPIVOTDATA("XSN4",'suoinghe (2016)'!$A$3,"MA_HT","TON","MA_QH","TMD")</f>
        <v>0</v>
      </c>
      <c r="Y49" s="35">
        <f>+GETPIVOTDATA("XSN4",'suoinghe (2016)'!$A$3,"MA_HT","TON","MA_QH","SKC")</f>
        <v>0</v>
      </c>
      <c r="Z49" s="35">
        <f>+GETPIVOTDATA("XSN4",'suoinghe (2016)'!$A$3,"MA_HT","TON","MA_QH","SKS")</f>
        <v>0</v>
      </c>
      <c r="AA49" s="64">
        <f t="shared" si="21"/>
        <v>0</v>
      </c>
      <c r="AB49" s="35">
        <f>+GETPIVOTDATA("XSN4",'suoinghe (2016)'!$A$3,"MA_HT","TON","MA_QH","DGT")</f>
        <v>0</v>
      </c>
      <c r="AC49" s="35">
        <f>+GETPIVOTDATA("XSN4",'suoinghe (2016)'!$A$3,"MA_HT","TON","MA_QH","DTL")</f>
        <v>0</v>
      </c>
      <c r="AD49" s="35">
        <f>+GETPIVOTDATA("XSN4",'suoinghe (2016)'!$A$3,"MA_HT","TON","MA_QH","DNL")</f>
        <v>0</v>
      </c>
      <c r="AE49" s="35">
        <f>+GETPIVOTDATA("XSN4",'suoinghe (2016)'!$A$3,"MA_HT","TON","MA_QH","DBV")</f>
        <v>0</v>
      </c>
      <c r="AF49" s="35">
        <f>+GETPIVOTDATA("XSN4",'suoinghe (2016)'!$A$3,"MA_HT","TON","MA_QH","DVH")</f>
        <v>0</v>
      </c>
      <c r="AG49" s="35">
        <f>+GETPIVOTDATA("XSN4",'suoinghe (2016)'!$A$3,"MA_HT","TON","MA_QH","DYT")</f>
        <v>0</v>
      </c>
      <c r="AH49" s="35">
        <f>+GETPIVOTDATA("XSN4",'suoinghe (2016)'!$A$3,"MA_HT","TON","MA_QH","DGD")</f>
        <v>0</v>
      </c>
      <c r="AI49" s="35">
        <f>+GETPIVOTDATA("XSN4",'suoinghe (2016)'!$A$3,"MA_HT","TON","MA_QH","DTT")</f>
        <v>0</v>
      </c>
      <c r="AJ49" s="35">
        <f>+GETPIVOTDATA("XSN4",'suoinghe (2016)'!$A$3,"MA_HT","TON","MA_QH","NCK")</f>
        <v>0</v>
      </c>
      <c r="AK49" s="35">
        <f>+GETPIVOTDATA("XSN4",'suoinghe (2016)'!$A$3,"MA_HT","TON","MA_QH","DXH")</f>
        <v>0</v>
      </c>
      <c r="AL49" s="35">
        <f>+GETPIVOTDATA("XSN4",'suoinghe (2016)'!$A$3,"MA_HT","TON","MA_QH","DCH")</f>
        <v>0</v>
      </c>
      <c r="AM49" s="35">
        <f>+GETPIVOTDATA("XSN4",'suoinghe (2016)'!$A$3,"MA_HT","TON","MA_QH","DKG")</f>
        <v>0</v>
      </c>
      <c r="AN49" s="35">
        <f>+GETPIVOTDATA("XSN4",'suoinghe (2016)'!$A$3,"MA_HT","TON","MA_QH","DDT")</f>
        <v>0</v>
      </c>
      <c r="AO49" s="35">
        <f>+GETPIVOTDATA("XSN4",'suoinghe (2016)'!$A$3,"MA_HT","TON","MA_QH","DDL")</f>
        <v>0</v>
      </c>
      <c r="AP49" s="35">
        <f>+GETPIVOTDATA("XSN4",'suoinghe (2016)'!$A$3,"MA_HT","TON","MA_QH","DRA")</f>
        <v>0</v>
      </c>
      <c r="AQ49" s="35">
        <f>+GETPIVOTDATA("XSN4",'suoinghe (2016)'!$A$3,"MA_HT","TON","MA_QH","ONT")</f>
        <v>0</v>
      </c>
      <c r="AR49" s="35">
        <f>+GETPIVOTDATA("XSN4",'suoinghe (2016)'!$A$3,"MA_HT","TON","MA_QH","ODT")</f>
        <v>0</v>
      </c>
      <c r="AS49" s="35">
        <f>+GETPIVOTDATA("XSN4",'suoinghe (2016)'!$A$3,"MA_HT","TON","MA_QH","TSC")</f>
        <v>0</v>
      </c>
      <c r="AT49" s="35">
        <f>+GETPIVOTDATA("XSN4",'suoinghe (2016)'!$A$3,"MA_HT","TON","MA_QH","DTS")</f>
        <v>0</v>
      </c>
      <c r="AU49" s="35">
        <f>+GETPIVOTDATA("XSN4",'suoinghe (2016)'!$A$3,"MA_HT","TON","MA_QH","DNG")</f>
        <v>0</v>
      </c>
      <c r="AV49" s="99" t="e">
        <f>$D49-$BF49</f>
        <v>#REF!</v>
      </c>
      <c r="AW49" s="35">
        <f>+GETPIVOTDATA("XSN4",'suoinghe (2016)'!$A$3,"MA_HT","TON","MA_QH","NTD")</f>
        <v>0</v>
      </c>
      <c r="AX49" s="35">
        <f>+GETPIVOTDATA("XSN4",'suoinghe (2016)'!$A$3,"MA_HT","TON","MA_QH","SKX")</f>
        <v>0</v>
      </c>
      <c r="AY49" s="35">
        <f>+GETPIVOTDATA("XSN4",'suoinghe (2016)'!$A$3,"MA_HT","TON","MA_QH","DSH")</f>
        <v>0</v>
      </c>
      <c r="AZ49" s="35">
        <f>+GETPIVOTDATA("XSN4",'suoinghe (2016)'!$A$3,"MA_HT","TON","MA_QH","DKV")</f>
        <v>0</v>
      </c>
      <c r="BA49" s="140">
        <f>+GETPIVOTDATA("XSN4",'suoinghe (2016)'!$A$3,"MA_HT","TON","MA_QH","TIN")</f>
        <v>0</v>
      </c>
      <c r="BB49" s="74">
        <f>+GETPIVOTDATA("XSN4",'suoinghe (2016)'!$A$3,"MA_HT","TON","MA_QH","SON")</f>
        <v>0</v>
      </c>
      <c r="BC49" s="74">
        <f>+GETPIVOTDATA("XSN4",'suoinghe (2016)'!$A$3,"MA_HT","TON","MA_QH","MNC")</f>
        <v>0</v>
      </c>
      <c r="BD49" s="35">
        <f>+GETPIVOTDATA("XSN4",'suoinghe (2016)'!$A$3,"MA_HT","TON","MA_QH","PNK")</f>
        <v>0</v>
      </c>
      <c r="BE49" s="58">
        <f>+GETPIVOTDATA("XSN4",'suoinghe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+GETPIVOTDATA("XSN4",'suoinghe (2016)'!$A$3,"MA_HT","NTD","MA_QH","LUC")</f>
        <v>0</v>
      </c>
      <c r="H50" s="35">
        <f>+GETPIVOTDATA("XSN4",'suoinghe (2016)'!$A$3,"MA_HT","NTD","MA_QH","LUK")</f>
        <v>0</v>
      </c>
      <c r="I50" s="35">
        <f>+GETPIVOTDATA("XSN4",'suoinghe (2016)'!$A$3,"MA_HT","NTD","MA_QH","LUN")</f>
        <v>0</v>
      </c>
      <c r="J50" s="35">
        <f>+GETPIVOTDATA("XSN4",'suoinghe (2016)'!$A$3,"MA_HT","NTD","MA_QH","HNK")</f>
        <v>0</v>
      </c>
      <c r="K50" s="35">
        <f>+GETPIVOTDATA("XSN4",'suoinghe (2016)'!$A$3,"MA_HT","NTD","MA_QH","CLN")</f>
        <v>0</v>
      </c>
      <c r="L50" s="35">
        <f>+GETPIVOTDATA("XSN4",'suoinghe (2016)'!$A$3,"MA_HT","NTD","MA_QH","RSX")</f>
        <v>0</v>
      </c>
      <c r="M50" s="35">
        <f>+GETPIVOTDATA("XSN4",'suoinghe (2016)'!$A$3,"MA_HT","NTD","MA_QH","RPH")</f>
        <v>0</v>
      </c>
      <c r="N50" s="35">
        <f>+GETPIVOTDATA("XSN4",'suoinghe (2016)'!$A$3,"MA_HT","NTD","MA_QH","RDD")</f>
        <v>0</v>
      </c>
      <c r="O50" s="35">
        <f>+GETPIVOTDATA("XSN4",'suoinghe (2016)'!$A$3,"MA_HT","NTD","MA_QH","NTS")</f>
        <v>0</v>
      </c>
      <c r="P50" s="35">
        <f>+GETPIVOTDATA("XSN4",'suoinghe (2016)'!$A$3,"MA_HT","NTD","MA_QH","LMU")</f>
        <v>0</v>
      </c>
      <c r="Q50" s="35">
        <f>+GETPIVOTDATA("XSN4",'suoinghe (2016)'!$A$3,"MA_HT","NTD","MA_QH","NKH")</f>
        <v>0</v>
      </c>
      <c r="R50" s="106">
        <f>SUM(S50:AA50,AN50:AV50,AX50:BD50)</f>
        <v>0</v>
      </c>
      <c r="S50" s="35">
        <f>+GETPIVOTDATA("XSN4",'suoinghe (2016)'!$A$3,"MA_HT","NTD","MA_QH","CQP")</f>
        <v>0</v>
      </c>
      <c r="T50" s="35">
        <f>+GETPIVOTDATA("XSN4",'suoinghe (2016)'!$A$3,"MA_HT","NTD","MA_QH","CAN")</f>
        <v>0</v>
      </c>
      <c r="U50" s="35">
        <f>+GETPIVOTDATA("XSN4",'suoinghe (2016)'!$A$3,"MA_HT","NTD","MA_QH","SKK")</f>
        <v>0</v>
      </c>
      <c r="V50" s="35">
        <f>+GETPIVOTDATA("XSN4",'suoinghe (2016)'!$A$3,"MA_HT","NTD","MA_QH","SKT")</f>
        <v>0</v>
      </c>
      <c r="W50" s="35">
        <f>+GETPIVOTDATA("XSN4",'suoinghe (2016)'!$A$3,"MA_HT","NTD","MA_QH","SKN")</f>
        <v>0</v>
      </c>
      <c r="X50" s="35">
        <f>+GETPIVOTDATA("XSN4",'suoinghe (2016)'!$A$3,"MA_HT","NTD","MA_QH","TMD")</f>
        <v>0</v>
      </c>
      <c r="Y50" s="35">
        <f>+GETPIVOTDATA("XSN4",'suoinghe (2016)'!$A$3,"MA_HT","NTD","MA_QH","SKC")</f>
        <v>0</v>
      </c>
      <c r="Z50" s="35">
        <f>+GETPIVOTDATA("XSN4",'suoinghe (2016)'!$A$3,"MA_HT","NTD","MA_QH","SKS")</f>
        <v>0</v>
      </c>
      <c r="AA50" s="64">
        <f t="shared" si="21"/>
        <v>0</v>
      </c>
      <c r="AB50" s="35">
        <f>+GETPIVOTDATA("XSN4",'suoinghe (2016)'!$A$3,"MA_HT","NTD","MA_QH","DGT")</f>
        <v>0</v>
      </c>
      <c r="AC50" s="35">
        <f>+GETPIVOTDATA("XSN4",'suoinghe (2016)'!$A$3,"MA_HT","NTD","MA_QH","DTL")</f>
        <v>0</v>
      </c>
      <c r="AD50" s="35">
        <f>+GETPIVOTDATA("XSN4",'suoinghe (2016)'!$A$3,"MA_HT","NTD","MA_QH","DNL")</f>
        <v>0</v>
      </c>
      <c r="AE50" s="35">
        <f>+GETPIVOTDATA("XSN4",'suoinghe (2016)'!$A$3,"MA_HT","NTD","MA_QH","DBV")</f>
        <v>0</v>
      </c>
      <c r="AF50" s="35">
        <f>+GETPIVOTDATA("XSN4",'suoinghe (2016)'!$A$3,"MA_HT","NTD","MA_QH","DVH")</f>
        <v>0</v>
      </c>
      <c r="AG50" s="35">
        <f>+GETPIVOTDATA("XSN4",'suoinghe (2016)'!$A$3,"MA_HT","NTD","MA_QH","DYT")</f>
        <v>0</v>
      </c>
      <c r="AH50" s="35">
        <f>+GETPIVOTDATA("XSN4",'suoinghe (2016)'!$A$3,"MA_HT","NTD","MA_QH","DGD")</f>
        <v>0</v>
      </c>
      <c r="AI50" s="35">
        <f>+GETPIVOTDATA("XSN4",'suoinghe (2016)'!$A$3,"MA_HT","NTD","MA_QH","DTT")</f>
        <v>0</v>
      </c>
      <c r="AJ50" s="35">
        <f>+GETPIVOTDATA("XSN4",'suoinghe (2016)'!$A$3,"MA_HT","NTD","MA_QH","NCK")</f>
        <v>0</v>
      </c>
      <c r="AK50" s="35">
        <f>+GETPIVOTDATA("XSN4",'suoinghe (2016)'!$A$3,"MA_HT","NTD","MA_QH","DXH")</f>
        <v>0</v>
      </c>
      <c r="AL50" s="35">
        <f>+GETPIVOTDATA("XSN4",'suoinghe (2016)'!$A$3,"MA_HT","NTD","MA_QH","DCH")</f>
        <v>0</v>
      </c>
      <c r="AM50" s="35">
        <f>+GETPIVOTDATA("XSN4",'suoinghe (2016)'!$A$3,"MA_HT","NTD","MA_QH","DKG")</f>
        <v>0</v>
      </c>
      <c r="AN50" s="35">
        <f>+GETPIVOTDATA("XSN4",'suoinghe (2016)'!$A$3,"MA_HT","NTD","MA_QH","DDT")</f>
        <v>0</v>
      </c>
      <c r="AO50" s="35">
        <f>+GETPIVOTDATA("XSN4",'suoinghe (2016)'!$A$3,"MA_HT","NTD","MA_QH","DDL")</f>
        <v>0</v>
      </c>
      <c r="AP50" s="35">
        <f>+GETPIVOTDATA("XSN4",'suoinghe (2016)'!$A$3,"MA_HT","NTD","MA_QH","DRA")</f>
        <v>0</v>
      </c>
      <c r="AQ50" s="35">
        <f>+GETPIVOTDATA("XSN4",'suoinghe (2016)'!$A$3,"MA_HT","NTD","MA_QH","ONT")</f>
        <v>0</v>
      </c>
      <c r="AR50" s="35">
        <f>+GETPIVOTDATA("XSN4",'suoinghe (2016)'!$A$3,"MA_HT","NTD","MA_QH","ODT")</f>
        <v>0</v>
      </c>
      <c r="AS50" s="35">
        <f>+GETPIVOTDATA("XSN4",'suoinghe (2016)'!$A$3,"MA_HT","NTD","MA_QH","TSC")</f>
        <v>0</v>
      </c>
      <c r="AT50" s="35">
        <f>+GETPIVOTDATA("XSN4",'suoinghe (2016)'!$A$3,"MA_HT","NTD","MA_QH","DTS")</f>
        <v>0</v>
      </c>
      <c r="AU50" s="35">
        <f>+GETPIVOTDATA("XSN4",'suoinghe (2016)'!$A$3,"MA_HT","NTD","MA_QH","DNG")</f>
        <v>0</v>
      </c>
      <c r="AV50" s="35">
        <f>+GETPIVOTDATA("XSN4",'suoinghe (2016)'!$A$3,"MA_HT","NTD","MA_QH","TON")</f>
        <v>0</v>
      </c>
      <c r="AW50" s="99" t="e">
        <f>$D50-$BF50</f>
        <v>#REF!</v>
      </c>
      <c r="AX50" s="35">
        <f>+GETPIVOTDATA("XSN4",'suoinghe (2016)'!$A$3,"MA_HT","NTD","MA_QH","SKX")</f>
        <v>0</v>
      </c>
      <c r="AY50" s="35">
        <f>+GETPIVOTDATA("XSN4",'suoinghe (2016)'!$A$3,"MA_HT","NTD","MA_QH","DSH")</f>
        <v>0</v>
      </c>
      <c r="AZ50" s="35">
        <f>+GETPIVOTDATA("XSN4",'suoinghe (2016)'!$A$3,"MA_HT","NTD","MA_QH","DKV")</f>
        <v>0</v>
      </c>
      <c r="BA50" s="140">
        <f>+GETPIVOTDATA("XSN4",'suoinghe (2016)'!$A$3,"MA_HT","NTD","MA_QH","TIN")</f>
        <v>0</v>
      </c>
      <c r="BB50" s="74">
        <f>+GETPIVOTDATA("XSN4",'suoinghe (2016)'!$A$3,"MA_HT","NTD","MA_QH","SON")</f>
        <v>0</v>
      </c>
      <c r="BC50" s="74">
        <f>+GETPIVOTDATA("XSN4",'suoinghe (2016)'!$A$3,"MA_HT","NTD","MA_QH","MNC")</f>
        <v>0</v>
      </c>
      <c r="BD50" s="35">
        <f>+GETPIVOTDATA("XSN4",'suoinghe (2016)'!$A$3,"MA_HT","NTD","MA_QH","PNK")</f>
        <v>0</v>
      </c>
      <c r="BE50" s="58">
        <f>+GETPIVOTDATA("XSN4",'suoinghe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+GETPIVOTDATA("XSN4",'suoinghe (2016)'!$A$3,"MA_HT","SKX","MA_QH","LUC")</f>
        <v>0</v>
      </c>
      <c r="H51" s="35">
        <f>+GETPIVOTDATA("XSN4",'suoinghe (2016)'!$A$3,"MA_HT","SKX","MA_QH","LUK")</f>
        <v>0</v>
      </c>
      <c r="I51" s="35">
        <f>+GETPIVOTDATA("XSN4",'suoinghe (2016)'!$A$3,"MA_HT","SKX","MA_QH","LUN")</f>
        <v>0</v>
      </c>
      <c r="J51" s="35">
        <f>+GETPIVOTDATA("XSN4",'suoinghe (2016)'!$A$3,"MA_HT","SKX","MA_QH","HNK")</f>
        <v>0</v>
      </c>
      <c r="K51" s="35">
        <f>+GETPIVOTDATA("XSN4",'suoinghe (2016)'!$A$3,"MA_HT","SKX","MA_QH","CLN")</f>
        <v>0</v>
      </c>
      <c r="L51" s="35">
        <f>+GETPIVOTDATA("XSN4",'suoinghe (2016)'!$A$3,"MA_HT","SKX","MA_QH","RSX")</f>
        <v>0</v>
      </c>
      <c r="M51" s="35">
        <f>+GETPIVOTDATA("XSN4",'suoinghe (2016)'!$A$3,"MA_HT","SKX","MA_QH","RPH")</f>
        <v>0</v>
      </c>
      <c r="N51" s="35">
        <f>+GETPIVOTDATA("XSN4",'suoinghe (2016)'!$A$3,"MA_HT","SKX","MA_QH","RDD")</f>
        <v>0</v>
      </c>
      <c r="O51" s="35">
        <f>+GETPIVOTDATA("XSN4",'suoinghe (2016)'!$A$3,"MA_HT","SKX","MA_QH","NTS")</f>
        <v>0</v>
      </c>
      <c r="P51" s="35">
        <f>+GETPIVOTDATA("XSN4",'suoinghe (2016)'!$A$3,"MA_HT","SKX","MA_QH","LMU")</f>
        <v>0</v>
      </c>
      <c r="Q51" s="35">
        <f>+GETPIVOTDATA("XSN4",'suoinghe (2016)'!$A$3,"MA_HT","SKX","MA_QH","NKH")</f>
        <v>0</v>
      </c>
      <c r="R51" s="106">
        <f>SUM(S51:AA51,AN51:AW51,AY51:BD51)</f>
        <v>0</v>
      </c>
      <c r="S51" s="35">
        <f>+GETPIVOTDATA("XSN4",'suoinghe (2016)'!$A$3,"MA_HT","SKX","MA_QH","CQP")</f>
        <v>0</v>
      </c>
      <c r="T51" s="35">
        <f>+GETPIVOTDATA("XSN4",'suoinghe (2016)'!$A$3,"MA_HT","SKX","MA_QH","CAN")</f>
        <v>0</v>
      </c>
      <c r="U51" s="35">
        <f>+GETPIVOTDATA("XSN4",'suoinghe (2016)'!$A$3,"MA_HT","SKX","MA_QH","SKK")</f>
        <v>0</v>
      </c>
      <c r="V51" s="35">
        <f>+GETPIVOTDATA("XSN4",'suoinghe (2016)'!$A$3,"MA_HT","SKX","MA_QH","SKT")</f>
        <v>0</v>
      </c>
      <c r="W51" s="35">
        <f>+GETPIVOTDATA("XSN4",'suoinghe (2016)'!$A$3,"MA_HT","SKX","MA_QH","SKN")</f>
        <v>0</v>
      </c>
      <c r="X51" s="35">
        <f>+GETPIVOTDATA("XSN4",'suoinghe (2016)'!$A$3,"MA_HT","SKX","MA_QH","TMD")</f>
        <v>0</v>
      </c>
      <c r="Y51" s="35">
        <f>+GETPIVOTDATA("XSN4",'suoinghe (2016)'!$A$3,"MA_HT","SKX","MA_QH","SKC")</f>
        <v>0</v>
      </c>
      <c r="Z51" s="35">
        <f>+GETPIVOTDATA("XSN4",'suoinghe (2016)'!$A$3,"MA_HT","SKX","MA_QH","SKS")</f>
        <v>0</v>
      </c>
      <c r="AA51" s="64">
        <f t="shared" si="21"/>
        <v>0</v>
      </c>
      <c r="AB51" s="35">
        <f>+GETPIVOTDATA("XSN4",'suoinghe (2016)'!$A$3,"MA_HT","SKX","MA_QH","DGT")</f>
        <v>0</v>
      </c>
      <c r="AC51" s="35">
        <f>+GETPIVOTDATA("XSN4",'suoinghe (2016)'!$A$3,"MA_HT","SKX","MA_QH","DTL")</f>
        <v>0</v>
      </c>
      <c r="AD51" s="35">
        <f>+GETPIVOTDATA("XSN4",'suoinghe (2016)'!$A$3,"MA_HT","SKX","MA_QH","DNL")</f>
        <v>0</v>
      </c>
      <c r="AE51" s="35">
        <f>+GETPIVOTDATA("XSN4",'suoinghe (2016)'!$A$3,"MA_HT","SKX","MA_QH","DBV")</f>
        <v>0</v>
      </c>
      <c r="AF51" s="35">
        <f>+GETPIVOTDATA("XSN4",'suoinghe (2016)'!$A$3,"MA_HT","SKX","MA_QH","DVH")</f>
        <v>0</v>
      </c>
      <c r="AG51" s="35">
        <f>+GETPIVOTDATA("XSN4",'suoinghe (2016)'!$A$3,"MA_HT","SKX","MA_QH","DYT")</f>
        <v>0</v>
      </c>
      <c r="AH51" s="35">
        <f>+GETPIVOTDATA("XSN4",'suoinghe (2016)'!$A$3,"MA_HT","SKX","MA_QH","DGD")</f>
        <v>0</v>
      </c>
      <c r="AI51" s="35">
        <f>+GETPIVOTDATA("XSN4",'suoinghe (2016)'!$A$3,"MA_HT","SKX","MA_QH","DTT")</f>
        <v>0</v>
      </c>
      <c r="AJ51" s="35">
        <f>+GETPIVOTDATA("XSN4",'suoinghe (2016)'!$A$3,"MA_HT","SKX","MA_QH","NCK")</f>
        <v>0</v>
      </c>
      <c r="AK51" s="35">
        <f>+GETPIVOTDATA("XSN4",'suoinghe (2016)'!$A$3,"MA_HT","SKX","MA_QH","DXH")</f>
        <v>0</v>
      </c>
      <c r="AL51" s="35">
        <f>+GETPIVOTDATA("XSN4",'suoinghe (2016)'!$A$3,"MA_HT","SKX","MA_QH","DCH")</f>
        <v>0</v>
      </c>
      <c r="AM51" s="35">
        <f>+GETPIVOTDATA("XSN4",'suoinghe (2016)'!$A$3,"MA_HT","SKX","MA_QH","DKG")</f>
        <v>0</v>
      </c>
      <c r="AN51" s="35">
        <f>+GETPIVOTDATA("XSN4",'suoinghe (2016)'!$A$3,"MA_HT","SKX","MA_QH","DDT")</f>
        <v>0</v>
      </c>
      <c r="AO51" s="35">
        <f>+GETPIVOTDATA("XSN4",'suoinghe (2016)'!$A$3,"MA_HT","SKX","MA_QH","DDL")</f>
        <v>0</v>
      </c>
      <c r="AP51" s="35">
        <f>+GETPIVOTDATA("XSN4",'suoinghe (2016)'!$A$3,"MA_HT","SKX","MA_QH","DRA")</f>
        <v>0</v>
      </c>
      <c r="AQ51" s="35">
        <f>+GETPIVOTDATA("XSN4",'suoinghe (2016)'!$A$3,"MA_HT","SKX","MA_QH","ONT")</f>
        <v>0</v>
      </c>
      <c r="AR51" s="35">
        <f>+GETPIVOTDATA("XSN4",'suoinghe (2016)'!$A$3,"MA_HT","SKX","MA_QH","ODT")</f>
        <v>0</v>
      </c>
      <c r="AS51" s="35">
        <f>+GETPIVOTDATA("XSN4",'suoinghe (2016)'!$A$3,"MA_HT","SKX","MA_QH","TSC")</f>
        <v>0</v>
      </c>
      <c r="AT51" s="35">
        <f>+GETPIVOTDATA("XSN4",'suoinghe (2016)'!$A$3,"MA_HT","SKX","MA_QH","DTS")</f>
        <v>0</v>
      </c>
      <c r="AU51" s="35">
        <f>+GETPIVOTDATA("XSN4",'suoinghe (2016)'!$A$3,"MA_HT","SKX","MA_QH","DNG")</f>
        <v>0</v>
      </c>
      <c r="AV51" s="35">
        <f>+GETPIVOTDATA("XSN4",'suoinghe (2016)'!$A$3,"MA_HT","SKX","MA_QH","TON")</f>
        <v>0</v>
      </c>
      <c r="AW51" s="35">
        <f>+GETPIVOTDATA("XSN4",'suoinghe (2016)'!$A$3,"MA_HT","SKX","MA_QH","NTD")</f>
        <v>0</v>
      </c>
      <c r="AX51" s="99" t="e">
        <f>$D51-$BF51</f>
        <v>#REF!</v>
      </c>
      <c r="AY51" s="35">
        <f>+GETPIVOTDATA("XSN4",'suoinghe (2016)'!$A$3,"MA_HT","SKX","MA_QH","DSH")</f>
        <v>0</v>
      </c>
      <c r="AZ51" s="35">
        <f>+GETPIVOTDATA("XSN4",'suoinghe (2016)'!$A$3,"MA_HT","SKX","MA_QH","DKV")</f>
        <v>0</v>
      </c>
      <c r="BA51" s="140">
        <f>+GETPIVOTDATA("XSN4",'suoinghe (2016)'!$A$3,"MA_HT","SKX","MA_QH","TIN")</f>
        <v>0</v>
      </c>
      <c r="BB51" s="74">
        <f>+GETPIVOTDATA("XSN4",'suoinghe (2016)'!$A$3,"MA_HT","SKX","MA_QH","SON")</f>
        <v>0</v>
      </c>
      <c r="BC51" s="74">
        <f>+GETPIVOTDATA("XSN4",'suoinghe (2016)'!$A$3,"MA_HT","SKX","MA_QH","MNC")</f>
        <v>0</v>
      </c>
      <c r="BD51" s="35">
        <f>+GETPIVOTDATA("XSN4",'suoinghe (2016)'!$A$3,"MA_HT","SKX","MA_QH","PNK")</f>
        <v>0</v>
      </c>
      <c r="BE51" s="58">
        <f>+GETPIVOTDATA("XSN4",'suoinghe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+GETPIVOTDATA("XSN4",'suoinghe (2016)'!$A$3,"MA_HT","DSH","MA_QH","LUC")</f>
        <v>0</v>
      </c>
      <c r="H52" s="35">
        <f>+GETPIVOTDATA("XSN4",'suoinghe (2016)'!$A$3,"MA_HT","DSH","MA_QH","LUK")</f>
        <v>0</v>
      </c>
      <c r="I52" s="35">
        <f>+GETPIVOTDATA("XSN4",'suoinghe (2016)'!$A$3,"MA_HT","DSH","MA_QH","LUN")</f>
        <v>0</v>
      </c>
      <c r="J52" s="35">
        <f>+GETPIVOTDATA("XSN4",'suoinghe (2016)'!$A$3,"MA_HT","DSH","MA_QH","HNK")</f>
        <v>0</v>
      </c>
      <c r="K52" s="35">
        <f>+GETPIVOTDATA("XSN4",'suoinghe (2016)'!$A$3,"MA_HT","DSH","MA_QH","CLN")</f>
        <v>0</v>
      </c>
      <c r="L52" s="35">
        <f>+GETPIVOTDATA("XSN4",'suoinghe (2016)'!$A$3,"MA_HT","DSH","MA_QH","RSX")</f>
        <v>0</v>
      </c>
      <c r="M52" s="35">
        <f>+GETPIVOTDATA("XSN4",'suoinghe (2016)'!$A$3,"MA_HT","DSH","MA_QH","RPH")</f>
        <v>0</v>
      </c>
      <c r="N52" s="35">
        <f>+GETPIVOTDATA("XSN4",'suoinghe (2016)'!$A$3,"MA_HT","DSH","MA_QH","RDD")</f>
        <v>0</v>
      </c>
      <c r="O52" s="35">
        <f>+GETPIVOTDATA("XSN4",'suoinghe (2016)'!$A$3,"MA_HT","DSH","MA_QH","NTS")</f>
        <v>0</v>
      </c>
      <c r="P52" s="35">
        <f>+GETPIVOTDATA("XSN4",'suoinghe (2016)'!$A$3,"MA_HT","DSH","MA_QH","LMU")</f>
        <v>0</v>
      </c>
      <c r="Q52" s="35">
        <f>+GETPIVOTDATA("XSN4",'suoinghe (2016)'!$A$3,"MA_HT","DSH","MA_QH","NKH")</f>
        <v>0</v>
      </c>
      <c r="R52" s="106">
        <f>SUM(S52:AA52,AN52:AX52,AZ52:BD52)</f>
        <v>0</v>
      </c>
      <c r="S52" s="35">
        <f>+GETPIVOTDATA("XSN4",'suoinghe (2016)'!$A$3,"MA_HT","DSH","MA_QH","CQP")</f>
        <v>0</v>
      </c>
      <c r="T52" s="35">
        <f>+GETPIVOTDATA("XSN4",'suoinghe (2016)'!$A$3,"MA_HT","DSH","MA_QH","CAN")</f>
        <v>0</v>
      </c>
      <c r="U52" s="35">
        <f>+GETPIVOTDATA("XSN4",'suoinghe (2016)'!$A$3,"MA_HT","DSH","MA_QH","SKK")</f>
        <v>0</v>
      </c>
      <c r="V52" s="35">
        <f>+GETPIVOTDATA("XSN4",'suoinghe (2016)'!$A$3,"MA_HT","DSH","MA_QH","SKT")</f>
        <v>0</v>
      </c>
      <c r="W52" s="35">
        <f>+GETPIVOTDATA("XSN4",'suoinghe (2016)'!$A$3,"MA_HT","DSH","MA_QH","SKN")</f>
        <v>0</v>
      </c>
      <c r="X52" s="35">
        <f>+GETPIVOTDATA("XSN4",'suoinghe (2016)'!$A$3,"MA_HT","DSH","MA_QH","TMD")</f>
        <v>0</v>
      </c>
      <c r="Y52" s="35">
        <f>+GETPIVOTDATA("XSN4",'suoinghe (2016)'!$A$3,"MA_HT","DSH","MA_QH","SKC")</f>
        <v>0</v>
      </c>
      <c r="Z52" s="35">
        <f>+GETPIVOTDATA("XSN4",'suoinghe (2016)'!$A$3,"MA_HT","DSH","MA_QH","SKS")</f>
        <v>0</v>
      </c>
      <c r="AA52" s="64">
        <f t="shared" si="21"/>
        <v>0</v>
      </c>
      <c r="AB52" s="35">
        <f>+GETPIVOTDATA("XSN4",'suoinghe (2016)'!$A$3,"MA_HT","DSH","MA_QH","DGT")</f>
        <v>0</v>
      </c>
      <c r="AC52" s="35">
        <f>+GETPIVOTDATA("XSN4",'suoinghe (2016)'!$A$3,"MA_HT","DSH","MA_QH","DTL")</f>
        <v>0</v>
      </c>
      <c r="AD52" s="35">
        <f>+GETPIVOTDATA("XSN4",'suoinghe (2016)'!$A$3,"MA_HT","DSH","MA_QH","DNL")</f>
        <v>0</v>
      </c>
      <c r="AE52" s="35">
        <f>+GETPIVOTDATA("XSN4",'suoinghe (2016)'!$A$3,"MA_HT","DSH","MA_QH","DBV")</f>
        <v>0</v>
      </c>
      <c r="AF52" s="35">
        <f>+GETPIVOTDATA("XSN4",'suoinghe (2016)'!$A$3,"MA_HT","DSH","MA_QH","DVH")</f>
        <v>0</v>
      </c>
      <c r="AG52" s="35">
        <f>+GETPIVOTDATA("XSN4",'suoinghe (2016)'!$A$3,"MA_HT","DSH","MA_QH","DYT")</f>
        <v>0</v>
      </c>
      <c r="AH52" s="35">
        <f>+GETPIVOTDATA("XSN4",'suoinghe (2016)'!$A$3,"MA_HT","DSH","MA_QH","DGD")</f>
        <v>0</v>
      </c>
      <c r="AI52" s="35">
        <f>+GETPIVOTDATA("XSN4",'suoinghe (2016)'!$A$3,"MA_HT","DSH","MA_QH","DTT")</f>
        <v>0</v>
      </c>
      <c r="AJ52" s="35">
        <f>+GETPIVOTDATA("XSN4",'suoinghe (2016)'!$A$3,"MA_HT","DSH","MA_QH","NCK")</f>
        <v>0</v>
      </c>
      <c r="AK52" s="35">
        <f>+GETPIVOTDATA("XSN4",'suoinghe (2016)'!$A$3,"MA_HT","DSH","MA_QH","DXH")</f>
        <v>0</v>
      </c>
      <c r="AL52" s="35">
        <f>+GETPIVOTDATA("XSN4",'suoinghe (2016)'!$A$3,"MA_HT","DSH","MA_QH","DCH")</f>
        <v>0</v>
      </c>
      <c r="AM52" s="35">
        <f>+GETPIVOTDATA("XSN4",'suoinghe (2016)'!$A$3,"MA_HT","DSH","MA_QH","DKG")</f>
        <v>0</v>
      </c>
      <c r="AN52" s="35">
        <f>+GETPIVOTDATA("XSN4",'suoinghe (2016)'!$A$3,"MA_HT","DSH","MA_QH","DDT")</f>
        <v>0</v>
      </c>
      <c r="AO52" s="35">
        <f>+GETPIVOTDATA("XSN4",'suoinghe (2016)'!$A$3,"MA_HT","DSH","MA_QH","DDL")</f>
        <v>0</v>
      </c>
      <c r="AP52" s="35">
        <f>+GETPIVOTDATA("XSN4",'suoinghe (2016)'!$A$3,"MA_HT","DSH","MA_QH","DRA")</f>
        <v>0</v>
      </c>
      <c r="AQ52" s="35">
        <f>+GETPIVOTDATA("XSN4",'suoinghe (2016)'!$A$3,"MA_HT","DSH","MA_QH","ONT")</f>
        <v>0</v>
      </c>
      <c r="AR52" s="35">
        <f>+GETPIVOTDATA("XSN4",'suoinghe (2016)'!$A$3,"MA_HT","DSH","MA_QH","ODT")</f>
        <v>0</v>
      </c>
      <c r="AS52" s="35">
        <f>+GETPIVOTDATA("XSN4",'suoinghe (2016)'!$A$3,"MA_HT","DSH","MA_QH","TSC")</f>
        <v>0</v>
      </c>
      <c r="AT52" s="35">
        <f>+GETPIVOTDATA("XSN4",'suoinghe (2016)'!$A$3,"MA_HT","DSH","MA_QH","DTS")</f>
        <v>0</v>
      </c>
      <c r="AU52" s="35">
        <f>+GETPIVOTDATA("XSN4",'suoinghe (2016)'!$A$3,"MA_HT","DSH","MA_QH","DNG")</f>
        <v>0</v>
      </c>
      <c r="AV52" s="35">
        <f>+GETPIVOTDATA("XSN4",'suoinghe (2016)'!$A$3,"MA_HT","DSH","MA_QH","TON")</f>
        <v>0</v>
      </c>
      <c r="AW52" s="35">
        <f>+GETPIVOTDATA("XSN4",'suoinghe (2016)'!$A$3,"MA_HT","DSH","MA_QH","NTD")</f>
        <v>0</v>
      </c>
      <c r="AX52" s="35">
        <f>+GETPIVOTDATA("XSN4",'suoinghe (2016)'!$A$3,"MA_HT","DSH","MA_QH","SKX")</f>
        <v>0</v>
      </c>
      <c r="AY52" s="99" t="e">
        <f>$D52-$BF52</f>
        <v>#REF!</v>
      </c>
      <c r="AZ52" s="35">
        <f>+GETPIVOTDATA("XSN4",'suoinghe (2016)'!$A$3,"MA_HT","DSH","MA_QH","DKV")</f>
        <v>0</v>
      </c>
      <c r="BA52" s="140">
        <f>+GETPIVOTDATA("XSN4",'suoinghe (2016)'!$A$3,"MA_HT","DSH","MA_QH","TIN")</f>
        <v>0</v>
      </c>
      <c r="BB52" s="74">
        <f>+GETPIVOTDATA("XSN4",'suoinghe (2016)'!$A$3,"MA_HT","DSH","MA_QH","SON")</f>
        <v>0</v>
      </c>
      <c r="BC52" s="74">
        <f>+GETPIVOTDATA("XSN4",'suoinghe (2016)'!$A$3,"MA_HT","DSH","MA_QH","MNC")</f>
        <v>0</v>
      </c>
      <c r="BD52" s="35">
        <f>+GETPIVOTDATA("XSN4",'suoinghe (2016)'!$A$3,"MA_HT","DSH","MA_QH","PNK")</f>
        <v>0</v>
      </c>
      <c r="BE52" s="58">
        <f>+GETPIVOTDATA("XSN4",'suoinghe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+GETPIVOTDATA("XSN4",'suoinghe (2016)'!$A$3,"MA_HT","DKV","MA_QH","LUC")</f>
        <v>0</v>
      </c>
      <c r="H53" s="35">
        <f>+GETPIVOTDATA("XSN4",'suoinghe (2016)'!$A$3,"MA_HT","DKV","MA_QH","LUK")</f>
        <v>0</v>
      </c>
      <c r="I53" s="35">
        <f>+GETPIVOTDATA("XSN4",'suoinghe (2016)'!$A$3,"MA_HT","DKV","MA_QH","LUN")</f>
        <v>0</v>
      </c>
      <c r="J53" s="35">
        <f>+GETPIVOTDATA("XSN4",'suoinghe (2016)'!$A$3,"MA_HT","DKV","MA_QH","HNK")</f>
        <v>0</v>
      </c>
      <c r="K53" s="35">
        <f>+GETPIVOTDATA("XSN4",'suoinghe (2016)'!$A$3,"MA_HT","DKV","MA_QH","CLN")</f>
        <v>0</v>
      </c>
      <c r="L53" s="35">
        <f>+GETPIVOTDATA("XSN4",'suoinghe (2016)'!$A$3,"MA_HT","DKV","MA_QH","RSX")</f>
        <v>0</v>
      </c>
      <c r="M53" s="35">
        <f>+GETPIVOTDATA("XSN4",'suoinghe (2016)'!$A$3,"MA_HT","DKV","MA_QH","RPH")</f>
        <v>0</v>
      </c>
      <c r="N53" s="35">
        <f>+GETPIVOTDATA("XSN4",'suoinghe (2016)'!$A$3,"MA_HT","DKV","MA_QH","RDD")</f>
        <v>0</v>
      </c>
      <c r="O53" s="35">
        <f>+GETPIVOTDATA("XSN4",'suoinghe (2016)'!$A$3,"MA_HT","DKV","MA_QH","NTS")</f>
        <v>0</v>
      </c>
      <c r="P53" s="35">
        <f>+GETPIVOTDATA("XSN4",'suoinghe (2016)'!$A$3,"MA_HT","DKV","MA_QH","LMU")</f>
        <v>0</v>
      </c>
      <c r="Q53" s="35">
        <f>+GETPIVOTDATA("XSN4",'suoinghe (2016)'!$A$3,"MA_HT","DKV","MA_QH","NKH")</f>
        <v>0</v>
      </c>
      <c r="R53" s="106">
        <f>SUM(S53:AA53,AN53:AY53,BB53:BD53)</f>
        <v>0</v>
      </c>
      <c r="S53" s="35">
        <f>+GETPIVOTDATA("XSN4",'suoinghe (2016)'!$A$3,"MA_HT","DKV","MA_QH","CQP")</f>
        <v>0</v>
      </c>
      <c r="T53" s="35">
        <f>+GETPIVOTDATA("XSN4",'suoinghe (2016)'!$A$3,"MA_HT","DKV","MA_QH","CAN")</f>
        <v>0</v>
      </c>
      <c r="U53" s="35">
        <f>+GETPIVOTDATA("XSN4",'suoinghe (2016)'!$A$3,"MA_HT","DKV","MA_QH","SKK")</f>
        <v>0</v>
      </c>
      <c r="V53" s="35">
        <f>+GETPIVOTDATA("XSN4",'suoinghe (2016)'!$A$3,"MA_HT","DKV","MA_QH","SKT")</f>
        <v>0</v>
      </c>
      <c r="W53" s="35">
        <f>+GETPIVOTDATA("XSN4",'suoinghe (2016)'!$A$3,"MA_HT","DKV","MA_QH","SKN")</f>
        <v>0</v>
      </c>
      <c r="X53" s="35">
        <f>+GETPIVOTDATA("XSN4",'suoinghe (2016)'!$A$3,"MA_HT","DKV","MA_QH","TMD")</f>
        <v>0</v>
      </c>
      <c r="Y53" s="35">
        <f>+GETPIVOTDATA("XSN4",'suoinghe (2016)'!$A$3,"MA_HT","DKV","MA_QH","SKC")</f>
        <v>0</v>
      </c>
      <c r="Z53" s="35">
        <f>+GETPIVOTDATA("XSN4",'suoinghe (2016)'!$A$3,"MA_HT","DKV","MA_QH","SKS")</f>
        <v>0</v>
      </c>
      <c r="AA53" s="64">
        <f t="shared" si="21"/>
        <v>0</v>
      </c>
      <c r="AB53" s="35">
        <f>+GETPIVOTDATA("XSN4",'suoinghe (2016)'!$A$3,"MA_HT","DKV","MA_QH","DGT")</f>
        <v>0</v>
      </c>
      <c r="AC53" s="35">
        <f>+GETPIVOTDATA("XSN4",'suoinghe (2016)'!$A$3,"MA_HT","DKV","MA_QH","DTL")</f>
        <v>0</v>
      </c>
      <c r="AD53" s="35">
        <f>+GETPIVOTDATA("XSN4",'suoinghe (2016)'!$A$3,"MA_HT","DKV","MA_QH","DNL")</f>
        <v>0</v>
      </c>
      <c r="AE53" s="35">
        <f>+GETPIVOTDATA("XSN4",'suoinghe (2016)'!$A$3,"MA_HT","DKV","MA_QH","DBV")</f>
        <v>0</v>
      </c>
      <c r="AF53" s="35">
        <f>+GETPIVOTDATA("XSN4",'suoinghe (2016)'!$A$3,"MA_HT","DKV","MA_QH","DVH")</f>
        <v>0</v>
      </c>
      <c r="AG53" s="35">
        <f>+GETPIVOTDATA("XSN4",'suoinghe (2016)'!$A$3,"MA_HT","DKV","MA_QH","DYT")</f>
        <v>0</v>
      </c>
      <c r="AH53" s="35">
        <f>+GETPIVOTDATA("XSN4",'suoinghe (2016)'!$A$3,"MA_HT","DKV","MA_QH","DGD")</f>
        <v>0</v>
      </c>
      <c r="AI53" s="35">
        <f>+GETPIVOTDATA("XSN4",'suoinghe (2016)'!$A$3,"MA_HT","DKV","MA_QH","DTT")</f>
        <v>0</v>
      </c>
      <c r="AJ53" s="35">
        <f>+GETPIVOTDATA("XSN4",'suoinghe (2016)'!$A$3,"MA_HT","DKV","MA_QH","NCK")</f>
        <v>0</v>
      </c>
      <c r="AK53" s="35">
        <f>+GETPIVOTDATA("XSN4",'suoinghe (2016)'!$A$3,"MA_HT","DKV","MA_QH","DXH")</f>
        <v>0</v>
      </c>
      <c r="AL53" s="35">
        <f>+GETPIVOTDATA("XSN4",'suoinghe (2016)'!$A$3,"MA_HT","DKV","MA_QH","DCH")</f>
        <v>0</v>
      </c>
      <c r="AM53" s="35">
        <f>+GETPIVOTDATA("XSN4",'suoinghe (2016)'!$A$3,"MA_HT","DKV","MA_QH","DKG")</f>
        <v>0</v>
      </c>
      <c r="AN53" s="35">
        <f>+GETPIVOTDATA("XSN4",'suoinghe (2016)'!$A$3,"MA_HT","DKV","MA_QH","DDT")</f>
        <v>0</v>
      </c>
      <c r="AO53" s="35">
        <f>+GETPIVOTDATA("XSN4",'suoinghe (2016)'!$A$3,"MA_HT","DKV","MA_QH","DDL")</f>
        <v>0</v>
      </c>
      <c r="AP53" s="35">
        <f>+GETPIVOTDATA("XSN4",'suoinghe (2016)'!$A$3,"MA_HT","DKV","MA_QH","DRA")</f>
        <v>0</v>
      </c>
      <c r="AQ53" s="35">
        <f>+GETPIVOTDATA("XSN4",'suoinghe (2016)'!$A$3,"MA_HT","DKV","MA_QH","ONT")</f>
        <v>0</v>
      </c>
      <c r="AR53" s="35">
        <f>+GETPIVOTDATA("XSN4",'suoinghe (2016)'!$A$3,"MA_HT","DKV","MA_QH","ODT")</f>
        <v>0</v>
      </c>
      <c r="AS53" s="35">
        <f>+GETPIVOTDATA("XSN4",'suoinghe (2016)'!$A$3,"MA_HT","DKV","MA_QH","TSC")</f>
        <v>0</v>
      </c>
      <c r="AT53" s="35">
        <f>+GETPIVOTDATA("XSN4",'suoinghe (2016)'!$A$3,"MA_HT","DKV","MA_QH","DTS")</f>
        <v>0</v>
      </c>
      <c r="AU53" s="35">
        <f>+GETPIVOTDATA("XSN4",'suoinghe (2016)'!$A$3,"MA_HT","DKV","MA_QH","DNG")</f>
        <v>0</v>
      </c>
      <c r="AV53" s="35">
        <f>+GETPIVOTDATA("XSN4",'suoinghe (2016)'!$A$3,"MA_HT","DKV","MA_QH","TON")</f>
        <v>0</v>
      </c>
      <c r="AW53" s="35">
        <f>+GETPIVOTDATA("XSN4",'suoinghe (2016)'!$A$3,"MA_HT","DKV","MA_QH","NTD")</f>
        <v>0</v>
      </c>
      <c r="AX53" s="35">
        <f>+GETPIVOTDATA("XSN4",'suoinghe (2016)'!$A$3,"MA_HT","DKV","MA_QH","SKX")</f>
        <v>0</v>
      </c>
      <c r="AY53" s="35">
        <f>+GETPIVOTDATA("XSN4",'suoinghe (2016)'!$A$3,"MA_HT","DKV","MA_QH","DSH")</f>
        <v>0</v>
      </c>
      <c r="AZ53" s="99" t="e">
        <f>$D53-$BF53</f>
        <v>#REF!</v>
      </c>
      <c r="BA53" s="140">
        <f>+GETPIVOTDATA("XSN4",'suoinghe (2016)'!$A$3,"MA_HT","DKV","MA_QH","TIN")</f>
        <v>0</v>
      </c>
      <c r="BB53" s="74">
        <f>+GETPIVOTDATA("XSN4",'suoinghe (2016)'!$A$3,"MA_HT","DKV","MA_QH","SON")</f>
        <v>0</v>
      </c>
      <c r="BC53" s="74">
        <f>+GETPIVOTDATA("XSN4",'suoinghe (2016)'!$A$3,"MA_HT","DKV","MA_QH","MNC")</f>
        <v>0</v>
      </c>
      <c r="BD53" s="35">
        <f>+GETPIVOTDATA("XSN4",'suoinghe (2016)'!$A$3,"MA_HT","DKV","MA_QH","PNK")</f>
        <v>0</v>
      </c>
      <c r="BE53" s="58">
        <f>+GETPIVOTDATA("XSN4",'suoinghe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+GETPIVOTDATA("XSN4",'suoinghe (2016)'!$A$3,"MA_HT","TIN","MA_QH","LUC")</f>
        <v>0</v>
      </c>
      <c r="H54" s="35">
        <f>+GETPIVOTDATA("XSN4",'suoinghe (2016)'!$A$3,"MA_HT","TIN","MA_QH","LUK")</f>
        <v>0</v>
      </c>
      <c r="I54" s="35">
        <f>+GETPIVOTDATA("XSN4",'suoinghe (2016)'!$A$3,"MA_HT","TIN","MA_QH","LUN")</f>
        <v>0</v>
      </c>
      <c r="J54" s="35">
        <f>+GETPIVOTDATA("XSN4",'suoinghe (2016)'!$A$3,"MA_HT","TIN","MA_QH","HNK")</f>
        <v>0</v>
      </c>
      <c r="K54" s="35">
        <f>+GETPIVOTDATA("XSN4",'suoinghe (2016)'!$A$3,"MA_HT","TIN","MA_QH","CLN")</f>
        <v>0</v>
      </c>
      <c r="L54" s="35">
        <f>+GETPIVOTDATA("XSN4",'suoinghe (2016)'!$A$3,"MA_HT","TIN","MA_QH","RSX")</f>
        <v>0</v>
      </c>
      <c r="M54" s="35">
        <f>+GETPIVOTDATA("XSN4",'suoinghe (2016)'!$A$3,"MA_HT","TIN","MA_QH","RPH")</f>
        <v>0</v>
      </c>
      <c r="N54" s="35">
        <f>+GETPIVOTDATA("XSN4",'suoinghe (2016)'!$A$3,"MA_HT","TIN","MA_QH","RDD")</f>
        <v>0</v>
      </c>
      <c r="O54" s="35">
        <f>+GETPIVOTDATA("XSN4",'suoinghe (2016)'!$A$3,"MA_HT","TIN","MA_QH","NTS")</f>
        <v>0</v>
      </c>
      <c r="P54" s="35">
        <f>+GETPIVOTDATA("XSN4",'suoinghe (2016)'!$A$3,"MA_HT","TIN","MA_QH","LMU")</f>
        <v>0</v>
      </c>
      <c r="Q54" s="35">
        <f>+GETPIVOTDATA("XSN4",'suoinghe (2016)'!$A$3,"MA_HT","TIN","MA_QH","NKH")</f>
        <v>0</v>
      </c>
      <c r="R54" s="106">
        <f>SUM(S54:AA54,AN54:AZ54,BB54:BD54)</f>
        <v>0</v>
      </c>
      <c r="S54" s="35">
        <f>+GETPIVOTDATA("XSN4",'suoinghe (2016)'!$A$3,"MA_HT","TIN","MA_QH","CQP")</f>
        <v>0</v>
      </c>
      <c r="T54" s="35">
        <f>+GETPIVOTDATA("XSN4",'suoinghe (2016)'!$A$3,"MA_HT","TIN","MA_QH","CAN")</f>
        <v>0</v>
      </c>
      <c r="U54" s="35">
        <f>+GETPIVOTDATA("XSN4",'suoinghe (2016)'!$A$3,"MA_HT","TIN","MA_QH","SKK")</f>
        <v>0</v>
      </c>
      <c r="V54" s="35">
        <f>+GETPIVOTDATA("XSN4",'suoinghe (2016)'!$A$3,"MA_HT","TIN","MA_QH","SKT")</f>
        <v>0</v>
      </c>
      <c r="W54" s="35">
        <f>+GETPIVOTDATA("XSN4",'suoinghe (2016)'!$A$3,"MA_HT","TIN","MA_QH","SKN")</f>
        <v>0</v>
      </c>
      <c r="X54" s="35">
        <f>+GETPIVOTDATA("XSN4",'suoinghe (2016)'!$A$3,"MA_HT","TIN","MA_QH","TMD")</f>
        <v>0</v>
      </c>
      <c r="Y54" s="35">
        <f>+GETPIVOTDATA("XSN4",'suoinghe (2016)'!$A$3,"MA_HT","TIN","MA_QH","SKC")</f>
        <v>0</v>
      </c>
      <c r="Z54" s="35">
        <f>+GETPIVOTDATA("XSN4",'suoinghe (2016)'!$A$3,"MA_HT","TIN","MA_QH","SKS")</f>
        <v>0</v>
      </c>
      <c r="AA54" s="64">
        <f t="shared" si="21"/>
        <v>0</v>
      </c>
      <c r="AB54" s="35">
        <f>+GETPIVOTDATA("XSN4",'suoinghe (2016)'!$A$3,"MA_HT","TIN","MA_QH","DGT")</f>
        <v>0</v>
      </c>
      <c r="AC54" s="35">
        <f>+GETPIVOTDATA("XSN4",'suoinghe (2016)'!$A$3,"MA_HT","TIN","MA_QH","DTL")</f>
        <v>0</v>
      </c>
      <c r="AD54" s="35">
        <f>+GETPIVOTDATA("XSN4",'suoinghe (2016)'!$A$3,"MA_HT","TIN","MA_QH","DNL")</f>
        <v>0</v>
      </c>
      <c r="AE54" s="35">
        <f>+GETPIVOTDATA("XSN4",'suoinghe (2016)'!$A$3,"MA_HT","TIN","MA_QH","DBV")</f>
        <v>0</v>
      </c>
      <c r="AF54" s="35">
        <f>+GETPIVOTDATA("XSN4",'suoinghe (2016)'!$A$3,"MA_HT","TIN","MA_QH","DVH")</f>
        <v>0</v>
      </c>
      <c r="AG54" s="35">
        <f>+GETPIVOTDATA("XSN4",'suoinghe (2016)'!$A$3,"MA_HT","TIN","MA_QH","DYT")</f>
        <v>0</v>
      </c>
      <c r="AH54" s="35">
        <f>+GETPIVOTDATA("XSN4",'suoinghe (2016)'!$A$3,"MA_HT","TIN","MA_QH","DGD")</f>
        <v>0</v>
      </c>
      <c r="AI54" s="35">
        <f>+GETPIVOTDATA("XSN4",'suoinghe (2016)'!$A$3,"MA_HT","TIN","MA_QH","DTT")</f>
        <v>0</v>
      </c>
      <c r="AJ54" s="35">
        <f>+GETPIVOTDATA("XSN4",'suoinghe (2016)'!$A$3,"MA_HT","TIN","MA_QH","NCK")</f>
        <v>0</v>
      </c>
      <c r="AK54" s="35">
        <f>+GETPIVOTDATA("XSN4",'suoinghe (2016)'!$A$3,"MA_HT","TIN","MA_QH","DXH")</f>
        <v>0</v>
      </c>
      <c r="AL54" s="35">
        <f>+GETPIVOTDATA("XSN4",'suoinghe (2016)'!$A$3,"MA_HT","TIN","MA_QH","DCH")</f>
        <v>0</v>
      </c>
      <c r="AM54" s="35">
        <f>+GETPIVOTDATA("XSN4",'suoinghe (2016)'!$A$3,"MA_HT","TIN","MA_QH","DKG")</f>
        <v>0</v>
      </c>
      <c r="AN54" s="35">
        <f>+GETPIVOTDATA("XSN4",'suoinghe (2016)'!$A$3,"MA_HT","TIN","MA_QH","DDT")</f>
        <v>0</v>
      </c>
      <c r="AO54" s="35">
        <f>+GETPIVOTDATA("XSN4",'suoinghe (2016)'!$A$3,"MA_HT","TIN","MA_QH","DDL")</f>
        <v>0</v>
      </c>
      <c r="AP54" s="35">
        <f>+GETPIVOTDATA("XSN4",'suoinghe (2016)'!$A$3,"MA_HT","TIN","MA_QH","DRA")</f>
        <v>0</v>
      </c>
      <c r="AQ54" s="35">
        <f>+GETPIVOTDATA("XSN4",'suoinghe (2016)'!$A$3,"MA_HT","TIN","MA_QH","ONT")</f>
        <v>0</v>
      </c>
      <c r="AR54" s="35">
        <f>+GETPIVOTDATA("XSN4",'suoinghe (2016)'!$A$3,"MA_HT","TIN","MA_QH","ODT")</f>
        <v>0</v>
      </c>
      <c r="AS54" s="35">
        <f>+GETPIVOTDATA("XSN4",'suoinghe (2016)'!$A$3,"MA_HT","TIN","MA_QH","TSC")</f>
        <v>0</v>
      </c>
      <c r="AT54" s="35">
        <f>+GETPIVOTDATA("XSN4",'suoinghe (2016)'!$A$3,"MA_HT","TIN","MA_QH","DTS")</f>
        <v>0</v>
      </c>
      <c r="AU54" s="35">
        <f>+GETPIVOTDATA("XSN4",'suoinghe (2016)'!$A$3,"MA_HT","TIN","MA_QH","DNG")</f>
        <v>0</v>
      </c>
      <c r="AV54" s="35">
        <f>+GETPIVOTDATA("XSN4",'suoinghe (2016)'!$A$3,"MA_HT","TIN","MA_QH","TON")</f>
        <v>0</v>
      </c>
      <c r="AW54" s="35">
        <f>+GETPIVOTDATA("XSN4",'suoinghe (2016)'!$A$3,"MA_HT","TIN","MA_QH","NTD")</f>
        <v>0</v>
      </c>
      <c r="AX54" s="35">
        <f>+GETPIVOTDATA("XSN4",'suoinghe (2016)'!$A$3,"MA_HT","TIN","MA_QH","SKX")</f>
        <v>0</v>
      </c>
      <c r="AY54" s="35">
        <f>+GETPIVOTDATA("XSN4",'suoinghe (2016)'!$A$3,"MA_HT","TIN","MA_QH","DSH")</f>
        <v>0</v>
      </c>
      <c r="AZ54" s="35">
        <f>+GETPIVOTDATA("XSN4",'suoinghe (2016)'!$A$3,"MA_HT","TIN","MA_QH","DKV")</f>
        <v>0</v>
      </c>
      <c r="BA54" s="99" t="e">
        <f>$D54-$BF54</f>
        <v>#REF!</v>
      </c>
      <c r="BB54" s="35">
        <f>+GETPIVOTDATA("XSN4",'suoinghe (2016)'!$A$3,"MA_HT","TIN","MA_QH","SON")</f>
        <v>0</v>
      </c>
      <c r="BC54" s="35">
        <f>+GETPIVOTDATA("XSN4",'suoinghe (2016)'!$A$3,"MA_HT","TIN","MA_QH","MNC")</f>
        <v>0</v>
      </c>
      <c r="BD54" s="35">
        <f>+GETPIVOTDATA("XSN4",'suoinghe (2016)'!$A$3,"MA_HT","TIN","MA_QH","PNK")</f>
        <v>0</v>
      </c>
      <c r="BE54" s="58">
        <f>+GETPIVOTDATA("XSN4",'suoinghe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+GETPIVOTDATA("XSN4",'suoinghe (2016)'!$A$3,"MA_HT","SON","MA_QH","LUC")</f>
        <v>0</v>
      </c>
      <c r="H55" s="35">
        <f>+GETPIVOTDATA("XSN4",'suoinghe (2016)'!$A$3,"MA_HT","SON","MA_QH","LUK")</f>
        <v>0</v>
      </c>
      <c r="I55" s="35">
        <f>+GETPIVOTDATA("XSN4",'suoinghe (2016)'!$A$3,"MA_HT","SON","MA_QH","LUN")</f>
        <v>0</v>
      </c>
      <c r="J55" s="35">
        <f>+GETPIVOTDATA("XSN4",'suoinghe (2016)'!$A$3,"MA_HT","SON","MA_QH","HNK")</f>
        <v>0</v>
      </c>
      <c r="K55" s="35">
        <f>+GETPIVOTDATA("XSN4",'suoinghe (2016)'!$A$3,"MA_HT","SON","MA_QH","CLN")</f>
        <v>0</v>
      </c>
      <c r="L55" s="35">
        <f>+GETPIVOTDATA("XSN4",'suoinghe (2016)'!$A$3,"MA_HT","SON","MA_QH","RSX")</f>
        <v>0</v>
      </c>
      <c r="M55" s="35">
        <f>+GETPIVOTDATA("XSN4",'suoinghe (2016)'!$A$3,"MA_HT","SON","MA_QH","RPH")</f>
        <v>0</v>
      </c>
      <c r="N55" s="35">
        <f>+GETPIVOTDATA("XSN4",'suoinghe (2016)'!$A$3,"MA_HT","SON","MA_QH","RDD")</f>
        <v>0</v>
      </c>
      <c r="O55" s="35">
        <f>+GETPIVOTDATA("XSN4",'suoinghe (2016)'!$A$3,"MA_HT","SON","MA_QH","NTS")</f>
        <v>0</v>
      </c>
      <c r="P55" s="35">
        <f>+GETPIVOTDATA("XSN4",'suoinghe (2016)'!$A$3,"MA_HT","SON","MA_QH","LMU")</f>
        <v>0</v>
      </c>
      <c r="Q55" s="35">
        <f>+GETPIVOTDATA("XSN4",'suoinghe (2016)'!$A$3,"MA_HT","SON","MA_QH","NKH")</f>
        <v>0</v>
      </c>
      <c r="R55" s="106">
        <f>SUM(S55:AA55,AN55:AZ55,BC55:BD55)</f>
        <v>0</v>
      </c>
      <c r="S55" s="35">
        <f>+GETPIVOTDATA("XSN4",'suoinghe (2016)'!$A$3,"MA_HT","SON","MA_QH","CQP")</f>
        <v>0</v>
      </c>
      <c r="T55" s="35">
        <f>+GETPIVOTDATA("XSN4",'suoinghe (2016)'!$A$3,"MA_HT","SON","MA_QH","CAN")</f>
        <v>0</v>
      </c>
      <c r="U55" s="35">
        <f>+GETPIVOTDATA("XSN4",'suoinghe (2016)'!$A$3,"MA_HT","SON","MA_QH","SKK")</f>
        <v>0</v>
      </c>
      <c r="V55" s="35">
        <f>+GETPIVOTDATA("XSN4",'suoinghe (2016)'!$A$3,"MA_HT","SON","MA_QH","SKT")</f>
        <v>0</v>
      </c>
      <c r="W55" s="35">
        <f>+GETPIVOTDATA("XSN4",'suoinghe (2016)'!$A$3,"MA_HT","SON","MA_QH","SKN")</f>
        <v>0</v>
      </c>
      <c r="X55" s="35">
        <f>+GETPIVOTDATA("XSN4",'suoinghe (2016)'!$A$3,"MA_HT","SON","MA_QH","TMD")</f>
        <v>0</v>
      </c>
      <c r="Y55" s="35">
        <f>+GETPIVOTDATA("XSN4",'suoinghe (2016)'!$A$3,"MA_HT","SON","MA_QH","SKC")</f>
        <v>0</v>
      </c>
      <c r="Z55" s="35">
        <f>+GETPIVOTDATA("XSN4",'suoinghe (2016)'!$A$3,"MA_HT","SON","MA_QH","SKS")</f>
        <v>0</v>
      </c>
      <c r="AA55" s="64">
        <f t="shared" si="21"/>
        <v>0</v>
      </c>
      <c r="AB55" s="35">
        <f>+GETPIVOTDATA("XSN4",'suoinghe (2016)'!$A$3,"MA_HT","SON","MA_QH","DGT")</f>
        <v>0</v>
      </c>
      <c r="AC55" s="35">
        <f>+GETPIVOTDATA("XSN4",'suoinghe (2016)'!$A$3,"MA_HT","SON","MA_QH","DTL")</f>
        <v>0</v>
      </c>
      <c r="AD55" s="35">
        <f>+GETPIVOTDATA("XSN4",'suoinghe (2016)'!$A$3,"MA_HT","SON","MA_QH","DNL")</f>
        <v>0</v>
      </c>
      <c r="AE55" s="35">
        <f>+GETPIVOTDATA("XSN4",'suoinghe (2016)'!$A$3,"MA_HT","SON","MA_QH","DBV")</f>
        <v>0</v>
      </c>
      <c r="AF55" s="35">
        <f>+GETPIVOTDATA("XSN4",'suoinghe (2016)'!$A$3,"MA_HT","SON","MA_QH","DVH")</f>
        <v>0</v>
      </c>
      <c r="AG55" s="35">
        <f>+GETPIVOTDATA("XSN4",'suoinghe (2016)'!$A$3,"MA_HT","SON","MA_QH","DYT")</f>
        <v>0</v>
      </c>
      <c r="AH55" s="35">
        <f>+GETPIVOTDATA("XSN4",'suoinghe (2016)'!$A$3,"MA_HT","SON","MA_QH","DGD")</f>
        <v>0</v>
      </c>
      <c r="AI55" s="35">
        <f>+GETPIVOTDATA("XSN4",'suoinghe (2016)'!$A$3,"MA_HT","SON","MA_QH","DTT")</f>
        <v>0</v>
      </c>
      <c r="AJ55" s="35">
        <f>+GETPIVOTDATA("XSN4",'suoinghe (2016)'!$A$3,"MA_HT","SON","MA_QH","NCK")</f>
        <v>0</v>
      </c>
      <c r="AK55" s="35">
        <f>+GETPIVOTDATA("XSN4",'suoinghe (2016)'!$A$3,"MA_HT","SON","MA_QH","DXH")</f>
        <v>0</v>
      </c>
      <c r="AL55" s="35">
        <f>+GETPIVOTDATA("XSN4",'suoinghe (2016)'!$A$3,"MA_HT","SON","MA_QH","DCH")</f>
        <v>0</v>
      </c>
      <c r="AM55" s="35">
        <f>+GETPIVOTDATA("XSN4",'suoinghe (2016)'!$A$3,"MA_HT","SON","MA_QH","DKG")</f>
        <v>0</v>
      </c>
      <c r="AN55" s="35">
        <f>+GETPIVOTDATA("XSN4",'suoinghe (2016)'!$A$3,"MA_HT","SON","MA_QH","DDT")</f>
        <v>0</v>
      </c>
      <c r="AO55" s="35">
        <f>+GETPIVOTDATA("XSN4",'suoinghe (2016)'!$A$3,"MA_HT","SON","MA_QH","DDL")</f>
        <v>0</v>
      </c>
      <c r="AP55" s="35">
        <f>+GETPIVOTDATA("XSN4",'suoinghe (2016)'!$A$3,"MA_HT","SON","MA_QH","DRA")</f>
        <v>0</v>
      </c>
      <c r="AQ55" s="35">
        <f>+GETPIVOTDATA("XSN4",'suoinghe (2016)'!$A$3,"MA_HT","SON","MA_QH","ONT")</f>
        <v>0</v>
      </c>
      <c r="AR55" s="35">
        <f>+GETPIVOTDATA("XSN4",'suoinghe (2016)'!$A$3,"MA_HT","SON","MA_QH","ODT")</f>
        <v>0</v>
      </c>
      <c r="AS55" s="35">
        <f>+GETPIVOTDATA("XSN4",'suoinghe (2016)'!$A$3,"MA_HT","SON","MA_QH","TSC")</f>
        <v>0</v>
      </c>
      <c r="AT55" s="35">
        <f>+GETPIVOTDATA("XSN4",'suoinghe (2016)'!$A$3,"MA_HT","SON","MA_QH","DTS")</f>
        <v>0</v>
      </c>
      <c r="AU55" s="35">
        <f>+GETPIVOTDATA("XSN4",'suoinghe (2016)'!$A$3,"MA_HT","SON","MA_QH","DNG")</f>
        <v>0</v>
      </c>
      <c r="AV55" s="35">
        <f>+GETPIVOTDATA("XSN4",'suoinghe (2016)'!$A$3,"MA_HT","SON","MA_QH","TON")</f>
        <v>0</v>
      </c>
      <c r="AW55" s="35">
        <f>+GETPIVOTDATA("XSN4",'suoinghe (2016)'!$A$3,"MA_HT","SON","MA_QH","NTD")</f>
        <v>0</v>
      </c>
      <c r="AX55" s="35">
        <f>+GETPIVOTDATA("XSN4",'suoinghe (2016)'!$A$3,"MA_HT","SON","MA_QH","SKX")</f>
        <v>0</v>
      </c>
      <c r="AY55" s="35">
        <f>+GETPIVOTDATA("XSN4",'suoinghe (2016)'!$A$3,"MA_HT","SON","MA_QH","DSH")</f>
        <v>0</v>
      </c>
      <c r="AZ55" s="35">
        <f>+GETPIVOTDATA("XSN4",'suoinghe (2016)'!$A$3,"MA_HT","SON","MA_QH","DKV")</f>
        <v>0</v>
      </c>
      <c r="BA55" s="140">
        <f>+GETPIVOTDATA("XSN4",'suoinghe (2016)'!$A$3,"MA_HT","SON","MA_QH","TIN")</f>
        <v>0</v>
      </c>
      <c r="BB55" s="99" t="e">
        <f>$D55-$BF55</f>
        <v>#REF!</v>
      </c>
      <c r="BC55" s="74">
        <f>+GETPIVOTDATA("XSN4",'suoinghe (2016)'!$A$3,"MA_HT","SON","MA_QH","MNC")</f>
        <v>0</v>
      </c>
      <c r="BD55" s="35">
        <f>+GETPIVOTDATA("XSN4",'suoinghe (2016)'!$A$3,"MA_HT","SON","MA_QH","PNK")</f>
        <v>0</v>
      </c>
      <c r="BE55" s="58">
        <f>+GETPIVOTDATA("XSN4",'suoinghe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+GETPIVOTDATA("XSN4",'suoinghe (2016)'!$A$3,"MA_HT","MNC","MA_QH","LUC")</f>
        <v>0</v>
      </c>
      <c r="H56" s="35">
        <f>+GETPIVOTDATA("XSN4",'suoinghe (2016)'!$A$3,"MA_HT","MNC","MA_QH","LUK")</f>
        <v>0</v>
      </c>
      <c r="I56" s="35">
        <f>+GETPIVOTDATA("XSN4",'suoinghe (2016)'!$A$3,"MA_HT","MNC","MA_QH","LUN")</f>
        <v>0</v>
      </c>
      <c r="J56" s="35">
        <f>+GETPIVOTDATA("XSN4",'suoinghe (2016)'!$A$3,"MA_HT","MNC","MA_QH","HNK")</f>
        <v>0</v>
      </c>
      <c r="K56" s="35">
        <f>+GETPIVOTDATA("XSN4",'suoinghe (2016)'!$A$3,"MA_HT","MNC","MA_QH","CLN")</f>
        <v>0</v>
      </c>
      <c r="L56" s="35">
        <f>+GETPIVOTDATA("XSN4",'suoinghe (2016)'!$A$3,"MA_HT","MNC","MA_QH","RSX")</f>
        <v>0</v>
      </c>
      <c r="M56" s="35">
        <f>+GETPIVOTDATA("XSN4",'suoinghe (2016)'!$A$3,"MA_HT","MNC","MA_QH","RPH")</f>
        <v>0</v>
      </c>
      <c r="N56" s="35">
        <f>+GETPIVOTDATA("XSN4",'suoinghe (2016)'!$A$3,"MA_HT","MNC","MA_QH","RDD")</f>
        <v>0</v>
      </c>
      <c r="O56" s="35">
        <f>+GETPIVOTDATA("XSN4",'suoinghe (2016)'!$A$3,"MA_HT","MNC","MA_QH","NTS")</f>
        <v>0</v>
      </c>
      <c r="P56" s="35">
        <f>+GETPIVOTDATA("XSN4",'suoinghe (2016)'!$A$3,"MA_HT","MNC","MA_QH","LMU")</f>
        <v>0</v>
      </c>
      <c r="Q56" s="35">
        <f>+GETPIVOTDATA("XSN4",'suoinghe (2016)'!$A$3,"MA_HT","MNC","MA_QH","NKH")</f>
        <v>0</v>
      </c>
      <c r="R56" s="106">
        <f>SUM(S56:AA56,AN56:BB56,BD56)</f>
        <v>0</v>
      </c>
      <c r="S56" s="35">
        <f>+GETPIVOTDATA("XSN4",'suoinghe (2016)'!$A$3,"MA_HT","MNC","MA_QH","CQP")</f>
        <v>0</v>
      </c>
      <c r="T56" s="35">
        <f>+GETPIVOTDATA("XSN4",'suoinghe (2016)'!$A$3,"MA_HT","MNC","MA_QH","CAN")</f>
        <v>0</v>
      </c>
      <c r="U56" s="35">
        <f>+GETPIVOTDATA("XSN4",'suoinghe (2016)'!$A$3,"MA_HT","MNC","MA_QH","SKK")</f>
        <v>0</v>
      </c>
      <c r="V56" s="35">
        <f>+GETPIVOTDATA("XSN4",'suoinghe (2016)'!$A$3,"MA_HT","MNC","MA_QH","SKT")</f>
        <v>0</v>
      </c>
      <c r="W56" s="35">
        <f>+GETPIVOTDATA("XSN4",'suoinghe (2016)'!$A$3,"MA_HT","MNC","MA_QH","SKN")</f>
        <v>0</v>
      </c>
      <c r="X56" s="35">
        <f>+GETPIVOTDATA("XSN4",'suoinghe (2016)'!$A$3,"MA_HT","MNC","MA_QH","TMD")</f>
        <v>0</v>
      </c>
      <c r="Y56" s="35">
        <f>+GETPIVOTDATA("XSN4",'suoinghe (2016)'!$A$3,"MA_HT","MNC","MA_QH","SKC")</f>
        <v>0</v>
      </c>
      <c r="Z56" s="35">
        <f>+GETPIVOTDATA("XSN4",'suoinghe (2016)'!$A$3,"MA_HT","MNC","MA_QH","SKS")</f>
        <v>0</v>
      </c>
      <c r="AA56" s="64">
        <f t="shared" si="21"/>
        <v>0</v>
      </c>
      <c r="AB56" s="35">
        <f>+GETPIVOTDATA("XSN4",'suoinghe (2016)'!$A$3,"MA_HT","MNC","MA_QH","DGT")</f>
        <v>0</v>
      </c>
      <c r="AC56" s="35">
        <f>+GETPIVOTDATA("XSN4",'suoinghe (2016)'!$A$3,"MA_HT","MNC","MA_QH","DTL")</f>
        <v>0</v>
      </c>
      <c r="AD56" s="35">
        <f>+GETPIVOTDATA("XSN4",'suoinghe (2016)'!$A$3,"MA_HT","MNC","MA_QH","DNL")</f>
        <v>0</v>
      </c>
      <c r="AE56" s="35">
        <f>+GETPIVOTDATA("XSN4",'suoinghe (2016)'!$A$3,"MA_HT","MNC","MA_QH","DBV")</f>
        <v>0</v>
      </c>
      <c r="AF56" s="35">
        <f>+GETPIVOTDATA("XSN4",'suoinghe (2016)'!$A$3,"MA_HT","MNC","MA_QH","DVH")</f>
        <v>0</v>
      </c>
      <c r="AG56" s="35">
        <f>+GETPIVOTDATA("XSN4",'suoinghe (2016)'!$A$3,"MA_HT","MNC","MA_QH","DYT")</f>
        <v>0</v>
      </c>
      <c r="AH56" s="35">
        <f>+GETPIVOTDATA("XSN4",'suoinghe (2016)'!$A$3,"MA_HT","MNC","MA_QH","DGD")</f>
        <v>0</v>
      </c>
      <c r="AI56" s="35">
        <f>+GETPIVOTDATA("XSN4",'suoinghe (2016)'!$A$3,"MA_HT","MNC","MA_QH","DTT")</f>
        <v>0</v>
      </c>
      <c r="AJ56" s="35">
        <f>+GETPIVOTDATA("XSN4",'suoinghe (2016)'!$A$3,"MA_HT","MNC","MA_QH","NCK")</f>
        <v>0</v>
      </c>
      <c r="AK56" s="35">
        <f>+GETPIVOTDATA("XSN4",'suoinghe (2016)'!$A$3,"MA_HT","MNC","MA_QH","DXH")</f>
        <v>0</v>
      </c>
      <c r="AL56" s="35">
        <f>+GETPIVOTDATA("XSN4",'suoinghe (2016)'!$A$3,"MA_HT","MNC","MA_QH","DCH")</f>
        <v>0</v>
      </c>
      <c r="AM56" s="35">
        <f>+GETPIVOTDATA("XSN4",'suoinghe (2016)'!$A$3,"MA_HT","MNC","MA_QH","DKG")</f>
        <v>0</v>
      </c>
      <c r="AN56" s="35">
        <f>+GETPIVOTDATA("XSN4",'suoinghe (2016)'!$A$3,"MA_HT","MNC","MA_QH","DDT")</f>
        <v>0</v>
      </c>
      <c r="AO56" s="35">
        <f>+GETPIVOTDATA("XSN4",'suoinghe (2016)'!$A$3,"MA_HT","MNC","MA_QH","DDL")</f>
        <v>0</v>
      </c>
      <c r="AP56" s="35">
        <f>+GETPIVOTDATA("XSN4",'suoinghe (2016)'!$A$3,"MA_HT","MNC","MA_QH","DRA")</f>
        <v>0</v>
      </c>
      <c r="AQ56" s="35">
        <f>+GETPIVOTDATA("XSN4",'suoinghe (2016)'!$A$3,"MA_HT","MNC","MA_QH","ONT")</f>
        <v>0</v>
      </c>
      <c r="AR56" s="35">
        <f>+GETPIVOTDATA("XSN4",'suoinghe (2016)'!$A$3,"MA_HT","MNC","MA_QH","ODT")</f>
        <v>0</v>
      </c>
      <c r="AS56" s="35">
        <f>+GETPIVOTDATA("XSN4",'suoinghe (2016)'!$A$3,"MA_HT","MNC","MA_QH","TSC")</f>
        <v>0</v>
      </c>
      <c r="AT56" s="35">
        <f>+GETPIVOTDATA("XSN4",'suoinghe (2016)'!$A$3,"MA_HT","MNC","MA_QH","DTS")</f>
        <v>0</v>
      </c>
      <c r="AU56" s="35">
        <f>+GETPIVOTDATA("XSN4",'suoinghe (2016)'!$A$3,"MA_HT","MNC","MA_QH","DNG")</f>
        <v>0</v>
      </c>
      <c r="AV56" s="35">
        <f>+GETPIVOTDATA("XSN4",'suoinghe (2016)'!$A$3,"MA_HT","MNC","MA_QH","TON")</f>
        <v>0</v>
      </c>
      <c r="AW56" s="35">
        <f>+GETPIVOTDATA("XSN4",'suoinghe (2016)'!$A$3,"MA_HT","MNC","MA_QH","NTD")</f>
        <v>0</v>
      </c>
      <c r="AX56" s="35">
        <f>+GETPIVOTDATA("XSN4",'suoinghe (2016)'!$A$3,"MA_HT","MNC","MA_QH","SKX")</f>
        <v>0</v>
      </c>
      <c r="AY56" s="35">
        <f>+GETPIVOTDATA("XSN4",'suoinghe (2016)'!$A$3,"MA_HT","MNC","MA_QH","DSH")</f>
        <v>0</v>
      </c>
      <c r="AZ56" s="35">
        <f>+GETPIVOTDATA("XSN4",'suoinghe (2016)'!$A$3,"MA_HT","MNC","MA_QH","DKV")</f>
        <v>0</v>
      </c>
      <c r="BA56" s="140">
        <f>+GETPIVOTDATA("XSN4",'suoinghe (2016)'!$A$3,"MA_HT","MNC","MA_QH","TIN")</f>
        <v>0</v>
      </c>
      <c r="BB56" s="74">
        <f>+GETPIVOTDATA("XSN4",'suoinghe (2016)'!$A$3,"MA_HT","MNC","MA_QH","SON")</f>
        <v>0</v>
      </c>
      <c r="BC56" s="99" t="e">
        <f>$D56-$BF56</f>
        <v>#REF!</v>
      </c>
      <c r="BD56" s="35">
        <f>+GETPIVOTDATA("XSN4",'suoinghe (2016)'!$A$3,"MA_HT","MNC","MA_QH","PNK")</f>
        <v>0</v>
      </c>
      <c r="BE56" s="58">
        <f>+GETPIVOTDATA("XSN4",'suoinghe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+GETPIVOTDATA("XSN4",'suoinghe (2016)'!$A$3,"MA_HT","PNK","MA_QH","LUC")</f>
        <v>0</v>
      </c>
      <c r="H57" s="35">
        <f>+GETPIVOTDATA("XSN4",'suoinghe (2016)'!$A$3,"MA_HT","PNK","MA_QH","LUK")</f>
        <v>0</v>
      </c>
      <c r="I57" s="35">
        <f>+GETPIVOTDATA("XSN4",'suoinghe (2016)'!$A$3,"MA_HT","PNK","MA_QH","LUN")</f>
        <v>0</v>
      </c>
      <c r="J57" s="35">
        <f>+GETPIVOTDATA("XSN4",'suoinghe (2016)'!$A$3,"MA_HT","PNK","MA_QH","HNK")</f>
        <v>0</v>
      </c>
      <c r="K57" s="35">
        <f>+GETPIVOTDATA("XSN4",'suoinghe (2016)'!$A$3,"MA_HT","PNK","MA_QH","CLN")</f>
        <v>0</v>
      </c>
      <c r="L57" s="35">
        <f>+GETPIVOTDATA("XSN4",'suoinghe (2016)'!$A$3,"MA_HT","PNK","MA_QH","RSX")</f>
        <v>0</v>
      </c>
      <c r="M57" s="35">
        <f>+GETPIVOTDATA("XSN4",'suoinghe (2016)'!$A$3,"MA_HT","PNK","MA_QH","RPH")</f>
        <v>0</v>
      </c>
      <c r="N57" s="35">
        <f>+GETPIVOTDATA("XSN4",'suoinghe (2016)'!$A$3,"MA_HT","PNK","MA_QH","RDD")</f>
        <v>0</v>
      </c>
      <c r="O57" s="35">
        <f>+GETPIVOTDATA("XSN4",'suoinghe (2016)'!$A$3,"MA_HT","PNK","MA_QH","NTS")</f>
        <v>0</v>
      </c>
      <c r="P57" s="35">
        <f>+GETPIVOTDATA("XSN4",'suoinghe (2016)'!$A$3,"MA_HT","PNK","MA_QH","LMU")</f>
        <v>0</v>
      </c>
      <c r="Q57" s="35">
        <f>+GETPIVOTDATA("XSN4",'suoinghe (2016)'!$A$3,"MA_HT","PNK","MA_QH","NKH")</f>
        <v>0</v>
      </c>
      <c r="R57" s="106">
        <f>SUM(S57:AA57,AN57:BC57)</f>
        <v>0</v>
      </c>
      <c r="S57" s="35">
        <f>+GETPIVOTDATA("XSN4",'suoinghe (2016)'!$A$3,"MA_HT","PNK","MA_QH","CQP")</f>
        <v>0</v>
      </c>
      <c r="T57" s="35">
        <f>+GETPIVOTDATA("XSN4",'suoinghe (2016)'!$A$3,"MA_HT","PNK","MA_QH","CAN")</f>
        <v>0</v>
      </c>
      <c r="U57" s="35">
        <f>+GETPIVOTDATA("XSN4",'suoinghe (2016)'!$A$3,"MA_HT","PNK","MA_QH","SKK")</f>
        <v>0</v>
      </c>
      <c r="V57" s="35">
        <f>+GETPIVOTDATA("XSN4",'suoinghe (2016)'!$A$3,"MA_HT","PNK","MA_QH","SKT")</f>
        <v>0</v>
      </c>
      <c r="W57" s="35">
        <f>+GETPIVOTDATA("XSN4",'suoinghe (2016)'!$A$3,"MA_HT","PNK","MA_QH","SKN")</f>
        <v>0</v>
      </c>
      <c r="X57" s="35">
        <f>+GETPIVOTDATA("XSN4",'suoinghe (2016)'!$A$3,"MA_HT","PNK","MA_QH","TMD")</f>
        <v>0</v>
      </c>
      <c r="Y57" s="35">
        <f>+GETPIVOTDATA("XSN4",'suoinghe (2016)'!$A$3,"MA_HT","PNK","MA_QH","SKC")</f>
        <v>0</v>
      </c>
      <c r="Z57" s="35">
        <f>+GETPIVOTDATA("XSN4",'suoinghe (2016)'!$A$3,"MA_HT","PNK","MA_QH","SKS")</f>
        <v>0</v>
      </c>
      <c r="AA57" s="64">
        <f t="shared" si="21"/>
        <v>0</v>
      </c>
      <c r="AB57" s="35">
        <f>+GETPIVOTDATA("XSN4",'suoinghe (2016)'!$A$3,"MA_HT","PNK","MA_QH","DGT")</f>
        <v>0</v>
      </c>
      <c r="AC57" s="35">
        <f>+GETPIVOTDATA("XSN4",'suoinghe (2016)'!$A$3,"MA_HT","PNK","MA_QH","DTL")</f>
        <v>0</v>
      </c>
      <c r="AD57" s="35">
        <f>+GETPIVOTDATA("XSN4",'suoinghe (2016)'!$A$3,"MA_HT","PNK","MA_QH","DNL")</f>
        <v>0</v>
      </c>
      <c r="AE57" s="35">
        <f>+GETPIVOTDATA("XSN4",'suoinghe (2016)'!$A$3,"MA_HT","PNK","MA_QH","DBV")</f>
        <v>0</v>
      </c>
      <c r="AF57" s="35">
        <f>+GETPIVOTDATA("XSN4",'suoinghe (2016)'!$A$3,"MA_HT","PNK","MA_QH","DVH")</f>
        <v>0</v>
      </c>
      <c r="AG57" s="35">
        <f>+GETPIVOTDATA("XSN4",'suoinghe (2016)'!$A$3,"MA_HT","PNK","MA_QH","DYT")</f>
        <v>0</v>
      </c>
      <c r="AH57" s="35">
        <f>+GETPIVOTDATA("XSN4",'suoinghe (2016)'!$A$3,"MA_HT","PNK","MA_QH","DGD")</f>
        <v>0</v>
      </c>
      <c r="AI57" s="35">
        <f>+GETPIVOTDATA("XSN4",'suoinghe (2016)'!$A$3,"MA_HT","PNK","MA_QH","DTT")</f>
        <v>0</v>
      </c>
      <c r="AJ57" s="35">
        <f>+GETPIVOTDATA("XSN4",'suoinghe (2016)'!$A$3,"MA_HT","PNK","MA_QH","NCK")</f>
        <v>0</v>
      </c>
      <c r="AK57" s="35">
        <f>+GETPIVOTDATA("XSN4",'suoinghe (2016)'!$A$3,"MA_HT","PNK","MA_QH","DXH")</f>
        <v>0</v>
      </c>
      <c r="AL57" s="35">
        <f>+GETPIVOTDATA("XSN4",'suoinghe (2016)'!$A$3,"MA_HT","PNK","MA_QH","DCH")</f>
        <v>0</v>
      </c>
      <c r="AM57" s="35">
        <f>+GETPIVOTDATA("XSN4",'suoinghe (2016)'!$A$3,"MA_HT","PNK","MA_QH","DKG")</f>
        <v>0</v>
      </c>
      <c r="AN57" s="35">
        <f>+GETPIVOTDATA("XSN4",'suoinghe (2016)'!$A$3,"MA_HT","PNK","MA_QH","DDT")</f>
        <v>0</v>
      </c>
      <c r="AO57" s="35">
        <f>+GETPIVOTDATA("XSN4",'suoinghe (2016)'!$A$3,"MA_HT","PNK","MA_QH","DDL")</f>
        <v>0</v>
      </c>
      <c r="AP57" s="35">
        <f>+GETPIVOTDATA("XSN4",'suoinghe (2016)'!$A$3,"MA_HT","PNK","MA_QH","DRA")</f>
        <v>0</v>
      </c>
      <c r="AQ57" s="35">
        <f>+GETPIVOTDATA("XSN4",'suoinghe (2016)'!$A$3,"MA_HT","PNK","MA_QH","ONT")</f>
        <v>0</v>
      </c>
      <c r="AR57" s="35">
        <f>+GETPIVOTDATA("XSN4",'suoinghe (2016)'!$A$3,"MA_HT","PNK","MA_QH","ODT")</f>
        <v>0</v>
      </c>
      <c r="AS57" s="35">
        <f>+GETPIVOTDATA("XSN4",'suoinghe (2016)'!$A$3,"MA_HT","PNK","MA_QH","TSC")</f>
        <v>0</v>
      </c>
      <c r="AT57" s="35">
        <f>+GETPIVOTDATA("XSN4",'suoinghe (2016)'!$A$3,"MA_HT","PNK","MA_QH","DTS")</f>
        <v>0</v>
      </c>
      <c r="AU57" s="35">
        <f>+GETPIVOTDATA("XSN4",'suoinghe (2016)'!$A$3,"MA_HT","PNK","MA_QH","DNG")</f>
        <v>0</v>
      </c>
      <c r="AV57" s="35">
        <f>+GETPIVOTDATA("XSN4",'suoinghe (2016)'!$A$3,"MA_HT","PNK","MA_QH","TON")</f>
        <v>0</v>
      </c>
      <c r="AW57" s="35">
        <f>+GETPIVOTDATA("XSN4",'suoinghe (2016)'!$A$3,"MA_HT","PNK","MA_QH","NTD")</f>
        <v>0</v>
      </c>
      <c r="AX57" s="35">
        <f>+GETPIVOTDATA("XSN4",'suoinghe (2016)'!$A$3,"MA_HT","PNK","MA_QH","SKX")</f>
        <v>0</v>
      </c>
      <c r="AY57" s="35">
        <f>+GETPIVOTDATA("XSN4",'suoinghe (2016)'!$A$3,"MA_HT","PNK","MA_QH","DSH")</f>
        <v>0</v>
      </c>
      <c r="AZ57" s="35">
        <f>+GETPIVOTDATA("XSN4",'suoinghe (2016)'!$A$3,"MA_HT","PNK","MA_QH","DKV")</f>
        <v>0</v>
      </c>
      <c r="BA57" s="140">
        <f>+GETPIVOTDATA("XSN4",'suoinghe (2016)'!$A$3,"MA_HT","PNK","MA_QH","TIN")</f>
        <v>0</v>
      </c>
      <c r="BB57" s="74">
        <f>+GETPIVOTDATA("XSN4",'suoinghe (2016)'!$A$3,"MA_HT","PNK","MA_QH","SON")</f>
        <v>0</v>
      </c>
      <c r="BC57" s="74">
        <f>+GETPIVOTDATA("XSN4",'suoinghe (2016)'!$A$3,"MA_HT","PNK","MA_QH","MNC")</f>
        <v>0</v>
      </c>
      <c r="BD57" s="99" t="e">
        <f>$D57-$BF57</f>
        <v>#REF!</v>
      </c>
      <c r="BE57" s="58">
        <f>+GETPIVOTDATA("XSN4",'suoinghe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+GETPIVOTDATA("XSN4",'suoinghe (2016)'!$A$3,"MA_HT","CSD","MA_QH","LUC")</f>
        <v>0</v>
      </c>
      <c r="H58" s="58">
        <f>+GETPIVOTDATA("XSN4",'suoinghe (2016)'!$A$3,"MA_HT","CSD","MA_QH","LUK")</f>
        <v>0</v>
      </c>
      <c r="I58" s="58">
        <f>+GETPIVOTDATA("XSN4",'suoinghe (2016)'!$A$3,"MA_HT","CSD","MA_QH","LUN")</f>
        <v>0</v>
      </c>
      <c r="J58" s="58">
        <f>+GETPIVOTDATA("XSN4",'suoinghe (2016)'!$A$3,"MA_HT","CSD","MA_QH","HNK")</f>
        <v>0</v>
      </c>
      <c r="K58" s="58">
        <f>+GETPIVOTDATA("XSN4",'suoinghe (2016)'!$A$3,"MA_HT","CSD","MA_QH","CLN")</f>
        <v>0</v>
      </c>
      <c r="L58" s="58">
        <f>+GETPIVOTDATA("XSN4",'suoinghe (2016)'!$A$3,"MA_HT","CSD","MA_QH","RSX")</f>
        <v>0</v>
      </c>
      <c r="M58" s="58">
        <f>+GETPIVOTDATA("XSN4",'suoinghe (2016)'!$A$3,"MA_HT","CSD","MA_QH","RPH")</f>
        <v>0</v>
      </c>
      <c r="N58" s="58">
        <f>+GETPIVOTDATA("XSN4",'suoinghe (2016)'!$A$3,"MA_HT","CSD","MA_QH","RDD")</f>
        <v>0</v>
      </c>
      <c r="O58" s="58">
        <f>+GETPIVOTDATA("XSN4",'suoinghe (2016)'!$A$3,"MA_HT","CSD","MA_QH","NTS")</f>
        <v>0</v>
      </c>
      <c r="P58" s="58">
        <f>+GETPIVOTDATA("XSN4",'suoinghe (2016)'!$A$3,"MA_HT","CSD","MA_QH","LMU")</f>
        <v>0</v>
      </c>
      <c r="Q58" s="58">
        <f>+GETPIVOTDATA("XSN4",'suoinghe (2016)'!$A$3,"MA_HT","CSD","MA_QH","NKH")</f>
        <v>0</v>
      </c>
      <c r="R58" s="106">
        <f>SUM(S58:AA58,AN58:BD58)</f>
        <v>0</v>
      </c>
      <c r="S58" s="102">
        <f>+GETPIVOTDATA("XSN4",'suoinghe (2016)'!$A$3,"MA_HT","CSD","MA_QH","CQP")</f>
        <v>0</v>
      </c>
      <c r="T58" s="102">
        <f>+GETPIVOTDATA("XSN4",'suoinghe (2016)'!$A$3,"MA_HT","CSD","MA_QH","CAN")</f>
        <v>0</v>
      </c>
      <c r="U58" s="58">
        <f>+GETPIVOTDATA("XSN4",'suoinghe (2016)'!$A$3,"MA_HT","CSD","MA_QH","SKK")</f>
        <v>0</v>
      </c>
      <c r="V58" s="58">
        <f>+GETPIVOTDATA("XSN4",'suoinghe (2016)'!$A$3,"MA_HT","CSD","MA_QH","SKT")</f>
        <v>0</v>
      </c>
      <c r="W58" s="58">
        <f>+GETPIVOTDATA("XSN4",'suoinghe (2016)'!$A$3,"MA_HT","CSD","MA_QH","SKN")</f>
        <v>0</v>
      </c>
      <c r="X58" s="58">
        <f>+GETPIVOTDATA("XSN4",'suoinghe (2016)'!$A$3,"MA_HT","CSD","MA_QH","TMD")</f>
        <v>0</v>
      </c>
      <c r="Y58" s="58">
        <f>+GETPIVOTDATA("XSN4",'suoinghe (2016)'!$A$3,"MA_HT","CSD","MA_QH","SKC")</f>
        <v>0</v>
      </c>
      <c r="Z58" s="58">
        <f>+GETPIVOTDATA("XSN4",'suoinghe (2016)'!$A$3,"MA_HT","CSD","MA_QH","SKS")</f>
        <v>0</v>
      </c>
      <c r="AA58" s="64">
        <f t="shared" si="21"/>
        <v>0</v>
      </c>
      <c r="AB58" s="102">
        <f>+GETPIVOTDATA("XSN4",'suoinghe (2016)'!$A$3,"MA_HT","CSD","MA_QH","DGT")</f>
        <v>0</v>
      </c>
      <c r="AC58" s="102">
        <f>+GETPIVOTDATA("XSN4",'suoinghe (2016)'!$A$3,"MA_HT","CSD","MA_QH","DTL")</f>
        <v>0</v>
      </c>
      <c r="AD58" s="102">
        <f>+GETPIVOTDATA("XSN4",'suoinghe (2016)'!$A$3,"MA_HT","CSD","MA_QH","DNL")</f>
        <v>0</v>
      </c>
      <c r="AE58" s="102">
        <f>+GETPIVOTDATA("XSN4",'suoinghe (2016)'!$A$3,"MA_HT","CSD","MA_QH","DBV")</f>
        <v>0</v>
      </c>
      <c r="AF58" s="102">
        <f>+GETPIVOTDATA("XSN4",'suoinghe (2016)'!$A$3,"MA_HT","CSD","MA_QH","DVH")</f>
        <v>0</v>
      </c>
      <c r="AG58" s="102">
        <f>+GETPIVOTDATA("XSN4",'suoinghe (2016)'!$A$3,"MA_HT","CSD","MA_QH","DYT")</f>
        <v>0</v>
      </c>
      <c r="AH58" s="102">
        <f>+GETPIVOTDATA("XSN4",'suoinghe (2016)'!$A$3,"MA_HT","CSD","MA_QH","DGD")</f>
        <v>0</v>
      </c>
      <c r="AI58" s="102">
        <f>+GETPIVOTDATA("XSN4",'suoinghe (2016)'!$A$3,"MA_HT","CSD","MA_QH","DTT")</f>
        <v>0</v>
      </c>
      <c r="AJ58" s="102">
        <f>+GETPIVOTDATA("XSN4",'suoinghe (2016)'!$A$3,"MA_HT","CSD","MA_QH","NCK")</f>
        <v>0</v>
      </c>
      <c r="AK58" s="102">
        <f>+GETPIVOTDATA("XSN4",'suoinghe (2016)'!$A$3,"MA_HT","CSD","MA_QH","DXH")</f>
        <v>0</v>
      </c>
      <c r="AL58" s="102">
        <f>+GETPIVOTDATA("XSN4",'suoinghe (2016)'!$A$3,"MA_HT","CSD","MA_QH","DCH")</f>
        <v>0</v>
      </c>
      <c r="AM58" s="102">
        <f>+GETPIVOTDATA("XSN4",'suoinghe (2016)'!$A$3,"MA_HT","CSD","MA_QH","DKG")</f>
        <v>0</v>
      </c>
      <c r="AN58" s="58">
        <f>+GETPIVOTDATA("XSN4",'suoinghe (2016)'!$A$3,"MA_HT","CSD","MA_QH","DDT")</f>
        <v>0</v>
      </c>
      <c r="AO58" s="58">
        <f>+GETPIVOTDATA("XSN4",'suoinghe (2016)'!$A$3,"MA_HT","CSD","MA_QH","DDL")</f>
        <v>0</v>
      </c>
      <c r="AP58" s="58">
        <f>+GETPIVOTDATA("XSN4",'suoinghe (2016)'!$A$3,"MA_HT","CSD","MA_QH","DRA")</f>
        <v>0</v>
      </c>
      <c r="AQ58" s="58">
        <f>+GETPIVOTDATA("XSN4",'suoinghe (2016)'!$A$3,"MA_HT","CSD","MA_QH","ONT")</f>
        <v>0</v>
      </c>
      <c r="AR58" s="58">
        <f>+GETPIVOTDATA("XSN4",'suoinghe (2016)'!$A$3,"MA_HT","CSD","MA_QH","ODT")</f>
        <v>0</v>
      </c>
      <c r="AS58" s="58">
        <f>+GETPIVOTDATA("XSN4",'suoinghe (2016)'!$A$3,"MA_HT","CSD","MA_QH","TSC")</f>
        <v>0</v>
      </c>
      <c r="AT58" s="58">
        <f>+GETPIVOTDATA("XSN4",'suoinghe (2016)'!$A$3,"MA_HT","CSD","MA_QH","DTS")</f>
        <v>0</v>
      </c>
      <c r="AU58" s="58">
        <f>+GETPIVOTDATA("XSN4",'suoinghe (2016)'!$A$3,"MA_HT","CSD","MA_QH","DNG")</f>
        <v>0</v>
      </c>
      <c r="AV58" s="58">
        <f>+GETPIVOTDATA("XSN4",'suoinghe (2016)'!$A$3,"MA_HT","CSD","MA_QH","TON")</f>
        <v>0</v>
      </c>
      <c r="AW58" s="58">
        <f>+GETPIVOTDATA("XSN4",'suoinghe (2016)'!$A$3,"MA_HT","CSD","MA_QH","NTD")</f>
        <v>0</v>
      </c>
      <c r="AX58" s="58">
        <f>+GETPIVOTDATA("XSN4",'suoinghe (2016)'!$A$3,"MA_HT","CSD","MA_QH","SKX")</f>
        <v>0</v>
      </c>
      <c r="AY58" s="58">
        <f>+GETPIVOTDATA("XSN4",'suoinghe (2016)'!$A$3,"MA_HT","CSD","MA_QH","DSH")</f>
        <v>0</v>
      </c>
      <c r="AZ58" s="58">
        <f>+GETPIVOTDATA("XSN4",'suoinghe (2016)'!$A$3,"MA_HT","CSD","MA_QH","DKV")</f>
        <v>0</v>
      </c>
      <c r="BA58" s="140">
        <f>+GETPIVOTDATA("XSN4",'suoinghe (2016)'!$A$3,"MA_HT","CSD","MA_QH","TIN")</f>
        <v>0</v>
      </c>
      <c r="BB58" s="102">
        <f>+GETPIVOTDATA("XSN4",'suoinghe (2016)'!$A$3,"MA_HT","CSD","MA_QH","SON")</f>
        <v>0</v>
      </c>
      <c r="BC58" s="102">
        <f>+GETPIVOTDATA("XSN4",'suoinghe (2016)'!$A$3,"MA_HT","CSD","MA_QH","MNC")</f>
        <v>0</v>
      </c>
      <c r="BD58" s="58">
        <f>+GETPIVOTDATA("XSN4",'suoinghe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D6B09-5A4A-4379-8D28-7B613AFDEA1E}">
  <sheetPr>
    <tabColor rgb="FFCCFFFF"/>
  </sheetPr>
  <dimension ref="A1:U78"/>
  <sheetViews>
    <sheetView topLeftCell="A2" workbookViewId="0">
      <pane xSplit="6" ySplit="8" topLeftCell="G70" activePane="bottomRight" state="frozen"/>
      <selection activeCell="A2" sqref="A2"/>
      <selection pane="topRight" activeCell="G2" sqref="G2"/>
      <selection pane="bottomLeft" activeCell="A10" sqref="A10"/>
      <selection pane="bottomRight" activeCell="A23" sqref="A23"/>
    </sheetView>
  </sheetViews>
  <sheetFormatPr defaultColWidth="9" defaultRowHeight="10.199999999999999"/>
  <cols>
    <col min="1" max="1" width="3.8984375" style="377" bestFit="1" customWidth="1"/>
    <col min="2" max="2" width="28.09765625" style="378" customWidth="1"/>
    <col min="3" max="3" width="4.69921875" style="377" bestFit="1" customWidth="1"/>
    <col min="4" max="4" width="8.19921875" style="377" hidden="1" customWidth="1"/>
    <col min="5" max="5" width="14.59765625" style="377" hidden="1" customWidth="1"/>
    <col min="6" max="6" width="9.3984375" style="377" customWidth="1"/>
    <col min="7" max="7" width="7.5" style="377" customWidth="1"/>
    <col min="8" max="8" width="7.09765625" style="377" customWidth="1"/>
    <col min="9" max="9" width="8" style="379" customWidth="1"/>
    <col min="10" max="10" width="8.19921875" style="379" customWidth="1"/>
    <col min="11" max="11" width="8.3984375" style="377" customWidth="1"/>
    <col min="12" max="12" width="7.5" style="377" customWidth="1"/>
    <col min="13" max="13" width="7.3984375" style="377" customWidth="1"/>
    <col min="14" max="14" width="7.69921875" style="377" customWidth="1"/>
    <col min="15" max="15" width="7.19921875" style="377" customWidth="1"/>
    <col min="16" max="17" width="7.59765625" style="377" customWidth="1"/>
    <col min="18" max="18" width="7.5" style="377" customWidth="1"/>
    <col min="19" max="19" width="8.09765625" style="377" customWidth="1"/>
    <col min="20" max="20" width="6" style="349" customWidth="1"/>
    <col min="21" max="21" width="6.19921875" style="349" customWidth="1"/>
    <col min="22" max="22" width="9" style="349" customWidth="1"/>
    <col min="23" max="16384" width="9" style="349"/>
  </cols>
  <sheetData>
    <row r="1" spans="1:21" s="345" customFormat="1" ht="13.8">
      <c r="A1" s="553" t="s">
        <v>329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344"/>
      <c r="U1" s="344"/>
    </row>
    <row r="2" spans="1:21" s="345" customFormat="1" ht="13.8">
      <c r="A2" s="554" t="s">
        <v>644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344"/>
      <c r="U2" s="344"/>
    </row>
    <row r="3" spans="1:21" s="345" customFormat="1" ht="13.8">
      <c r="A3" s="554" t="s">
        <v>340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344"/>
      <c r="U3" s="344"/>
    </row>
    <row r="4" spans="1:21" ht="13.2">
      <c r="A4" s="346"/>
      <c r="B4" s="347"/>
      <c r="C4" s="346"/>
      <c r="D4" s="346"/>
      <c r="E4" s="346"/>
      <c r="F4" s="346"/>
      <c r="G4" s="555" t="s">
        <v>167</v>
      </c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348"/>
      <c r="U4" s="348"/>
    </row>
    <row r="5" spans="1:21" s="350" customFormat="1" ht="18" customHeight="1">
      <c r="A5" s="556" t="s">
        <v>0</v>
      </c>
      <c r="B5" s="557" t="s">
        <v>1</v>
      </c>
      <c r="C5" s="556" t="s">
        <v>2</v>
      </c>
      <c r="D5" s="557" t="s">
        <v>168</v>
      </c>
      <c r="E5" s="557" t="s">
        <v>330</v>
      </c>
      <c r="F5" s="557" t="s">
        <v>331</v>
      </c>
      <c r="G5" s="556" t="s">
        <v>334</v>
      </c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</row>
    <row r="6" spans="1:21" s="350" customFormat="1" ht="19.95" customHeight="1">
      <c r="A6" s="556"/>
      <c r="B6" s="557"/>
      <c r="C6" s="556"/>
      <c r="D6" s="556"/>
      <c r="E6" s="556"/>
      <c r="F6" s="557"/>
      <c r="G6" s="351" t="s">
        <v>393</v>
      </c>
      <c r="H6" s="351" t="s">
        <v>369</v>
      </c>
      <c r="I6" s="351" t="s">
        <v>390</v>
      </c>
      <c r="J6" s="351" t="s">
        <v>365</v>
      </c>
      <c r="K6" s="351" t="s">
        <v>367</v>
      </c>
      <c r="L6" s="351" t="s">
        <v>370</v>
      </c>
      <c r="M6" s="351" t="s">
        <v>372</v>
      </c>
      <c r="N6" s="351" t="s">
        <v>379</v>
      </c>
      <c r="O6" s="351" t="s">
        <v>408</v>
      </c>
      <c r="P6" s="351" t="s">
        <v>380</v>
      </c>
      <c r="Q6" s="351" t="s">
        <v>417</v>
      </c>
      <c r="R6" s="351" t="s">
        <v>391</v>
      </c>
      <c r="S6" s="351" t="s">
        <v>389</v>
      </c>
    </row>
    <row r="7" spans="1:21" s="350" customFormat="1" ht="12" hidden="1">
      <c r="A7" s="352"/>
      <c r="B7" s="353"/>
      <c r="C7" s="352"/>
      <c r="D7" s="352"/>
      <c r="E7" s="352"/>
      <c r="F7" s="353"/>
      <c r="G7" s="351">
        <v>1</v>
      </c>
      <c r="H7" s="351">
        <v>2</v>
      </c>
      <c r="I7" s="351">
        <v>3</v>
      </c>
      <c r="J7" s="351">
        <v>4</v>
      </c>
      <c r="K7" s="351">
        <v>5</v>
      </c>
      <c r="L7" s="351">
        <v>6</v>
      </c>
      <c r="M7" s="351">
        <v>7</v>
      </c>
      <c r="N7" s="351">
        <v>8</v>
      </c>
      <c r="O7" s="351">
        <v>9</v>
      </c>
      <c r="P7" s="351">
        <v>10</v>
      </c>
      <c r="Q7" s="351">
        <v>11</v>
      </c>
      <c r="R7" s="351">
        <v>12</v>
      </c>
      <c r="S7" s="351">
        <v>13</v>
      </c>
    </row>
    <row r="8" spans="1:21" ht="15" customHeight="1">
      <c r="A8" s="354" t="s">
        <v>5</v>
      </c>
      <c r="B8" s="355" t="s">
        <v>6</v>
      </c>
      <c r="C8" s="354" t="s">
        <v>7</v>
      </c>
      <c r="D8" s="354" t="s">
        <v>164</v>
      </c>
      <c r="E8" s="354" t="s">
        <v>8</v>
      </c>
      <c r="F8" s="354" t="s">
        <v>169</v>
      </c>
      <c r="G8" s="356" t="s">
        <v>10</v>
      </c>
      <c r="H8" s="356" t="s">
        <v>11</v>
      </c>
      <c r="I8" s="356" t="s">
        <v>12</v>
      </c>
      <c r="J8" s="356" t="s">
        <v>13</v>
      </c>
      <c r="K8" s="356" t="s">
        <v>14</v>
      </c>
      <c r="L8" s="356" t="s">
        <v>15</v>
      </c>
      <c r="M8" s="356" t="s">
        <v>16</v>
      </c>
      <c r="N8" s="356" t="s">
        <v>17</v>
      </c>
      <c r="O8" s="356" t="s">
        <v>18</v>
      </c>
      <c r="P8" s="356" t="s">
        <v>19</v>
      </c>
      <c r="Q8" s="357" t="s">
        <v>170</v>
      </c>
      <c r="R8" s="357" t="s">
        <v>245</v>
      </c>
      <c r="S8" s="357" t="s">
        <v>246</v>
      </c>
    </row>
    <row r="9" spans="1:21" ht="13.95" customHeight="1">
      <c r="A9" s="358"/>
      <c r="B9" s="359" t="s">
        <v>20</v>
      </c>
      <c r="C9" s="358"/>
      <c r="D9" s="380"/>
      <c r="E9" s="380">
        <v>66414.220723000006</v>
      </c>
      <c r="F9" s="380">
        <v>66414.220723000006</v>
      </c>
      <c r="G9" s="380">
        <v>4273.0898819999993</v>
      </c>
      <c r="H9" s="380">
        <v>4713.3925999999992</v>
      </c>
      <c r="I9" s="380">
        <v>1146.9204159999999</v>
      </c>
      <c r="J9" s="380">
        <v>4595.3931899999998</v>
      </c>
      <c r="K9" s="380">
        <v>4122.6355910000002</v>
      </c>
      <c r="L9" s="380">
        <v>5292.4972879999996</v>
      </c>
      <c r="M9" s="380">
        <v>7295.3117059999986</v>
      </c>
      <c r="N9" s="380">
        <v>4445.8486910000011</v>
      </c>
      <c r="O9" s="380">
        <v>7192.917273</v>
      </c>
      <c r="P9" s="380">
        <v>9638.9277629999997</v>
      </c>
      <c r="Q9" s="380">
        <v>4585.0214100000003</v>
      </c>
      <c r="R9" s="380">
        <v>2879.9476670000004</v>
      </c>
      <c r="S9" s="380">
        <v>6232.3172460000005</v>
      </c>
    </row>
    <row r="10" spans="1:21" ht="13.95" customHeight="1">
      <c r="A10" s="540">
        <v>1</v>
      </c>
      <c r="B10" s="359" t="s">
        <v>21</v>
      </c>
      <c r="C10" s="360" t="s">
        <v>22</v>
      </c>
      <c r="D10" s="380"/>
      <c r="E10" s="380">
        <v>47273.624558101634</v>
      </c>
      <c r="F10" s="380">
        <v>47273.624558101634</v>
      </c>
      <c r="G10" s="380">
        <v>2359.3452319999997</v>
      </c>
      <c r="H10" s="380">
        <v>2412.3403810250029</v>
      </c>
      <c r="I10" s="380">
        <v>255.72403999999995</v>
      </c>
      <c r="J10" s="380">
        <v>3688.0636629999999</v>
      </c>
      <c r="K10" s="380">
        <v>3001.8185678450072</v>
      </c>
      <c r="L10" s="380">
        <v>3411.1630675249999</v>
      </c>
      <c r="M10" s="380">
        <v>3597.1099945499418</v>
      </c>
      <c r="N10" s="380">
        <v>3666.3576551059964</v>
      </c>
      <c r="O10" s="380">
        <v>5994.0360617008191</v>
      </c>
      <c r="P10" s="380">
        <v>8561.0677263057878</v>
      </c>
      <c r="Q10" s="380">
        <v>3486.2133400000002</v>
      </c>
      <c r="R10" s="380">
        <v>1757.9536010000002</v>
      </c>
      <c r="S10" s="380">
        <v>5082.4312280440699</v>
      </c>
    </row>
    <row r="11" spans="1:21" ht="13.95" customHeight="1">
      <c r="A11" s="361"/>
      <c r="B11" s="362" t="s">
        <v>187</v>
      </c>
      <c r="C11" s="361"/>
      <c r="D11" s="381"/>
      <c r="E11" s="381"/>
      <c r="F11" s="381"/>
      <c r="G11" s="381"/>
      <c r="H11" s="381"/>
      <c r="I11" s="381"/>
      <c r="J11" s="381"/>
      <c r="K11" s="381"/>
      <c r="L11" s="381"/>
      <c r="M11" s="381"/>
      <c r="N11" s="381"/>
      <c r="O11" s="381"/>
      <c r="P11" s="381"/>
      <c r="Q11" s="381"/>
      <c r="R11" s="381"/>
      <c r="S11" s="381"/>
    </row>
    <row r="12" spans="1:21" ht="13.95" customHeight="1">
      <c r="A12" s="363" t="s">
        <v>23</v>
      </c>
      <c r="B12" s="364" t="s">
        <v>24</v>
      </c>
      <c r="C12" s="363" t="s">
        <v>25</v>
      </c>
      <c r="D12" s="382"/>
      <c r="E12" s="382">
        <v>499.82014200000003</v>
      </c>
      <c r="F12" s="382">
        <v>499.82014200000003</v>
      </c>
      <c r="G12" s="382">
        <v>7.651351</v>
      </c>
      <c r="H12" s="382">
        <v>0</v>
      </c>
      <c r="I12" s="382">
        <v>50.878</v>
      </c>
      <c r="J12" s="382">
        <v>208.67612199999996</v>
      </c>
      <c r="K12" s="382">
        <v>0</v>
      </c>
      <c r="L12" s="382">
        <v>0</v>
      </c>
      <c r="M12" s="382">
        <v>0</v>
      </c>
      <c r="N12" s="382">
        <v>102.14910500000002</v>
      </c>
      <c r="O12" s="382">
        <v>0</v>
      </c>
      <c r="P12" s="382">
        <v>0</v>
      </c>
      <c r="Q12" s="382">
        <v>27.810000000000002</v>
      </c>
      <c r="R12" s="382">
        <v>0</v>
      </c>
      <c r="S12" s="382">
        <v>102.655564</v>
      </c>
    </row>
    <row r="13" spans="1:21" ht="13.95" customHeight="1">
      <c r="A13" s="365"/>
      <c r="B13" s="366" t="s">
        <v>306</v>
      </c>
      <c r="C13" s="365" t="s">
        <v>27</v>
      </c>
      <c r="D13" s="383"/>
      <c r="E13" s="382">
        <v>73.087230000000005</v>
      </c>
      <c r="F13" s="383">
        <v>73.087230000000005</v>
      </c>
      <c r="G13" s="383">
        <v>0</v>
      </c>
      <c r="H13" s="383">
        <v>0</v>
      </c>
      <c r="I13" s="383">
        <v>0</v>
      </c>
      <c r="J13" s="383">
        <v>0</v>
      </c>
      <c r="K13" s="383">
        <v>0</v>
      </c>
      <c r="L13" s="383">
        <v>0</v>
      </c>
      <c r="M13" s="383">
        <v>0</v>
      </c>
      <c r="N13" s="383">
        <v>73.087230000000005</v>
      </c>
      <c r="O13" s="383">
        <v>0</v>
      </c>
      <c r="P13" s="383">
        <v>0</v>
      </c>
      <c r="Q13" s="383">
        <v>0</v>
      </c>
      <c r="R13" s="383">
        <v>0</v>
      </c>
      <c r="S13" s="383">
        <v>0</v>
      </c>
    </row>
    <row r="14" spans="1:21" ht="13.95" customHeight="1">
      <c r="A14" s="363" t="s">
        <v>32</v>
      </c>
      <c r="B14" s="367" t="s">
        <v>33</v>
      </c>
      <c r="C14" s="363" t="s">
        <v>34</v>
      </c>
      <c r="D14" s="382"/>
      <c r="E14" s="382">
        <v>231.08399199999997</v>
      </c>
      <c r="F14" s="382">
        <v>231.08399199999997</v>
      </c>
      <c r="G14" s="382">
        <v>64.128681</v>
      </c>
      <c r="H14" s="382">
        <v>12.185812</v>
      </c>
      <c r="I14" s="382">
        <v>2.1458699999999999</v>
      </c>
      <c r="J14" s="382">
        <v>24.952114000000002</v>
      </c>
      <c r="K14" s="382">
        <v>17.215004999999998</v>
      </c>
      <c r="L14" s="382">
        <v>12.213896</v>
      </c>
      <c r="M14" s="382">
        <v>21.265886000000002</v>
      </c>
      <c r="N14" s="382">
        <v>23.226887999999999</v>
      </c>
      <c r="O14" s="382">
        <v>16.197889</v>
      </c>
      <c r="P14" s="382">
        <v>0</v>
      </c>
      <c r="Q14" s="382">
        <v>12.167310000000001</v>
      </c>
      <c r="R14" s="382">
        <v>0</v>
      </c>
      <c r="S14" s="382">
        <v>25.384640999999998</v>
      </c>
    </row>
    <row r="15" spans="1:21" ht="13.95" customHeight="1">
      <c r="A15" s="363" t="s">
        <v>35</v>
      </c>
      <c r="B15" s="364" t="s">
        <v>36</v>
      </c>
      <c r="C15" s="363" t="s">
        <v>37</v>
      </c>
      <c r="D15" s="382"/>
      <c r="E15" s="382">
        <v>43664.30324757607</v>
      </c>
      <c r="F15" s="382">
        <v>43664.30324757607</v>
      </c>
      <c r="G15" s="382">
        <v>2208.0032919999999</v>
      </c>
      <c r="H15" s="382">
        <v>2300.1245690250025</v>
      </c>
      <c r="I15" s="382">
        <v>191.65337999999997</v>
      </c>
      <c r="J15" s="382">
        <v>3354.126295</v>
      </c>
      <c r="K15" s="382">
        <v>2879.6360550000004</v>
      </c>
      <c r="L15" s="382">
        <v>2487.375512525</v>
      </c>
      <c r="M15" s="382">
        <v>3469.6357505499418</v>
      </c>
      <c r="N15" s="382">
        <v>3279.8135691059961</v>
      </c>
      <c r="O15" s="382">
        <v>5919.4857937008192</v>
      </c>
      <c r="P15" s="382">
        <v>7921.7359983057886</v>
      </c>
      <c r="Q15" s="382">
        <v>3378.1305400000001</v>
      </c>
      <c r="R15" s="382">
        <v>1504.1094419999999</v>
      </c>
      <c r="S15" s="382">
        <v>4770.4730503635255</v>
      </c>
    </row>
    <row r="16" spans="1:21" ht="13.95" customHeight="1">
      <c r="A16" s="363" t="s">
        <v>38</v>
      </c>
      <c r="B16" s="367" t="s">
        <v>41</v>
      </c>
      <c r="C16" s="363" t="s">
        <v>42</v>
      </c>
      <c r="D16" s="382"/>
      <c r="E16" s="382">
        <v>0</v>
      </c>
      <c r="F16" s="382">
        <v>0</v>
      </c>
      <c r="G16" s="382">
        <v>0</v>
      </c>
      <c r="H16" s="382">
        <v>0</v>
      </c>
      <c r="I16" s="382">
        <v>0</v>
      </c>
      <c r="J16" s="382">
        <v>0</v>
      </c>
      <c r="K16" s="382">
        <v>0</v>
      </c>
      <c r="L16" s="382">
        <v>0</v>
      </c>
      <c r="M16" s="382">
        <v>0</v>
      </c>
      <c r="N16" s="382">
        <v>0</v>
      </c>
      <c r="O16" s="382">
        <v>0</v>
      </c>
      <c r="P16" s="382">
        <v>0</v>
      </c>
      <c r="Q16" s="382">
        <v>0</v>
      </c>
      <c r="R16" s="382">
        <v>0</v>
      </c>
      <c r="S16" s="382">
        <v>0</v>
      </c>
    </row>
    <row r="17" spans="1:19" ht="13.95" customHeight="1">
      <c r="A17" s="363" t="s">
        <v>40</v>
      </c>
      <c r="B17" s="367" t="s">
        <v>44</v>
      </c>
      <c r="C17" s="363" t="s">
        <v>45</v>
      </c>
      <c r="D17" s="382"/>
      <c r="E17" s="382">
        <v>0</v>
      </c>
      <c r="F17" s="382">
        <v>0</v>
      </c>
      <c r="G17" s="382">
        <v>0</v>
      </c>
      <c r="H17" s="382">
        <v>0</v>
      </c>
      <c r="I17" s="382">
        <v>0</v>
      </c>
      <c r="J17" s="382">
        <v>0</v>
      </c>
      <c r="K17" s="382">
        <v>0</v>
      </c>
      <c r="L17" s="382">
        <v>0</v>
      </c>
      <c r="M17" s="382">
        <v>0</v>
      </c>
      <c r="N17" s="382">
        <v>0</v>
      </c>
      <c r="O17" s="382">
        <v>0</v>
      </c>
      <c r="P17" s="382">
        <v>0</v>
      </c>
      <c r="Q17" s="382">
        <v>0</v>
      </c>
      <c r="R17" s="382">
        <v>0</v>
      </c>
      <c r="S17" s="382">
        <v>0</v>
      </c>
    </row>
    <row r="18" spans="1:19" ht="13.95" customHeight="1">
      <c r="A18" s="363" t="s">
        <v>43</v>
      </c>
      <c r="B18" s="367" t="s">
        <v>221</v>
      </c>
      <c r="C18" s="363" t="s">
        <v>39</v>
      </c>
      <c r="D18" s="382"/>
      <c r="E18" s="382">
        <v>0</v>
      </c>
      <c r="F18" s="382">
        <v>0</v>
      </c>
      <c r="G18" s="382">
        <v>0</v>
      </c>
      <c r="H18" s="382">
        <v>0</v>
      </c>
      <c r="I18" s="382">
        <v>0</v>
      </c>
      <c r="J18" s="382">
        <v>0</v>
      </c>
      <c r="K18" s="382">
        <v>0</v>
      </c>
      <c r="L18" s="382">
        <v>0</v>
      </c>
      <c r="M18" s="382">
        <v>0</v>
      </c>
      <c r="N18" s="382">
        <v>0</v>
      </c>
      <c r="O18" s="382">
        <v>0</v>
      </c>
      <c r="P18" s="382">
        <v>0</v>
      </c>
      <c r="Q18" s="382">
        <v>0</v>
      </c>
      <c r="R18" s="382">
        <v>0</v>
      </c>
      <c r="S18" s="382">
        <v>0</v>
      </c>
    </row>
    <row r="19" spans="1:19" s="368" customFormat="1" ht="28.2" customHeight="1">
      <c r="A19" s="365"/>
      <c r="B19" s="366" t="s">
        <v>342</v>
      </c>
      <c r="C19" s="365" t="s">
        <v>293</v>
      </c>
      <c r="D19" s="383"/>
      <c r="E19" s="383">
        <v>0</v>
      </c>
      <c r="F19" s="383">
        <v>0</v>
      </c>
      <c r="G19" s="383">
        <v>0</v>
      </c>
      <c r="H19" s="383">
        <v>0</v>
      </c>
      <c r="I19" s="383">
        <v>0</v>
      </c>
      <c r="J19" s="383">
        <v>0</v>
      </c>
      <c r="K19" s="383">
        <v>0</v>
      </c>
      <c r="L19" s="383">
        <v>0</v>
      </c>
      <c r="M19" s="383">
        <v>0</v>
      </c>
      <c r="N19" s="383">
        <v>0</v>
      </c>
      <c r="O19" s="383">
        <v>0</v>
      </c>
      <c r="P19" s="383">
        <v>0</v>
      </c>
      <c r="Q19" s="383">
        <v>0</v>
      </c>
      <c r="R19" s="383">
        <v>0</v>
      </c>
      <c r="S19" s="383">
        <v>0</v>
      </c>
    </row>
    <row r="20" spans="1:19" ht="13.95" customHeight="1">
      <c r="A20" s="363" t="s">
        <v>46</v>
      </c>
      <c r="B20" s="364" t="s">
        <v>47</v>
      </c>
      <c r="C20" s="363" t="s">
        <v>48</v>
      </c>
      <c r="D20" s="382"/>
      <c r="E20" s="382">
        <v>48.960183845006696</v>
      </c>
      <c r="F20" s="382">
        <v>48.960183845006696</v>
      </c>
      <c r="G20" s="382">
        <v>7.7919580000000002</v>
      </c>
      <c r="H20" s="382">
        <v>0</v>
      </c>
      <c r="I20" s="382">
        <v>1.0467900000000001</v>
      </c>
      <c r="J20" s="382">
        <v>5.427753</v>
      </c>
      <c r="K20" s="382">
        <v>9.0874028450066984</v>
      </c>
      <c r="L20" s="382">
        <v>6.742559</v>
      </c>
      <c r="M20" s="382">
        <v>2.603812</v>
      </c>
      <c r="N20" s="382">
        <v>5.0180930000000004</v>
      </c>
      <c r="O20" s="382">
        <v>0</v>
      </c>
      <c r="P20" s="382">
        <v>0.27413199999999999</v>
      </c>
      <c r="Q20" s="382">
        <v>0.97624</v>
      </c>
      <c r="R20" s="382">
        <v>3.3782510000000001</v>
      </c>
      <c r="S20" s="382">
        <v>6.6131929999999999</v>
      </c>
    </row>
    <row r="21" spans="1:19" ht="13.95" customHeight="1">
      <c r="A21" s="363" t="s">
        <v>49</v>
      </c>
      <c r="B21" s="364" t="s">
        <v>50</v>
      </c>
      <c r="C21" s="363" t="s">
        <v>51</v>
      </c>
      <c r="D21" s="382"/>
      <c r="E21" s="382">
        <v>0</v>
      </c>
      <c r="F21" s="382">
        <v>0</v>
      </c>
      <c r="G21" s="382">
        <v>0</v>
      </c>
      <c r="H21" s="382">
        <v>0</v>
      </c>
      <c r="I21" s="382">
        <v>0</v>
      </c>
      <c r="J21" s="382">
        <v>0</v>
      </c>
      <c r="K21" s="382">
        <v>0</v>
      </c>
      <c r="L21" s="382">
        <v>0</v>
      </c>
      <c r="M21" s="382">
        <v>0</v>
      </c>
      <c r="N21" s="382">
        <v>0</v>
      </c>
      <c r="O21" s="382">
        <v>0</v>
      </c>
      <c r="P21" s="382">
        <v>0</v>
      </c>
      <c r="Q21" s="382">
        <v>0</v>
      </c>
      <c r="R21" s="382">
        <v>0</v>
      </c>
      <c r="S21" s="382">
        <v>0</v>
      </c>
    </row>
    <row r="22" spans="1:19" ht="13.95" customHeight="1">
      <c r="A22" s="363" t="s">
        <v>52</v>
      </c>
      <c r="B22" s="367" t="s">
        <v>53</v>
      </c>
      <c r="C22" s="363" t="s">
        <v>54</v>
      </c>
      <c r="D22" s="382"/>
      <c r="E22" s="382">
        <v>2829.4569926805443</v>
      </c>
      <c r="F22" s="382">
        <v>2829.4569926805443</v>
      </c>
      <c r="G22" s="382">
        <v>71.769949999999994</v>
      </c>
      <c r="H22" s="382">
        <v>100.03</v>
      </c>
      <c r="I22" s="382">
        <v>10</v>
      </c>
      <c r="J22" s="382">
        <v>94.88137900000001</v>
      </c>
      <c r="K22" s="382">
        <v>95.880105</v>
      </c>
      <c r="L22" s="382">
        <v>904.83109999999999</v>
      </c>
      <c r="M22" s="382">
        <v>103.604546</v>
      </c>
      <c r="N22" s="382">
        <v>256.14999999999998</v>
      </c>
      <c r="O22" s="382">
        <v>58.352378999999999</v>
      </c>
      <c r="P22" s="382">
        <v>639.05759599999999</v>
      </c>
      <c r="Q22" s="382">
        <v>67.129249999999999</v>
      </c>
      <c r="R22" s="382">
        <v>250.46590800000001</v>
      </c>
      <c r="S22" s="382">
        <v>177.30477968054402</v>
      </c>
    </row>
    <row r="23" spans="1:19" ht="13.95" customHeight="1">
      <c r="A23" s="540">
        <v>2</v>
      </c>
      <c r="B23" s="359" t="s">
        <v>55</v>
      </c>
      <c r="C23" s="360" t="s">
        <v>56</v>
      </c>
      <c r="D23" s="380"/>
      <c r="E23" s="380">
        <v>19140.596164898372</v>
      </c>
      <c r="F23" s="380">
        <v>19140.596164898372</v>
      </c>
      <c r="G23" s="380">
        <v>1913.7446499999999</v>
      </c>
      <c r="H23" s="380">
        <v>2301.0522189749968</v>
      </c>
      <c r="I23" s="380">
        <v>891.1963760000001</v>
      </c>
      <c r="J23" s="380">
        <v>907.32952699999998</v>
      </c>
      <c r="K23" s="380">
        <v>1120.8170231549934</v>
      </c>
      <c r="L23" s="380">
        <v>1881.3342204749995</v>
      </c>
      <c r="M23" s="380">
        <v>3698.2017114500572</v>
      </c>
      <c r="N23" s="380">
        <v>779.4910358940042</v>
      </c>
      <c r="O23" s="380">
        <v>1198.8812112991809</v>
      </c>
      <c r="P23" s="380">
        <v>1077.8600366942112</v>
      </c>
      <c r="Q23" s="380">
        <v>1098.80807</v>
      </c>
      <c r="R23" s="380">
        <v>1121.994066</v>
      </c>
      <c r="S23" s="380">
        <v>1149.8860179559308</v>
      </c>
    </row>
    <row r="24" spans="1:19" ht="13.95" customHeight="1">
      <c r="A24" s="369"/>
      <c r="B24" s="362" t="s">
        <v>187</v>
      </c>
      <c r="C24" s="369"/>
      <c r="D24" s="384"/>
      <c r="E24" s="384"/>
      <c r="F24" s="384"/>
      <c r="G24" s="384"/>
      <c r="H24" s="384"/>
      <c r="I24" s="384"/>
      <c r="J24" s="384"/>
      <c r="K24" s="384"/>
      <c r="L24" s="384"/>
      <c r="M24" s="384"/>
      <c r="N24" s="384"/>
      <c r="O24" s="384"/>
      <c r="P24" s="384"/>
      <c r="Q24" s="384"/>
      <c r="R24" s="384"/>
      <c r="S24" s="384"/>
    </row>
    <row r="25" spans="1:19" ht="13.95" customHeight="1">
      <c r="A25" s="370" t="s">
        <v>57</v>
      </c>
      <c r="B25" s="371" t="s">
        <v>71</v>
      </c>
      <c r="C25" s="370" t="s">
        <v>72</v>
      </c>
      <c r="D25" s="382"/>
      <c r="E25" s="382">
        <v>931.79124597094733</v>
      </c>
      <c r="F25" s="382">
        <v>931.79124597094733</v>
      </c>
      <c r="G25" s="382">
        <v>3.7876569999999998</v>
      </c>
      <c r="H25" s="382">
        <v>25</v>
      </c>
      <c r="I25" s="382">
        <v>29.389436</v>
      </c>
      <c r="J25" s="382">
        <v>0</v>
      </c>
      <c r="K25" s="382">
        <v>0</v>
      </c>
      <c r="L25" s="382">
        <v>50</v>
      </c>
      <c r="M25" s="382">
        <v>50</v>
      </c>
      <c r="N25" s="382">
        <v>135.21863297094731</v>
      </c>
      <c r="O25" s="382">
        <v>14</v>
      </c>
      <c r="P25" s="382">
        <v>155</v>
      </c>
      <c r="Q25" s="382">
        <v>469.39552000000003</v>
      </c>
      <c r="R25" s="382">
        <v>0</v>
      </c>
      <c r="S25" s="382">
        <v>0</v>
      </c>
    </row>
    <row r="26" spans="1:19" ht="13.95" customHeight="1">
      <c r="A26" s="370" t="s">
        <v>59</v>
      </c>
      <c r="B26" s="371" t="s">
        <v>74</v>
      </c>
      <c r="C26" s="370" t="s">
        <v>75</v>
      </c>
      <c r="D26" s="382"/>
      <c r="E26" s="382">
        <v>1084.5451889999997</v>
      </c>
      <c r="F26" s="382">
        <v>1084.5451889999997</v>
      </c>
      <c r="G26" s="382">
        <v>5.3070009999999996</v>
      </c>
      <c r="H26" s="382">
        <v>0.3</v>
      </c>
      <c r="I26" s="382">
        <v>0.3</v>
      </c>
      <c r="J26" s="382">
        <v>0.3</v>
      </c>
      <c r="K26" s="382">
        <v>0.3</v>
      </c>
      <c r="L26" s="382">
        <v>5.8223240000000001</v>
      </c>
      <c r="M26" s="382">
        <v>1070.4042529999999</v>
      </c>
      <c r="N26" s="382">
        <v>0.3</v>
      </c>
      <c r="O26" s="382">
        <v>0.3</v>
      </c>
      <c r="P26" s="382">
        <v>0.3</v>
      </c>
      <c r="Q26" s="382">
        <v>0.3</v>
      </c>
      <c r="R26" s="382">
        <v>0.31161100000000003</v>
      </c>
      <c r="S26" s="382">
        <v>0.3</v>
      </c>
    </row>
    <row r="27" spans="1:19" ht="13.95" customHeight="1">
      <c r="A27" s="370" t="s">
        <v>61</v>
      </c>
      <c r="B27" s="371" t="s">
        <v>77</v>
      </c>
      <c r="C27" s="370" t="s">
        <v>78</v>
      </c>
      <c r="D27" s="382"/>
      <c r="E27" s="382">
        <v>3841.9784989999998</v>
      </c>
      <c r="F27" s="382">
        <v>3841.9784989999998</v>
      </c>
      <c r="G27" s="382">
        <v>434.10589900000002</v>
      </c>
      <c r="H27" s="382">
        <v>1621.02</v>
      </c>
      <c r="I27" s="382">
        <v>103.5226</v>
      </c>
      <c r="J27" s="382">
        <v>0</v>
      </c>
      <c r="K27" s="382">
        <v>0</v>
      </c>
      <c r="L27" s="382">
        <v>1142.58</v>
      </c>
      <c r="M27" s="382">
        <v>0</v>
      </c>
      <c r="N27" s="382">
        <v>0</v>
      </c>
      <c r="O27" s="382">
        <v>0</v>
      </c>
      <c r="P27" s="382">
        <v>0</v>
      </c>
      <c r="Q27" s="382">
        <v>0</v>
      </c>
      <c r="R27" s="382">
        <v>540.75</v>
      </c>
      <c r="S27" s="382">
        <v>0</v>
      </c>
    </row>
    <row r="28" spans="1:19" ht="13.95" customHeight="1">
      <c r="A28" s="370" t="s">
        <v>64</v>
      </c>
      <c r="B28" s="371" t="s">
        <v>83</v>
      </c>
      <c r="C28" s="370" t="s">
        <v>84</v>
      </c>
      <c r="D28" s="382"/>
      <c r="E28" s="382">
        <v>605</v>
      </c>
      <c r="F28" s="382">
        <v>605</v>
      </c>
      <c r="G28" s="382">
        <v>80</v>
      </c>
      <c r="H28" s="382">
        <v>0</v>
      </c>
      <c r="I28" s="382">
        <v>155</v>
      </c>
      <c r="J28" s="382">
        <v>0</v>
      </c>
      <c r="K28" s="382">
        <v>70</v>
      </c>
      <c r="L28" s="382">
        <v>0</v>
      </c>
      <c r="M28" s="382">
        <v>75</v>
      </c>
      <c r="N28" s="382">
        <v>75</v>
      </c>
      <c r="O28" s="382">
        <v>0</v>
      </c>
      <c r="P28" s="382">
        <v>75</v>
      </c>
      <c r="Q28" s="382">
        <v>0</v>
      </c>
      <c r="R28" s="382">
        <v>0</v>
      </c>
      <c r="S28" s="382">
        <v>75</v>
      </c>
    </row>
    <row r="29" spans="1:19" ht="13.95" customHeight="1">
      <c r="A29" s="370" t="s">
        <v>67</v>
      </c>
      <c r="B29" s="371" t="s">
        <v>86</v>
      </c>
      <c r="C29" s="370" t="s">
        <v>87</v>
      </c>
      <c r="D29" s="382"/>
      <c r="E29" s="382">
        <v>201.789264</v>
      </c>
      <c r="F29" s="382">
        <v>201.789264</v>
      </c>
      <c r="G29" s="382">
        <v>102.915767</v>
      </c>
      <c r="H29" s="382">
        <v>9.2466179999999998</v>
      </c>
      <c r="I29" s="382">
        <v>10.39564</v>
      </c>
      <c r="J29" s="382">
        <v>6.1900120000000003</v>
      </c>
      <c r="K29" s="382">
        <v>3.0586410000000002</v>
      </c>
      <c r="L29" s="382">
        <v>6.0582500000000001</v>
      </c>
      <c r="M29" s="382">
        <v>5.6590389999999999</v>
      </c>
      <c r="N29" s="382">
        <v>8.3622589999999999</v>
      </c>
      <c r="O29" s="382">
        <v>20.658860000000001</v>
      </c>
      <c r="P29" s="382">
        <v>5.5282019999999994</v>
      </c>
      <c r="Q29" s="382">
        <v>5.0445099999999998</v>
      </c>
      <c r="R29" s="382">
        <v>10.748488</v>
      </c>
      <c r="S29" s="382">
        <v>7.9229780000000005</v>
      </c>
    </row>
    <row r="30" spans="1:19" ht="13.95" customHeight="1">
      <c r="A30" s="370" t="s">
        <v>70</v>
      </c>
      <c r="B30" s="371" t="s">
        <v>89</v>
      </c>
      <c r="C30" s="370" t="s">
        <v>90</v>
      </c>
      <c r="D30" s="382"/>
      <c r="E30" s="382">
        <v>767.32716299999993</v>
      </c>
      <c r="F30" s="382">
        <v>767.32716299999993</v>
      </c>
      <c r="G30" s="382">
        <v>58.462286000000006</v>
      </c>
      <c r="H30" s="382">
        <v>21.95</v>
      </c>
      <c r="I30" s="382">
        <v>45.43788</v>
      </c>
      <c r="J30" s="382">
        <v>51.306877999999998</v>
      </c>
      <c r="K30" s="382">
        <v>20.096207</v>
      </c>
      <c r="L30" s="382">
        <v>45.865584999999996</v>
      </c>
      <c r="M30" s="382">
        <v>353.78823399999999</v>
      </c>
      <c r="N30" s="382">
        <v>11.773196</v>
      </c>
      <c r="O30" s="382">
        <v>48.2</v>
      </c>
      <c r="P30" s="382">
        <v>32.676985000000002</v>
      </c>
      <c r="Q30" s="382">
        <v>31.112200000000001</v>
      </c>
      <c r="R30" s="382">
        <v>20.848633</v>
      </c>
      <c r="S30" s="382">
        <v>25.809078999999997</v>
      </c>
    </row>
    <row r="31" spans="1:19" ht="13.95" customHeight="1">
      <c r="A31" s="370" t="s">
        <v>73</v>
      </c>
      <c r="B31" s="371" t="s">
        <v>343</v>
      </c>
      <c r="C31" s="370" t="s">
        <v>95</v>
      </c>
      <c r="D31" s="382"/>
      <c r="E31" s="382">
        <v>1313.0183719999998</v>
      </c>
      <c r="F31" s="382">
        <v>1313.0183719999998</v>
      </c>
      <c r="G31" s="382">
        <v>0</v>
      </c>
      <c r="H31" s="382">
        <v>0</v>
      </c>
      <c r="I31" s="382">
        <v>0</v>
      </c>
      <c r="J31" s="382">
        <v>73.029508000000007</v>
      </c>
      <c r="K31" s="382">
        <v>460.38000000000005</v>
      </c>
      <c r="L31" s="382">
        <v>15.004117000000001</v>
      </c>
      <c r="M31" s="382">
        <v>722.8</v>
      </c>
      <c r="N31" s="382">
        <v>0</v>
      </c>
      <c r="O31" s="382">
        <v>0</v>
      </c>
      <c r="P31" s="382">
        <v>0</v>
      </c>
      <c r="Q31" s="382">
        <v>0</v>
      </c>
      <c r="R31" s="382">
        <v>0</v>
      </c>
      <c r="S31" s="382">
        <v>41.804746999999999</v>
      </c>
    </row>
    <row r="32" spans="1:19" ht="13.95" customHeight="1">
      <c r="A32" s="370" t="s">
        <v>76</v>
      </c>
      <c r="B32" s="371" t="s">
        <v>241</v>
      </c>
      <c r="C32" s="370" t="s">
        <v>92</v>
      </c>
      <c r="D32" s="382"/>
      <c r="E32" s="382">
        <v>579.53398299999992</v>
      </c>
      <c r="F32" s="382">
        <v>579.53398299999992</v>
      </c>
      <c r="G32" s="382">
        <v>10.075805000000001</v>
      </c>
      <c r="H32" s="382">
        <v>0</v>
      </c>
      <c r="I32" s="382">
        <v>0</v>
      </c>
      <c r="J32" s="382">
        <v>26.317945000000002</v>
      </c>
      <c r="K32" s="382">
        <v>100</v>
      </c>
      <c r="L32" s="382">
        <v>64.87</v>
      </c>
      <c r="M32" s="382">
        <v>212.39999999999998</v>
      </c>
      <c r="N32" s="382">
        <v>15</v>
      </c>
      <c r="O32" s="382">
        <v>31.434463000000001</v>
      </c>
      <c r="P32" s="382">
        <v>27.7</v>
      </c>
      <c r="Q32" s="382">
        <v>46.92501</v>
      </c>
      <c r="R32" s="382">
        <v>6.5187759999999999</v>
      </c>
      <c r="S32" s="382">
        <v>38.291983999999999</v>
      </c>
    </row>
    <row r="33" spans="1:19" ht="13.95" customHeight="1">
      <c r="A33" s="370" t="s">
        <v>79</v>
      </c>
      <c r="B33" s="371" t="s">
        <v>641</v>
      </c>
      <c r="C33" s="370" t="s">
        <v>118</v>
      </c>
      <c r="D33" s="382"/>
      <c r="E33" s="382">
        <v>5412.0076577963609</v>
      </c>
      <c r="F33" s="382">
        <v>5412.0076577963609</v>
      </c>
      <c r="G33" s="382">
        <v>751.39549799999986</v>
      </c>
      <c r="H33" s="382">
        <v>370.17992916998986</v>
      </c>
      <c r="I33" s="382">
        <v>278.98996</v>
      </c>
      <c r="J33" s="382">
        <v>411.51159500000006</v>
      </c>
      <c r="K33" s="382">
        <v>226.35672995252935</v>
      </c>
      <c r="L33" s="382">
        <v>364.23567149999997</v>
      </c>
      <c r="M33" s="382">
        <v>783.65384358155882</v>
      </c>
      <c r="N33" s="382">
        <v>320.91776062305678</v>
      </c>
      <c r="O33" s="382">
        <v>218.62896143841587</v>
      </c>
      <c r="P33" s="382">
        <v>403.82557694581328</v>
      </c>
      <c r="Q33" s="382">
        <v>280.89267000000001</v>
      </c>
      <c r="R33" s="382">
        <v>405.21189099999998</v>
      </c>
      <c r="S33" s="382">
        <v>596.20757058499623</v>
      </c>
    </row>
    <row r="34" spans="1:19" ht="13.95" customHeight="1">
      <c r="A34" s="372"/>
      <c r="B34" s="373" t="s">
        <v>187</v>
      </c>
      <c r="C34" s="372"/>
      <c r="D34" s="383"/>
      <c r="E34" s="383"/>
      <c r="F34" s="383"/>
      <c r="G34" s="383"/>
      <c r="H34" s="383"/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</row>
    <row r="35" spans="1:19" ht="13.95" customHeight="1">
      <c r="A35" s="372" t="s">
        <v>345</v>
      </c>
      <c r="B35" s="373" t="s">
        <v>294</v>
      </c>
      <c r="C35" s="372" t="s">
        <v>120</v>
      </c>
      <c r="D35" s="383"/>
      <c r="E35" s="383">
        <v>3433.7541590000001</v>
      </c>
      <c r="F35" s="383">
        <v>3433.7541590000001</v>
      </c>
      <c r="G35" s="383">
        <v>556.70481899999993</v>
      </c>
      <c r="H35" s="383">
        <v>213.00242600000001</v>
      </c>
      <c r="I35" s="383">
        <v>263.34414000000004</v>
      </c>
      <c r="J35" s="383">
        <v>197.460531</v>
      </c>
      <c r="K35" s="383">
        <v>200.62287699999999</v>
      </c>
      <c r="L35" s="383">
        <v>248.892426</v>
      </c>
      <c r="M35" s="383">
        <v>259.50597300000004</v>
      </c>
      <c r="N35" s="383">
        <v>225.58340899999999</v>
      </c>
      <c r="O35" s="383">
        <v>182.617368</v>
      </c>
      <c r="P35" s="383">
        <v>284.58472599999999</v>
      </c>
      <c r="Q35" s="383">
        <v>213.00651999999997</v>
      </c>
      <c r="R35" s="383">
        <v>328.35414299999997</v>
      </c>
      <c r="S35" s="383">
        <v>260.07480099999998</v>
      </c>
    </row>
    <row r="36" spans="1:19" ht="13.95" customHeight="1">
      <c r="A36" s="372" t="s">
        <v>345</v>
      </c>
      <c r="B36" s="373" t="s">
        <v>295</v>
      </c>
      <c r="C36" s="372" t="s">
        <v>122</v>
      </c>
      <c r="D36" s="383"/>
      <c r="E36" s="383">
        <v>336.71456900000004</v>
      </c>
      <c r="F36" s="383">
        <v>336.71456900000004</v>
      </c>
      <c r="G36" s="383">
        <v>118.56225000000001</v>
      </c>
      <c r="H36" s="383">
        <v>12.870000000000001</v>
      </c>
      <c r="I36" s="383">
        <v>1.6002999999999998</v>
      </c>
      <c r="J36" s="383">
        <v>12.5</v>
      </c>
      <c r="K36" s="383">
        <v>3</v>
      </c>
      <c r="L36" s="383">
        <v>63.503504</v>
      </c>
      <c r="M36" s="383">
        <v>3</v>
      </c>
      <c r="N36" s="383">
        <v>43</v>
      </c>
      <c r="O36" s="383">
        <v>8</v>
      </c>
      <c r="P36" s="383">
        <v>3</v>
      </c>
      <c r="Q36" s="383">
        <v>15.21177</v>
      </c>
      <c r="R36" s="383">
        <v>45.444101000000003</v>
      </c>
      <c r="S36" s="383">
        <v>7.0226439999999997</v>
      </c>
    </row>
    <row r="37" spans="1:19" ht="13.95" customHeight="1">
      <c r="A37" s="372" t="s">
        <v>345</v>
      </c>
      <c r="B37" s="373" t="s">
        <v>296</v>
      </c>
      <c r="C37" s="372" t="s">
        <v>128</v>
      </c>
      <c r="D37" s="383"/>
      <c r="E37" s="383">
        <v>47.495559619999106</v>
      </c>
      <c r="F37" s="383">
        <v>47.495559619999106</v>
      </c>
      <c r="G37" s="383">
        <v>7.4869019999999988</v>
      </c>
      <c r="H37" s="383">
        <v>0.82134861999911102</v>
      </c>
      <c r="I37" s="383">
        <v>1.5739200000000002</v>
      </c>
      <c r="J37" s="383">
        <v>16.178281999999999</v>
      </c>
      <c r="K37" s="383">
        <v>2.02</v>
      </c>
      <c r="L37" s="383">
        <v>1.5</v>
      </c>
      <c r="M37" s="383">
        <v>4</v>
      </c>
      <c r="N37" s="383">
        <v>1.0032019999999999</v>
      </c>
      <c r="O37" s="383">
        <v>0.45669999999999999</v>
      </c>
      <c r="P37" s="383">
        <v>1.0534349999999999</v>
      </c>
      <c r="Q37" s="383">
        <v>8.4017700000000008</v>
      </c>
      <c r="R37" s="383">
        <v>1</v>
      </c>
      <c r="S37" s="383">
        <v>2</v>
      </c>
    </row>
    <row r="38" spans="1:19" ht="13.95" customHeight="1">
      <c r="A38" s="372" t="s">
        <v>345</v>
      </c>
      <c r="B38" s="373" t="s">
        <v>297</v>
      </c>
      <c r="C38" s="372" t="s">
        <v>130</v>
      </c>
      <c r="D38" s="383"/>
      <c r="E38" s="383">
        <v>9.9352423002474186</v>
      </c>
      <c r="F38" s="383">
        <v>9.9352423002474186</v>
      </c>
      <c r="G38" s="383">
        <v>4.9378419999999998</v>
      </c>
      <c r="H38" s="383">
        <v>0.50022299999999997</v>
      </c>
      <c r="I38" s="383">
        <v>0.27367999999999998</v>
      </c>
      <c r="J38" s="383">
        <v>0.181168</v>
      </c>
      <c r="K38" s="383">
        <v>0.49564399999999997</v>
      </c>
      <c r="L38" s="383">
        <v>0.35019921024911227</v>
      </c>
      <c r="M38" s="383">
        <v>0.51041800000000004</v>
      </c>
      <c r="N38" s="383">
        <v>0.23974899999999999</v>
      </c>
      <c r="O38" s="383">
        <v>0.59038008999830505</v>
      </c>
      <c r="P38" s="383">
        <v>0.28657100000000002</v>
      </c>
      <c r="Q38" s="383">
        <v>0.33407999999999993</v>
      </c>
      <c r="R38" s="383">
        <v>1</v>
      </c>
      <c r="S38" s="383">
        <v>0.235288</v>
      </c>
    </row>
    <row r="39" spans="1:19" ht="13.95" customHeight="1">
      <c r="A39" s="372" t="s">
        <v>345</v>
      </c>
      <c r="B39" s="373" t="s">
        <v>298</v>
      </c>
      <c r="C39" s="372" t="s">
        <v>132</v>
      </c>
      <c r="D39" s="383"/>
      <c r="E39" s="383">
        <v>105.1195570089003</v>
      </c>
      <c r="F39" s="383">
        <v>105.1195570089003</v>
      </c>
      <c r="G39" s="383">
        <v>22.092793</v>
      </c>
      <c r="H39" s="383">
        <v>8.0557789999943203</v>
      </c>
      <c r="I39" s="383">
        <v>4.5069699999999999</v>
      </c>
      <c r="J39" s="383">
        <v>2.9677069999999999</v>
      </c>
      <c r="K39" s="383">
        <v>4.1103615725300608</v>
      </c>
      <c r="L39" s="383">
        <v>3.2235834999999997</v>
      </c>
      <c r="M39" s="383">
        <v>3.9916518250034301</v>
      </c>
      <c r="N39" s="383">
        <v>9.7025284105035823</v>
      </c>
      <c r="O39" s="383">
        <v>6.7171063484175839</v>
      </c>
      <c r="P39" s="383">
        <v>8.1159912024519443</v>
      </c>
      <c r="Q39" s="383">
        <v>13.926070000000001</v>
      </c>
      <c r="R39" s="383">
        <v>6.272519</v>
      </c>
      <c r="S39" s="383">
        <v>11.436496149999391</v>
      </c>
    </row>
    <row r="40" spans="1:19" ht="13.95" customHeight="1">
      <c r="A40" s="372" t="s">
        <v>345</v>
      </c>
      <c r="B40" s="373" t="s">
        <v>299</v>
      </c>
      <c r="C40" s="372" t="s">
        <v>134</v>
      </c>
      <c r="D40" s="383"/>
      <c r="E40" s="383">
        <v>83.903034402438436</v>
      </c>
      <c r="F40" s="383">
        <v>83.903034402438436</v>
      </c>
      <c r="G40" s="383">
        <v>11.405849999999999</v>
      </c>
      <c r="H40" s="383">
        <v>3.958332</v>
      </c>
      <c r="I40" s="383">
        <v>5.5</v>
      </c>
      <c r="J40" s="383">
        <v>5.3935839999999997</v>
      </c>
      <c r="K40" s="383">
        <v>5.2000933799993252</v>
      </c>
      <c r="L40" s="383">
        <v>8.550554</v>
      </c>
      <c r="M40" s="383">
        <v>2.7682494224483669</v>
      </c>
      <c r="N40" s="383">
        <v>4.8686765999907404</v>
      </c>
      <c r="O40" s="383">
        <v>4.2</v>
      </c>
      <c r="P40" s="383">
        <v>9.631259</v>
      </c>
      <c r="Q40" s="383">
        <v>7.668940000000001</v>
      </c>
      <c r="R40" s="383">
        <v>5.5</v>
      </c>
      <c r="S40" s="383">
        <v>9.2574959999999997</v>
      </c>
    </row>
    <row r="41" spans="1:19" ht="13.95" customHeight="1">
      <c r="A41" s="372" t="s">
        <v>345</v>
      </c>
      <c r="B41" s="373" t="s">
        <v>300</v>
      </c>
      <c r="C41" s="372" t="s">
        <v>124</v>
      </c>
      <c r="D41" s="383"/>
      <c r="E41" s="383">
        <v>1003.5967840000002</v>
      </c>
      <c r="F41" s="383">
        <v>1003.5967840000002</v>
      </c>
      <c r="G41" s="383">
        <v>0.99078899999999992</v>
      </c>
      <c r="H41" s="383">
        <v>123.84695599999998</v>
      </c>
      <c r="I41" s="383">
        <v>1.0123</v>
      </c>
      <c r="J41" s="383">
        <v>150.70649900000001</v>
      </c>
      <c r="K41" s="383">
        <v>3.2399999999999998</v>
      </c>
      <c r="L41" s="383">
        <v>1.536322</v>
      </c>
      <c r="M41" s="383">
        <v>361.34110000000004</v>
      </c>
      <c r="N41" s="383">
        <v>6.9351400000000005</v>
      </c>
      <c r="O41" s="383">
        <v>3.0374999999999999E-2</v>
      </c>
      <c r="P41" s="383">
        <v>67.7</v>
      </c>
      <c r="Q41" s="383">
        <v>2.1344499999999997</v>
      </c>
      <c r="R41" s="383">
        <v>1.1800000000000002</v>
      </c>
      <c r="S41" s="383">
        <v>282.94285300000001</v>
      </c>
    </row>
    <row r="42" spans="1:19" ht="13.95" customHeight="1">
      <c r="A42" s="372" t="s">
        <v>345</v>
      </c>
      <c r="B42" s="373" t="s">
        <v>301</v>
      </c>
      <c r="C42" s="372" t="s">
        <v>126</v>
      </c>
      <c r="D42" s="383"/>
      <c r="E42" s="383">
        <v>3.232745</v>
      </c>
      <c r="F42" s="383">
        <v>3.232745</v>
      </c>
      <c r="G42" s="383">
        <v>0.66327800000000003</v>
      </c>
      <c r="H42" s="383">
        <v>0.2</v>
      </c>
      <c r="I42" s="383">
        <v>3.7879999999999997E-2</v>
      </c>
      <c r="J42" s="383">
        <v>0.1</v>
      </c>
      <c r="K42" s="383">
        <v>0.2</v>
      </c>
      <c r="L42" s="383">
        <v>0.23086999999999999</v>
      </c>
      <c r="M42" s="383">
        <v>0.1</v>
      </c>
      <c r="N42" s="383">
        <v>0.152007</v>
      </c>
      <c r="O42" s="383">
        <v>0.69457599999999997</v>
      </c>
      <c r="P42" s="383">
        <v>0.10000000000000005</v>
      </c>
      <c r="Q42" s="383">
        <v>0.1</v>
      </c>
      <c r="R42" s="383">
        <v>0.15413399999999999</v>
      </c>
      <c r="S42" s="383">
        <v>0.5</v>
      </c>
    </row>
    <row r="43" spans="1:19" ht="13.95" customHeight="1">
      <c r="A43" s="372" t="s">
        <v>345</v>
      </c>
      <c r="B43" s="373" t="s">
        <v>302</v>
      </c>
      <c r="C43" s="372" t="s">
        <v>305</v>
      </c>
      <c r="D43" s="383"/>
      <c r="E43" s="383">
        <v>0</v>
      </c>
      <c r="F43" s="383">
        <v>0</v>
      </c>
      <c r="G43" s="383">
        <v>0</v>
      </c>
      <c r="H43" s="383">
        <v>0</v>
      </c>
      <c r="I43" s="383">
        <v>0</v>
      </c>
      <c r="J43" s="383">
        <v>0</v>
      </c>
      <c r="K43" s="383">
        <v>0</v>
      </c>
      <c r="L43" s="383">
        <v>0</v>
      </c>
      <c r="M43" s="383">
        <v>0</v>
      </c>
      <c r="N43" s="383">
        <v>0</v>
      </c>
      <c r="O43" s="383">
        <v>0</v>
      </c>
      <c r="P43" s="383">
        <v>0</v>
      </c>
      <c r="Q43" s="383">
        <v>0</v>
      </c>
      <c r="R43" s="383">
        <v>0</v>
      </c>
      <c r="S43" s="383">
        <v>0</v>
      </c>
    </row>
    <row r="44" spans="1:19" ht="13.95" customHeight="1">
      <c r="A44" s="372" t="s">
        <v>345</v>
      </c>
      <c r="B44" s="373" t="s">
        <v>270</v>
      </c>
      <c r="C44" s="372" t="s">
        <v>97</v>
      </c>
      <c r="D44" s="383"/>
      <c r="E44" s="383">
        <v>11.072659</v>
      </c>
      <c r="F44" s="383">
        <v>11.072659</v>
      </c>
      <c r="G44" s="383">
        <v>1.2836419999999999</v>
      </c>
      <c r="H44" s="383">
        <v>0</v>
      </c>
      <c r="I44" s="383">
        <v>0</v>
      </c>
      <c r="J44" s="383">
        <v>5</v>
      </c>
      <c r="K44" s="383">
        <v>0</v>
      </c>
      <c r="L44" s="383">
        <v>0.5</v>
      </c>
      <c r="M44" s="383">
        <v>0</v>
      </c>
      <c r="N44" s="383">
        <v>0</v>
      </c>
      <c r="O44" s="383">
        <v>0</v>
      </c>
      <c r="P44" s="383">
        <v>4</v>
      </c>
      <c r="Q44" s="383">
        <v>0</v>
      </c>
      <c r="R44" s="383">
        <v>0</v>
      </c>
      <c r="S44" s="383">
        <v>0.28901700000000002</v>
      </c>
    </row>
    <row r="45" spans="1:19" ht="13.95" customHeight="1">
      <c r="A45" s="372" t="s">
        <v>345</v>
      </c>
      <c r="B45" s="373" t="s">
        <v>271</v>
      </c>
      <c r="C45" s="372" t="s">
        <v>103</v>
      </c>
      <c r="D45" s="383"/>
      <c r="E45" s="383">
        <v>50.97064356410263</v>
      </c>
      <c r="F45" s="383">
        <v>50.97064356410263</v>
      </c>
      <c r="G45" s="383">
        <v>1</v>
      </c>
      <c r="H45" s="383">
        <v>1.5</v>
      </c>
      <c r="I45" s="383">
        <v>0</v>
      </c>
      <c r="J45" s="383">
        <v>1</v>
      </c>
      <c r="K45" s="383">
        <v>2</v>
      </c>
      <c r="L45" s="383">
        <v>0</v>
      </c>
      <c r="M45" s="383">
        <v>35.0000003341069</v>
      </c>
      <c r="N45" s="383">
        <v>1.2</v>
      </c>
      <c r="O45" s="383">
        <v>0</v>
      </c>
      <c r="P45" s="383">
        <v>3.1400990000000002</v>
      </c>
      <c r="Q45" s="383">
        <v>0.17</v>
      </c>
      <c r="R45" s="383">
        <v>4.4605439999999996</v>
      </c>
      <c r="S45" s="383">
        <v>1.500000229995728</v>
      </c>
    </row>
    <row r="46" spans="1:19" ht="13.95" customHeight="1">
      <c r="A46" s="372" t="s">
        <v>345</v>
      </c>
      <c r="B46" s="373" t="s">
        <v>105</v>
      </c>
      <c r="C46" s="372" t="s">
        <v>106</v>
      </c>
      <c r="D46" s="383"/>
      <c r="E46" s="383">
        <v>42.990245000000002</v>
      </c>
      <c r="F46" s="383">
        <v>42.990245000000002</v>
      </c>
      <c r="G46" s="383">
        <v>6.6393370000000003</v>
      </c>
      <c r="H46" s="383">
        <v>1.582767</v>
      </c>
      <c r="I46" s="383">
        <v>0.92775000000000007</v>
      </c>
      <c r="J46" s="383">
        <v>5.0592120000000005</v>
      </c>
      <c r="K46" s="383">
        <v>2.3983599999999998</v>
      </c>
      <c r="L46" s="383">
        <v>1.0819540000000001</v>
      </c>
      <c r="M46" s="383">
        <v>5.0000809999999998</v>
      </c>
      <c r="N46" s="383">
        <v>5.8125219999999995</v>
      </c>
      <c r="O46" s="383">
        <v>3.6311599999999999</v>
      </c>
      <c r="P46" s="383">
        <v>4.4690690000000002</v>
      </c>
      <c r="Q46" s="383">
        <v>2.1030100000000003</v>
      </c>
      <c r="R46" s="383">
        <v>1.7546270000000002</v>
      </c>
      <c r="S46" s="383">
        <v>2.5303960000000001</v>
      </c>
    </row>
    <row r="47" spans="1:19" ht="28.2" customHeight="1">
      <c r="A47" s="372" t="s">
        <v>345</v>
      </c>
      <c r="B47" s="373" t="s">
        <v>518</v>
      </c>
      <c r="C47" s="372" t="s">
        <v>111</v>
      </c>
      <c r="D47" s="383"/>
      <c r="E47" s="383">
        <v>236.70720156092497</v>
      </c>
      <c r="F47" s="383">
        <v>236.70720156092497</v>
      </c>
      <c r="G47" s="383">
        <v>14.939759</v>
      </c>
      <c r="H47" s="383">
        <v>3.0004599999999999</v>
      </c>
      <c r="I47" s="383">
        <v>0</v>
      </c>
      <c r="J47" s="383">
        <v>13.564612000000002</v>
      </c>
      <c r="K47" s="383">
        <v>2.069394</v>
      </c>
      <c r="L47" s="383">
        <v>11.90015</v>
      </c>
      <c r="M47" s="383">
        <v>107.43637</v>
      </c>
      <c r="N47" s="383">
        <v>21.962033612562493</v>
      </c>
      <c r="O47" s="383">
        <v>5.001296</v>
      </c>
      <c r="P47" s="383">
        <v>15.944426743361372</v>
      </c>
      <c r="Q47" s="383">
        <v>13.944279999999999</v>
      </c>
      <c r="R47" s="383">
        <v>9.9018420000000003</v>
      </c>
      <c r="S47" s="383">
        <v>17.042578205001117</v>
      </c>
    </row>
    <row r="48" spans="1:19" ht="13.95" customHeight="1">
      <c r="A48" s="372" t="s">
        <v>345</v>
      </c>
      <c r="B48" s="373" t="s">
        <v>303</v>
      </c>
      <c r="C48" s="372" t="s">
        <v>136</v>
      </c>
      <c r="D48" s="383"/>
      <c r="E48" s="383">
        <v>0</v>
      </c>
      <c r="F48" s="383">
        <v>0</v>
      </c>
      <c r="G48" s="383">
        <v>0</v>
      </c>
      <c r="H48" s="383">
        <v>0</v>
      </c>
      <c r="I48" s="383">
        <v>0</v>
      </c>
      <c r="J48" s="383">
        <v>0</v>
      </c>
      <c r="K48" s="383">
        <v>0</v>
      </c>
      <c r="L48" s="383">
        <v>0</v>
      </c>
      <c r="M48" s="383">
        <v>0</v>
      </c>
      <c r="N48" s="383">
        <v>0</v>
      </c>
      <c r="O48" s="383">
        <v>0</v>
      </c>
      <c r="P48" s="383">
        <v>0</v>
      </c>
      <c r="Q48" s="383">
        <v>0</v>
      </c>
      <c r="R48" s="383">
        <v>0</v>
      </c>
      <c r="S48" s="383">
        <v>0</v>
      </c>
    </row>
    <row r="49" spans="1:19" ht="13.95" customHeight="1">
      <c r="A49" s="372" t="s">
        <v>345</v>
      </c>
      <c r="B49" s="374" t="s">
        <v>304</v>
      </c>
      <c r="C49" s="372" t="s">
        <v>138</v>
      </c>
      <c r="D49" s="383"/>
      <c r="E49" s="383">
        <v>22.657395789750886</v>
      </c>
      <c r="F49" s="383">
        <v>22.657395789750886</v>
      </c>
      <c r="G49" s="383">
        <v>0</v>
      </c>
      <c r="H49" s="383">
        <v>0</v>
      </c>
      <c r="I49" s="383">
        <v>0</v>
      </c>
      <c r="J49" s="383">
        <v>0</v>
      </c>
      <c r="K49" s="383">
        <v>0</v>
      </c>
      <c r="L49" s="383">
        <v>22.657395789750886</v>
      </c>
      <c r="M49" s="383">
        <v>0</v>
      </c>
      <c r="N49" s="383">
        <v>0</v>
      </c>
      <c r="O49" s="383">
        <v>0</v>
      </c>
      <c r="P49" s="383">
        <v>0</v>
      </c>
      <c r="Q49" s="383">
        <v>0</v>
      </c>
      <c r="R49" s="383">
        <v>0</v>
      </c>
      <c r="S49" s="383">
        <v>0</v>
      </c>
    </row>
    <row r="50" spans="1:19" ht="13.95" customHeight="1">
      <c r="A50" s="372" t="s">
        <v>345</v>
      </c>
      <c r="B50" s="374" t="s">
        <v>263</v>
      </c>
      <c r="C50" s="372" t="s">
        <v>140</v>
      </c>
      <c r="D50" s="383"/>
      <c r="E50" s="383">
        <v>23.85786254999644</v>
      </c>
      <c r="F50" s="383">
        <v>23.85786254999644</v>
      </c>
      <c r="G50" s="383">
        <v>4.688237</v>
      </c>
      <c r="H50" s="383">
        <v>0.84163754999643703</v>
      </c>
      <c r="I50" s="383">
        <v>0.21301999999999999</v>
      </c>
      <c r="J50" s="383">
        <v>1.4</v>
      </c>
      <c r="K50" s="383">
        <v>1</v>
      </c>
      <c r="L50" s="383">
        <v>0.30871300000000002</v>
      </c>
      <c r="M50" s="383">
        <v>1</v>
      </c>
      <c r="N50" s="383">
        <v>0.45849299999999998</v>
      </c>
      <c r="O50" s="383">
        <v>6.6899999999999995</v>
      </c>
      <c r="P50" s="383">
        <v>1.7999999999999998</v>
      </c>
      <c r="Q50" s="383">
        <v>3.8917799999999998</v>
      </c>
      <c r="R50" s="383">
        <v>0.18998100000000001</v>
      </c>
      <c r="S50" s="383">
        <v>1.376001</v>
      </c>
    </row>
    <row r="51" spans="1:19" ht="13.95" customHeight="1">
      <c r="A51" s="370" t="s">
        <v>82</v>
      </c>
      <c r="B51" s="371" t="s">
        <v>99</v>
      </c>
      <c r="C51" s="370" t="s">
        <v>100</v>
      </c>
      <c r="D51" s="382"/>
      <c r="E51" s="382">
        <v>0</v>
      </c>
      <c r="F51" s="382">
        <v>0</v>
      </c>
      <c r="G51" s="382">
        <v>0</v>
      </c>
      <c r="H51" s="382">
        <v>0</v>
      </c>
      <c r="I51" s="382">
        <v>0</v>
      </c>
      <c r="J51" s="382">
        <v>0</v>
      </c>
      <c r="K51" s="382">
        <v>0</v>
      </c>
      <c r="L51" s="382">
        <v>0</v>
      </c>
      <c r="M51" s="382">
        <v>0</v>
      </c>
      <c r="N51" s="382">
        <v>0</v>
      </c>
      <c r="O51" s="382">
        <v>0</v>
      </c>
      <c r="P51" s="382">
        <v>0</v>
      </c>
      <c r="Q51" s="382">
        <v>0</v>
      </c>
      <c r="R51" s="382">
        <v>0</v>
      </c>
      <c r="S51" s="382">
        <v>0</v>
      </c>
    </row>
    <row r="52" spans="1:19" ht="13.95" customHeight="1">
      <c r="A52" s="370" t="s">
        <v>85</v>
      </c>
      <c r="B52" s="371" t="s">
        <v>142</v>
      </c>
      <c r="C52" s="370" t="s">
        <v>143</v>
      </c>
      <c r="D52" s="382"/>
      <c r="E52" s="382">
        <v>28.569083071064043</v>
      </c>
      <c r="F52" s="382">
        <v>28.569083071064043</v>
      </c>
      <c r="G52" s="382">
        <v>1.4776949999999998</v>
      </c>
      <c r="H52" s="382">
        <v>1.4506673050001138</v>
      </c>
      <c r="I52" s="382">
        <v>0.92042000000000002</v>
      </c>
      <c r="J52" s="382">
        <v>1.5659430000000001</v>
      </c>
      <c r="K52" s="382">
        <v>2.1520350474706138</v>
      </c>
      <c r="L52" s="382">
        <v>1.6900004749994875</v>
      </c>
      <c r="M52" s="382">
        <v>2.790457868498756</v>
      </c>
      <c r="N52" s="382">
        <v>2.782346300000206</v>
      </c>
      <c r="O52" s="382">
        <v>2.2247956007633403</v>
      </c>
      <c r="P52" s="382">
        <v>2.7171697483977755</v>
      </c>
      <c r="Q52" s="382">
        <v>2.8214800000000002</v>
      </c>
      <c r="R52" s="382">
        <v>3.019123</v>
      </c>
      <c r="S52" s="382">
        <v>2.9569497259337449</v>
      </c>
    </row>
    <row r="53" spans="1:19" ht="13.95" customHeight="1">
      <c r="A53" s="370" t="s">
        <v>88</v>
      </c>
      <c r="B53" s="371" t="s">
        <v>145</v>
      </c>
      <c r="C53" s="370" t="s">
        <v>146</v>
      </c>
      <c r="D53" s="382"/>
      <c r="E53" s="382">
        <v>30.777085645000859</v>
      </c>
      <c r="F53" s="382">
        <v>30.777085645000859</v>
      </c>
      <c r="G53" s="382">
        <v>9.6366929999999993</v>
      </c>
      <c r="H53" s="382">
        <v>5</v>
      </c>
      <c r="I53" s="382">
        <v>1</v>
      </c>
      <c r="J53" s="382">
        <v>2.6097000000000001</v>
      </c>
      <c r="K53" s="382">
        <v>1</v>
      </c>
      <c r="L53" s="382">
        <v>1</v>
      </c>
      <c r="M53" s="382">
        <v>0</v>
      </c>
      <c r="N53" s="382">
        <v>0.5</v>
      </c>
      <c r="O53" s="382">
        <v>2.9453</v>
      </c>
      <c r="P53" s="382">
        <v>2.63</v>
      </c>
      <c r="Q53" s="382">
        <v>1</v>
      </c>
      <c r="R53" s="382">
        <v>1</v>
      </c>
      <c r="S53" s="382">
        <v>2.4553926450008614</v>
      </c>
    </row>
    <row r="54" spans="1:19" ht="13.95" customHeight="1">
      <c r="A54" s="370" t="s">
        <v>91</v>
      </c>
      <c r="B54" s="371" t="s">
        <v>238</v>
      </c>
      <c r="C54" s="370" t="s">
        <v>58</v>
      </c>
      <c r="D54" s="382"/>
      <c r="E54" s="382">
        <v>2008.4460915</v>
      </c>
      <c r="F54" s="382">
        <v>2008.4460915</v>
      </c>
      <c r="G54" s="382">
        <v>0</v>
      </c>
      <c r="H54" s="382">
        <v>0</v>
      </c>
      <c r="I54" s="382">
        <v>225.90635000000003</v>
      </c>
      <c r="J54" s="382">
        <v>191.76000099999996</v>
      </c>
      <c r="K54" s="382">
        <v>139.93972500000001</v>
      </c>
      <c r="L54" s="382">
        <v>98.712010499999991</v>
      </c>
      <c r="M54" s="382">
        <v>254.57817599999998</v>
      </c>
      <c r="N54" s="382">
        <v>126.137835</v>
      </c>
      <c r="O54" s="382">
        <v>336.58997099999999</v>
      </c>
      <c r="P54" s="382">
        <v>194.392878</v>
      </c>
      <c r="Q54" s="382">
        <v>217.51067</v>
      </c>
      <c r="R54" s="382">
        <v>105.98576600000001</v>
      </c>
      <c r="S54" s="382">
        <v>116.93270899999999</v>
      </c>
    </row>
    <row r="55" spans="1:19" ht="13.95" customHeight="1">
      <c r="A55" s="370" t="s">
        <v>93</v>
      </c>
      <c r="B55" s="371" t="s">
        <v>239</v>
      </c>
      <c r="C55" s="370" t="s">
        <v>60</v>
      </c>
      <c r="D55" s="382"/>
      <c r="E55" s="382">
        <v>611.84295525000016</v>
      </c>
      <c r="F55" s="382">
        <v>611.84295525000016</v>
      </c>
      <c r="G55" s="382">
        <v>393.08344599999998</v>
      </c>
      <c r="H55" s="382">
        <v>218.75950925000012</v>
      </c>
      <c r="I55" s="382">
        <v>0</v>
      </c>
      <c r="J55" s="382">
        <v>0</v>
      </c>
      <c r="K55" s="382">
        <v>0</v>
      </c>
      <c r="L55" s="382">
        <v>0</v>
      </c>
      <c r="M55" s="382">
        <v>0</v>
      </c>
      <c r="N55" s="382">
        <v>0</v>
      </c>
      <c r="O55" s="382">
        <v>0</v>
      </c>
      <c r="P55" s="382">
        <v>0</v>
      </c>
      <c r="Q55" s="382">
        <v>0</v>
      </c>
      <c r="R55" s="382">
        <v>0</v>
      </c>
      <c r="S55" s="382">
        <v>0</v>
      </c>
    </row>
    <row r="56" spans="1:19" ht="13.95" customHeight="1">
      <c r="A56" s="370" t="s">
        <v>96</v>
      </c>
      <c r="B56" s="371" t="s">
        <v>62</v>
      </c>
      <c r="C56" s="370" t="s">
        <v>63</v>
      </c>
      <c r="D56" s="382"/>
      <c r="E56" s="382">
        <v>41.214172000000012</v>
      </c>
      <c r="F56" s="382">
        <v>41.214172000000012</v>
      </c>
      <c r="G56" s="382">
        <v>26.182017000000009</v>
      </c>
      <c r="H56" s="382">
        <v>1.972343</v>
      </c>
      <c r="I56" s="382">
        <v>0.49669999999999997</v>
      </c>
      <c r="J56" s="382">
        <v>0.77539800000000003</v>
      </c>
      <c r="K56" s="382">
        <v>0.8992</v>
      </c>
      <c r="L56" s="382">
        <v>1.8447150000000001</v>
      </c>
      <c r="M56" s="382">
        <v>1.1514150000000001</v>
      </c>
      <c r="N56" s="382">
        <v>1</v>
      </c>
      <c r="O56" s="382">
        <v>2.879572</v>
      </c>
      <c r="P56" s="382">
        <v>0.93673999999999991</v>
      </c>
      <c r="Q56" s="382">
        <v>1.19933</v>
      </c>
      <c r="R56" s="382">
        <v>0.81694899999999993</v>
      </c>
      <c r="S56" s="382">
        <v>1.059793</v>
      </c>
    </row>
    <row r="57" spans="1:19" ht="13.95" customHeight="1">
      <c r="A57" s="370" t="s">
        <v>98</v>
      </c>
      <c r="B57" s="371" t="s">
        <v>632</v>
      </c>
      <c r="C57" s="370" t="s">
        <v>66</v>
      </c>
      <c r="D57" s="382"/>
      <c r="E57" s="382">
        <v>0.48929600000000001</v>
      </c>
      <c r="F57" s="382">
        <v>0.48929600000000001</v>
      </c>
      <c r="G57" s="382">
        <v>0.48929600000000001</v>
      </c>
      <c r="H57" s="382">
        <v>0</v>
      </c>
      <c r="I57" s="382">
        <v>0</v>
      </c>
      <c r="J57" s="382">
        <v>0</v>
      </c>
      <c r="K57" s="382">
        <v>0</v>
      </c>
      <c r="L57" s="382">
        <v>0</v>
      </c>
      <c r="M57" s="382">
        <v>0</v>
      </c>
      <c r="N57" s="382">
        <v>0</v>
      </c>
      <c r="O57" s="382">
        <v>0</v>
      </c>
      <c r="P57" s="382">
        <v>0</v>
      </c>
      <c r="Q57" s="382">
        <v>0</v>
      </c>
      <c r="R57" s="382">
        <v>0</v>
      </c>
      <c r="S57" s="382">
        <v>0</v>
      </c>
    </row>
    <row r="58" spans="1:19" ht="13.95" customHeight="1">
      <c r="A58" s="370" t="s">
        <v>101</v>
      </c>
      <c r="B58" s="371" t="s">
        <v>68</v>
      </c>
      <c r="C58" s="370" t="s">
        <v>69</v>
      </c>
      <c r="D58" s="382"/>
      <c r="E58" s="382">
        <v>0</v>
      </c>
      <c r="F58" s="382">
        <v>0</v>
      </c>
      <c r="G58" s="382">
        <v>0</v>
      </c>
      <c r="H58" s="382">
        <v>0</v>
      </c>
      <c r="I58" s="382">
        <v>0</v>
      </c>
      <c r="J58" s="382">
        <v>0</v>
      </c>
      <c r="K58" s="382">
        <v>0</v>
      </c>
      <c r="L58" s="382">
        <v>0</v>
      </c>
      <c r="M58" s="382">
        <v>0</v>
      </c>
      <c r="N58" s="382">
        <v>0</v>
      </c>
      <c r="O58" s="382">
        <v>0</v>
      </c>
      <c r="P58" s="382">
        <v>0</v>
      </c>
      <c r="Q58" s="382">
        <v>0</v>
      </c>
      <c r="R58" s="382">
        <v>0</v>
      </c>
      <c r="S58" s="382">
        <v>0</v>
      </c>
    </row>
    <row r="59" spans="1:19" ht="13.95" customHeight="1">
      <c r="A59" s="370" t="s">
        <v>104</v>
      </c>
      <c r="B59" s="371" t="s">
        <v>348</v>
      </c>
      <c r="C59" s="370" t="s">
        <v>109</v>
      </c>
      <c r="D59" s="382"/>
      <c r="E59" s="382">
        <v>4.0704770000000003</v>
      </c>
      <c r="F59" s="382">
        <v>4.0704770000000003</v>
      </c>
      <c r="G59" s="382">
        <v>0</v>
      </c>
      <c r="H59" s="382">
        <v>0</v>
      </c>
      <c r="I59" s="382">
        <v>0</v>
      </c>
      <c r="J59" s="382">
        <v>2</v>
      </c>
      <c r="K59" s="382">
        <v>0</v>
      </c>
      <c r="L59" s="382">
        <v>1</v>
      </c>
      <c r="M59" s="382">
        <v>0</v>
      </c>
      <c r="N59" s="382">
        <v>0.3</v>
      </c>
      <c r="O59" s="382">
        <v>0.700291</v>
      </c>
      <c r="P59" s="382">
        <v>4.0466000000000002E-2</v>
      </c>
      <c r="Q59" s="382">
        <v>2.972E-2</v>
      </c>
      <c r="R59" s="382">
        <v>0</v>
      </c>
      <c r="S59" s="382">
        <v>0</v>
      </c>
    </row>
    <row r="60" spans="1:19" ht="13.95" customHeight="1">
      <c r="A60" s="370" t="s">
        <v>107</v>
      </c>
      <c r="B60" s="375" t="s">
        <v>242</v>
      </c>
      <c r="C60" s="370" t="s">
        <v>116</v>
      </c>
      <c r="D60" s="382"/>
      <c r="E60" s="382">
        <v>1265.7911100000001</v>
      </c>
      <c r="F60" s="382">
        <v>1265.7911100000001</v>
      </c>
      <c r="G60" s="382">
        <v>13.470829999999999</v>
      </c>
      <c r="H60" s="382">
        <v>12.895423999999998</v>
      </c>
      <c r="I60" s="382">
        <v>12.68885</v>
      </c>
      <c r="J60" s="382">
        <v>49.048017000000002</v>
      </c>
      <c r="K60" s="382">
        <v>30.272255000000001</v>
      </c>
      <c r="L60" s="382">
        <v>66.486547000000002</v>
      </c>
      <c r="M60" s="382">
        <v>80.496714999999995</v>
      </c>
      <c r="N60" s="382">
        <v>76.199005999999997</v>
      </c>
      <c r="O60" s="382">
        <v>508.15332000000001</v>
      </c>
      <c r="P60" s="382">
        <v>113.57554200000001</v>
      </c>
      <c r="Q60" s="382">
        <v>40.57696</v>
      </c>
      <c r="R60" s="382">
        <v>23.782829</v>
      </c>
      <c r="S60" s="382">
        <v>238.14481499999999</v>
      </c>
    </row>
    <row r="61" spans="1:19" ht="13.95" customHeight="1">
      <c r="A61" s="370" t="s">
        <v>110</v>
      </c>
      <c r="B61" s="375" t="s">
        <v>272</v>
      </c>
      <c r="C61" s="370" t="s">
        <v>114</v>
      </c>
      <c r="D61" s="382"/>
      <c r="E61" s="382">
        <v>317.92102115499335</v>
      </c>
      <c r="F61" s="382">
        <v>317.92102115499335</v>
      </c>
      <c r="G61" s="382">
        <v>20.856300000000001</v>
      </c>
      <c r="H61" s="382">
        <v>9.7864090000000008</v>
      </c>
      <c r="I61" s="382">
        <v>1.9300000000000001E-2</v>
      </c>
      <c r="J61" s="382">
        <v>80.005970000000005</v>
      </c>
      <c r="K61" s="382">
        <v>59.362230154993306</v>
      </c>
      <c r="L61" s="382">
        <v>0</v>
      </c>
      <c r="M61" s="382">
        <v>79.479578000000004</v>
      </c>
      <c r="N61" s="382">
        <v>0</v>
      </c>
      <c r="O61" s="382">
        <v>9.0545480000000005</v>
      </c>
      <c r="P61" s="382">
        <v>59.356686000000003</v>
      </c>
      <c r="Q61" s="382">
        <v>0</v>
      </c>
      <c r="R61" s="382">
        <v>0</v>
      </c>
      <c r="S61" s="382">
        <v>0</v>
      </c>
    </row>
    <row r="62" spans="1:19" ht="13.95" customHeight="1">
      <c r="A62" s="370" t="s">
        <v>112</v>
      </c>
      <c r="B62" s="375" t="s">
        <v>148</v>
      </c>
      <c r="C62" s="370" t="s">
        <v>149</v>
      </c>
      <c r="D62" s="382"/>
      <c r="E62" s="382">
        <v>94.483499510008656</v>
      </c>
      <c r="F62" s="385">
        <v>94.483499510008656</v>
      </c>
      <c r="G62" s="382">
        <v>2.4984599999999997</v>
      </c>
      <c r="H62" s="382">
        <v>3.4913192500069741</v>
      </c>
      <c r="I62" s="382">
        <v>27.129239999999989</v>
      </c>
      <c r="J62" s="382">
        <v>10.90856</v>
      </c>
      <c r="K62" s="382">
        <v>7</v>
      </c>
      <c r="L62" s="382">
        <v>16.164999999999999</v>
      </c>
      <c r="M62" s="382">
        <v>6</v>
      </c>
      <c r="N62" s="382">
        <v>6</v>
      </c>
      <c r="O62" s="382">
        <v>3.1111292600017042</v>
      </c>
      <c r="P62" s="382">
        <v>4.1797909999999998</v>
      </c>
      <c r="Q62" s="382">
        <v>2</v>
      </c>
      <c r="R62" s="382">
        <v>3</v>
      </c>
      <c r="S62" s="382">
        <v>3</v>
      </c>
    </row>
    <row r="63" spans="1:19" s="376" customFormat="1" ht="13.95" customHeight="1">
      <c r="A63" s="360" t="s">
        <v>150</v>
      </c>
      <c r="B63" s="359" t="s">
        <v>151</v>
      </c>
      <c r="C63" s="360" t="s">
        <v>152</v>
      </c>
      <c r="D63" s="380"/>
      <c r="E63" s="380">
        <v>0</v>
      </c>
      <c r="F63" s="380">
        <v>0</v>
      </c>
      <c r="G63" s="380">
        <v>0</v>
      </c>
      <c r="H63" s="380">
        <v>0</v>
      </c>
      <c r="I63" s="380">
        <v>0</v>
      </c>
      <c r="J63" s="380">
        <v>0</v>
      </c>
      <c r="K63" s="380">
        <v>0</v>
      </c>
      <c r="L63" s="380">
        <v>0</v>
      </c>
      <c r="M63" s="380">
        <v>0</v>
      </c>
      <c r="N63" s="380">
        <v>0</v>
      </c>
      <c r="O63" s="380">
        <v>0</v>
      </c>
      <c r="P63" s="380">
        <v>0</v>
      </c>
      <c r="Q63" s="380">
        <v>0</v>
      </c>
      <c r="R63" s="380">
        <v>0</v>
      </c>
      <c r="S63" s="380">
        <v>0</v>
      </c>
    </row>
    <row r="64" spans="1:19" s="376" customFormat="1" ht="13.95" customHeight="1">
      <c r="A64" s="360" t="s">
        <v>236</v>
      </c>
      <c r="B64" s="359" t="s">
        <v>624</v>
      </c>
      <c r="C64" s="360"/>
      <c r="D64" s="380"/>
      <c r="E64" s="380">
        <v>60469.861766871065</v>
      </c>
      <c r="F64" s="380">
        <v>60469.861766871065</v>
      </c>
      <c r="G64" s="380">
        <v>6965.264088599999</v>
      </c>
      <c r="H64" s="380">
        <v>8174.512255220001</v>
      </c>
      <c r="I64" s="380">
        <v>724.84408000000008</v>
      </c>
      <c r="J64" s="380">
        <v>3857.1393549999998</v>
      </c>
      <c r="K64" s="380">
        <v>3226.8869920000002</v>
      </c>
      <c r="L64" s="380">
        <v>3851.6170040249995</v>
      </c>
      <c r="M64" s="380">
        <v>4386.6680465499421</v>
      </c>
      <c r="N64" s="380">
        <v>3633.1005931059963</v>
      </c>
      <c r="O64" s="380">
        <v>6351.9081167008189</v>
      </c>
      <c r="P64" s="380">
        <v>8251.5058613057899</v>
      </c>
      <c r="Q64" s="380">
        <v>3713.6557300000004</v>
      </c>
      <c r="R64" s="380">
        <v>2178.2126170000001</v>
      </c>
      <c r="S64" s="380">
        <v>5154.5470273635256</v>
      </c>
    </row>
    <row r="65" spans="1:19" s="376" customFormat="1" ht="13.95" customHeight="1">
      <c r="A65" s="360" t="s">
        <v>153</v>
      </c>
      <c r="B65" s="359" t="s">
        <v>154</v>
      </c>
      <c r="C65" s="360" t="s">
        <v>155</v>
      </c>
      <c r="D65" s="380"/>
      <c r="E65" s="380">
        <v>0</v>
      </c>
      <c r="F65" s="380">
        <v>0</v>
      </c>
      <c r="G65" s="380">
        <v>0</v>
      </c>
      <c r="H65" s="380">
        <v>0</v>
      </c>
      <c r="I65" s="380">
        <v>0</v>
      </c>
      <c r="J65" s="380">
        <v>0</v>
      </c>
      <c r="K65" s="380">
        <v>0</v>
      </c>
      <c r="L65" s="380">
        <v>0</v>
      </c>
      <c r="M65" s="380">
        <v>0</v>
      </c>
      <c r="N65" s="380">
        <v>0</v>
      </c>
      <c r="O65" s="380">
        <v>0</v>
      </c>
      <c r="P65" s="380">
        <v>0</v>
      </c>
      <c r="Q65" s="380">
        <v>0</v>
      </c>
      <c r="R65" s="380">
        <v>0</v>
      </c>
      <c r="S65" s="380">
        <v>0</v>
      </c>
    </row>
    <row r="66" spans="1:19" s="376" customFormat="1" ht="13.95" customHeight="1">
      <c r="A66" s="360" t="s">
        <v>156</v>
      </c>
      <c r="B66" s="359" t="s">
        <v>157</v>
      </c>
      <c r="C66" s="360" t="s">
        <v>158</v>
      </c>
      <c r="D66" s="380"/>
      <c r="E66" s="380">
        <v>0</v>
      </c>
      <c r="F66" s="380">
        <v>0</v>
      </c>
      <c r="G66" s="380">
        <v>0</v>
      </c>
      <c r="H66" s="380">
        <v>0</v>
      </c>
      <c r="I66" s="380">
        <v>0</v>
      </c>
      <c r="J66" s="380">
        <v>0</v>
      </c>
      <c r="K66" s="380">
        <v>0</v>
      </c>
      <c r="L66" s="380">
        <v>0</v>
      </c>
      <c r="M66" s="380">
        <v>0</v>
      </c>
      <c r="N66" s="380">
        <v>0</v>
      </c>
      <c r="O66" s="380">
        <v>0</v>
      </c>
      <c r="P66" s="380">
        <v>0</v>
      </c>
      <c r="Q66" s="380">
        <v>0</v>
      </c>
      <c r="R66" s="380">
        <v>0</v>
      </c>
      <c r="S66" s="380">
        <v>0</v>
      </c>
    </row>
    <row r="67" spans="1:19" s="376" customFormat="1" ht="13.95" customHeight="1">
      <c r="A67" s="360" t="s">
        <v>150</v>
      </c>
      <c r="B67" s="359" t="s">
        <v>159</v>
      </c>
      <c r="C67" s="360" t="s">
        <v>160</v>
      </c>
      <c r="D67" s="380"/>
      <c r="E67" s="380">
        <v>8986.4824819999994</v>
      </c>
      <c r="F67" s="380">
        <v>8986.4824819999994</v>
      </c>
      <c r="G67" s="380">
        <v>4273.0898819999993</v>
      </c>
      <c r="H67" s="380">
        <v>4713.3925999999992</v>
      </c>
      <c r="I67" s="380">
        <v>0</v>
      </c>
      <c r="J67" s="380">
        <v>0</v>
      </c>
      <c r="K67" s="380">
        <v>0</v>
      </c>
      <c r="L67" s="380">
        <v>0</v>
      </c>
      <c r="M67" s="380">
        <v>0</v>
      </c>
      <c r="N67" s="380">
        <v>0</v>
      </c>
      <c r="O67" s="380">
        <v>0</v>
      </c>
      <c r="P67" s="380">
        <v>0</v>
      </c>
      <c r="Q67" s="380">
        <v>0</v>
      </c>
      <c r="R67" s="380">
        <v>0</v>
      </c>
      <c r="S67" s="380">
        <v>0</v>
      </c>
    </row>
    <row r="68" spans="1:19" s="376" customFormat="1" ht="42" customHeight="1">
      <c r="A68" s="360" t="s">
        <v>171</v>
      </c>
      <c r="B68" s="359" t="s">
        <v>307</v>
      </c>
      <c r="C68" s="360" t="s">
        <v>308</v>
      </c>
      <c r="D68" s="380"/>
      <c r="E68" s="380">
        <v>35431.262740060862</v>
      </c>
      <c r="F68" s="380">
        <v>35431.262740060862</v>
      </c>
      <c r="G68" s="380">
        <v>1774.0539845999999</v>
      </c>
      <c r="H68" s="380">
        <v>1840.0996552200022</v>
      </c>
      <c r="I68" s="380">
        <v>204.20070399999997</v>
      </c>
      <c r="J68" s="380">
        <v>2891.9771580000001</v>
      </c>
      <c r="K68" s="380">
        <v>2303.7088440000002</v>
      </c>
      <c r="L68" s="380">
        <v>1989.90041002</v>
      </c>
      <c r="M68" s="380">
        <v>2775.7086004399534</v>
      </c>
      <c r="N68" s="380">
        <v>2725.999960284797</v>
      </c>
      <c r="O68" s="380">
        <v>4735.5886349606553</v>
      </c>
      <c r="P68" s="380">
        <v>6337.3887986446316</v>
      </c>
      <c r="Q68" s="380">
        <v>2730.3144320000001</v>
      </c>
      <c r="R68" s="380">
        <v>1203.2875535999999</v>
      </c>
      <c r="S68" s="380">
        <v>3919.0340042908206</v>
      </c>
    </row>
    <row r="69" spans="1:19" s="376" customFormat="1" ht="28.2" customHeight="1">
      <c r="A69" s="360" t="s">
        <v>172</v>
      </c>
      <c r="B69" s="359" t="s">
        <v>309</v>
      </c>
      <c r="C69" s="360" t="s">
        <v>310</v>
      </c>
      <c r="D69" s="380"/>
      <c r="E69" s="380">
        <v>0</v>
      </c>
      <c r="F69" s="380">
        <v>0</v>
      </c>
      <c r="G69" s="380">
        <v>0</v>
      </c>
      <c r="H69" s="380">
        <v>0</v>
      </c>
      <c r="I69" s="380">
        <v>0</v>
      </c>
      <c r="J69" s="380">
        <v>0</v>
      </c>
      <c r="K69" s="380">
        <v>0</v>
      </c>
      <c r="L69" s="380">
        <v>0</v>
      </c>
      <c r="M69" s="380">
        <v>0</v>
      </c>
      <c r="N69" s="380">
        <v>0</v>
      </c>
      <c r="O69" s="380">
        <v>0</v>
      </c>
      <c r="P69" s="380">
        <v>0</v>
      </c>
      <c r="Q69" s="380">
        <v>0</v>
      </c>
      <c r="R69" s="380">
        <v>0</v>
      </c>
      <c r="S69" s="380">
        <v>0</v>
      </c>
    </row>
    <row r="70" spans="1:19" s="376" customFormat="1" ht="13.95" customHeight="1">
      <c r="A70" s="360" t="s">
        <v>173</v>
      </c>
      <c r="B70" s="359" t="s">
        <v>178</v>
      </c>
      <c r="C70" s="360" t="s">
        <v>179</v>
      </c>
      <c r="D70" s="380"/>
      <c r="E70" s="380">
        <v>72.06917</v>
      </c>
      <c r="F70" s="380">
        <v>72.06917</v>
      </c>
      <c r="G70" s="380">
        <v>72.06917</v>
      </c>
      <c r="H70" s="380">
        <v>0</v>
      </c>
      <c r="I70" s="380">
        <v>0</v>
      </c>
      <c r="J70" s="380">
        <v>0</v>
      </c>
      <c r="K70" s="380">
        <v>0</v>
      </c>
      <c r="L70" s="380">
        <v>0</v>
      </c>
      <c r="M70" s="380">
        <v>0</v>
      </c>
      <c r="N70" s="380">
        <v>0</v>
      </c>
      <c r="O70" s="380">
        <v>0</v>
      </c>
      <c r="P70" s="380">
        <v>0</v>
      </c>
      <c r="Q70" s="380">
        <v>0</v>
      </c>
      <c r="R70" s="380">
        <v>0</v>
      </c>
      <c r="S70" s="380">
        <v>0</v>
      </c>
    </row>
    <row r="71" spans="1:19" s="376" customFormat="1" ht="28.2" customHeight="1">
      <c r="A71" s="360" t="s">
        <v>174</v>
      </c>
      <c r="B71" s="359" t="s">
        <v>311</v>
      </c>
      <c r="C71" s="360" t="s">
        <v>312</v>
      </c>
      <c r="D71" s="380"/>
      <c r="E71" s="380">
        <v>0</v>
      </c>
      <c r="F71" s="380">
        <v>0</v>
      </c>
      <c r="G71" s="380">
        <v>0</v>
      </c>
      <c r="H71" s="380">
        <v>0</v>
      </c>
      <c r="I71" s="380">
        <v>0</v>
      </c>
      <c r="J71" s="380">
        <v>0</v>
      </c>
      <c r="K71" s="380">
        <v>0</v>
      </c>
      <c r="L71" s="380">
        <v>0</v>
      </c>
      <c r="M71" s="380">
        <v>0</v>
      </c>
      <c r="N71" s="380">
        <v>0</v>
      </c>
      <c r="O71" s="380">
        <v>0</v>
      </c>
      <c r="P71" s="380">
        <v>0</v>
      </c>
      <c r="Q71" s="380">
        <v>0</v>
      </c>
      <c r="R71" s="380">
        <v>0</v>
      </c>
      <c r="S71" s="380">
        <v>0</v>
      </c>
    </row>
    <row r="72" spans="1:19" s="376" customFormat="1" ht="28.2" customHeight="1">
      <c r="A72" s="360" t="s">
        <v>177</v>
      </c>
      <c r="B72" s="359" t="s">
        <v>313</v>
      </c>
      <c r="C72" s="360" t="s">
        <v>314</v>
      </c>
      <c r="D72" s="380"/>
      <c r="E72" s="380">
        <v>4446.9784989999998</v>
      </c>
      <c r="F72" s="380">
        <v>4446.9784989999998</v>
      </c>
      <c r="G72" s="380">
        <v>514.10589900000002</v>
      </c>
      <c r="H72" s="380">
        <v>1621.02</v>
      </c>
      <c r="I72" s="380">
        <v>258.52260000000001</v>
      </c>
      <c r="J72" s="380">
        <v>0</v>
      </c>
      <c r="K72" s="380">
        <v>70</v>
      </c>
      <c r="L72" s="380">
        <v>1142.58</v>
      </c>
      <c r="M72" s="380">
        <v>75</v>
      </c>
      <c r="N72" s="380">
        <v>75</v>
      </c>
      <c r="O72" s="380">
        <v>0</v>
      </c>
      <c r="P72" s="380">
        <v>75</v>
      </c>
      <c r="Q72" s="380">
        <v>0</v>
      </c>
      <c r="R72" s="380">
        <v>540.75</v>
      </c>
      <c r="S72" s="380">
        <v>75</v>
      </c>
    </row>
    <row r="73" spans="1:19" s="376" customFormat="1" ht="13.95" customHeight="1">
      <c r="A73" s="360" t="s">
        <v>180</v>
      </c>
      <c r="B73" s="359" t="s">
        <v>315</v>
      </c>
      <c r="C73" s="360" t="s">
        <v>316</v>
      </c>
      <c r="D73" s="380"/>
      <c r="E73" s="380">
        <v>381.64515300000005</v>
      </c>
      <c r="F73" s="380">
        <v>381.64515300000005</v>
      </c>
      <c r="G73" s="380">
        <v>331.94515300000006</v>
      </c>
      <c r="H73" s="380">
        <v>0</v>
      </c>
      <c r="I73" s="380">
        <v>49.7</v>
      </c>
      <c r="J73" s="380">
        <v>0</v>
      </c>
      <c r="K73" s="380">
        <v>0</v>
      </c>
      <c r="L73" s="380">
        <v>0</v>
      </c>
      <c r="M73" s="380">
        <v>0</v>
      </c>
      <c r="N73" s="380">
        <v>0</v>
      </c>
      <c r="O73" s="380">
        <v>0</v>
      </c>
      <c r="P73" s="380">
        <v>0</v>
      </c>
      <c r="Q73" s="380">
        <v>0</v>
      </c>
      <c r="R73" s="380">
        <v>0</v>
      </c>
      <c r="S73" s="380">
        <v>0</v>
      </c>
    </row>
    <row r="74" spans="1:19" s="376" customFormat="1" ht="13.95" customHeight="1">
      <c r="A74" s="360" t="s">
        <v>321</v>
      </c>
      <c r="B74" s="359" t="s">
        <v>317</v>
      </c>
      <c r="C74" s="360" t="s">
        <v>318</v>
      </c>
      <c r="D74" s="380"/>
      <c r="E74" s="380">
        <v>0</v>
      </c>
      <c r="F74" s="380">
        <v>0</v>
      </c>
      <c r="G74" s="380">
        <v>0</v>
      </c>
      <c r="H74" s="380">
        <v>0</v>
      </c>
      <c r="I74" s="380">
        <v>0</v>
      </c>
      <c r="J74" s="380">
        <v>0</v>
      </c>
      <c r="K74" s="380">
        <v>0</v>
      </c>
      <c r="L74" s="380">
        <v>0</v>
      </c>
      <c r="M74" s="380">
        <v>0</v>
      </c>
      <c r="N74" s="380">
        <v>0</v>
      </c>
      <c r="O74" s="380">
        <v>0</v>
      </c>
      <c r="P74" s="380">
        <v>0</v>
      </c>
      <c r="Q74" s="380">
        <v>0</v>
      </c>
      <c r="R74" s="380">
        <v>0</v>
      </c>
      <c r="S74" s="380">
        <v>0</v>
      </c>
    </row>
    <row r="75" spans="1:19" s="376" customFormat="1" ht="13.95" customHeight="1">
      <c r="A75" s="360" t="s">
        <v>322</v>
      </c>
      <c r="B75" s="359" t="s">
        <v>175</v>
      </c>
      <c r="C75" s="360" t="s">
        <v>176</v>
      </c>
      <c r="D75" s="380"/>
      <c r="E75" s="380">
        <v>0</v>
      </c>
      <c r="F75" s="380">
        <v>0</v>
      </c>
      <c r="G75" s="380">
        <v>0</v>
      </c>
      <c r="H75" s="380">
        <v>0</v>
      </c>
      <c r="I75" s="380">
        <v>0</v>
      </c>
      <c r="J75" s="380">
        <v>0</v>
      </c>
      <c r="K75" s="380">
        <v>0</v>
      </c>
      <c r="L75" s="380">
        <v>0</v>
      </c>
      <c r="M75" s="380">
        <v>0</v>
      </c>
      <c r="N75" s="380">
        <v>0</v>
      </c>
      <c r="O75" s="380">
        <v>0</v>
      </c>
      <c r="P75" s="380">
        <v>0</v>
      </c>
      <c r="Q75" s="380">
        <v>0</v>
      </c>
      <c r="R75" s="380">
        <v>0</v>
      </c>
      <c r="S75" s="380">
        <v>0</v>
      </c>
    </row>
    <row r="76" spans="1:19" s="376" customFormat="1" ht="13.95" customHeight="1">
      <c r="A76" s="360" t="s">
        <v>323</v>
      </c>
      <c r="B76" s="359" t="s">
        <v>319</v>
      </c>
      <c r="C76" s="360" t="s">
        <v>320</v>
      </c>
      <c r="D76" s="380"/>
      <c r="E76" s="380">
        <v>9388.2919505102145</v>
      </c>
      <c r="F76" s="380">
        <v>9388.2919505102145</v>
      </c>
      <c r="G76" s="380">
        <v>0</v>
      </c>
      <c r="H76" s="380">
        <v>0</v>
      </c>
      <c r="I76" s="380">
        <v>169.35575600000004</v>
      </c>
      <c r="J76" s="380">
        <v>824.23325980000004</v>
      </c>
      <c r="K76" s="380">
        <v>687.87899100000004</v>
      </c>
      <c r="L76" s="380">
        <v>576.44471090499997</v>
      </c>
      <c r="M76" s="380">
        <v>897.58969090998835</v>
      </c>
      <c r="N76" s="380">
        <v>756.87298182119923</v>
      </c>
      <c r="O76" s="380">
        <v>1453.1691355401638</v>
      </c>
      <c r="P76" s="380">
        <v>1739.8615020611578</v>
      </c>
      <c r="Q76" s="380">
        <v>849.63464400000009</v>
      </c>
      <c r="R76" s="380">
        <v>385.61050119999999</v>
      </c>
      <c r="S76" s="380">
        <v>1047.640777272705</v>
      </c>
    </row>
    <row r="77" spans="1:19" s="376" customFormat="1" ht="28.2" customHeight="1">
      <c r="A77" s="360" t="s">
        <v>324</v>
      </c>
      <c r="B77" s="359" t="s">
        <v>181</v>
      </c>
      <c r="C77" s="360" t="s">
        <v>182</v>
      </c>
      <c r="D77" s="380"/>
      <c r="E77" s="380">
        <v>1763.1317723</v>
      </c>
      <c r="F77" s="380">
        <v>1763.1317723</v>
      </c>
      <c r="G77" s="380">
        <v>0</v>
      </c>
      <c r="H77" s="380">
        <v>0</v>
      </c>
      <c r="I77" s="380">
        <v>43.065020000000018</v>
      </c>
      <c r="J77" s="380">
        <v>140.92893720000001</v>
      </c>
      <c r="K77" s="380">
        <v>165.29915700000001</v>
      </c>
      <c r="L77" s="380">
        <v>142.69188309999998</v>
      </c>
      <c r="M77" s="380">
        <v>638.36975519999999</v>
      </c>
      <c r="N77" s="380">
        <v>75.227651000000009</v>
      </c>
      <c r="O77" s="380">
        <v>163.1503462</v>
      </c>
      <c r="P77" s="380">
        <v>99.25556060000001</v>
      </c>
      <c r="Q77" s="380">
        <v>133.70665400000001</v>
      </c>
      <c r="R77" s="380">
        <v>48.564562199999997</v>
      </c>
      <c r="S77" s="380">
        <v>112.8722458</v>
      </c>
    </row>
    <row r="78" spans="1:19" ht="13.2">
      <c r="A78" s="552" t="s">
        <v>652</v>
      </c>
      <c r="B78" s="552"/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</row>
  </sheetData>
  <mergeCells count="12">
    <mergeCell ref="A78:S78"/>
    <mergeCell ref="A1:S1"/>
    <mergeCell ref="A2:S2"/>
    <mergeCell ref="G4:S4"/>
    <mergeCell ref="A5:A6"/>
    <mergeCell ref="B5:B6"/>
    <mergeCell ref="C5:C6"/>
    <mergeCell ref="D5:D6"/>
    <mergeCell ref="E5:E6"/>
    <mergeCell ref="F5:F6"/>
    <mergeCell ref="G5:S5"/>
    <mergeCell ref="A3:S3"/>
  </mergeCells>
  <printOptions horizontalCentered="1"/>
  <pageMargins left="0.27559055118110237" right="0.27559055118110237" top="0.78740157480314965" bottom="0.23622047244094491" header="0" footer="0"/>
  <pageSetup paperSize="9" scale="8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2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+GETPIVOTDATA("XSR4",'suoirao (2016)'!$A$3,"MA_HT","LUC","MA_QH","LUK")</f>
        <v>0</v>
      </c>
      <c r="I8" s="74">
        <f>+GETPIVOTDATA("XSR4",'suoirao (2016)'!$A$3,"MA_HT","LUC","MA_QH","LUN")</f>
        <v>0</v>
      </c>
      <c r="J8" s="74">
        <f>+GETPIVOTDATA("XSR4",'suoirao (2016)'!$A$3,"MA_HT","LUC","MA_QH","HNK")</f>
        <v>0</v>
      </c>
      <c r="K8" s="74">
        <f>+GETPIVOTDATA("XSR4",'suoirao (2016)'!$A$3,"MA_HT","LUC","MA_QH","CLN")</f>
        <v>0</v>
      </c>
      <c r="L8" s="74">
        <f>+GETPIVOTDATA("XSR4",'suoirao (2016)'!$A$3,"MA_HT","LUC","MA_QH","RSX")</f>
        <v>0</v>
      </c>
      <c r="M8" s="74">
        <f>+GETPIVOTDATA("XSR4",'suoirao (2016)'!$A$3,"MA_HT","LUC","MA_QH","RPH")</f>
        <v>0</v>
      </c>
      <c r="N8" s="74">
        <f>+GETPIVOTDATA("XSR4",'suoirao (2016)'!$A$3,"MA_HT","LUC","MA_QH","RDD")</f>
        <v>0</v>
      </c>
      <c r="O8" s="74">
        <f>+GETPIVOTDATA("XSR4",'suoirao (2016)'!$A$3,"MA_HT","LUC","MA_QH","NTS")</f>
        <v>0</v>
      </c>
      <c r="P8" s="74">
        <f>+GETPIVOTDATA("XSR4",'suoirao (2016)'!$A$3,"MA_HT","LUC","MA_QH","LMU")</f>
        <v>0</v>
      </c>
      <c r="Q8" s="74">
        <f>+GETPIVOTDATA("XSR4",'suoirao (2016)'!$A$3,"MA_HT","LUC","MA_QH","NKH")</f>
        <v>0</v>
      </c>
      <c r="R8" s="72">
        <f>SUM(S8:AA8,AN8:BD8)</f>
        <v>0</v>
      </c>
      <c r="S8" s="74">
        <f>+GETPIVOTDATA("XSR4",'suoirao (2016)'!$A$3,"MA_HT","LUC","MA_QH","CQP")</f>
        <v>0</v>
      </c>
      <c r="T8" s="74">
        <f>+GETPIVOTDATA("XSR4",'suoirao (2016)'!$A$3,"MA_HT","LUC","MA_QH","CAN")</f>
        <v>0</v>
      </c>
      <c r="U8" s="74">
        <f>+GETPIVOTDATA("XSR4",'suoirao (2016)'!$A$3,"MA_HT","LUC","MA_QH","SKK")</f>
        <v>0</v>
      </c>
      <c r="V8" s="74">
        <f>+GETPIVOTDATA("XSR4",'suoirao (2016)'!$A$3,"MA_HT","LUC","MA_QH","SKT")</f>
        <v>0</v>
      </c>
      <c r="W8" s="74">
        <f>+GETPIVOTDATA("XSR4",'suoirao (2016)'!$A$3,"MA_HT","LUC","MA_QH","SKN")</f>
        <v>0</v>
      </c>
      <c r="X8" s="74">
        <f>+GETPIVOTDATA("XSR4",'suoirao (2016)'!$A$3,"MA_HT","LUC","MA_QH","TMD")</f>
        <v>0</v>
      </c>
      <c r="Y8" s="74">
        <f>+GETPIVOTDATA("XSR4",'suoirao (2016)'!$A$3,"MA_HT","LUC","MA_QH","SKC")</f>
        <v>0</v>
      </c>
      <c r="Z8" s="74">
        <f>+GETPIVOTDATA("XSR4",'suoirao (2016)'!$A$3,"MA_HT","LUC","MA_QH","SKS")</f>
        <v>0</v>
      </c>
      <c r="AA8" s="64">
        <f t="shared" si="4"/>
        <v>0</v>
      </c>
      <c r="AB8" s="74">
        <f>+GETPIVOTDATA("XSR4",'suoirao (2016)'!$A$3,"MA_HT","LUC","MA_QH","DGT")</f>
        <v>0</v>
      </c>
      <c r="AC8" s="74">
        <f>+GETPIVOTDATA("XSR4",'suoirao (2016)'!$A$3,"MA_HT","LUC","MA_QH","DTL")</f>
        <v>0</v>
      </c>
      <c r="AD8" s="74">
        <f>+GETPIVOTDATA("XSR4",'suoirao (2016)'!$A$3,"MA_HT","LUC","MA_QH","DNL")</f>
        <v>0</v>
      </c>
      <c r="AE8" s="74">
        <f>+GETPIVOTDATA("XSR4",'suoirao (2016)'!$A$3,"MA_HT","LUC","MA_QH","DBV")</f>
        <v>0</v>
      </c>
      <c r="AF8" s="74">
        <f>+GETPIVOTDATA("XSR4",'suoirao (2016)'!$A$3,"MA_HT","LUC","MA_QH","DVH")</f>
        <v>0</v>
      </c>
      <c r="AG8" s="74">
        <f>+GETPIVOTDATA("XSR4",'suoirao (2016)'!$A$3,"MA_HT","LUC","MA_QH","DYT")</f>
        <v>0</v>
      </c>
      <c r="AH8" s="74">
        <f>+GETPIVOTDATA("XSR4",'suoirao (2016)'!$A$3,"MA_HT","LUC","MA_QH","DGD")</f>
        <v>0</v>
      </c>
      <c r="AI8" s="74">
        <f>+GETPIVOTDATA("XSR4",'suoirao (2016)'!$A$3,"MA_HT","LUC","MA_QH","DTT")</f>
        <v>0</v>
      </c>
      <c r="AJ8" s="74">
        <f>+GETPIVOTDATA("XSR4",'suoirao (2016)'!$A$3,"MA_HT","LUC","MA_QH","NCK")</f>
        <v>0</v>
      </c>
      <c r="AK8" s="74">
        <f>+GETPIVOTDATA("XSR4",'suoirao (2016)'!$A$3,"MA_HT","LUC","MA_QH","DXH")</f>
        <v>0</v>
      </c>
      <c r="AL8" s="74">
        <f>+GETPIVOTDATA("XSR4",'suoirao (2016)'!$A$3,"MA_HT","LUC","MA_QH","DCH")</f>
        <v>0</v>
      </c>
      <c r="AM8" s="74">
        <f>+GETPIVOTDATA("XSR4",'suoirao (2016)'!$A$3,"MA_HT","LUC","MA_QH","DKG")</f>
        <v>0</v>
      </c>
      <c r="AN8" s="74">
        <f>+GETPIVOTDATA("XSR4",'suoirao (2016)'!$A$3,"MA_HT","LUC","MA_QH","DDT")</f>
        <v>0</v>
      </c>
      <c r="AO8" s="74">
        <f>+GETPIVOTDATA("XSR4",'suoirao (2016)'!$A$3,"MA_HT","LUC","MA_QH","DDL")</f>
        <v>0</v>
      </c>
      <c r="AP8" s="74">
        <f>+GETPIVOTDATA("XSR4",'suoirao (2016)'!$A$3,"MA_HT","LUC","MA_QH","DRA")</f>
        <v>0</v>
      </c>
      <c r="AQ8" s="74">
        <f>+GETPIVOTDATA("XSR4",'suoirao (2016)'!$A$3,"MA_HT","LUC","MA_QH","ONT")</f>
        <v>0</v>
      </c>
      <c r="AR8" s="74">
        <f>+GETPIVOTDATA("XSR4",'suoirao (2016)'!$A$3,"MA_HT","LUC","MA_QH","ODT")</f>
        <v>0</v>
      </c>
      <c r="AS8" s="74">
        <f>+GETPIVOTDATA("XSR4",'suoirao (2016)'!$A$3,"MA_HT","LUC","MA_QH","TSC")</f>
        <v>0</v>
      </c>
      <c r="AT8" s="74">
        <f>+GETPIVOTDATA("XSR4",'suoirao (2016)'!$A$3,"MA_HT","LUC","MA_QH","DTS")</f>
        <v>0</v>
      </c>
      <c r="AU8" s="74">
        <f>+GETPIVOTDATA("XSR4",'suoirao (2016)'!$A$3,"MA_HT","LUC","MA_QH","DNG")</f>
        <v>0</v>
      </c>
      <c r="AV8" s="74">
        <f>+GETPIVOTDATA("XSR4",'suoirao (2016)'!$A$3,"MA_HT","LUC","MA_QH","TON")</f>
        <v>0</v>
      </c>
      <c r="AW8" s="74">
        <f>+GETPIVOTDATA("XSR4",'suoirao (2016)'!$A$3,"MA_HT","LUC","MA_QH","NTD")</f>
        <v>0</v>
      </c>
      <c r="AX8" s="74">
        <f>+GETPIVOTDATA("XSR4",'suoirao (2016)'!$A$3,"MA_HT","LUC","MA_QH","SKX")</f>
        <v>0</v>
      </c>
      <c r="AY8" s="74">
        <f>+GETPIVOTDATA("XSR4",'suoirao (2016)'!$A$3,"MA_HT","LUC","MA_QH","DSH")</f>
        <v>0</v>
      </c>
      <c r="AZ8" s="74">
        <f>+GETPIVOTDATA("XSR4",'suoirao (2016)'!$A$3,"MA_HT","LUC","MA_QH","DKV")</f>
        <v>0</v>
      </c>
      <c r="BA8" s="139">
        <f>+GETPIVOTDATA("XSR4",'suoirao (2016)'!$A$3,"MA_HT","LUC","MA_QH","TIN")</f>
        <v>0</v>
      </c>
      <c r="BB8" s="74">
        <f>+GETPIVOTDATA("XSR4",'suoirao (2016)'!$A$3,"MA_HT","LUC","MA_QH","SON")</f>
        <v>0</v>
      </c>
      <c r="BC8" s="74">
        <f>+GETPIVOTDATA("XSR4",'suoirao (2016)'!$A$3,"MA_HT","LUC","MA_QH","MNC")</f>
        <v>0</v>
      </c>
      <c r="BD8" s="74">
        <f>+GETPIVOTDATA("XSR4",'suoirao (2016)'!$A$3,"MA_HT","LUC","MA_QH","PNK")</f>
        <v>0</v>
      </c>
      <c r="BE8" s="102">
        <f>+GETPIVOTDATA("XSR4",'suoirao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+GETPIVOTDATA("XSR4",'suoirao (2016)'!$A$3,"MA_HT","LUK","MA_QH","LUC")</f>
        <v>0</v>
      </c>
      <c r="H9" s="100" t="e">
        <f>$D9-$BF9</f>
        <v>#REF!</v>
      </c>
      <c r="I9" s="74">
        <f>+GETPIVOTDATA("XSR4",'suoirao (2016)'!$A$3,"MA_HT","LUK","MA_QH","LUN")</f>
        <v>0</v>
      </c>
      <c r="J9" s="74">
        <f>+GETPIVOTDATA("XSR4",'suoirao (2016)'!$A$3,"MA_HT","LUK","MA_QH","HNK")</f>
        <v>0</v>
      </c>
      <c r="K9" s="74">
        <f>+GETPIVOTDATA("XSR4",'suoirao (2016)'!$A$3,"MA_HT","LUK","MA_QH","CLN")</f>
        <v>0</v>
      </c>
      <c r="L9" s="74">
        <f>+GETPIVOTDATA("XSR4",'suoirao (2016)'!$A$3,"MA_HT","LUK","MA_QH","RSX")</f>
        <v>0</v>
      </c>
      <c r="M9" s="74">
        <f>+GETPIVOTDATA("XSR4",'suoirao (2016)'!$A$3,"MA_HT","LUK","MA_QH","RPH")</f>
        <v>0</v>
      </c>
      <c r="N9" s="74">
        <f>+GETPIVOTDATA("XSR4",'suoirao (2016)'!$A$3,"MA_HT","LUK","MA_QH","RDD")</f>
        <v>0</v>
      </c>
      <c r="O9" s="74">
        <f>+GETPIVOTDATA("XSR4",'suoirao (2016)'!$A$3,"MA_HT","LUK","MA_QH","NTS")</f>
        <v>0</v>
      </c>
      <c r="P9" s="74">
        <f>+GETPIVOTDATA("XSR4",'suoirao (2016)'!$A$3,"MA_HT","LUK","MA_QH","LMU")</f>
        <v>0</v>
      </c>
      <c r="Q9" s="74">
        <f>+GETPIVOTDATA("XSR4",'suoirao (2016)'!$A$3,"MA_HT","LUK","MA_QH","NKH")</f>
        <v>0</v>
      </c>
      <c r="R9" s="72">
        <f t="shared" si="2"/>
        <v>0</v>
      </c>
      <c r="S9" s="74">
        <f>+GETPIVOTDATA("XSR4",'suoirao (2016)'!$A$3,"MA_HT","LUK","MA_QH","CQP")</f>
        <v>0</v>
      </c>
      <c r="T9" s="74">
        <f>+GETPIVOTDATA("XSR4",'suoirao (2016)'!$A$3,"MA_HT","LUK","MA_QH","CAN")</f>
        <v>0</v>
      </c>
      <c r="U9" s="74">
        <f>+GETPIVOTDATA("XSR4",'suoirao (2016)'!$A$3,"MA_HT","LUK","MA_QH","SKK")</f>
        <v>0</v>
      </c>
      <c r="V9" s="74">
        <f>+GETPIVOTDATA("XSR4",'suoirao (2016)'!$A$3,"MA_HT","LUK","MA_QH","SKT")</f>
        <v>0</v>
      </c>
      <c r="W9" s="74">
        <f>+GETPIVOTDATA("XSR4",'suoirao (2016)'!$A$3,"MA_HT","LUK","MA_QH","SKN")</f>
        <v>0</v>
      </c>
      <c r="X9" s="74">
        <f>+GETPIVOTDATA("XSR4",'suoirao (2016)'!$A$3,"MA_HT","LUK","MA_QH","TMD")</f>
        <v>0</v>
      </c>
      <c r="Y9" s="74">
        <f>+GETPIVOTDATA("XSR4",'suoirao (2016)'!$A$3,"MA_HT","LUK","MA_QH","SKC")</f>
        <v>0</v>
      </c>
      <c r="Z9" s="74">
        <f>+GETPIVOTDATA("XSR4",'suoirao (2016)'!$A$3,"MA_HT","LUK","MA_QH","SKS")</f>
        <v>0</v>
      </c>
      <c r="AA9" s="64">
        <f t="shared" si="4"/>
        <v>0</v>
      </c>
      <c r="AB9" s="74">
        <f>+GETPIVOTDATA("XSR4",'suoirao (2016)'!$A$3,"MA_HT","LUK","MA_QH","DGT")</f>
        <v>0</v>
      </c>
      <c r="AC9" s="74">
        <f>+GETPIVOTDATA("XSR4",'suoirao (2016)'!$A$3,"MA_HT","LUK","MA_QH","DTL")</f>
        <v>0</v>
      </c>
      <c r="AD9" s="74">
        <f>+GETPIVOTDATA("XSR4",'suoirao (2016)'!$A$3,"MA_HT","LUK","MA_QH","DNL")</f>
        <v>0</v>
      </c>
      <c r="AE9" s="74">
        <f>+GETPIVOTDATA("XSR4",'suoirao (2016)'!$A$3,"MA_HT","LUK","MA_QH","DBV")</f>
        <v>0</v>
      </c>
      <c r="AF9" s="74">
        <f>+GETPIVOTDATA("XSR4",'suoirao (2016)'!$A$3,"MA_HT","LUK","MA_QH","DVH")</f>
        <v>0</v>
      </c>
      <c r="AG9" s="74">
        <f>+GETPIVOTDATA("XSR4",'suoirao (2016)'!$A$3,"MA_HT","LUK","MA_QH","DYT")</f>
        <v>0</v>
      </c>
      <c r="AH9" s="74">
        <f>+GETPIVOTDATA("XSR4",'suoirao (2016)'!$A$3,"MA_HT","LUK","MA_QH","DGD")</f>
        <v>0</v>
      </c>
      <c r="AI9" s="74">
        <f>+GETPIVOTDATA("XSR4",'suoirao (2016)'!$A$3,"MA_HT","LUK","MA_QH","DTT")</f>
        <v>0</v>
      </c>
      <c r="AJ9" s="74">
        <f>+GETPIVOTDATA("XSR4",'suoirao (2016)'!$A$3,"MA_HT","LUK","MA_QH","NCK")</f>
        <v>0</v>
      </c>
      <c r="AK9" s="74">
        <f>+GETPIVOTDATA("XSR4",'suoirao (2016)'!$A$3,"MA_HT","LUK","MA_QH","DXH")</f>
        <v>0</v>
      </c>
      <c r="AL9" s="74">
        <f>+GETPIVOTDATA("XSR4",'suoirao (2016)'!$A$3,"MA_HT","LUK","MA_QH","DCH")</f>
        <v>0</v>
      </c>
      <c r="AM9" s="74">
        <f>+GETPIVOTDATA("XSR4",'suoirao (2016)'!$A$3,"MA_HT","LUK","MA_QH","DKG")</f>
        <v>0</v>
      </c>
      <c r="AN9" s="74">
        <f>+GETPIVOTDATA("XSR4",'suoirao (2016)'!$A$3,"MA_HT","LUK","MA_QH","DDT")</f>
        <v>0</v>
      </c>
      <c r="AO9" s="74">
        <f>+GETPIVOTDATA("XSR4",'suoirao (2016)'!$A$3,"MA_HT","LUK","MA_QH","DDL")</f>
        <v>0</v>
      </c>
      <c r="AP9" s="74">
        <f>+GETPIVOTDATA("XSR4",'suoirao (2016)'!$A$3,"MA_HT","LUK","MA_QH","DRA")</f>
        <v>0</v>
      </c>
      <c r="AQ9" s="74">
        <f>+GETPIVOTDATA("XSR4",'suoirao (2016)'!$A$3,"MA_HT","LUK","MA_QH","ONT")</f>
        <v>0</v>
      </c>
      <c r="AR9" s="74">
        <f>+GETPIVOTDATA("XSR4",'suoirao (2016)'!$A$3,"MA_HT","LUK","MA_QH","ODT")</f>
        <v>0</v>
      </c>
      <c r="AS9" s="74">
        <f>+GETPIVOTDATA("XSR4",'suoirao (2016)'!$A$3,"MA_HT","LUK","MA_QH","TSC")</f>
        <v>0</v>
      </c>
      <c r="AT9" s="74">
        <f>+GETPIVOTDATA("XSR4",'suoirao (2016)'!$A$3,"MA_HT","LUK","MA_QH","DTS")</f>
        <v>0</v>
      </c>
      <c r="AU9" s="74">
        <f>+GETPIVOTDATA("XSR4",'suoirao (2016)'!$A$3,"MA_HT","LUK","MA_QH","DNG")</f>
        <v>0</v>
      </c>
      <c r="AV9" s="74">
        <f>+GETPIVOTDATA("XSR4",'suoirao (2016)'!$A$3,"MA_HT","LUK","MA_QH","TON")</f>
        <v>0</v>
      </c>
      <c r="AW9" s="74">
        <f>+GETPIVOTDATA("XSR4",'suoirao (2016)'!$A$3,"MA_HT","LUK","MA_QH","NTD")</f>
        <v>0</v>
      </c>
      <c r="AX9" s="74">
        <f>+GETPIVOTDATA("XSR4",'suoirao (2016)'!$A$3,"MA_HT","LUK","MA_QH","SKX")</f>
        <v>0</v>
      </c>
      <c r="AY9" s="74">
        <f>+GETPIVOTDATA("XSR4",'suoirao (2016)'!$A$3,"MA_HT","LUK","MA_QH","DSH")</f>
        <v>0</v>
      </c>
      <c r="AZ9" s="74">
        <f>+GETPIVOTDATA("XSR4",'suoirao (2016)'!$A$3,"MA_HT","LUK","MA_QH","DKV")</f>
        <v>0</v>
      </c>
      <c r="BA9" s="139">
        <f>+GETPIVOTDATA("XSR4",'suoirao (2016)'!$A$3,"MA_HT","LUK","MA_QH","TIN")</f>
        <v>0</v>
      </c>
      <c r="BB9" s="74">
        <f>+GETPIVOTDATA("XSR4",'suoirao (2016)'!$A$3,"MA_HT","LUK","MA_QH","SON")</f>
        <v>0</v>
      </c>
      <c r="BC9" s="74">
        <f>+GETPIVOTDATA("XSR4",'suoirao (2016)'!$A$3,"MA_HT","LUK","MA_QH","MNC")</f>
        <v>0</v>
      </c>
      <c r="BD9" s="74">
        <f>+GETPIVOTDATA("XSR4",'suoirao (2016)'!$A$3,"MA_HT","LUK","MA_QH","PNK")</f>
        <v>0</v>
      </c>
      <c r="BE9" s="102">
        <f>+GETPIVOTDATA("XSR4",'suoirao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+GETPIVOTDATA("XSR4",'suoirao (2016)'!$A$3,"MA_HT","LUN","MA_QH","LUC")</f>
        <v>0</v>
      </c>
      <c r="H10" s="74">
        <f>+GETPIVOTDATA("XSR4",'suoirao (2016)'!$A$3,"MA_HT","LUN","MA_QH","LUK")</f>
        <v>0</v>
      </c>
      <c r="I10" s="100" t="e">
        <f>$D10-$BF10</f>
        <v>#REF!</v>
      </c>
      <c r="J10" s="74">
        <f>+GETPIVOTDATA("XSR4",'suoirao (2016)'!$A$3,"MA_HT","LUN","MA_QH","HNK")</f>
        <v>0</v>
      </c>
      <c r="K10" s="74">
        <f>+GETPIVOTDATA("XSR4",'suoirao (2016)'!$A$3,"MA_HT","LUN","MA_QH","CLN")</f>
        <v>0</v>
      </c>
      <c r="L10" s="74">
        <f>+GETPIVOTDATA("XSR4",'suoirao (2016)'!$A$3,"MA_HT","LUN","MA_QH","RSX")</f>
        <v>0</v>
      </c>
      <c r="M10" s="74">
        <f>+GETPIVOTDATA("XSR4",'suoirao (2016)'!$A$3,"MA_HT","LUN","MA_QH","RPH")</f>
        <v>0</v>
      </c>
      <c r="N10" s="74">
        <f>+GETPIVOTDATA("XSR4",'suoirao (2016)'!$A$3,"MA_HT","LUN","MA_QH","RDD")</f>
        <v>0</v>
      </c>
      <c r="O10" s="74">
        <f>+GETPIVOTDATA("XSR4",'suoirao (2016)'!$A$3,"MA_HT","LUN","MA_QH","NTS")</f>
        <v>0</v>
      </c>
      <c r="P10" s="74">
        <f>+GETPIVOTDATA("XSR4",'suoirao (2016)'!$A$3,"MA_HT","LUN","MA_QH","LMU")</f>
        <v>0</v>
      </c>
      <c r="Q10" s="74">
        <f>+GETPIVOTDATA("XSR4",'suoirao (2016)'!$A$3,"MA_HT","LUN","MA_QH","NKH")</f>
        <v>0</v>
      </c>
      <c r="R10" s="72">
        <f t="shared" si="2"/>
        <v>0</v>
      </c>
      <c r="S10" s="74">
        <f>+GETPIVOTDATA("XSR4",'suoirao (2016)'!$A$3,"MA_HT","LUN","MA_QH","CQP")</f>
        <v>0</v>
      </c>
      <c r="T10" s="74">
        <f>+GETPIVOTDATA("XSR4",'suoirao (2016)'!$A$3,"MA_HT","LUN","MA_QH","CAN")</f>
        <v>0</v>
      </c>
      <c r="U10" s="74">
        <f>+GETPIVOTDATA("XSR4",'suoirao (2016)'!$A$3,"MA_HT","LUN","MA_QH","SKK")</f>
        <v>0</v>
      </c>
      <c r="V10" s="74">
        <f>+GETPIVOTDATA("XSR4",'suoirao (2016)'!$A$3,"MA_HT","LUN","MA_QH","SKT")</f>
        <v>0</v>
      </c>
      <c r="W10" s="74">
        <f>+GETPIVOTDATA("XSR4",'suoirao (2016)'!$A$3,"MA_HT","LUN","MA_QH","SKN")</f>
        <v>0</v>
      </c>
      <c r="X10" s="74">
        <f>+GETPIVOTDATA("XSR4",'suoirao (2016)'!$A$3,"MA_HT","LUN","MA_QH","TMD")</f>
        <v>0</v>
      </c>
      <c r="Y10" s="74">
        <f>+GETPIVOTDATA("XSR4",'suoirao (2016)'!$A$3,"MA_HT","LUN","MA_QH","SKC")</f>
        <v>0</v>
      </c>
      <c r="Z10" s="74">
        <f>+GETPIVOTDATA("XSR4",'suoirao (2016)'!$A$3,"MA_HT","LUN","MA_QH","SKS")</f>
        <v>0</v>
      </c>
      <c r="AA10" s="64">
        <f t="shared" si="4"/>
        <v>0</v>
      </c>
      <c r="AB10" s="74">
        <f>+GETPIVOTDATA("XSR4",'suoirao (2016)'!$A$3,"MA_HT","LUN","MA_QH","DGT")</f>
        <v>0</v>
      </c>
      <c r="AC10" s="74">
        <f>+GETPIVOTDATA("XSR4",'suoirao (2016)'!$A$3,"MA_HT","LUN","MA_QH","DTL")</f>
        <v>0</v>
      </c>
      <c r="AD10" s="74">
        <f>+GETPIVOTDATA("XSR4",'suoirao (2016)'!$A$3,"MA_HT","LUN","MA_QH","DNL")</f>
        <v>0</v>
      </c>
      <c r="AE10" s="74">
        <f>+GETPIVOTDATA("XSR4",'suoirao (2016)'!$A$3,"MA_HT","LUN","MA_QH","DBV")</f>
        <v>0</v>
      </c>
      <c r="AF10" s="74">
        <f>+GETPIVOTDATA("XSR4",'suoirao (2016)'!$A$3,"MA_HT","LUN","MA_QH","DVH")</f>
        <v>0</v>
      </c>
      <c r="AG10" s="74">
        <f>+GETPIVOTDATA("XSR4",'suoirao (2016)'!$A$3,"MA_HT","LUN","MA_QH","DYT")</f>
        <v>0</v>
      </c>
      <c r="AH10" s="74">
        <f>+GETPIVOTDATA("XSR4",'suoirao (2016)'!$A$3,"MA_HT","LUN","MA_QH","DGD")</f>
        <v>0</v>
      </c>
      <c r="AI10" s="74">
        <f>+GETPIVOTDATA("XSR4",'suoirao (2016)'!$A$3,"MA_HT","LUN","MA_QH","DTT")</f>
        <v>0</v>
      </c>
      <c r="AJ10" s="74">
        <f>+GETPIVOTDATA("XSR4",'suoirao (2016)'!$A$3,"MA_HT","LUN","MA_QH","NCK")</f>
        <v>0</v>
      </c>
      <c r="AK10" s="74">
        <f>+GETPIVOTDATA("XSR4",'suoirao (2016)'!$A$3,"MA_HT","LUN","MA_QH","DXH")</f>
        <v>0</v>
      </c>
      <c r="AL10" s="74">
        <f>+GETPIVOTDATA("XSR4",'suoirao (2016)'!$A$3,"MA_HT","LUN","MA_QH","DCH")</f>
        <v>0</v>
      </c>
      <c r="AM10" s="74">
        <f>+GETPIVOTDATA("XSR4",'suoirao (2016)'!$A$3,"MA_HT","LUN","MA_QH","DKG")</f>
        <v>0</v>
      </c>
      <c r="AN10" s="74">
        <f>+GETPIVOTDATA("XSR4",'suoirao (2016)'!$A$3,"MA_HT","LUN","MA_QH","DDT")</f>
        <v>0</v>
      </c>
      <c r="AO10" s="74">
        <f>+GETPIVOTDATA("XSR4",'suoirao (2016)'!$A$3,"MA_HT","LUN","MA_QH","DDL")</f>
        <v>0</v>
      </c>
      <c r="AP10" s="74">
        <f>+GETPIVOTDATA("XSR4",'suoirao (2016)'!$A$3,"MA_HT","LUN","MA_QH","DRA")</f>
        <v>0</v>
      </c>
      <c r="AQ10" s="74">
        <f>+GETPIVOTDATA("XSR4",'suoirao (2016)'!$A$3,"MA_HT","LUN","MA_QH","ONT")</f>
        <v>0</v>
      </c>
      <c r="AR10" s="74">
        <f>+GETPIVOTDATA("XSR4",'suoirao (2016)'!$A$3,"MA_HT","LUN","MA_QH","ODT")</f>
        <v>0</v>
      </c>
      <c r="AS10" s="74">
        <f>+GETPIVOTDATA("XSR4",'suoirao (2016)'!$A$3,"MA_HT","LUN","MA_QH","TSC")</f>
        <v>0</v>
      </c>
      <c r="AT10" s="74">
        <f>+GETPIVOTDATA("XSR4",'suoirao (2016)'!$A$3,"MA_HT","LUN","MA_QH","DTS")</f>
        <v>0</v>
      </c>
      <c r="AU10" s="74">
        <f>+GETPIVOTDATA("XSR4",'suoirao (2016)'!$A$3,"MA_HT","LUN","MA_QH","DNG")</f>
        <v>0</v>
      </c>
      <c r="AV10" s="74">
        <f>+GETPIVOTDATA("XSR4",'suoirao (2016)'!$A$3,"MA_HT","LUN","MA_QH","TON")</f>
        <v>0</v>
      </c>
      <c r="AW10" s="74">
        <f>+GETPIVOTDATA("XSR4",'suoirao (2016)'!$A$3,"MA_HT","LUN","MA_QH","NTD")</f>
        <v>0</v>
      </c>
      <c r="AX10" s="74">
        <f>+GETPIVOTDATA("XSR4",'suoirao (2016)'!$A$3,"MA_HT","LUN","MA_QH","SKX")</f>
        <v>0</v>
      </c>
      <c r="AY10" s="74">
        <f>+GETPIVOTDATA("XSR4",'suoirao (2016)'!$A$3,"MA_HT","LUN","MA_QH","DSH")</f>
        <v>0</v>
      </c>
      <c r="AZ10" s="74">
        <f>+GETPIVOTDATA("XSR4",'suoirao (2016)'!$A$3,"MA_HT","LUN","MA_QH","DKV")</f>
        <v>0</v>
      </c>
      <c r="BA10" s="139">
        <f>+GETPIVOTDATA("XSR4",'suoirao (2016)'!$A$3,"MA_HT","LUN","MA_QH","TIN")</f>
        <v>0</v>
      </c>
      <c r="BB10" s="74">
        <f>+GETPIVOTDATA("XSR4",'suoirao (2016)'!$A$3,"MA_HT","LUN","MA_QH","SON")</f>
        <v>0</v>
      </c>
      <c r="BC10" s="74">
        <f>+GETPIVOTDATA("XSR4",'suoirao (2016)'!$A$3,"MA_HT","LUN","MA_QH","MNC")</f>
        <v>0</v>
      </c>
      <c r="BD10" s="74">
        <f>+GETPIVOTDATA("XSR4",'suoirao (2016)'!$A$3,"MA_HT","LUN","MA_QH","PNK")</f>
        <v>0</v>
      </c>
      <c r="BE10" s="102">
        <f>+GETPIVOTDATA("XSR4",'suoirao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+GETPIVOTDATA("XSR4",'suoirao (2016)'!$A$3,"MA_HT","HNK","MA_QH","LUC")</f>
        <v>0</v>
      </c>
      <c r="H11" s="35">
        <f>+GETPIVOTDATA("XSR4",'suoirao (2016)'!$A$3,"MA_HT","HNK","MA_QH","LUK")</f>
        <v>0</v>
      </c>
      <c r="I11" s="35">
        <f>+GETPIVOTDATA("XSR4",'suoirao (2016)'!$A$3,"MA_HT","HNK","MA_QH","LUN")</f>
        <v>0</v>
      </c>
      <c r="J11" s="99" t="e">
        <f>$D11-$BF11</f>
        <v>#REF!</v>
      </c>
      <c r="K11" s="35">
        <f>+GETPIVOTDATA("XSR4",'suoirao (2016)'!$A$3,"MA_HT","HNK","MA_QH","CLN")</f>
        <v>0</v>
      </c>
      <c r="L11" s="35">
        <f>+GETPIVOTDATA("XSR4",'suoirao (2016)'!$A$3,"MA_HT","HNK","MA_QH","RSX")</f>
        <v>0</v>
      </c>
      <c r="M11" s="35">
        <f>+GETPIVOTDATA("XSR4",'suoirao (2016)'!$A$3,"MA_HT","HNK","MA_QH","RPH")</f>
        <v>0</v>
      </c>
      <c r="N11" s="35">
        <f>+GETPIVOTDATA("XSR4",'suoirao (2016)'!$A$3,"MA_HT","HNK","MA_QH","RDD")</f>
        <v>0</v>
      </c>
      <c r="O11" s="35">
        <f>+GETPIVOTDATA("XSR4",'suoirao (2016)'!$A$3,"MA_HT","HNK","MA_QH","NTS")</f>
        <v>0</v>
      </c>
      <c r="P11" s="35">
        <f>+GETPIVOTDATA("XSR4",'suoirao (2016)'!$A$3,"MA_HT","HNK","MA_QH","LMU")</f>
        <v>0</v>
      </c>
      <c r="Q11" s="35">
        <f>+GETPIVOTDATA("XSR4",'suoirao (2016)'!$A$3,"MA_HT","HNK","MA_QH","NKH")</f>
        <v>0</v>
      </c>
      <c r="R11" s="63">
        <f t="shared" si="2"/>
        <v>0</v>
      </c>
      <c r="S11" s="35">
        <f>+GETPIVOTDATA("XSR4",'suoirao (2016)'!$A$3,"MA_HT","HNK","MA_QH","CQP")</f>
        <v>0</v>
      </c>
      <c r="T11" s="35">
        <f>+GETPIVOTDATA("XSR4",'suoirao (2016)'!$A$3,"MA_HT","HNK","MA_QH","CAN")</f>
        <v>0</v>
      </c>
      <c r="U11" s="35">
        <f>+GETPIVOTDATA("XSR4",'suoirao (2016)'!$A$3,"MA_HT","HNK","MA_QH","SKK")</f>
        <v>0</v>
      </c>
      <c r="V11" s="35">
        <f>+GETPIVOTDATA("XSR4",'suoirao (2016)'!$A$3,"MA_HT","HNK","MA_QH","SKT")</f>
        <v>0</v>
      </c>
      <c r="W11" s="35">
        <f>+GETPIVOTDATA("XSR4",'suoirao (2016)'!$A$3,"MA_HT","HNK","MA_QH","SKN")</f>
        <v>0</v>
      </c>
      <c r="X11" s="35">
        <f>+GETPIVOTDATA("XSR4",'suoirao (2016)'!$A$3,"MA_HT","HNK","MA_QH","TMD")</f>
        <v>0</v>
      </c>
      <c r="Y11" s="35">
        <f>+GETPIVOTDATA("XSR4",'suoirao (2016)'!$A$3,"MA_HT","HNK","MA_QH","SKC")</f>
        <v>0</v>
      </c>
      <c r="Z11" s="35">
        <f>+GETPIVOTDATA("XSR4",'suoirao (2016)'!$A$3,"MA_HT","HNK","MA_QH","SKS")</f>
        <v>0</v>
      </c>
      <c r="AA11" s="64">
        <f t="shared" si="4"/>
        <v>0</v>
      </c>
      <c r="AB11" s="35">
        <f>+GETPIVOTDATA("XSR4",'suoirao (2016)'!$A$3,"MA_HT","HNK","MA_QH","DGT")</f>
        <v>0</v>
      </c>
      <c r="AC11" s="35">
        <f>+GETPIVOTDATA("XSR4",'suoirao (2016)'!$A$3,"MA_HT","HNK","MA_QH","DTL")</f>
        <v>0</v>
      </c>
      <c r="AD11" s="35">
        <f>+GETPIVOTDATA("XSR4",'suoirao (2016)'!$A$3,"MA_HT","HNK","MA_QH","DNL")</f>
        <v>0</v>
      </c>
      <c r="AE11" s="35">
        <f>+GETPIVOTDATA("XSR4",'suoirao (2016)'!$A$3,"MA_HT","HNK","MA_QH","DBV")</f>
        <v>0</v>
      </c>
      <c r="AF11" s="35">
        <f>+GETPIVOTDATA("XSR4",'suoirao (2016)'!$A$3,"MA_HT","HNK","MA_QH","DVH")</f>
        <v>0</v>
      </c>
      <c r="AG11" s="35">
        <f>+GETPIVOTDATA("XSR4",'suoirao (2016)'!$A$3,"MA_HT","HNK","MA_QH","DYT")</f>
        <v>0</v>
      </c>
      <c r="AH11" s="35">
        <f>+GETPIVOTDATA("XSR4",'suoirao (2016)'!$A$3,"MA_HT","HNK","MA_QH","DGD")</f>
        <v>0</v>
      </c>
      <c r="AI11" s="35">
        <f>+GETPIVOTDATA("XSR4",'suoirao (2016)'!$A$3,"MA_HT","HNK","MA_QH","DTT")</f>
        <v>0</v>
      </c>
      <c r="AJ11" s="35">
        <f>+GETPIVOTDATA("XSR4",'suoirao (2016)'!$A$3,"MA_HT","HNK","MA_QH","NCK")</f>
        <v>0</v>
      </c>
      <c r="AK11" s="35">
        <f>+GETPIVOTDATA("XSR4",'suoirao (2016)'!$A$3,"MA_HT","HNK","MA_QH","DXH")</f>
        <v>0</v>
      </c>
      <c r="AL11" s="35">
        <f>+GETPIVOTDATA("XSR4",'suoirao (2016)'!$A$3,"MA_HT","HNK","MA_QH","DCH")</f>
        <v>0</v>
      </c>
      <c r="AM11" s="35">
        <f>+GETPIVOTDATA("XSR4",'suoirao (2016)'!$A$3,"MA_HT","HNK","MA_QH","DKG")</f>
        <v>0</v>
      </c>
      <c r="AN11" s="35">
        <f>+GETPIVOTDATA("XSR4",'suoirao (2016)'!$A$3,"MA_HT","HNK","MA_QH","DDT")</f>
        <v>0</v>
      </c>
      <c r="AO11" s="35">
        <f>+GETPIVOTDATA("XSR4",'suoirao (2016)'!$A$3,"MA_HT","HNK","MA_QH","DDL")</f>
        <v>0</v>
      </c>
      <c r="AP11" s="35">
        <f>+GETPIVOTDATA("XSR4",'suoirao (2016)'!$A$3,"MA_HT","HNK","MA_QH","DRA")</f>
        <v>0</v>
      </c>
      <c r="AQ11" s="35">
        <f>+GETPIVOTDATA("XSR4",'suoirao (2016)'!$A$3,"MA_HT","HNK","MA_QH","ONT")</f>
        <v>0</v>
      </c>
      <c r="AR11" s="35">
        <f>+GETPIVOTDATA("XSR4",'suoirao (2016)'!$A$3,"MA_HT","HNK","MA_QH","ODT")</f>
        <v>0</v>
      </c>
      <c r="AS11" s="35">
        <f>+GETPIVOTDATA("XSR4",'suoirao (2016)'!$A$3,"MA_HT","HNK","MA_QH","TSC")</f>
        <v>0</v>
      </c>
      <c r="AT11" s="35">
        <f>+GETPIVOTDATA("XSR4",'suoirao (2016)'!$A$3,"MA_HT","HNK","MA_QH","DTS")</f>
        <v>0</v>
      </c>
      <c r="AU11" s="35">
        <f>+GETPIVOTDATA("XSR4",'suoirao (2016)'!$A$3,"MA_HT","HNK","MA_QH","DNG")</f>
        <v>0</v>
      </c>
      <c r="AV11" s="35">
        <f>+GETPIVOTDATA("XSR4",'suoirao (2016)'!$A$3,"MA_HT","HNK","MA_QH","TON")</f>
        <v>0</v>
      </c>
      <c r="AW11" s="35">
        <f>+GETPIVOTDATA("XSR4",'suoirao (2016)'!$A$3,"MA_HT","HNK","MA_QH","NTD")</f>
        <v>0</v>
      </c>
      <c r="AX11" s="35">
        <f>+GETPIVOTDATA("XSR4",'suoirao (2016)'!$A$3,"MA_HT","HNK","MA_QH","SKX")</f>
        <v>0</v>
      </c>
      <c r="AY11" s="35">
        <f>+GETPIVOTDATA("XSR4",'suoirao (2016)'!$A$3,"MA_HT","HNK","MA_QH","DSH")</f>
        <v>0</v>
      </c>
      <c r="AZ11" s="35">
        <f>+GETPIVOTDATA("XSR4",'suoirao (2016)'!$A$3,"MA_HT","HNK","MA_QH","DKV")</f>
        <v>0</v>
      </c>
      <c r="BA11" s="140">
        <f>+GETPIVOTDATA("XSR4",'suoirao (2016)'!$A$3,"MA_HT","HNK","MA_QH","TIN")</f>
        <v>0</v>
      </c>
      <c r="BB11" s="74">
        <f>+GETPIVOTDATA("XSR4",'suoirao (2016)'!$A$3,"MA_HT","HNK","MA_QH","SON")</f>
        <v>0</v>
      </c>
      <c r="BC11" s="74">
        <f>+GETPIVOTDATA("XSR4",'suoirao (2016)'!$A$3,"MA_HT","HNK","MA_QH","MNC")</f>
        <v>0</v>
      </c>
      <c r="BD11" s="35">
        <f>+GETPIVOTDATA("XSR4",'suoirao (2016)'!$A$3,"MA_HT","HNK","MA_QH","PNK")</f>
        <v>0</v>
      </c>
      <c r="BE11" s="58">
        <f>+GETPIVOTDATA("XSR4",'suoirao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+GETPIVOTDATA("XSR4",'suoirao (2016)'!$A$3,"MA_HT","CLN","MA_QH","LUC")</f>
        <v>0</v>
      </c>
      <c r="H12" s="35">
        <f>+GETPIVOTDATA("XSR4",'suoirao (2016)'!$A$3,"MA_HT","CLN","MA_QH","LUK")</f>
        <v>0</v>
      </c>
      <c r="I12" s="35">
        <f>+GETPIVOTDATA("XSR4",'suoirao (2016)'!$A$3,"MA_HT","CLN","MA_QH","LUN")</f>
        <v>0</v>
      </c>
      <c r="J12" s="35">
        <f>+GETPIVOTDATA("XSR4",'suoirao (2016)'!$A$3,"MA_HT","CLN","MA_QH","HNK")</f>
        <v>0</v>
      </c>
      <c r="K12" s="99" t="e">
        <f>$D12-$BF12</f>
        <v>#REF!</v>
      </c>
      <c r="L12" s="35">
        <f>+GETPIVOTDATA("XSR4",'suoirao (2016)'!$A$3,"MA_HT","CLN","MA_QH","RSX")</f>
        <v>0</v>
      </c>
      <c r="M12" s="35">
        <f>+GETPIVOTDATA("XSR4",'suoirao (2016)'!$A$3,"MA_HT","CLN","MA_QH","RPH")</f>
        <v>0</v>
      </c>
      <c r="N12" s="35">
        <f>+GETPIVOTDATA("XSR4",'suoirao (2016)'!$A$3,"MA_HT","CLN","MA_QH","RDD")</f>
        <v>0</v>
      </c>
      <c r="O12" s="35">
        <f>+GETPIVOTDATA("XSR4",'suoirao (2016)'!$A$3,"MA_HT","CLN","MA_QH","NTS")</f>
        <v>0</v>
      </c>
      <c r="P12" s="35">
        <f>+GETPIVOTDATA("XSR4",'suoirao (2016)'!$A$3,"MA_HT","CLN","MA_QH","LMU")</f>
        <v>0</v>
      </c>
      <c r="Q12" s="35">
        <f>+GETPIVOTDATA("XSR4",'suoirao (2016)'!$A$3,"MA_HT","CLN","MA_QH","NKH")</f>
        <v>0</v>
      </c>
      <c r="R12" s="63">
        <f t="shared" si="2"/>
        <v>0</v>
      </c>
      <c r="S12" s="35">
        <f>+GETPIVOTDATA("XSR4",'suoirao (2016)'!$A$3,"MA_HT","CLN","MA_QH","CQP")</f>
        <v>0</v>
      </c>
      <c r="T12" s="35">
        <f>+GETPIVOTDATA("XSR4",'suoirao (2016)'!$A$3,"MA_HT","CLN","MA_QH","CAN")</f>
        <v>0</v>
      </c>
      <c r="U12" s="35">
        <f>+GETPIVOTDATA("XSR4",'suoirao (2016)'!$A$3,"MA_HT","CLN","MA_QH","SKK")</f>
        <v>0</v>
      </c>
      <c r="V12" s="35">
        <f>+GETPIVOTDATA("XSR4",'suoirao (2016)'!$A$3,"MA_HT","CLN","MA_QH","SKT")</f>
        <v>0</v>
      </c>
      <c r="W12" s="35">
        <f>+GETPIVOTDATA("XSR4",'suoirao (2016)'!$A$3,"MA_HT","CLN","MA_QH","SKN")</f>
        <v>0</v>
      </c>
      <c r="X12" s="35">
        <f>+GETPIVOTDATA("XSR4",'suoirao (2016)'!$A$3,"MA_HT","CLN","MA_QH","TMD")</f>
        <v>0</v>
      </c>
      <c r="Y12" s="35">
        <f>+GETPIVOTDATA("XSR4",'suoirao (2016)'!$A$3,"MA_HT","CLN","MA_QH","SKC")</f>
        <v>0</v>
      </c>
      <c r="Z12" s="35">
        <f>+GETPIVOTDATA("XSR4",'suoirao (2016)'!$A$3,"MA_HT","CLN","MA_QH","SKS")</f>
        <v>0</v>
      </c>
      <c r="AA12" s="64">
        <f t="shared" si="4"/>
        <v>0</v>
      </c>
      <c r="AB12" s="35">
        <f>+GETPIVOTDATA("XSR4",'suoirao (2016)'!$A$3,"MA_HT","CLN","MA_QH","DGT")</f>
        <v>0</v>
      </c>
      <c r="AC12" s="35">
        <f>+GETPIVOTDATA("XSR4",'suoirao (2016)'!$A$3,"MA_HT","CLN","MA_QH","DTL")</f>
        <v>0</v>
      </c>
      <c r="AD12" s="35">
        <f>+GETPIVOTDATA("XSR4",'suoirao (2016)'!$A$3,"MA_HT","CLN","MA_QH","DNL")</f>
        <v>0</v>
      </c>
      <c r="AE12" s="35">
        <f>+GETPIVOTDATA("XSR4",'suoirao (2016)'!$A$3,"MA_HT","CLN","MA_QH","DBV")</f>
        <v>0</v>
      </c>
      <c r="AF12" s="35">
        <f>+GETPIVOTDATA("XSR4",'suoirao (2016)'!$A$3,"MA_HT","CLN","MA_QH","DVH")</f>
        <v>0</v>
      </c>
      <c r="AG12" s="35">
        <f>+GETPIVOTDATA("XSR4",'suoirao (2016)'!$A$3,"MA_HT","CLN","MA_QH","DYT")</f>
        <v>0</v>
      </c>
      <c r="AH12" s="35">
        <f>+GETPIVOTDATA("XSR4",'suoirao (2016)'!$A$3,"MA_HT","CLN","MA_QH","DGD")</f>
        <v>0</v>
      </c>
      <c r="AI12" s="35">
        <f>+GETPIVOTDATA("XSR4",'suoirao (2016)'!$A$3,"MA_HT","CLN","MA_QH","DTT")</f>
        <v>0</v>
      </c>
      <c r="AJ12" s="35">
        <f>+GETPIVOTDATA("XSR4",'suoirao (2016)'!$A$3,"MA_HT","CLN","MA_QH","NCK")</f>
        <v>0</v>
      </c>
      <c r="AK12" s="35">
        <f>+GETPIVOTDATA("XSR4",'suoirao (2016)'!$A$3,"MA_HT","CLN","MA_QH","DXH")</f>
        <v>0</v>
      </c>
      <c r="AL12" s="35">
        <f>+GETPIVOTDATA("XSR4",'suoirao (2016)'!$A$3,"MA_HT","CLN","MA_QH","DCH")</f>
        <v>0</v>
      </c>
      <c r="AM12" s="35">
        <f>+GETPIVOTDATA("XSR4",'suoirao (2016)'!$A$3,"MA_HT","CLN","MA_QH","DKG")</f>
        <v>0</v>
      </c>
      <c r="AN12" s="35">
        <f>+GETPIVOTDATA("XSR4",'suoirao (2016)'!$A$3,"MA_HT","CLN","MA_QH","DDT")</f>
        <v>0</v>
      </c>
      <c r="AO12" s="35">
        <f>+GETPIVOTDATA("XSR4",'suoirao (2016)'!$A$3,"MA_HT","CLN","MA_QH","DDL")</f>
        <v>0</v>
      </c>
      <c r="AP12" s="35">
        <f>+GETPIVOTDATA("XSR4",'suoirao (2016)'!$A$3,"MA_HT","CLN","MA_QH","DRA")</f>
        <v>0</v>
      </c>
      <c r="AQ12" s="35">
        <f>+GETPIVOTDATA("XSR4",'suoirao (2016)'!$A$3,"MA_HT","CLN","MA_QH","ONT")</f>
        <v>0</v>
      </c>
      <c r="AR12" s="35">
        <f>+GETPIVOTDATA("XSR4",'suoirao (2016)'!$A$3,"MA_HT","CLN","MA_QH","ODT")</f>
        <v>0</v>
      </c>
      <c r="AS12" s="35">
        <f>+GETPIVOTDATA("XSR4",'suoirao (2016)'!$A$3,"MA_HT","CLN","MA_QH","TSC")</f>
        <v>0</v>
      </c>
      <c r="AT12" s="35">
        <f>+GETPIVOTDATA("XSR4",'suoirao (2016)'!$A$3,"MA_HT","CLN","MA_QH","DTS")</f>
        <v>0</v>
      </c>
      <c r="AU12" s="35">
        <f>+GETPIVOTDATA("XSR4",'suoirao (2016)'!$A$3,"MA_HT","CLN","MA_QH","DNG")</f>
        <v>0</v>
      </c>
      <c r="AV12" s="35">
        <f>+GETPIVOTDATA("XSR4",'suoirao (2016)'!$A$3,"MA_HT","CLN","MA_QH","TON")</f>
        <v>0</v>
      </c>
      <c r="AW12" s="35">
        <f>+GETPIVOTDATA("XSR4",'suoirao (2016)'!$A$3,"MA_HT","CLN","MA_QH","NTD")</f>
        <v>0</v>
      </c>
      <c r="AX12" s="35">
        <f>+GETPIVOTDATA("XSR4",'suoirao (2016)'!$A$3,"MA_HT","CLN","MA_QH","SKX")</f>
        <v>0</v>
      </c>
      <c r="AY12" s="35">
        <f>+GETPIVOTDATA("XSR4",'suoirao (2016)'!$A$3,"MA_HT","CLN","MA_QH","DSH")</f>
        <v>0</v>
      </c>
      <c r="AZ12" s="35">
        <f>+GETPIVOTDATA("XSR4",'suoirao (2016)'!$A$3,"MA_HT","CLN","MA_QH","DKV")</f>
        <v>0</v>
      </c>
      <c r="BA12" s="140">
        <f>+GETPIVOTDATA("XSR4",'suoirao (2016)'!$A$3,"MA_HT","CLN","MA_QH","TIN")</f>
        <v>0</v>
      </c>
      <c r="BB12" s="74">
        <f>+GETPIVOTDATA("XSR4",'suoirao (2016)'!$A$3,"MA_HT","CLN","MA_QH","SON")</f>
        <v>0</v>
      </c>
      <c r="BC12" s="74">
        <f>+GETPIVOTDATA("XSR4",'suoirao (2016)'!$A$3,"MA_HT","CLN","MA_QH","MNC")</f>
        <v>0</v>
      </c>
      <c r="BD12" s="35">
        <f>+GETPIVOTDATA("XSR4",'suoirao (2016)'!$A$3,"MA_HT","CLN","MA_QH","PNK")</f>
        <v>0</v>
      </c>
      <c r="BE12" s="58">
        <f>+GETPIVOTDATA("XSR4",'suoirao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+GETPIVOTDATA("XSR4",'suoirao (2016)'!$A$3,"MA_HT","RSX","MA_QH","LUC")</f>
        <v>0</v>
      </c>
      <c r="H13" s="35">
        <f>+GETPIVOTDATA("XSR4",'suoirao (2016)'!$A$3,"MA_HT","RSX","MA_QH","LUK")</f>
        <v>0</v>
      </c>
      <c r="I13" s="35">
        <f>+GETPIVOTDATA("XSR4",'suoirao (2016)'!$A$3,"MA_HT","RSX","MA_QH","LUN")</f>
        <v>0</v>
      </c>
      <c r="J13" s="35">
        <f>+GETPIVOTDATA("XSR4",'suoirao (2016)'!$A$3,"MA_HT","RSX","MA_QH","HNK")</f>
        <v>0</v>
      </c>
      <c r="K13" s="35">
        <f>+GETPIVOTDATA("XSR4",'suoirao (2016)'!$A$3,"MA_HT","RSX","MA_QH","CLN")</f>
        <v>0</v>
      </c>
      <c r="L13" s="99" t="e">
        <f>$D13-$BF13</f>
        <v>#REF!</v>
      </c>
      <c r="M13" s="35">
        <f>+GETPIVOTDATA("XSR4",'suoirao (2016)'!$A$3,"MA_HT","RSX","MA_QH","RPH")</f>
        <v>0</v>
      </c>
      <c r="N13" s="35">
        <f>+GETPIVOTDATA("XSR4",'suoirao (2016)'!$A$3,"MA_HT","RSX","MA_QH","RDD")</f>
        <v>0</v>
      </c>
      <c r="O13" s="35">
        <f>+GETPIVOTDATA("XSR4",'suoirao (2016)'!$A$3,"MA_HT","RSX","MA_QH","NTS")</f>
        <v>0</v>
      </c>
      <c r="P13" s="35">
        <f>+GETPIVOTDATA("XSR4",'suoirao (2016)'!$A$3,"MA_HT","RSX","MA_QH","LMU")</f>
        <v>0</v>
      </c>
      <c r="Q13" s="35">
        <f>+GETPIVOTDATA("XSR4",'suoirao (2016)'!$A$3,"MA_HT","RSX","MA_QH","NKH")</f>
        <v>0</v>
      </c>
      <c r="R13" s="63">
        <f t="shared" si="2"/>
        <v>0</v>
      </c>
      <c r="S13" s="35">
        <f>+GETPIVOTDATA("XSR4",'suoirao (2016)'!$A$3,"MA_HT","RSX","MA_QH","CQP")</f>
        <v>0</v>
      </c>
      <c r="T13" s="35">
        <f>+GETPIVOTDATA("XSR4",'suoirao (2016)'!$A$3,"MA_HT","RSX","MA_QH","CAN")</f>
        <v>0</v>
      </c>
      <c r="U13" s="35">
        <f>+GETPIVOTDATA("XSR4",'suoirao (2016)'!$A$3,"MA_HT","RSX","MA_QH","SKK")</f>
        <v>0</v>
      </c>
      <c r="V13" s="35">
        <f>+GETPIVOTDATA("XSR4",'suoirao (2016)'!$A$3,"MA_HT","RSX","MA_QH","SKT")</f>
        <v>0</v>
      </c>
      <c r="W13" s="35">
        <f>+GETPIVOTDATA("XSR4",'suoirao (2016)'!$A$3,"MA_HT","RSX","MA_QH","SKN")</f>
        <v>0</v>
      </c>
      <c r="X13" s="35">
        <f>+GETPIVOTDATA("XSR4",'suoirao (2016)'!$A$3,"MA_HT","RSX","MA_QH","TMD")</f>
        <v>0</v>
      </c>
      <c r="Y13" s="35">
        <f>+GETPIVOTDATA("XSR4",'suoirao (2016)'!$A$3,"MA_HT","RSX","MA_QH","SKC")</f>
        <v>0</v>
      </c>
      <c r="Z13" s="35">
        <f>+GETPIVOTDATA("XSR4",'suoirao (2016)'!$A$3,"MA_HT","RSX","MA_QH","SKS")</f>
        <v>0</v>
      </c>
      <c r="AA13" s="64">
        <f t="shared" si="4"/>
        <v>0</v>
      </c>
      <c r="AB13" s="35">
        <f>+GETPIVOTDATA("XSR4",'suoirao (2016)'!$A$3,"MA_HT","RSX","MA_QH","DGT")</f>
        <v>0</v>
      </c>
      <c r="AC13" s="35">
        <f>+GETPIVOTDATA("XSR4",'suoirao (2016)'!$A$3,"MA_HT","RSX","MA_QH","DTL")</f>
        <v>0</v>
      </c>
      <c r="AD13" s="35">
        <f>+GETPIVOTDATA("XSR4",'suoirao (2016)'!$A$3,"MA_HT","RSX","MA_QH","DNL")</f>
        <v>0</v>
      </c>
      <c r="AE13" s="35">
        <f>+GETPIVOTDATA("XSR4",'suoirao (2016)'!$A$3,"MA_HT","RSX","MA_QH","DBV")</f>
        <v>0</v>
      </c>
      <c r="AF13" s="35">
        <f>+GETPIVOTDATA("XSR4",'suoirao (2016)'!$A$3,"MA_HT","RSX","MA_QH","DVH")</f>
        <v>0</v>
      </c>
      <c r="AG13" s="35">
        <f>+GETPIVOTDATA("XSR4",'suoirao (2016)'!$A$3,"MA_HT","RSX","MA_QH","DYT")</f>
        <v>0</v>
      </c>
      <c r="AH13" s="35">
        <f>+GETPIVOTDATA("XSR4",'suoirao (2016)'!$A$3,"MA_HT","RSX","MA_QH","DGD")</f>
        <v>0</v>
      </c>
      <c r="AI13" s="35">
        <f>+GETPIVOTDATA("XSR4",'suoirao (2016)'!$A$3,"MA_HT","RSX","MA_QH","DTT")</f>
        <v>0</v>
      </c>
      <c r="AJ13" s="35">
        <f>+GETPIVOTDATA("XSR4",'suoirao (2016)'!$A$3,"MA_HT","RSX","MA_QH","NCK")</f>
        <v>0</v>
      </c>
      <c r="AK13" s="35">
        <f>+GETPIVOTDATA("XSR4",'suoirao (2016)'!$A$3,"MA_HT","RSX","MA_QH","DXH")</f>
        <v>0</v>
      </c>
      <c r="AL13" s="35">
        <f>+GETPIVOTDATA("XSR4",'suoirao (2016)'!$A$3,"MA_HT","RSX","MA_QH","DCH")</f>
        <v>0</v>
      </c>
      <c r="AM13" s="35">
        <f>+GETPIVOTDATA("XSR4",'suoirao (2016)'!$A$3,"MA_HT","RSX","MA_QH","DKG")</f>
        <v>0</v>
      </c>
      <c r="AN13" s="35">
        <f>+GETPIVOTDATA("XSR4",'suoirao (2016)'!$A$3,"MA_HT","RSX","MA_QH","DDT")</f>
        <v>0</v>
      </c>
      <c r="AO13" s="35">
        <f>+GETPIVOTDATA("XSR4",'suoirao (2016)'!$A$3,"MA_HT","RSX","MA_QH","DDL")</f>
        <v>0</v>
      </c>
      <c r="AP13" s="35">
        <f>+GETPIVOTDATA("XSR4",'suoirao (2016)'!$A$3,"MA_HT","RSX","MA_QH","DRA")</f>
        <v>0</v>
      </c>
      <c r="AQ13" s="35">
        <f>+GETPIVOTDATA("XSR4",'suoirao (2016)'!$A$3,"MA_HT","RSX","MA_QH","ONT")</f>
        <v>0</v>
      </c>
      <c r="AR13" s="35">
        <f>+GETPIVOTDATA("XSR4",'suoirao (2016)'!$A$3,"MA_HT","RSX","MA_QH","ODT")</f>
        <v>0</v>
      </c>
      <c r="AS13" s="35">
        <f>+GETPIVOTDATA("XSR4",'suoirao (2016)'!$A$3,"MA_HT","RSX","MA_QH","TSC")</f>
        <v>0</v>
      </c>
      <c r="AT13" s="35">
        <f>+GETPIVOTDATA("XSR4",'suoirao (2016)'!$A$3,"MA_HT","RSX","MA_QH","DTS")</f>
        <v>0</v>
      </c>
      <c r="AU13" s="35">
        <f>+GETPIVOTDATA("XSR4",'suoirao (2016)'!$A$3,"MA_HT","RSX","MA_QH","DNG")</f>
        <v>0</v>
      </c>
      <c r="AV13" s="35">
        <f>+GETPIVOTDATA("XSR4",'suoirao (2016)'!$A$3,"MA_HT","RSX","MA_QH","TON")</f>
        <v>0</v>
      </c>
      <c r="AW13" s="35">
        <f>+GETPIVOTDATA("XSR4",'suoirao (2016)'!$A$3,"MA_HT","RSX","MA_QH","NTD")</f>
        <v>0</v>
      </c>
      <c r="AX13" s="35">
        <f>+GETPIVOTDATA("XSR4",'suoirao (2016)'!$A$3,"MA_HT","RSX","MA_QH","SKX")</f>
        <v>0</v>
      </c>
      <c r="AY13" s="35">
        <f>+GETPIVOTDATA("XSR4",'suoirao (2016)'!$A$3,"MA_HT","RSX","MA_QH","DSH")</f>
        <v>0</v>
      </c>
      <c r="AZ13" s="35">
        <f>+GETPIVOTDATA("XSR4",'suoirao (2016)'!$A$3,"MA_HT","RSX","MA_QH","DKV")</f>
        <v>0</v>
      </c>
      <c r="BA13" s="140">
        <f>+GETPIVOTDATA("XSR4",'suoirao (2016)'!$A$3,"MA_HT","RSX","MA_QH","TIN")</f>
        <v>0</v>
      </c>
      <c r="BB13" s="74">
        <f>+GETPIVOTDATA("XSR4",'suoirao (2016)'!$A$3,"MA_HT","RSX","MA_QH","SON")</f>
        <v>0</v>
      </c>
      <c r="BC13" s="74">
        <f>+GETPIVOTDATA("XSR4",'suoirao (2016)'!$A$3,"MA_HT","RSX","MA_QH","MNC")</f>
        <v>0</v>
      </c>
      <c r="BD13" s="35">
        <f>+GETPIVOTDATA("XSR4",'suoirao (2016)'!$A$3,"MA_HT","RSX","MA_QH","PNK")</f>
        <v>0</v>
      </c>
      <c r="BE13" s="58">
        <f>+GETPIVOTDATA("XSR4",'suoirao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+GETPIVOTDATA("XSR4",'suoirao (2016)'!$A$3,"MA_HT","RPH","MA_QH","LUC")</f>
        <v>0</v>
      </c>
      <c r="H14" s="35">
        <f>+GETPIVOTDATA("XSR4",'suoirao (2016)'!$A$3,"MA_HT","RPH","MA_QH","LUK")</f>
        <v>0</v>
      </c>
      <c r="I14" s="35">
        <f>+GETPIVOTDATA("XSR4",'suoirao (2016)'!$A$3,"MA_HT","RPH","MA_QH","LUN")</f>
        <v>0</v>
      </c>
      <c r="J14" s="35">
        <f>+GETPIVOTDATA("XSR4",'suoirao (2016)'!$A$3,"MA_HT","RPH","MA_QH","HNK")</f>
        <v>0</v>
      </c>
      <c r="K14" s="35">
        <f>+GETPIVOTDATA("XSR4",'suoirao (2016)'!$A$3,"MA_HT","RPH","MA_QH","CLN")</f>
        <v>0</v>
      </c>
      <c r="L14" s="35">
        <f>+GETPIVOTDATA("XSR4",'suoirao (2016)'!$A$3,"MA_HT","RPH","MA_QH","RSX")</f>
        <v>0</v>
      </c>
      <c r="M14" s="99" t="e">
        <f>$D14-$BF14</f>
        <v>#REF!</v>
      </c>
      <c r="N14" s="35">
        <f>+GETPIVOTDATA("XSR4",'suoirao (2016)'!$A$3,"MA_HT","RPH","MA_QH","RDD")</f>
        <v>0</v>
      </c>
      <c r="O14" s="35">
        <f>+GETPIVOTDATA("XSR4",'suoirao (2016)'!$A$3,"MA_HT","RPH","MA_QH","NTS")</f>
        <v>0</v>
      </c>
      <c r="P14" s="35">
        <f>+GETPIVOTDATA("XSR4",'suoirao (2016)'!$A$3,"MA_HT","RPH","MA_QH","LMU")</f>
        <v>0</v>
      </c>
      <c r="Q14" s="35">
        <f>+GETPIVOTDATA("XSR4",'suoirao (2016)'!$A$3,"MA_HT","RPH","MA_QH","NKH")</f>
        <v>0</v>
      </c>
      <c r="R14" s="63">
        <f t="shared" si="2"/>
        <v>0</v>
      </c>
      <c r="S14" s="35">
        <f>+GETPIVOTDATA("XSR4",'suoirao (2016)'!$A$3,"MA_HT","RPH","MA_QH","CQP")</f>
        <v>0</v>
      </c>
      <c r="T14" s="35">
        <f>+GETPIVOTDATA("XSR4",'suoirao (2016)'!$A$3,"MA_HT","RPH","MA_QH","CAN")</f>
        <v>0</v>
      </c>
      <c r="U14" s="35">
        <f>+GETPIVOTDATA("XSR4",'suoirao (2016)'!$A$3,"MA_HT","RPH","MA_QH","SKK")</f>
        <v>0</v>
      </c>
      <c r="V14" s="35">
        <f>+GETPIVOTDATA("XSR4",'suoirao (2016)'!$A$3,"MA_HT","RPH","MA_QH","SKT")</f>
        <v>0</v>
      </c>
      <c r="W14" s="35">
        <f>+GETPIVOTDATA("XSR4",'suoirao (2016)'!$A$3,"MA_HT","RPH","MA_QH","SKN")</f>
        <v>0</v>
      </c>
      <c r="X14" s="35">
        <f>+GETPIVOTDATA("XSR4",'suoirao (2016)'!$A$3,"MA_HT","RPH","MA_QH","TMD")</f>
        <v>0</v>
      </c>
      <c r="Y14" s="35">
        <f>+GETPIVOTDATA("XSR4",'suoirao (2016)'!$A$3,"MA_HT","RPH","MA_QH","SKC")</f>
        <v>0</v>
      </c>
      <c r="Z14" s="35">
        <f>+GETPIVOTDATA("XSR4",'suoirao (2016)'!$A$3,"MA_HT","RPH","MA_QH","SKS")</f>
        <v>0</v>
      </c>
      <c r="AA14" s="64">
        <f t="shared" si="4"/>
        <v>0</v>
      </c>
      <c r="AB14" s="35">
        <f>+GETPIVOTDATA("XSR4",'suoirao (2016)'!$A$3,"MA_HT","RPH","MA_QH","DGT")</f>
        <v>0</v>
      </c>
      <c r="AC14" s="35">
        <f>+GETPIVOTDATA("XSR4",'suoirao (2016)'!$A$3,"MA_HT","RPH","MA_QH","DTL")</f>
        <v>0</v>
      </c>
      <c r="AD14" s="35">
        <f>+GETPIVOTDATA("XSR4",'suoirao (2016)'!$A$3,"MA_HT","RPH","MA_QH","DNL")</f>
        <v>0</v>
      </c>
      <c r="AE14" s="35">
        <f>+GETPIVOTDATA("XSR4",'suoirao (2016)'!$A$3,"MA_HT","RPH","MA_QH","DBV")</f>
        <v>0</v>
      </c>
      <c r="AF14" s="35">
        <f>+GETPIVOTDATA("XSR4",'suoirao (2016)'!$A$3,"MA_HT","RPH","MA_QH","DVH")</f>
        <v>0</v>
      </c>
      <c r="AG14" s="35">
        <f>+GETPIVOTDATA("XSR4",'suoirao (2016)'!$A$3,"MA_HT","RPH","MA_QH","DYT")</f>
        <v>0</v>
      </c>
      <c r="AH14" s="35">
        <f>+GETPIVOTDATA("XSR4",'suoirao (2016)'!$A$3,"MA_HT","RPH","MA_QH","DGD")</f>
        <v>0</v>
      </c>
      <c r="AI14" s="35">
        <f>+GETPIVOTDATA("XSR4",'suoirao (2016)'!$A$3,"MA_HT","RPH","MA_QH","DTT")</f>
        <v>0</v>
      </c>
      <c r="AJ14" s="35">
        <f>+GETPIVOTDATA("XSR4",'suoirao (2016)'!$A$3,"MA_HT","RPH","MA_QH","NCK")</f>
        <v>0</v>
      </c>
      <c r="AK14" s="35">
        <f>+GETPIVOTDATA("XSR4",'suoirao (2016)'!$A$3,"MA_HT","RPH","MA_QH","DXH")</f>
        <v>0</v>
      </c>
      <c r="AL14" s="35">
        <f>+GETPIVOTDATA("XSR4",'suoirao (2016)'!$A$3,"MA_HT","RPH","MA_QH","DCH")</f>
        <v>0</v>
      </c>
      <c r="AM14" s="35">
        <f>+GETPIVOTDATA("XSR4",'suoirao (2016)'!$A$3,"MA_HT","RPH","MA_QH","DKG")</f>
        <v>0</v>
      </c>
      <c r="AN14" s="35">
        <f>+GETPIVOTDATA("XSR4",'suoirao (2016)'!$A$3,"MA_HT","RPH","MA_QH","DDT")</f>
        <v>0</v>
      </c>
      <c r="AO14" s="35">
        <f>+GETPIVOTDATA("XSR4",'suoirao (2016)'!$A$3,"MA_HT","RPH","MA_QH","DDL")</f>
        <v>0</v>
      </c>
      <c r="AP14" s="35">
        <f>+GETPIVOTDATA("XSR4",'suoirao (2016)'!$A$3,"MA_HT","RPH","MA_QH","DRA")</f>
        <v>0</v>
      </c>
      <c r="AQ14" s="35">
        <f>+GETPIVOTDATA("XSR4",'suoirao (2016)'!$A$3,"MA_HT","RPH","MA_QH","ONT")</f>
        <v>0</v>
      </c>
      <c r="AR14" s="35">
        <f>+GETPIVOTDATA("XSR4",'suoirao (2016)'!$A$3,"MA_HT","RPH","MA_QH","ODT")</f>
        <v>0</v>
      </c>
      <c r="AS14" s="35">
        <f>+GETPIVOTDATA("XSR4",'suoirao (2016)'!$A$3,"MA_HT","RPH","MA_QH","TSC")</f>
        <v>0</v>
      </c>
      <c r="AT14" s="35">
        <f>+GETPIVOTDATA("XSR4",'suoirao (2016)'!$A$3,"MA_HT","RPH","MA_QH","DTS")</f>
        <v>0</v>
      </c>
      <c r="AU14" s="35">
        <f>+GETPIVOTDATA("XSR4",'suoirao (2016)'!$A$3,"MA_HT","RPH","MA_QH","DNG")</f>
        <v>0</v>
      </c>
      <c r="AV14" s="35">
        <f>+GETPIVOTDATA("XSR4",'suoirao (2016)'!$A$3,"MA_HT","RPH","MA_QH","TON")</f>
        <v>0</v>
      </c>
      <c r="AW14" s="35">
        <f>+GETPIVOTDATA("XSR4",'suoirao (2016)'!$A$3,"MA_HT","RPH","MA_QH","NTD")</f>
        <v>0</v>
      </c>
      <c r="AX14" s="35">
        <f>+GETPIVOTDATA("XSR4",'suoirao (2016)'!$A$3,"MA_HT","RPH","MA_QH","SKX")</f>
        <v>0</v>
      </c>
      <c r="AY14" s="35">
        <f>+GETPIVOTDATA("XSR4",'suoirao (2016)'!$A$3,"MA_HT","RPH","MA_QH","DSH")</f>
        <v>0</v>
      </c>
      <c r="AZ14" s="35">
        <f>+GETPIVOTDATA("XSR4",'suoirao (2016)'!$A$3,"MA_HT","RPH","MA_QH","DKV")</f>
        <v>0</v>
      </c>
      <c r="BA14" s="140">
        <f>+GETPIVOTDATA("XSR4",'suoirao (2016)'!$A$3,"MA_HT","RPH","MA_QH","TIN")</f>
        <v>0</v>
      </c>
      <c r="BB14" s="74">
        <f>+GETPIVOTDATA("XSR4",'suoirao (2016)'!$A$3,"MA_HT","RPH","MA_QH","SON")</f>
        <v>0</v>
      </c>
      <c r="BC14" s="74">
        <f>+GETPIVOTDATA("XSR4",'suoirao (2016)'!$A$3,"MA_HT","RPH","MA_QH","MNC")</f>
        <v>0</v>
      </c>
      <c r="BD14" s="35">
        <f>+GETPIVOTDATA("XSR4",'suoirao (2016)'!$A$3,"MA_HT","RPH","MA_QH","PNK")</f>
        <v>0</v>
      </c>
      <c r="BE14" s="58">
        <f>+GETPIVOTDATA("XSR4",'suoirao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+GETPIVOTDATA("XSR4",'suoirao (2016)'!$A$3,"MA_HT","RDD","MA_QH","LUC")</f>
        <v>0</v>
      </c>
      <c r="H15" s="35">
        <f>+GETPIVOTDATA("XSR4",'suoirao (2016)'!$A$3,"MA_HT","RDD","MA_QH","LUK")</f>
        <v>0</v>
      </c>
      <c r="I15" s="35">
        <f>+GETPIVOTDATA("XSR4",'suoirao (2016)'!$A$3,"MA_HT","RDD","MA_QH","LUN")</f>
        <v>0</v>
      </c>
      <c r="J15" s="35">
        <f>+GETPIVOTDATA("XSR4",'suoirao (2016)'!$A$3,"MA_HT","RDD","MA_QH","HNK")</f>
        <v>0</v>
      </c>
      <c r="K15" s="35">
        <f>+GETPIVOTDATA("XSR4",'suoirao (2016)'!$A$3,"MA_HT","RDD","MA_QH","CLN")</f>
        <v>0</v>
      </c>
      <c r="L15" s="35">
        <f>+GETPIVOTDATA("XSR4",'suoirao (2016)'!$A$3,"MA_HT","RDD","MA_QH","RSX")</f>
        <v>0</v>
      </c>
      <c r="M15" s="35">
        <f>+GETPIVOTDATA("XSR4",'suoirao (2016)'!$A$3,"MA_HT","RDD","MA_QH","RPH")</f>
        <v>0</v>
      </c>
      <c r="N15" s="99" t="e">
        <f>$D15-$BF15</f>
        <v>#REF!</v>
      </c>
      <c r="O15" s="35">
        <f>+GETPIVOTDATA("XSR4",'suoirao (2016)'!$A$3,"MA_HT","RDD","MA_QH","NTS")</f>
        <v>0</v>
      </c>
      <c r="P15" s="35">
        <f>+GETPIVOTDATA("XSR4",'suoirao (2016)'!$A$3,"MA_HT","RDD","MA_QH","LMU")</f>
        <v>0</v>
      </c>
      <c r="Q15" s="35">
        <f>+GETPIVOTDATA("XSR4",'suoirao (2016)'!$A$3,"MA_HT","RDD","MA_QH","NKH")</f>
        <v>0</v>
      </c>
      <c r="R15" s="63">
        <f t="shared" si="2"/>
        <v>0</v>
      </c>
      <c r="S15" s="35">
        <f>+GETPIVOTDATA("XSR4",'suoirao (2016)'!$A$3,"MA_HT","RDD","MA_QH","CQP")</f>
        <v>0</v>
      </c>
      <c r="T15" s="35">
        <f>+GETPIVOTDATA("XSR4",'suoirao (2016)'!$A$3,"MA_HT","RDD","MA_QH","CAN")</f>
        <v>0</v>
      </c>
      <c r="U15" s="35">
        <f>+GETPIVOTDATA("XSR4",'suoirao (2016)'!$A$3,"MA_HT","RDD","MA_QH","SKK")</f>
        <v>0</v>
      </c>
      <c r="V15" s="35">
        <f>+GETPIVOTDATA("XSR4",'suoirao (2016)'!$A$3,"MA_HT","RDD","MA_QH","SKT")</f>
        <v>0</v>
      </c>
      <c r="W15" s="35">
        <f>+GETPIVOTDATA("XSR4",'suoirao (2016)'!$A$3,"MA_HT","RDD","MA_QH","SKN")</f>
        <v>0</v>
      </c>
      <c r="X15" s="35">
        <f>+GETPIVOTDATA("XSR4",'suoirao (2016)'!$A$3,"MA_HT","RDD","MA_QH","TMD")</f>
        <v>0</v>
      </c>
      <c r="Y15" s="35">
        <f>+GETPIVOTDATA("XSR4",'suoirao (2016)'!$A$3,"MA_HT","RDD","MA_QH","SKC")</f>
        <v>0</v>
      </c>
      <c r="Z15" s="35">
        <f>+GETPIVOTDATA("XSR4",'suoirao (2016)'!$A$3,"MA_HT","RDD","MA_QH","SKS")</f>
        <v>0</v>
      </c>
      <c r="AA15" s="64">
        <f t="shared" si="4"/>
        <v>0</v>
      </c>
      <c r="AB15" s="35">
        <f>+GETPIVOTDATA("XSR4",'suoirao (2016)'!$A$3,"MA_HT","RDD","MA_QH","DGT")</f>
        <v>0</v>
      </c>
      <c r="AC15" s="35">
        <f>+GETPIVOTDATA("XSR4",'suoirao (2016)'!$A$3,"MA_HT","RDD","MA_QH","DTL")</f>
        <v>0</v>
      </c>
      <c r="AD15" s="35">
        <f>+GETPIVOTDATA("XSR4",'suoirao (2016)'!$A$3,"MA_HT","RDD","MA_QH","DNL")</f>
        <v>0</v>
      </c>
      <c r="AE15" s="35">
        <f>+GETPIVOTDATA("XSR4",'suoirao (2016)'!$A$3,"MA_HT","RDD","MA_QH","DBV")</f>
        <v>0</v>
      </c>
      <c r="AF15" s="35">
        <f>+GETPIVOTDATA("XSR4",'suoirao (2016)'!$A$3,"MA_HT","RDD","MA_QH","DVH")</f>
        <v>0</v>
      </c>
      <c r="AG15" s="35">
        <f>+GETPIVOTDATA("XSR4",'suoirao (2016)'!$A$3,"MA_HT","RDD","MA_QH","DYT")</f>
        <v>0</v>
      </c>
      <c r="AH15" s="35">
        <f>+GETPIVOTDATA("XSR4",'suoirao (2016)'!$A$3,"MA_HT","RDD","MA_QH","DGD")</f>
        <v>0</v>
      </c>
      <c r="AI15" s="35">
        <f>+GETPIVOTDATA("XSR4",'suoirao (2016)'!$A$3,"MA_HT","RDD","MA_QH","DTT")</f>
        <v>0</v>
      </c>
      <c r="AJ15" s="35">
        <f>+GETPIVOTDATA("XSR4",'suoirao (2016)'!$A$3,"MA_HT","RDD","MA_QH","NCK")</f>
        <v>0</v>
      </c>
      <c r="AK15" s="35">
        <f>+GETPIVOTDATA("XSR4",'suoirao (2016)'!$A$3,"MA_HT","RDD","MA_QH","DXH")</f>
        <v>0</v>
      </c>
      <c r="AL15" s="35">
        <f>+GETPIVOTDATA("XSR4",'suoirao (2016)'!$A$3,"MA_HT","RDD","MA_QH","DCH")</f>
        <v>0</v>
      </c>
      <c r="AM15" s="35">
        <f>+GETPIVOTDATA("XSR4",'suoirao (2016)'!$A$3,"MA_HT","RDD","MA_QH","DKG")</f>
        <v>0</v>
      </c>
      <c r="AN15" s="35">
        <f>+GETPIVOTDATA("XSR4",'suoirao (2016)'!$A$3,"MA_HT","RDD","MA_QH","DDT")</f>
        <v>0</v>
      </c>
      <c r="AO15" s="35">
        <f>+GETPIVOTDATA("XSR4",'suoirao (2016)'!$A$3,"MA_HT","RDD","MA_QH","DDL")</f>
        <v>0</v>
      </c>
      <c r="AP15" s="35">
        <f>+GETPIVOTDATA("XSR4",'suoirao (2016)'!$A$3,"MA_HT","RDD","MA_QH","DRA")</f>
        <v>0</v>
      </c>
      <c r="AQ15" s="35">
        <f>+GETPIVOTDATA("XSR4",'suoirao (2016)'!$A$3,"MA_HT","RDD","MA_QH","ONT")</f>
        <v>0</v>
      </c>
      <c r="AR15" s="35">
        <f>+GETPIVOTDATA("XSR4",'suoirao (2016)'!$A$3,"MA_HT","RDD","MA_QH","ODT")</f>
        <v>0</v>
      </c>
      <c r="AS15" s="35">
        <f>+GETPIVOTDATA("XSR4",'suoirao (2016)'!$A$3,"MA_HT","RDD","MA_QH","TSC")</f>
        <v>0</v>
      </c>
      <c r="AT15" s="35">
        <f>+GETPIVOTDATA("XSR4",'suoirao (2016)'!$A$3,"MA_HT","RDD","MA_QH","DTS")</f>
        <v>0</v>
      </c>
      <c r="AU15" s="35">
        <f>+GETPIVOTDATA("XSR4",'suoirao (2016)'!$A$3,"MA_HT","RDD","MA_QH","DNG")</f>
        <v>0</v>
      </c>
      <c r="AV15" s="35">
        <f>+GETPIVOTDATA("XSR4",'suoirao (2016)'!$A$3,"MA_HT","RDD","MA_QH","TON")</f>
        <v>0</v>
      </c>
      <c r="AW15" s="35">
        <f>+GETPIVOTDATA("XSR4",'suoirao (2016)'!$A$3,"MA_HT","RDD","MA_QH","NTD")</f>
        <v>0</v>
      </c>
      <c r="AX15" s="35">
        <f>+GETPIVOTDATA("XSR4",'suoirao (2016)'!$A$3,"MA_HT","RDD","MA_QH","SKX")</f>
        <v>0</v>
      </c>
      <c r="AY15" s="35">
        <f>+GETPIVOTDATA("XSR4",'suoirao (2016)'!$A$3,"MA_HT","RDD","MA_QH","DSH")</f>
        <v>0</v>
      </c>
      <c r="AZ15" s="35">
        <f>+GETPIVOTDATA("XSR4",'suoirao (2016)'!$A$3,"MA_HT","RDD","MA_QH","DKV")</f>
        <v>0</v>
      </c>
      <c r="BA15" s="140">
        <f>+GETPIVOTDATA("XSR4",'suoirao (2016)'!$A$3,"MA_HT","RDD","MA_QH","TIN")</f>
        <v>0</v>
      </c>
      <c r="BB15" s="74">
        <f>+GETPIVOTDATA("XSR4",'suoirao (2016)'!$A$3,"MA_HT","RDD","MA_QH","SON")</f>
        <v>0</v>
      </c>
      <c r="BC15" s="74">
        <f>+GETPIVOTDATA("XSR4",'suoirao (2016)'!$A$3,"MA_HT","RDD","MA_QH","MNC")</f>
        <v>0</v>
      </c>
      <c r="BD15" s="35">
        <f>+GETPIVOTDATA("XSR4",'suoirao (2016)'!$A$3,"MA_HT","RDD","MA_QH","PNK")</f>
        <v>0</v>
      </c>
      <c r="BE15" s="58">
        <f>+GETPIVOTDATA("XSR4",'suoirao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+GETPIVOTDATA("XSR4",'suoirao (2016)'!$A$3,"MA_HT","NTS","MA_QH","LUC")</f>
        <v>0</v>
      </c>
      <c r="H16" s="35">
        <f>+GETPIVOTDATA("XSR4",'suoirao (2016)'!$A$3,"MA_HT","NTS","MA_QH","LUK")</f>
        <v>0</v>
      </c>
      <c r="I16" s="35">
        <f>+GETPIVOTDATA("XSR4",'suoirao (2016)'!$A$3,"MA_HT","NTS","MA_QH","LUN")</f>
        <v>0</v>
      </c>
      <c r="J16" s="35">
        <f>+GETPIVOTDATA("XSR4",'suoirao (2016)'!$A$3,"MA_HT","NTS","MA_QH","HNK")</f>
        <v>0</v>
      </c>
      <c r="K16" s="35">
        <f>+GETPIVOTDATA("XSR4",'suoirao (2016)'!$A$3,"MA_HT","NTS","MA_QH","CLN")</f>
        <v>0</v>
      </c>
      <c r="L16" s="35">
        <f>+GETPIVOTDATA("XSR4",'suoirao (2016)'!$A$3,"MA_HT","NTS","MA_QH","RSX")</f>
        <v>0</v>
      </c>
      <c r="M16" s="35">
        <f>+GETPIVOTDATA("XSR4",'suoirao (2016)'!$A$3,"MA_HT","NTS","MA_QH","RPH")</f>
        <v>0</v>
      </c>
      <c r="N16" s="35">
        <f>+GETPIVOTDATA("XSR4",'suoirao (2016)'!$A$3,"MA_HT","NTS","MA_QH","RDD")</f>
        <v>0</v>
      </c>
      <c r="O16" s="99" t="e">
        <f>$D16-$BF16</f>
        <v>#REF!</v>
      </c>
      <c r="P16" s="35">
        <f>+GETPIVOTDATA("XSR4",'suoirao (2016)'!$A$3,"MA_HT","NTS","MA_QH","LMU")</f>
        <v>0</v>
      </c>
      <c r="Q16" s="35">
        <f>+GETPIVOTDATA("XSR4",'suoirao (2016)'!$A$3,"MA_HT","NTS","MA_QH","NKH")</f>
        <v>0</v>
      </c>
      <c r="R16" s="63">
        <f t="shared" si="2"/>
        <v>0</v>
      </c>
      <c r="S16" s="35">
        <f>+GETPIVOTDATA("XSR4",'suoirao (2016)'!$A$3,"MA_HT","NTS","MA_QH","CQP")</f>
        <v>0</v>
      </c>
      <c r="T16" s="35">
        <f>+GETPIVOTDATA("XSR4",'suoirao (2016)'!$A$3,"MA_HT","NTS","MA_QH","CAN")</f>
        <v>0</v>
      </c>
      <c r="U16" s="35">
        <f>+GETPIVOTDATA("XSR4",'suoirao (2016)'!$A$3,"MA_HT","NTS","MA_QH","SKK")</f>
        <v>0</v>
      </c>
      <c r="V16" s="35">
        <f>+GETPIVOTDATA("XSR4",'suoirao (2016)'!$A$3,"MA_HT","NTS","MA_QH","SKT")</f>
        <v>0</v>
      </c>
      <c r="W16" s="35">
        <f>+GETPIVOTDATA("XSR4",'suoirao (2016)'!$A$3,"MA_HT","NTS","MA_QH","SKN")</f>
        <v>0</v>
      </c>
      <c r="X16" s="35">
        <f>+GETPIVOTDATA("XSR4",'suoirao (2016)'!$A$3,"MA_HT","NTS","MA_QH","TMD")</f>
        <v>0</v>
      </c>
      <c r="Y16" s="35">
        <f>+GETPIVOTDATA("XSR4",'suoirao (2016)'!$A$3,"MA_HT","NTS","MA_QH","SKC")</f>
        <v>0</v>
      </c>
      <c r="Z16" s="35">
        <f>+GETPIVOTDATA("XSR4",'suoirao (2016)'!$A$3,"MA_HT","NTS","MA_QH","SKS")</f>
        <v>0</v>
      </c>
      <c r="AA16" s="64">
        <f t="shared" si="4"/>
        <v>0</v>
      </c>
      <c r="AB16" s="35">
        <f>+GETPIVOTDATA("XSR4",'suoirao (2016)'!$A$3,"MA_HT","NTS","MA_QH","DGT")</f>
        <v>0</v>
      </c>
      <c r="AC16" s="35">
        <f>+GETPIVOTDATA("XSR4",'suoirao (2016)'!$A$3,"MA_HT","NTS","MA_QH","DTL")</f>
        <v>0</v>
      </c>
      <c r="AD16" s="35">
        <f>+GETPIVOTDATA("XSR4",'suoirao (2016)'!$A$3,"MA_HT","NTS","MA_QH","DNL")</f>
        <v>0</v>
      </c>
      <c r="AE16" s="35">
        <f>+GETPIVOTDATA("XSR4",'suoirao (2016)'!$A$3,"MA_HT","NTS","MA_QH","DBV")</f>
        <v>0</v>
      </c>
      <c r="AF16" s="35">
        <f>+GETPIVOTDATA("XSR4",'suoirao (2016)'!$A$3,"MA_HT","NTS","MA_QH","DVH")</f>
        <v>0</v>
      </c>
      <c r="AG16" s="35">
        <f>+GETPIVOTDATA("XSR4",'suoirao (2016)'!$A$3,"MA_HT","NTS","MA_QH","DYT")</f>
        <v>0</v>
      </c>
      <c r="AH16" s="35">
        <f>+GETPIVOTDATA("XSR4",'suoirao (2016)'!$A$3,"MA_HT","NTS","MA_QH","DGD")</f>
        <v>0</v>
      </c>
      <c r="AI16" s="35">
        <f>+GETPIVOTDATA("XSR4",'suoirao (2016)'!$A$3,"MA_HT","NTS","MA_QH","DTT")</f>
        <v>0</v>
      </c>
      <c r="AJ16" s="35">
        <f>+GETPIVOTDATA("XSR4",'suoirao (2016)'!$A$3,"MA_HT","NTS","MA_QH","NCK")</f>
        <v>0</v>
      </c>
      <c r="AK16" s="35">
        <f>+GETPIVOTDATA("XSR4",'suoirao (2016)'!$A$3,"MA_HT","NTS","MA_QH","DXH")</f>
        <v>0</v>
      </c>
      <c r="AL16" s="35">
        <f>+GETPIVOTDATA("XSR4",'suoirao (2016)'!$A$3,"MA_HT","NTS","MA_QH","DCH")</f>
        <v>0</v>
      </c>
      <c r="AM16" s="35">
        <f>+GETPIVOTDATA("XSR4",'suoirao (2016)'!$A$3,"MA_HT","NTS","MA_QH","DKG")</f>
        <v>0</v>
      </c>
      <c r="AN16" s="35">
        <f>+GETPIVOTDATA("XSR4",'suoirao (2016)'!$A$3,"MA_HT","NTS","MA_QH","DDT")</f>
        <v>0</v>
      </c>
      <c r="AO16" s="35">
        <f>+GETPIVOTDATA("XSR4",'suoirao (2016)'!$A$3,"MA_HT","NTS","MA_QH","DDL")</f>
        <v>0</v>
      </c>
      <c r="AP16" s="35">
        <f>+GETPIVOTDATA("XSR4",'suoirao (2016)'!$A$3,"MA_HT","NTS","MA_QH","DRA")</f>
        <v>0</v>
      </c>
      <c r="AQ16" s="35">
        <f>+GETPIVOTDATA("XSR4",'suoirao (2016)'!$A$3,"MA_HT","NTS","MA_QH","ONT")</f>
        <v>0</v>
      </c>
      <c r="AR16" s="35">
        <f>+GETPIVOTDATA("XSR4",'suoirao (2016)'!$A$3,"MA_HT","NTS","MA_QH","ODT")</f>
        <v>0</v>
      </c>
      <c r="AS16" s="35">
        <f>+GETPIVOTDATA("XSR4",'suoirao (2016)'!$A$3,"MA_HT","NTS","MA_QH","TSC")</f>
        <v>0</v>
      </c>
      <c r="AT16" s="35">
        <f>+GETPIVOTDATA("XSR4",'suoirao (2016)'!$A$3,"MA_HT","NTS","MA_QH","DTS")</f>
        <v>0</v>
      </c>
      <c r="AU16" s="35">
        <f>+GETPIVOTDATA("XSR4",'suoirao (2016)'!$A$3,"MA_HT","NTS","MA_QH","DNG")</f>
        <v>0</v>
      </c>
      <c r="AV16" s="35">
        <f>+GETPIVOTDATA("XSR4",'suoirao (2016)'!$A$3,"MA_HT","NTS","MA_QH","TON")</f>
        <v>0</v>
      </c>
      <c r="AW16" s="35">
        <f>+GETPIVOTDATA("XSR4",'suoirao (2016)'!$A$3,"MA_HT","NTS","MA_QH","NTD")</f>
        <v>0</v>
      </c>
      <c r="AX16" s="35">
        <f>+GETPIVOTDATA("XSR4",'suoirao (2016)'!$A$3,"MA_HT","NTS","MA_QH","SKX")</f>
        <v>0</v>
      </c>
      <c r="AY16" s="35">
        <f>+GETPIVOTDATA("XSR4",'suoirao (2016)'!$A$3,"MA_HT","NTS","MA_QH","DSH")</f>
        <v>0</v>
      </c>
      <c r="AZ16" s="35">
        <f>+GETPIVOTDATA("XSR4",'suoirao (2016)'!$A$3,"MA_HT","NTS","MA_QH","DKV")</f>
        <v>0</v>
      </c>
      <c r="BA16" s="140">
        <f>+GETPIVOTDATA("XSR4",'suoirao (2016)'!$A$3,"MA_HT","NTS","MA_QH","TIN")</f>
        <v>0</v>
      </c>
      <c r="BB16" s="74">
        <f>+GETPIVOTDATA("XSR4",'suoirao (2016)'!$A$3,"MA_HT","NTS","MA_QH","SON")</f>
        <v>0</v>
      </c>
      <c r="BC16" s="74">
        <f>+GETPIVOTDATA("XSR4",'suoirao (2016)'!$A$3,"MA_HT","NTS","MA_QH","MNC")</f>
        <v>0</v>
      </c>
      <c r="BD16" s="35">
        <f>+GETPIVOTDATA("XSR4",'suoirao (2016)'!$A$3,"MA_HT","NTS","MA_QH","PNK")</f>
        <v>0</v>
      </c>
      <c r="BE16" s="58">
        <f>+GETPIVOTDATA("XSR4",'suoirao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+GETPIVOTDATA("XSR4",'suoirao (2016)'!$A$3,"MA_HT","LMU","MA_QH","LUC")</f>
        <v>0</v>
      </c>
      <c r="H17" s="35">
        <f>+GETPIVOTDATA("XSR4",'suoirao (2016)'!$A$3,"MA_HT","LMU","MA_QH","LUK")</f>
        <v>0</v>
      </c>
      <c r="I17" s="35">
        <f>+GETPIVOTDATA("XSR4",'suoirao (2016)'!$A$3,"MA_HT","LMU","MA_QH","LUN")</f>
        <v>0</v>
      </c>
      <c r="J17" s="35">
        <f>+GETPIVOTDATA("XSR4",'suoirao (2016)'!$A$3,"MA_HT","LMU","MA_QH","HNK")</f>
        <v>0</v>
      </c>
      <c r="K17" s="35">
        <f>+GETPIVOTDATA("XSR4",'suoirao (2016)'!$A$3,"MA_HT","LMU","MA_QH","CLN")</f>
        <v>0</v>
      </c>
      <c r="L17" s="35">
        <f>+GETPIVOTDATA("XSR4",'suoirao (2016)'!$A$3,"MA_HT","LMU","MA_QH","RSX")</f>
        <v>0</v>
      </c>
      <c r="M17" s="35">
        <f>+GETPIVOTDATA("XSR4",'suoirao (2016)'!$A$3,"MA_HT","LMU","MA_QH","RPH")</f>
        <v>0</v>
      </c>
      <c r="N17" s="35">
        <f>+GETPIVOTDATA("XSR4",'suoirao (2016)'!$A$3,"MA_HT","LMU","MA_QH","RDD")</f>
        <v>0</v>
      </c>
      <c r="O17" s="35">
        <f>+GETPIVOTDATA("XSR4",'suoirao (2016)'!$A$3,"MA_HT","LMU","MA_QH","NTS")</f>
        <v>0</v>
      </c>
      <c r="P17" s="99" t="e">
        <f>$D17-$BF17</f>
        <v>#REF!</v>
      </c>
      <c r="Q17" s="35">
        <f>+GETPIVOTDATA("XSR4",'suoirao (2016)'!$A$3,"MA_HT","LMU","MA_QH","NKH")</f>
        <v>0</v>
      </c>
      <c r="R17" s="63">
        <f t="shared" si="2"/>
        <v>0</v>
      </c>
      <c r="S17" s="35">
        <f>+GETPIVOTDATA("XSR4",'suoirao (2016)'!$A$3,"MA_HT","LMU","MA_QH","CQP")</f>
        <v>0</v>
      </c>
      <c r="T17" s="35">
        <f>+GETPIVOTDATA("XSR4",'suoirao (2016)'!$A$3,"MA_HT","LMU","MA_QH","CAN")</f>
        <v>0</v>
      </c>
      <c r="U17" s="35">
        <f>+GETPIVOTDATA("XSR4",'suoirao (2016)'!$A$3,"MA_HT","LMU","MA_QH","SKK")</f>
        <v>0</v>
      </c>
      <c r="V17" s="35">
        <f>+GETPIVOTDATA("XSR4",'suoirao (2016)'!$A$3,"MA_HT","LMU","MA_QH","SKT")</f>
        <v>0</v>
      </c>
      <c r="W17" s="35">
        <f>+GETPIVOTDATA("XSR4",'suoirao (2016)'!$A$3,"MA_HT","LMU","MA_QH","SKN")</f>
        <v>0</v>
      </c>
      <c r="X17" s="35">
        <f>+GETPIVOTDATA("XSR4",'suoirao (2016)'!$A$3,"MA_HT","LMU","MA_QH","TMD")</f>
        <v>0</v>
      </c>
      <c r="Y17" s="35">
        <f>+GETPIVOTDATA("XSR4",'suoirao (2016)'!$A$3,"MA_HT","LMU","MA_QH","SKC")</f>
        <v>0</v>
      </c>
      <c r="Z17" s="35">
        <f>+GETPIVOTDATA("XSR4",'suoirao (2016)'!$A$3,"MA_HT","LMU","MA_QH","SKS")</f>
        <v>0</v>
      </c>
      <c r="AA17" s="64">
        <f t="shared" si="4"/>
        <v>0</v>
      </c>
      <c r="AB17" s="35">
        <f>+GETPIVOTDATA("XSR4",'suoirao (2016)'!$A$3,"MA_HT","LMU","MA_QH","DGT")</f>
        <v>0</v>
      </c>
      <c r="AC17" s="35">
        <f>+GETPIVOTDATA("XSR4",'suoirao (2016)'!$A$3,"MA_HT","LMU","MA_QH","DTL")</f>
        <v>0</v>
      </c>
      <c r="AD17" s="35">
        <f>+GETPIVOTDATA("XSR4",'suoirao (2016)'!$A$3,"MA_HT","LMU","MA_QH","DNL")</f>
        <v>0</v>
      </c>
      <c r="AE17" s="35">
        <f>+GETPIVOTDATA("XSR4",'suoirao (2016)'!$A$3,"MA_HT","LMU","MA_QH","DBV")</f>
        <v>0</v>
      </c>
      <c r="AF17" s="35">
        <f>+GETPIVOTDATA("XSR4",'suoirao (2016)'!$A$3,"MA_HT","LMU","MA_QH","DVH")</f>
        <v>0</v>
      </c>
      <c r="AG17" s="35">
        <f>+GETPIVOTDATA("XSR4",'suoirao (2016)'!$A$3,"MA_HT","LMU","MA_QH","DYT")</f>
        <v>0</v>
      </c>
      <c r="AH17" s="35">
        <f>+GETPIVOTDATA("XSR4",'suoirao (2016)'!$A$3,"MA_HT","LMU","MA_QH","DGD")</f>
        <v>0</v>
      </c>
      <c r="AI17" s="35">
        <f>+GETPIVOTDATA("XSR4",'suoirao (2016)'!$A$3,"MA_HT","LMU","MA_QH","DTT")</f>
        <v>0</v>
      </c>
      <c r="AJ17" s="35">
        <f>+GETPIVOTDATA("XSR4",'suoirao (2016)'!$A$3,"MA_HT","LMU","MA_QH","NCK")</f>
        <v>0</v>
      </c>
      <c r="AK17" s="35">
        <f>+GETPIVOTDATA("XSR4",'suoirao (2016)'!$A$3,"MA_HT","LMU","MA_QH","DXH")</f>
        <v>0</v>
      </c>
      <c r="AL17" s="35">
        <f>+GETPIVOTDATA("XSR4",'suoirao (2016)'!$A$3,"MA_HT","LMU","MA_QH","DCH")</f>
        <v>0</v>
      </c>
      <c r="AM17" s="35">
        <f>+GETPIVOTDATA("XSR4",'suoirao (2016)'!$A$3,"MA_HT","LMU","MA_QH","DKG")</f>
        <v>0</v>
      </c>
      <c r="AN17" s="35">
        <f>+GETPIVOTDATA("XSR4",'suoirao (2016)'!$A$3,"MA_HT","LMU","MA_QH","DDT")</f>
        <v>0</v>
      </c>
      <c r="AO17" s="35">
        <f>+GETPIVOTDATA("XSR4",'suoirao (2016)'!$A$3,"MA_HT","LMU","MA_QH","DDL")</f>
        <v>0</v>
      </c>
      <c r="AP17" s="35">
        <f>+GETPIVOTDATA("XSR4",'suoirao (2016)'!$A$3,"MA_HT","LMU","MA_QH","DRA")</f>
        <v>0</v>
      </c>
      <c r="AQ17" s="35">
        <f>+GETPIVOTDATA("XSR4",'suoirao (2016)'!$A$3,"MA_HT","LMU","MA_QH","ONT")</f>
        <v>0</v>
      </c>
      <c r="AR17" s="35">
        <f>+GETPIVOTDATA("XSR4",'suoirao (2016)'!$A$3,"MA_HT","LMU","MA_QH","ODT")</f>
        <v>0</v>
      </c>
      <c r="AS17" s="35">
        <f>+GETPIVOTDATA("XSR4",'suoirao (2016)'!$A$3,"MA_HT","LMU","MA_QH","TSC")</f>
        <v>0</v>
      </c>
      <c r="AT17" s="35">
        <f>+GETPIVOTDATA("XSR4",'suoirao (2016)'!$A$3,"MA_HT","LMU","MA_QH","DTS")</f>
        <v>0</v>
      </c>
      <c r="AU17" s="35">
        <f>+GETPIVOTDATA("XSR4",'suoirao (2016)'!$A$3,"MA_HT","LMU","MA_QH","DNG")</f>
        <v>0</v>
      </c>
      <c r="AV17" s="35">
        <f>+GETPIVOTDATA("XSR4",'suoirao (2016)'!$A$3,"MA_HT","LMU","MA_QH","TON")</f>
        <v>0</v>
      </c>
      <c r="AW17" s="35">
        <f>+GETPIVOTDATA("XSR4",'suoirao (2016)'!$A$3,"MA_HT","LMU","MA_QH","NTD")</f>
        <v>0</v>
      </c>
      <c r="AX17" s="35">
        <f>+GETPIVOTDATA("XSR4",'suoirao (2016)'!$A$3,"MA_HT","LMU","MA_QH","SKX")</f>
        <v>0</v>
      </c>
      <c r="AY17" s="35">
        <f>+GETPIVOTDATA("XSR4",'suoirao (2016)'!$A$3,"MA_HT","LMU","MA_QH","DSH")</f>
        <v>0</v>
      </c>
      <c r="AZ17" s="35">
        <f>+GETPIVOTDATA("XSR4",'suoirao (2016)'!$A$3,"MA_HT","LMU","MA_QH","DKV")</f>
        <v>0</v>
      </c>
      <c r="BA17" s="140">
        <f>+GETPIVOTDATA("XSR4",'suoirao (2016)'!$A$3,"MA_HT","LMU","MA_QH","TIN")</f>
        <v>0</v>
      </c>
      <c r="BB17" s="74">
        <f>+GETPIVOTDATA("XSR4",'suoirao (2016)'!$A$3,"MA_HT","LMU","MA_QH","SON")</f>
        <v>0</v>
      </c>
      <c r="BC17" s="74">
        <f>+GETPIVOTDATA("XSR4",'suoirao (2016)'!$A$3,"MA_HT","LMU","MA_QH","MNC")</f>
        <v>0</v>
      </c>
      <c r="BD17" s="35">
        <f>+GETPIVOTDATA("XSR4",'suoirao (2016)'!$A$3,"MA_HT","LMU","MA_QH","PNK")</f>
        <v>0</v>
      </c>
      <c r="BE17" s="58">
        <f>+GETPIVOTDATA("XSR4",'suoirao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+GETPIVOTDATA("XSR4",'suoirao (2016)'!$A$3,"MA_HT","NKH","MA_QH","LUC")</f>
        <v>0</v>
      </c>
      <c r="H18" s="35">
        <f>+GETPIVOTDATA("XSR4",'suoirao (2016)'!$A$3,"MA_HT","NKH","MA_QH","LUK")</f>
        <v>0</v>
      </c>
      <c r="I18" s="35">
        <f>+GETPIVOTDATA("XSR4",'suoirao (2016)'!$A$3,"MA_HT","NKH","MA_QH","LUN")</f>
        <v>0</v>
      </c>
      <c r="J18" s="35">
        <f>+GETPIVOTDATA("XSR4",'suoirao (2016)'!$A$3,"MA_HT","NKH","MA_QH","HNK")</f>
        <v>0</v>
      </c>
      <c r="K18" s="35">
        <f>+GETPIVOTDATA("XSR4",'suoirao (2016)'!$A$3,"MA_HT","NKH","MA_QH","CLN")</f>
        <v>0</v>
      </c>
      <c r="L18" s="35">
        <f>+GETPIVOTDATA("XSR4",'suoirao (2016)'!$A$3,"MA_HT","NKH","MA_QH","RSX")</f>
        <v>0</v>
      </c>
      <c r="M18" s="35">
        <f>+GETPIVOTDATA("XSR4",'suoirao (2016)'!$A$3,"MA_HT","NKH","MA_QH","RPH")</f>
        <v>0</v>
      </c>
      <c r="N18" s="35">
        <f>+GETPIVOTDATA("XSR4",'suoirao (2016)'!$A$3,"MA_HT","NKH","MA_QH","RDD")</f>
        <v>0</v>
      </c>
      <c r="O18" s="35">
        <f>+GETPIVOTDATA("XSR4",'suoirao (2016)'!$A$3,"MA_HT","NKH","MA_QH","NTS")</f>
        <v>0</v>
      </c>
      <c r="P18" s="35">
        <f>+GETPIVOTDATA("XSR4",'suoirao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+GETPIVOTDATA("XSR4",'suoirao (2016)'!$A$3,"MA_HT","NKH","MA_QH","CQP")</f>
        <v>0</v>
      </c>
      <c r="T18" s="35">
        <f>+GETPIVOTDATA("XSR4",'suoirao (2016)'!$A$3,"MA_HT","NKH","MA_QH","CAN")</f>
        <v>0</v>
      </c>
      <c r="U18" s="35">
        <f>+GETPIVOTDATA("XSR4",'suoirao (2016)'!$A$3,"MA_HT","NKH","MA_QH","SKK")</f>
        <v>0</v>
      </c>
      <c r="V18" s="35">
        <f>+GETPIVOTDATA("XSR4",'suoirao (2016)'!$A$3,"MA_HT","NKH","MA_QH","SKT")</f>
        <v>0</v>
      </c>
      <c r="W18" s="35">
        <f>+GETPIVOTDATA("XSR4",'suoirao (2016)'!$A$3,"MA_HT","NKH","MA_QH","SKN")</f>
        <v>0</v>
      </c>
      <c r="X18" s="35">
        <f>+GETPIVOTDATA("XSR4",'suoirao (2016)'!$A$3,"MA_HT","NKH","MA_QH","TMD")</f>
        <v>0</v>
      </c>
      <c r="Y18" s="35">
        <f>+GETPIVOTDATA("XSR4",'suoirao (2016)'!$A$3,"MA_HT","NKH","MA_QH","SKC")</f>
        <v>0</v>
      </c>
      <c r="Z18" s="35">
        <f>+GETPIVOTDATA("XSR4",'suoirao (2016)'!$A$3,"MA_HT","NKH","MA_QH","SKS")</f>
        <v>0</v>
      </c>
      <c r="AA18" s="64">
        <f t="shared" si="4"/>
        <v>0</v>
      </c>
      <c r="AB18" s="35">
        <f>+GETPIVOTDATA("XSR4",'suoirao (2016)'!$A$3,"MA_HT","NKH","MA_QH","DGT")</f>
        <v>0</v>
      </c>
      <c r="AC18" s="35">
        <f>+GETPIVOTDATA("XSR4",'suoirao (2016)'!$A$3,"MA_HT","NKH","MA_QH","DTL")</f>
        <v>0</v>
      </c>
      <c r="AD18" s="35">
        <f>+GETPIVOTDATA("XSR4",'suoirao (2016)'!$A$3,"MA_HT","NKH","MA_QH","DNL")</f>
        <v>0</v>
      </c>
      <c r="AE18" s="35">
        <f>+GETPIVOTDATA("XSR4",'suoirao (2016)'!$A$3,"MA_HT","NKH","MA_QH","DBV")</f>
        <v>0</v>
      </c>
      <c r="AF18" s="35">
        <f>+GETPIVOTDATA("XSR4",'suoirao (2016)'!$A$3,"MA_HT","NKH","MA_QH","DVH")</f>
        <v>0</v>
      </c>
      <c r="AG18" s="35">
        <f>+GETPIVOTDATA("XSR4",'suoirao (2016)'!$A$3,"MA_HT","NKH","MA_QH","DYT")</f>
        <v>0</v>
      </c>
      <c r="AH18" s="35">
        <f>+GETPIVOTDATA("XSR4",'suoirao (2016)'!$A$3,"MA_HT","NKH","MA_QH","DGD")</f>
        <v>0</v>
      </c>
      <c r="AI18" s="35">
        <f>+GETPIVOTDATA("XSR4",'suoirao (2016)'!$A$3,"MA_HT","NKH","MA_QH","DTT")</f>
        <v>0</v>
      </c>
      <c r="AJ18" s="35">
        <f>+GETPIVOTDATA("XSR4",'suoirao (2016)'!$A$3,"MA_HT","NKH","MA_QH","NCK")</f>
        <v>0</v>
      </c>
      <c r="AK18" s="35">
        <f>+GETPIVOTDATA("XSR4",'suoirao (2016)'!$A$3,"MA_HT","NKH","MA_QH","DXH")</f>
        <v>0</v>
      </c>
      <c r="AL18" s="35">
        <f>+GETPIVOTDATA("XSR4",'suoirao (2016)'!$A$3,"MA_HT","NKH","MA_QH","DCH")</f>
        <v>0</v>
      </c>
      <c r="AM18" s="35">
        <f>+GETPIVOTDATA("XSR4",'suoirao (2016)'!$A$3,"MA_HT","NKH","MA_QH","DKG")</f>
        <v>0</v>
      </c>
      <c r="AN18" s="35">
        <f>+GETPIVOTDATA("XSR4",'suoirao (2016)'!$A$3,"MA_HT","NKH","MA_QH","DDT")</f>
        <v>0</v>
      </c>
      <c r="AO18" s="35">
        <f>+GETPIVOTDATA("XSR4",'suoirao (2016)'!$A$3,"MA_HT","NKH","MA_QH","DDL")</f>
        <v>0</v>
      </c>
      <c r="AP18" s="35">
        <f>+GETPIVOTDATA("XSR4",'suoirao (2016)'!$A$3,"MA_HT","NKH","MA_QH","DRA")</f>
        <v>0</v>
      </c>
      <c r="AQ18" s="35">
        <f>+GETPIVOTDATA("XSR4",'suoirao (2016)'!$A$3,"MA_HT","NKH","MA_QH","ONT")</f>
        <v>0</v>
      </c>
      <c r="AR18" s="35">
        <f>+GETPIVOTDATA("XSR4",'suoirao (2016)'!$A$3,"MA_HT","NKH","MA_QH","ODT")</f>
        <v>0</v>
      </c>
      <c r="AS18" s="35">
        <f>+GETPIVOTDATA("XSR4",'suoirao (2016)'!$A$3,"MA_HT","NKH","MA_QH","TSC")</f>
        <v>0</v>
      </c>
      <c r="AT18" s="35">
        <f>+GETPIVOTDATA("XSR4",'suoirao (2016)'!$A$3,"MA_HT","NKH","MA_QH","DTS")</f>
        <v>0</v>
      </c>
      <c r="AU18" s="35">
        <f>+GETPIVOTDATA("XSR4",'suoirao (2016)'!$A$3,"MA_HT","NKH","MA_QH","DNG")</f>
        <v>0</v>
      </c>
      <c r="AV18" s="35">
        <f>+GETPIVOTDATA("XSR4",'suoirao (2016)'!$A$3,"MA_HT","NKH","MA_QH","TON")</f>
        <v>0</v>
      </c>
      <c r="AW18" s="35">
        <f>+GETPIVOTDATA("XSR4",'suoirao (2016)'!$A$3,"MA_HT","NKH","MA_QH","NTD")</f>
        <v>0</v>
      </c>
      <c r="AX18" s="35">
        <f>+GETPIVOTDATA("XSR4",'suoirao (2016)'!$A$3,"MA_HT","NKH","MA_QH","SKX")</f>
        <v>0</v>
      </c>
      <c r="AY18" s="35">
        <f>+GETPIVOTDATA("XSR4",'suoirao (2016)'!$A$3,"MA_HT","NKH","MA_QH","DSH")</f>
        <v>0</v>
      </c>
      <c r="AZ18" s="35">
        <f>+GETPIVOTDATA("XSR4",'suoirao (2016)'!$A$3,"MA_HT","NKH","MA_QH","DKV")</f>
        <v>0</v>
      </c>
      <c r="BA18" s="140">
        <f>+GETPIVOTDATA("XSR4",'suoirao (2016)'!$A$3,"MA_HT","NKH","MA_QH","TIN")</f>
        <v>0</v>
      </c>
      <c r="BB18" s="74">
        <f>+GETPIVOTDATA("XSR4",'suoirao (2016)'!$A$3,"MA_HT","NKH","MA_QH","SON")</f>
        <v>0</v>
      </c>
      <c r="BC18" s="74">
        <f>+GETPIVOTDATA("XSR4",'suoirao (2016)'!$A$3,"MA_HT","NKH","MA_QH","MNC")</f>
        <v>0</v>
      </c>
      <c r="BD18" s="35">
        <f>+GETPIVOTDATA("XSR4",'suoirao (2016)'!$A$3,"MA_HT","NKH","MA_QH","PNK")</f>
        <v>0</v>
      </c>
      <c r="BE18" s="58">
        <f>+GETPIVOTDATA("XSR4",'suoirao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+GETPIVOTDATA("XSR4",'suoirao (2016)'!$A$3,"MA_HT","CQP","MA_QH","LUC")</f>
        <v>0</v>
      </c>
      <c r="H20" s="35">
        <f>+GETPIVOTDATA("XSR4",'suoirao (2016)'!$A$3,"MA_HT","CQP","MA_QH","LUK")</f>
        <v>0</v>
      </c>
      <c r="I20" s="35">
        <f>+GETPIVOTDATA("XSR4",'suoirao (2016)'!$A$3,"MA_HT","CQP","MA_QH","LUN")</f>
        <v>0</v>
      </c>
      <c r="J20" s="35">
        <f>+GETPIVOTDATA("XSR4",'suoirao (2016)'!$A$3,"MA_HT","CQP","MA_QH","HNK")</f>
        <v>0</v>
      </c>
      <c r="K20" s="35">
        <f>+GETPIVOTDATA("XSR4",'suoirao (2016)'!$A$3,"MA_HT","CQP","MA_QH","CLN")</f>
        <v>0</v>
      </c>
      <c r="L20" s="35">
        <f>+GETPIVOTDATA("XSR4",'suoirao (2016)'!$A$3,"MA_HT","CQP","MA_QH","RSX")</f>
        <v>0</v>
      </c>
      <c r="M20" s="35">
        <f>+GETPIVOTDATA("XSR4",'suoirao (2016)'!$A$3,"MA_HT","CQP","MA_QH","RPH")</f>
        <v>0</v>
      </c>
      <c r="N20" s="35">
        <f>+GETPIVOTDATA("XSR4",'suoirao (2016)'!$A$3,"MA_HT","CQP","MA_QH","RDD")</f>
        <v>0</v>
      </c>
      <c r="O20" s="35">
        <f>+GETPIVOTDATA("XSR4",'suoirao (2016)'!$A$3,"MA_HT","CQP","MA_QH","NTS")</f>
        <v>0</v>
      </c>
      <c r="P20" s="35">
        <f>+GETPIVOTDATA("XSR4",'suoirao (2016)'!$A$3,"MA_HT","CQP","MA_QH","LMU")</f>
        <v>0</v>
      </c>
      <c r="Q20" s="35">
        <f>+GETPIVOTDATA("XSR4",'suoirao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+GETPIVOTDATA("XSR4",'suoirao (2016)'!$A$3,"MA_HT","CQP","MA_QH","CAN")</f>
        <v>0</v>
      </c>
      <c r="U20" s="35">
        <f>+GETPIVOTDATA("XSR4",'suoirao (2016)'!$A$3,"MA_HT","CQP","MA_QH","SKK")</f>
        <v>0</v>
      </c>
      <c r="V20" s="35">
        <f>+GETPIVOTDATA("XSR4",'suoirao (2016)'!$A$3,"MA_HT","CQP","MA_QH","SKT")</f>
        <v>0</v>
      </c>
      <c r="W20" s="35">
        <f>+GETPIVOTDATA("XSR4",'suoirao (2016)'!$A$3,"MA_HT","CQP","MA_QH","SKN")</f>
        <v>0</v>
      </c>
      <c r="X20" s="35">
        <f>+GETPIVOTDATA("XSR4",'suoirao (2016)'!$A$3,"MA_HT","CQP","MA_QH","TMD")</f>
        <v>0</v>
      </c>
      <c r="Y20" s="35">
        <f>+GETPIVOTDATA("XSR4",'suoirao (2016)'!$A$3,"MA_HT","CQP","MA_QH","SKC")</f>
        <v>0</v>
      </c>
      <c r="Z20" s="35">
        <f>+GETPIVOTDATA("XSR4",'suoirao (2016)'!$A$3,"MA_HT","CQP","MA_QH","SKS")</f>
        <v>0</v>
      </c>
      <c r="AA20" s="64">
        <f t="shared" ref="AA20:AA27" si="12">+SUM(AB20:AM20)</f>
        <v>0</v>
      </c>
      <c r="AB20" s="35">
        <f>+GETPIVOTDATA("XSR4",'suoirao (2016)'!$A$3,"MA_HT","CQP","MA_QH","DGT")</f>
        <v>0</v>
      </c>
      <c r="AC20" s="35">
        <f>+GETPIVOTDATA("XSR4",'suoirao (2016)'!$A$3,"MA_HT","CQP","MA_QH","DTL")</f>
        <v>0</v>
      </c>
      <c r="AD20" s="35">
        <f>+GETPIVOTDATA("XSR4",'suoirao (2016)'!$A$3,"MA_HT","CQP","MA_QH","DNL")</f>
        <v>0</v>
      </c>
      <c r="AE20" s="35">
        <f>+GETPIVOTDATA("XSR4",'suoirao (2016)'!$A$3,"MA_HT","CQP","MA_QH","DBV")</f>
        <v>0</v>
      </c>
      <c r="AF20" s="35">
        <f>+GETPIVOTDATA("XSR4",'suoirao (2016)'!$A$3,"MA_HT","CQP","MA_QH","DVH")</f>
        <v>0</v>
      </c>
      <c r="AG20" s="35">
        <f>+GETPIVOTDATA("XSR4",'suoirao (2016)'!$A$3,"MA_HT","CQP","MA_QH","DYT")</f>
        <v>0</v>
      </c>
      <c r="AH20" s="35">
        <f>+GETPIVOTDATA("XSR4",'suoirao (2016)'!$A$3,"MA_HT","CQP","MA_QH","DGD")</f>
        <v>0</v>
      </c>
      <c r="AI20" s="35">
        <f>+GETPIVOTDATA("XSR4",'suoirao (2016)'!$A$3,"MA_HT","CQP","MA_QH","DTT")</f>
        <v>0</v>
      </c>
      <c r="AJ20" s="35">
        <f>+GETPIVOTDATA("XSR4",'suoirao (2016)'!$A$3,"MA_HT","CQP","MA_QH","NCK")</f>
        <v>0</v>
      </c>
      <c r="AK20" s="35">
        <f>+GETPIVOTDATA("XSR4",'suoirao (2016)'!$A$3,"MA_HT","CQP","MA_QH","DXH")</f>
        <v>0</v>
      </c>
      <c r="AL20" s="35">
        <f>+GETPIVOTDATA("XSR4",'suoirao (2016)'!$A$3,"MA_HT","CQP","MA_QH","DCH")</f>
        <v>0</v>
      </c>
      <c r="AM20" s="35">
        <f>+GETPIVOTDATA("XSR4",'suoirao (2016)'!$A$3,"MA_HT","CQP","MA_QH","DKG")</f>
        <v>0</v>
      </c>
      <c r="AN20" s="35">
        <f>+GETPIVOTDATA("XSR4",'suoirao (2016)'!$A$3,"MA_HT","CQP","MA_QH","DDT")</f>
        <v>0</v>
      </c>
      <c r="AO20" s="35">
        <f>+GETPIVOTDATA("XSR4",'suoirao (2016)'!$A$3,"MA_HT","CQP","MA_QH","DDL")</f>
        <v>0</v>
      </c>
      <c r="AP20" s="35">
        <f>+GETPIVOTDATA("XSR4",'suoirao (2016)'!$A$3,"MA_HT","CQP","MA_QH","DRA")</f>
        <v>0</v>
      </c>
      <c r="AQ20" s="35">
        <f>+GETPIVOTDATA("XSR4",'suoirao (2016)'!$A$3,"MA_HT","CQP","MA_QH","ONT")</f>
        <v>0</v>
      </c>
      <c r="AR20" s="35">
        <f>+GETPIVOTDATA("XSR4",'suoirao (2016)'!$A$3,"MA_HT","CQP","MA_QH","ODT")</f>
        <v>0</v>
      </c>
      <c r="AS20" s="35">
        <f>+GETPIVOTDATA("XSR4",'suoirao (2016)'!$A$3,"MA_HT","CQP","MA_QH","TSC")</f>
        <v>0</v>
      </c>
      <c r="AT20" s="35">
        <f>+GETPIVOTDATA("XSR4",'suoirao (2016)'!$A$3,"MA_HT","CQP","MA_QH","DTS")</f>
        <v>0</v>
      </c>
      <c r="AU20" s="35">
        <f>+GETPIVOTDATA("XSR4",'suoirao (2016)'!$A$3,"MA_HT","CQP","MA_QH","DNG")</f>
        <v>0</v>
      </c>
      <c r="AV20" s="35">
        <f>+GETPIVOTDATA("XSR4",'suoirao (2016)'!$A$3,"MA_HT","CQP","MA_QH","TON")</f>
        <v>0</v>
      </c>
      <c r="AW20" s="35">
        <f>+GETPIVOTDATA("XSR4",'suoirao (2016)'!$A$3,"MA_HT","CQP","MA_QH","NTD")</f>
        <v>0</v>
      </c>
      <c r="AX20" s="35">
        <f>+GETPIVOTDATA("XSR4",'suoirao (2016)'!$A$3,"MA_HT","CQP","MA_QH","SKX")</f>
        <v>0</v>
      </c>
      <c r="AY20" s="35">
        <f>+GETPIVOTDATA("XSR4",'suoirao (2016)'!$A$3,"MA_HT","CQP","MA_QH","DSH")</f>
        <v>0</v>
      </c>
      <c r="AZ20" s="35">
        <f>+GETPIVOTDATA("XSR4",'suoirao (2016)'!$A$3,"MA_HT","CQP","MA_QH","DKV")</f>
        <v>0</v>
      </c>
      <c r="BA20" s="140">
        <f>+GETPIVOTDATA("XSR4",'suoirao (2016)'!$A$3,"MA_HT","CQP","MA_QH","TIN")</f>
        <v>0</v>
      </c>
      <c r="BB20" s="74">
        <f>+GETPIVOTDATA("XSR4",'suoirao (2016)'!$A$3,"MA_HT","CQP","MA_QH","SON")</f>
        <v>0</v>
      </c>
      <c r="BC20" s="74">
        <f>+GETPIVOTDATA("XSR4",'suoirao (2016)'!$A$3,"MA_HT","CQP","MA_QH","MNC")</f>
        <v>0</v>
      </c>
      <c r="BD20" s="35">
        <f>+GETPIVOTDATA("XSR4",'suoirao (2016)'!$A$3,"MA_HT","CQP","MA_QH","PNK")</f>
        <v>0</v>
      </c>
      <c r="BE20" s="58">
        <f>+GETPIVOTDATA("XSR4",'suoirao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+GETPIVOTDATA("XSR4",'suoirao (2016)'!$A$3,"MA_HT","CAN","MA_QH","LUC")</f>
        <v>0</v>
      </c>
      <c r="H21" s="35">
        <f>+GETPIVOTDATA("XSR4",'suoirao (2016)'!$A$3,"MA_HT","CAN","MA_QH","LUK")</f>
        <v>0</v>
      </c>
      <c r="I21" s="35">
        <f>+GETPIVOTDATA("XSR4",'suoirao (2016)'!$A$3,"MA_HT","CAN","MA_QH","LUN")</f>
        <v>0</v>
      </c>
      <c r="J21" s="35">
        <f>+GETPIVOTDATA("XSR4",'suoirao (2016)'!$A$3,"MA_HT","CAN","MA_QH","HNK")</f>
        <v>0</v>
      </c>
      <c r="K21" s="35">
        <f>+GETPIVOTDATA("XSR4",'suoirao (2016)'!$A$3,"MA_HT","CAN","MA_QH","CLN")</f>
        <v>0</v>
      </c>
      <c r="L21" s="35">
        <f>+GETPIVOTDATA("XSR4",'suoirao (2016)'!$A$3,"MA_HT","CAN","MA_QH","RSX")</f>
        <v>0</v>
      </c>
      <c r="M21" s="35">
        <f>+GETPIVOTDATA("XSR4",'suoirao (2016)'!$A$3,"MA_HT","CAN","MA_QH","RPH")</f>
        <v>0</v>
      </c>
      <c r="N21" s="35">
        <f>+GETPIVOTDATA("XSR4",'suoirao (2016)'!$A$3,"MA_HT","CAN","MA_QH","RDD")</f>
        <v>0</v>
      </c>
      <c r="O21" s="35">
        <f>+GETPIVOTDATA("XSR4",'suoirao (2016)'!$A$3,"MA_HT","CAN","MA_QH","NTS")</f>
        <v>0</v>
      </c>
      <c r="P21" s="35">
        <f>+GETPIVOTDATA("XSR4",'suoirao (2016)'!$A$3,"MA_HT","CAN","MA_QH","LMU")</f>
        <v>0</v>
      </c>
      <c r="Q21" s="35">
        <f>+GETPIVOTDATA("XSR4",'suoirao (2016)'!$A$3,"MA_HT","CAN","MA_QH","NKH")</f>
        <v>0</v>
      </c>
      <c r="R21" s="63">
        <f>SUM(S21,U21:AA21,AN21:BD21)</f>
        <v>0</v>
      </c>
      <c r="S21" s="35">
        <f>+GETPIVOTDATA("XSR4",'suoirao (2016)'!$A$3,"MA_HT","CAN","MA_QH","CQP")</f>
        <v>0</v>
      </c>
      <c r="T21" s="99" t="e">
        <f>$D21-$BF21</f>
        <v>#REF!</v>
      </c>
      <c r="U21" s="35">
        <f>+GETPIVOTDATA("XSR4",'suoirao (2016)'!$A$3,"MA_HT","CAN","MA_QH","SKK")</f>
        <v>0</v>
      </c>
      <c r="V21" s="35">
        <f>+GETPIVOTDATA("XSR4",'suoirao (2016)'!$A$3,"MA_HT","CAN","MA_QH","SKT")</f>
        <v>0</v>
      </c>
      <c r="W21" s="35">
        <f>+GETPIVOTDATA("XSR4",'suoirao (2016)'!$A$3,"MA_HT","CAN","MA_QH","SKN")</f>
        <v>0</v>
      </c>
      <c r="X21" s="35">
        <f>+GETPIVOTDATA("XSR4",'suoirao (2016)'!$A$3,"MA_HT","CAN","MA_QH","TMD")</f>
        <v>0</v>
      </c>
      <c r="Y21" s="35">
        <f>+GETPIVOTDATA("XSR4",'suoirao (2016)'!$A$3,"MA_HT","CAN","MA_QH","SKC")</f>
        <v>0</v>
      </c>
      <c r="Z21" s="35">
        <f>+GETPIVOTDATA("XSR4",'suoirao (2016)'!$A$3,"MA_HT","CAN","MA_QH","SKS")</f>
        <v>0</v>
      </c>
      <c r="AA21" s="64">
        <f t="shared" si="12"/>
        <v>0</v>
      </c>
      <c r="AB21" s="35">
        <f>+GETPIVOTDATA("XSR4",'suoirao (2016)'!$A$3,"MA_HT","CAN","MA_QH","DGT")</f>
        <v>0</v>
      </c>
      <c r="AC21" s="35">
        <f>+GETPIVOTDATA("XSR4",'suoirao (2016)'!$A$3,"MA_HT","CAN","MA_QH","DTL")</f>
        <v>0</v>
      </c>
      <c r="AD21" s="35">
        <f>+GETPIVOTDATA("XSR4",'suoirao (2016)'!$A$3,"MA_HT","CAN","MA_QH","DNL")</f>
        <v>0</v>
      </c>
      <c r="AE21" s="35">
        <f>+GETPIVOTDATA("XSR4",'suoirao (2016)'!$A$3,"MA_HT","CAN","MA_QH","DBV")</f>
        <v>0</v>
      </c>
      <c r="AF21" s="35">
        <f>+GETPIVOTDATA("XSR4",'suoirao (2016)'!$A$3,"MA_HT","CAN","MA_QH","DVH")</f>
        <v>0</v>
      </c>
      <c r="AG21" s="35">
        <f>+GETPIVOTDATA("XSR4",'suoirao (2016)'!$A$3,"MA_HT","CAN","MA_QH","DYT")</f>
        <v>0</v>
      </c>
      <c r="AH21" s="35">
        <f>+GETPIVOTDATA("XSR4",'suoirao (2016)'!$A$3,"MA_HT","CAN","MA_QH","DGD")</f>
        <v>0</v>
      </c>
      <c r="AI21" s="35">
        <f>+GETPIVOTDATA("XSR4",'suoirao (2016)'!$A$3,"MA_HT","CAN","MA_QH","DTT")</f>
        <v>0</v>
      </c>
      <c r="AJ21" s="35">
        <f>+GETPIVOTDATA("XSR4",'suoirao (2016)'!$A$3,"MA_HT","CAN","MA_QH","NCK")</f>
        <v>0</v>
      </c>
      <c r="AK21" s="35">
        <f>+GETPIVOTDATA("XSR4",'suoirao (2016)'!$A$3,"MA_HT","CAN","MA_QH","DXH")</f>
        <v>0</v>
      </c>
      <c r="AL21" s="35">
        <f>+GETPIVOTDATA("XSR4",'suoirao (2016)'!$A$3,"MA_HT","CAN","MA_QH","DCH")</f>
        <v>0</v>
      </c>
      <c r="AM21" s="35">
        <f>+GETPIVOTDATA("XSR4",'suoirao (2016)'!$A$3,"MA_HT","CAN","MA_QH","DKG")</f>
        <v>0</v>
      </c>
      <c r="AN21" s="35">
        <f>+GETPIVOTDATA("XSR4",'suoirao (2016)'!$A$3,"MA_HT","CAN","MA_QH","DDT")</f>
        <v>0</v>
      </c>
      <c r="AO21" s="35">
        <f>+GETPIVOTDATA("XSR4",'suoirao (2016)'!$A$3,"MA_HT","CAN","MA_QH","DDL")</f>
        <v>0</v>
      </c>
      <c r="AP21" s="35">
        <f>+GETPIVOTDATA("XSR4",'suoirao (2016)'!$A$3,"MA_HT","CAN","MA_QH","DRA")</f>
        <v>0</v>
      </c>
      <c r="AQ21" s="35">
        <f>+GETPIVOTDATA("XSR4",'suoirao (2016)'!$A$3,"MA_HT","CAN","MA_QH","ONT")</f>
        <v>0</v>
      </c>
      <c r="AR21" s="35">
        <f>+GETPIVOTDATA("XSR4",'suoirao (2016)'!$A$3,"MA_HT","CAN","MA_QH","ODT")</f>
        <v>0</v>
      </c>
      <c r="AS21" s="35">
        <f>+GETPIVOTDATA("XSR4",'suoirao (2016)'!$A$3,"MA_HT","CAN","MA_QH","TSC")</f>
        <v>0</v>
      </c>
      <c r="AT21" s="35">
        <f>+GETPIVOTDATA("XSR4",'suoirao (2016)'!$A$3,"MA_HT","CAN","MA_QH","DTS")</f>
        <v>0</v>
      </c>
      <c r="AU21" s="35">
        <f>+GETPIVOTDATA("XSR4",'suoirao (2016)'!$A$3,"MA_HT","CAN","MA_QH","DNG")</f>
        <v>0</v>
      </c>
      <c r="AV21" s="35">
        <f>+GETPIVOTDATA("XSR4",'suoirao (2016)'!$A$3,"MA_HT","CAN","MA_QH","TON")</f>
        <v>0</v>
      </c>
      <c r="AW21" s="35">
        <f>+GETPIVOTDATA("XSR4",'suoirao (2016)'!$A$3,"MA_HT","CAN","MA_QH","NTD")</f>
        <v>0</v>
      </c>
      <c r="AX21" s="35">
        <f>+GETPIVOTDATA("XSR4",'suoirao (2016)'!$A$3,"MA_HT","CAN","MA_QH","SKX")</f>
        <v>0</v>
      </c>
      <c r="AY21" s="35">
        <f>+GETPIVOTDATA("XSR4",'suoirao (2016)'!$A$3,"MA_HT","CAN","MA_QH","DSH")</f>
        <v>0</v>
      </c>
      <c r="AZ21" s="35">
        <f>+GETPIVOTDATA("XSR4",'suoirao (2016)'!$A$3,"MA_HT","CAN","MA_QH","DKV")</f>
        <v>0</v>
      </c>
      <c r="BA21" s="140">
        <f>+GETPIVOTDATA("XSR4",'suoirao (2016)'!$A$3,"MA_HT","CAN","MA_QH","TIN")</f>
        <v>0</v>
      </c>
      <c r="BB21" s="74">
        <f>+GETPIVOTDATA("XSR4",'suoirao (2016)'!$A$3,"MA_HT","CAN","MA_QH","SON")</f>
        <v>0</v>
      </c>
      <c r="BC21" s="74">
        <f>+GETPIVOTDATA("XSR4",'suoirao (2016)'!$A$3,"MA_HT","CAN","MA_QH","MNC")</f>
        <v>0</v>
      </c>
      <c r="BD21" s="35">
        <f>+GETPIVOTDATA("XSR4",'suoirao (2016)'!$A$3,"MA_HT","CAN","MA_QH","PNK")</f>
        <v>0</v>
      </c>
      <c r="BE21" s="58">
        <f>+GETPIVOTDATA("XSR4",'suoirao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+GETPIVOTDATA("XSR4",'suoirao (2016)'!$A$3,"MA_HT","SKK","MA_QH","LUC")</f>
        <v>0</v>
      </c>
      <c r="H22" s="35">
        <f>+GETPIVOTDATA("XSR4",'suoirao (2016)'!$A$3,"MA_HT","SKK","MA_QH","LUK")</f>
        <v>0</v>
      </c>
      <c r="I22" s="35">
        <f>+GETPIVOTDATA("XSR4",'suoirao (2016)'!$A$3,"MA_HT","SKK","MA_QH","LUN")</f>
        <v>0</v>
      </c>
      <c r="J22" s="35">
        <f>+GETPIVOTDATA("XSR4",'suoirao (2016)'!$A$3,"MA_HT","SKK","MA_QH","HNK")</f>
        <v>0</v>
      </c>
      <c r="K22" s="35">
        <f>+GETPIVOTDATA("XSR4",'suoirao (2016)'!$A$3,"MA_HT","SKK","MA_QH","CLN")</f>
        <v>0</v>
      </c>
      <c r="L22" s="35">
        <f>+GETPIVOTDATA("XSR4",'suoirao (2016)'!$A$3,"MA_HT","SKK","MA_QH","RSX")</f>
        <v>0</v>
      </c>
      <c r="M22" s="35">
        <f>+GETPIVOTDATA("XSR4",'suoirao (2016)'!$A$3,"MA_HT","SKK","MA_QH","RPH")</f>
        <v>0</v>
      </c>
      <c r="N22" s="35">
        <f>+GETPIVOTDATA("XSR4",'suoirao (2016)'!$A$3,"MA_HT","SKK","MA_QH","RDD")</f>
        <v>0</v>
      </c>
      <c r="O22" s="35">
        <f>+GETPIVOTDATA("XSR4",'suoirao (2016)'!$A$3,"MA_HT","SKK","MA_QH","NTS")</f>
        <v>0</v>
      </c>
      <c r="P22" s="35">
        <f>+GETPIVOTDATA("XSR4",'suoirao (2016)'!$A$3,"MA_HT","SKK","MA_QH","LMU")</f>
        <v>0</v>
      </c>
      <c r="Q22" s="35">
        <f>+GETPIVOTDATA("XSR4",'suoirao (2016)'!$A$3,"MA_HT","SKK","MA_QH","NKH")</f>
        <v>0</v>
      </c>
      <c r="R22" s="63">
        <f>SUM(S22:T22,V22:AA22,AN22:BD22)</f>
        <v>0</v>
      </c>
      <c r="S22" s="35">
        <f>+GETPIVOTDATA("XSR4",'suoirao (2016)'!$A$3,"MA_HT","SKK","MA_QH","CQP")</f>
        <v>0</v>
      </c>
      <c r="T22" s="35">
        <f>+GETPIVOTDATA("XSR4",'suoirao (2016)'!$A$3,"MA_HT","SKK","MA_QH","CAN")</f>
        <v>0</v>
      </c>
      <c r="U22" s="99" t="e">
        <f>$D22-$BF22</f>
        <v>#REF!</v>
      </c>
      <c r="V22" s="35">
        <f>+GETPIVOTDATA("XSR4",'suoirao (2016)'!$A$3,"MA_HT","SKK","MA_QH","SKT")</f>
        <v>0</v>
      </c>
      <c r="W22" s="35">
        <f>+GETPIVOTDATA("XSR4",'suoirao (2016)'!$A$3,"MA_HT","SKK","MA_QH","SKN")</f>
        <v>0</v>
      </c>
      <c r="X22" s="35">
        <f>+GETPIVOTDATA("XSR4",'suoirao (2016)'!$A$3,"MA_HT","SKK","MA_QH","TMD")</f>
        <v>0</v>
      </c>
      <c r="Y22" s="35">
        <f>+GETPIVOTDATA("XSR4",'suoirao (2016)'!$A$3,"MA_HT","SKK","MA_QH","SKC")</f>
        <v>0</v>
      </c>
      <c r="Z22" s="35">
        <f>+GETPIVOTDATA("XSR4",'suoirao (2016)'!$A$3,"MA_HT","SKK","MA_QH","SKS")</f>
        <v>0</v>
      </c>
      <c r="AA22" s="64">
        <f t="shared" si="12"/>
        <v>0</v>
      </c>
      <c r="AB22" s="35">
        <f>+GETPIVOTDATA("XSR4",'suoirao (2016)'!$A$3,"MA_HT","SKK","MA_QH","DGT")</f>
        <v>0</v>
      </c>
      <c r="AC22" s="35">
        <f>+GETPIVOTDATA("XSR4",'suoirao (2016)'!$A$3,"MA_HT","SKK","MA_QH","DTL")</f>
        <v>0</v>
      </c>
      <c r="AD22" s="35">
        <f>+GETPIVOTDATA("XSR4",'suoirao (2016)'!$A$3,"MA_HT","SKK","MA_QH","DNL")</f>
        <v>0</v>
      </c>
      <c r="AE22" s="35">
        <f>+GETPIVOTDATA("XSR4",'suoirao (2016)'!$A$3,"MA_HT","SKK","MA_QH","DBV")</f>
        <v>0</v>
      </c>
      <c r="AF22" s="35">
        <f>+GETPIVOTDATA("XSR4",'suoirao (2016)'!$A$3,"MA_HT","SKK","MA_QH","DVH")</f>
        <v>0</v>
      </c>
      <c r="AG22" s="35">
        <f>+GETPIVOTDATA("XSR4",'suoirao (2016)'!$A$3,"MA_HT","SKK","MA_QH","DYT")</f>
        <v>0</v>
      </c>
      <c r="AH22" s="35">
        <f>+GETPIVOTDATA("XSR4",'suoirao (2016)'!$A$3,"MA_HT","SKK","MA_QH","DGD")</f>
        <v>0</v>
      </c>
      <c r="AI22" s="35">
        <f>+GETPIVOTDATA("XSR4",'suoirao (2016)'!$A$3,"MA_HT","SKK","MA_QH","DTT")</f>
        <v>0</v>
      </c>
      <c r="AJ22" s="35">
        <f>+GETPIVOTDATA("XSR4",'suoirao (2016)'!$A$3,"MA_HT","SKK","MA_QH","NCK")</f>
        <v>0</v>
      </c>
      <c r="AK22" s="35">
        <f>+GETPIVOTDATA("XSR4",'suoirao (2016)'!$A$3,"MA_HT","SKK","MA_QH","DXH")</f>
        <v>0</v>
      </c>
      <c r="AL22" s="35">
        <f>+GETPIVOTDATA("XSR4",'suoirao (2016)'!$A$3,"MA_HT","SKK","MA_QH","DCH")</f>
        <v>0</v>
      </c>
      <c r="AM22" s="35">
        <f>+GETPIVOTDATA("XSR4",'suoirao (2016)'!$A$3,"MA_HT","SKK","MA_QH","DKG")</f>
        <v>0</v>
      </c>
      <c r="AN22" s="35">
        <f>+GETPIVOTDATA("XSR4",'suoirao (2016)'!$A$3,"MA_HT","SKK","MA_QH","DDT")</f>
        <v>0</v>
      </c>
      <c r="AO22" s="35">
        <f>+GETPIVOTDATA("XSR4",'suoirao (2016)'!$A$3,"MA_HT","SKK","MA_QH","DDL")</f>
        <v>0</v>
      </c>
      <c r="AP22" s="35">
        <f>+GETPIVOTDATA("XSR4",'suoirao (2016)'!$A$3,"MA_HT","SKK","MA_QH","DRA")</f>
        <v>0</v>
      </c>
      <c r="AQ22" s="35">
        <f>+GETPIVOTDATA("XSR4",'suoirao (2016)'!$A$3,"MA_HT","SKK","MA_QH","ONT")</f>
        <v>0</v>
      </c>
      <c r="AR22" s="35">
        <f>+GETPIVOTDATA("XSR4",'suoirao (2016)'!$A$3,"MA_HT","SKK","MA_QH","ODT")</f>
        <v>0</v>
      </c>
      <c r="AS22" s="35">
        <f>+GETPIVOTDATA("XSR4",'suoirao (2016)'!$A$3,"MA_HT","SKK","MA_QH","TSC")</f>
        <v>0</v>
      </c>
      <c r="AT22" s="35">
        <f>+GETPIVOTDATA("XSR4",'suoirao (2016)'!$A$3,"MA_HT","SKK","MA_QH","DTS")</f>
        <v>0</v>
      </c>
      <c r="AU22" s="35">
        <f>+GETPIVOTDATA("XSR4",'suoirao (2016)'!$A$3,"MA_HT","SKK","MA_QH","DNG")</f>
        <v>0</v>
      </c>
      <c r="AV22" s="35">
        <f>+GETPIVOTDATA("XSR4",'suoirao (2016)'!$A$3,"MA_HT","SKK","MA_QH","TON")</f>
        <v>0</v>
      </c>
      <c r="AW22" s="35">
        <f>+GETPIVOTDATA("XSR4",'suoirao (2016)'!$A$3,"MA_HT","SKK","MA_QH","NTD")</f>
        <v>0</v>
      </c>
      <c r="AX22" s="35">
        <f>+GETPIVOTDATA("XSR4",'suoirao (2016)'!$A$3,"MA_HT","SKK","MA_QH","SKX")</f>
        <v>0</v>
      </c>
      <c r="AY22" s="35">
        <f>+GETPIVOTDATA("XSR4",'suoirao (2016)'!$A$3,"MA_HT","SKK","MA_QH","DSH")</f>
        <v>0</v>
      </c>
      <c r="AZ22" s="35">
        <f>+GETPIVOTDATA("XSR4",'suoirao (2016)'!$A$3,"MA_HT","SKK","MA_QH","DKV")</f>
        <v>0</v>
      </c>
      <c r="BA22" s="140">
        <f>+GETPIVOTDATA("XSR4",'suoirao (2016)'!$A$3,"MA_HT","SKK","MA_QH","TIN")</f>
        <v>0</v>
      </c>
      <c r="BB22" s="74">
        <f>+GETPIVOTDATA("XSR4",'suoirao (2016)'!$A$3,"MA_HT","SKK","MA_QH","SON")</f>
        <v>0</v>
      </c>
      <c r="BC22" s="74">
        <f>+GETPIVOTDATA("XSR4",'suoirao (2016)'!$A$3,"MA_HT","SKK","MA_QH","MNC")</f>
        <v>0</v>
      </c>
      <c r="BD22" s="35">
        <f>+GETPIVOTDATA("XSR4",'suoirao (2016)'!$A$3,"MA_HT","SKK","MA_QH","PNK")</f>
        <v>0</v>
      </c>
      <c r="BE22" s="58">
        <f>+GETPIVOTDATA("XSR4",'suoirao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+GETPIVOTDATA("XSR4",'suoirao (2016)'!$A$3,"MA_HT","SKT","MA_QH","LUC")</f>
        <v>0</v>
      </c>
      <c r="H23" s="35">
        <f>+GETPIVOTDATA("XSR4",'suoirao (2016)'!$A$3,"MA_HT","SKT","MA_QH","LUK")</f>
        <v>0</v>
      </c>
      <c r="I23" s="35">
        <f>+GETPIVOTDATA("XSR4",'suoirao (2016)'!$A$3,"MA_HT","SKT","MA_QH","LUN")</f>
        <v>0</v>
      </c>
      <c r="J23" s="35">
        <f>+GETPIVOTDATA("XSR4",'suoirao (2016)'!$A$3,"MA_HT","SKT","MA_QH","HNK")</f>
        <v>0</v>
      </c>
      <c r="K23" s="35">
        <f>+GETPIVOTDATA("XSR4",'suoirao (2016)'!$A$3,"MA_HT","SKT","MA_QH","CLN")</f>
        <v>0</v>
      </c>
      <c r="L23" s="35">
        <f>+GETPIVOTDATA("XSR4",'suoirao (2016)'!$A$3,"MA_HT","SKT","MA_QH","RSX")</f>
        <v>0</v>
      </c>
      <c r="M23" s="35">
        <f>+GETPIVOTDATA("XSR4",'suoirao (2016)'!$A$3,"MA_HT","SKT","MA_QH","RPH")</f>
        <v>0</v>
      </c>
      <c r="N23" s="35">
        <f>+GETPIVOTDATA("XSR4",'suoirao (2016)'!$A$3,"MA_HT","SKT","MA_QH","RDD")</f>
        <v>0</v>
      </c>
      <c r="O23" s="35">
        <f>+GETPIVOTDATA("XSR4",'suoirao (2016)'!$A$3,"MA_HT","SKT","MA_QH","NTS")</f>
        <v>0</v>
      </c>
      <c r="P23" s="35">
        <f>+GETPIVOTDATA("XSR4",'suoirao (2016)'!$A$3,"MA_HT","SKT","MA_QH","LMU")</f>
        <v>0</v>
      </c>
      <c r="Q23" s="35">
        <f>+GETPIVOTDATA("XSR4",'suoirao (2016)'!$A$3,"MA_HT","SKT","MA_QH","NKH")</f>
        <v>0</v>
      </c>
      <c r="R23" s="63">
        <f>SUM(S23:U23,W23:AA23,AN23:BD23)</f>
        <v>0</v>
      </c>
      <c r="S23" s="35">
        <f>+GETPIVOTDATA("XSR4",'suoirao (2016)'!$A$3,"MA_HT","SKT","MA_QH","CQP")</f>
        <v>0</v>
      </c>
      <c r="T23" s="35">
        <f>+GETPIVOTDATA("XSR4",'suoirao (2016)'!$A$3,"MA_HT","SKT","MA_QH","CAN")</f>
        <v>0</v>
      </c>
      <c r="U23" s="35">
        <f>+GETPIVOTDATA("XSR4",'suoirao (2016)'!$A$3,"MA_HT","SKT","MA_QH","SKK")</f>
        <v>0</v>
      </c>
      <c r="V23" s="99" t="e">
        <f>$D23-$BF23</f>
        <v>#REF!</v>
      </c>
      <c r="W23" s="35">
        <f>+GETPIVOTDATA("XSR4",'suoirao (2016)'!$A$3,"MA_HT","SKT","MA_QH","SKN")</f>
        <v>0</v>
      </c>
      <c r="X23" s="35">
        <f>+GETPIVOTDATA("XSR4",'suoirao (2016)'!$A$3,"MA_HT","SKT","MA_QH","TMD")</f>
        <v>0</v>
      </c>
      <c r="Y23" s="35">
        <f>+GETPIVOTDATA("XSR4",'suoirao (2016)'!$A$3,"MA_HT","SKT","MA_QH","SKC")</f>
        <v>0</v>
      </c>
      <c r="Z23" s="35">
        <f>+GETPIVOTDATA("XSR4",'suoirao (2016)'!$A$3,"MA_HT","SKT","MA_QH","SKS")</f>
        <v>0</v>
      </c>
      <c r="AA23" s="64">
        <f t="shared" si="12"/>
        <v>0</v>
      </c>
      <c r="AB23" s="35">
        <f>+GETPIVOTDATA("XSR4",'suoirao (2016)'!$A$3,"MA_HT","SKT","MA_QH","DGT")</f>
        <v>0</v>
      </c>
      <c r="AC23" s="35">
        <f>+GETPIVOTDATA("XSR4",'suoirao (2016)'!$A$3,"MA_HT","SKT","MA_QH","DTL")</f>
        <v>0</v>
      </c>
      <c r="AD23" s="35">
        <f>+GETPIVOTDATA("XSR4",'suoirao (2016)'!$A$3,"MA_HT","SKT","MA_QH","DNL")</f>
        <v>0</v>
      </c>
      <c r="AE23" s="35">
        <f>+GETPIVOTDATA("XSR4",'suoirao (2016)'!$A$3,"MA_HT","SKT","MA_QH","DBV")</f>
        <v>0</v>
      </c>
      <c r="AF23" s="35">
        <f>+GETPIVOTDATA("XSR4",'suoirao (2016)'!$A$3,"MA_HT","SKT","MA_QH","DVH")</f>
        <v>0</v>
      </c>
      <c r="AG23" s="35">
        <f>+GETPIVOTDATA("XSR4",'suoirao (2016)'!$A$3,"MA_HT","SKT","MA_QH","DYT")</f>
        <v>0</v>
      </c>
      <c r="AH23" s="35">
        <f>+GETPIVOTDATA("XSR4",'suoirao (2016)'!$A$3,"MA_HT","SKT","MA_QH","DGD")</f>
        <v>0</v>
      </c>
      <c r="AI23" s="35">
        <f>+GETPIVOTDATA("XSR4",'suoirao (2016)'!$A$3,"MA_HT","SKT","MA_QH","DTT")</f>
        <v>0</v>
      </c>
      <c r="AJ23" s="35">
        <f>+GETPIVOTDATA("XSR4",'suoirao (2016)'!$A$3,"MA_HT","SKT","MA_QH","NCK")</f>
        <v>0</v>
      </c>
      <c r="AK23" s="35">
        <f>+GETPIVOTDATA("XSR4",'suoirao (2016)'!$A$3,"MA_HT","SKT","MA_QH","DXH")</f>
        <v>0</v>
      </c>
      <c r="AL23" s="35">
        <f>+GETPIVOTDATA("XSR4",'suoirao (2016)'!$A$3,"MA_HT","SKT","MA_QH","DCH")</f>
        <v>0</v>
      </c>
      <c r="AM23" s="35">
        <f>+GETPIVOTDATA("XSR4",'suoirao (2016)'!$A$3,"MA_HT","SKT","MA_QH","DKG")</f>
        <v>0</v>
      </c>
      <c r="AN23" s="35">
        <f>+GETPIVOTDATA("XSR4",'suoirao (2016)'!$A$3,"MA_HT","SKT","MA_QH","DDT")</f>
        <v>0</v>
      </c>
      <c r="AO23" s="35">
        <f>+GETPIVOTDATA("XSR4",'suoirao (2016)'!$A$3,"MA_HT","SKT","MA_QH","DDL")</f>
        <v>0</v>
      </c>
      <c r="AP23" s="35">
        <f>+GETPIVOTDATA("XSR4",'suoirao (2016)'!$A$3,"MA_HT","SKT","MA_QH","DRA")</f>
        <v>0</v>
      </c>
      <c r="AQ23" s="35">
        <f>+GETPIVOTDATA("XSR4",'suoirao (2016)'!$A$3,"MA_HT","SKT","MA_QH","ONT")</f>
        <v>0</v>
      </c>
      <c r="AR23" s="35">
        <f>+GETPIVOTDATA("XSR4",'suoirao (2016)'!$A$3,"MA_HT","SKT","MA_QH","ODT")</f>
        <v>0</v>
      </c>
      <c r="AS23" s="35">
        <f>+GETPIVOTDATA("XSR4",'suoirao (2016)'!$A$3,"MA_HT","SKT","MA_QH","TSC")</f>
        <v>0</v>
      </c>
      <c r="AT23" s="35">
        <f>+GETPIVOTDATA("XSR4",'suoirao (2016)'!$A$3,"MA_HT","SKT","MA_QH","DTS")</f>
        <v>0</v>
      </c>
      <c r="AU23" s="35">
        <f>+GETPIVOTDATA("XSR4",'suoirao (2016)'!$A$3,"MA_HT","SKT","MA_QH","DNG")</f>
        <v>0</v>
      </c>
      <c r="AV23" s="35">
        <f>+GETPIVOTDATA("XSR4",'suoirao (2016)'!$A$3,"MA_HT","SKT","MA_QH","TON")</f>
        <v>0</v>
      </c>
      <c r="AW23" s="35">
        <f>+GETPIVOTDATA("XSR4",'suoirao (2016)'!$A$3,"MA_HT","SKT","MA_QH","NTD")</f>
        <v>0</v>
      </c>
      <c r="AX23" s="35">
        <f>+GETPIVOTDATA("XSR4",'suoirao (2016)'!$A$3,"MA_HT","SKT","MA_QH","SKX")</f>
        <v>0</v>
      </c>
      <c r="AY23" s="35">
        <f>+GETPIVOTDATA("XSR4",'suoirao (2016)'!$A$3,"MA_HT","SKT","MA_QH","DSH")</f>
        <v>0</v>
      </c>
      <c r="AZ23" s="35">
        <f>+GETPIVOTDATA("XSR4",'suoirao (2016)'!$A$3,"MA_HT","SKT","MA_QH","DKV")</f>
        <v>0</v>
      </c>
      <c r="BA23" s="140">
        <f>+GETPIVOTDATA("XSR4",'suoirao (2016)'!$A$3,"MA_HT","SKT","MA_QH","TIN")</f>
        <v>0</v>
      </c>
      <c r="BB23" s="74">
        <f>+GETPIVOTDATA("XSR4",'suoirao (2016)'!$A$3,"MA_HT","SKT","MA_QH","SON")</f>
        <v>0</v>
      </c>
      <c r="BC23" s="74">
        <f>+GETPIVOTDATA("XSR4",'suoirao (2016)'!$A$3,"MA_HT","SKT","MA_QH","MNC")</f>
        <v>0</v>
      </c>
      <c r="BD23" s="35">
        <f>+GETPIVOTDATA("XSR4",'suoirao (2016)'!$A$3,"MA_HT","SKT","MA_QH","PNK")</f>
        <v>0</v>
      </c>
      <c r="BE23" s="58">
        <f>+GETPIVOTDATA("XSR4",'suoirao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+GETPIVOTDATA("XSR4",'suoirao (2016)'!$A$3,"MA_HT","SKN","MA_QH","LUC")</f>
        <v>0</v>
      </c>
      <c r="H24" s="35">
        <f>+GETPIVOTDATA("XSR4",'suoirao (2016)'!$A$3,"MA_HT","SKN","MA_QH","LUK")</f>
        <v>0</v>
      </c>
      <c r="I24" s="35">
        <f>+GETPIVOTDATA("XSR4",'suoirao (2016)'!$A$3,"MA_HT","SKN","MA_QH","LUN")</f>
        <v>0</v>
      </c>
      <c r="J24" s="35">
        <f>+GETPIVOTDATA("XSR4",'suoirao (2016)'!$A$3,"MA_HT","SKN","MA_QH","HNK")</f>
        <v>0</v>
      </c>
      <c r="K24" s="35">
        <f>+GETPIVOTDATA("XSR4",'suoirao (2016)'!$A$3,"MA_HT","SKN","MA_QH","CLN")</f>
        <v>0</v>
      </c>
      <c r="L24" s="35">
        <f>+GETPIVOTDATA("XSR4",'suoirao (2016)'!$A$3,"MA_HT","SKN","MA_QH","RSX")</f>
        <v>0</v>
      </c>
      <c r="M24" s="35">
        <f>+GETPIVOTDATA("XSR4",'suoirao (2016)'!$A$3,"MA_HT","SKN","MA_QH","RPH")</f>
        <v>0</v>
      </c>
      <c r="N24" s="35">
        <f>+GETPIVOTDATA("XSR4",'suoirao (2016)'!$A$3,"MA_HT","SKN","MA_QH","RDD")</f>
        <v>0</v>
      </c>
      <c r="O24" s="35">
        <f>+GETPIVOTDATA("XSR4",'suoirao (2016)'!$A$3,"MA_HT","SKN","MA_QH","NTS")</f>
        <v>0</v>
      </c>
      <c r="P24" s="35">
        <f>+GETPIVOTDATA("XSR4",'suoirao (2016)'!$A$3,"MA_HT","SKN","MA_QH","LMU")</f>
        <v>0</v>
      </c>
      <c r="Q24" s="35">
        <f>+GETPIVOTDATA("XSR4",'suoirao (2016)'!$A$3,"MA_HT","SKN","MA_QH","NKH")</f>
        <v>0</v>
      </c>
      <c r="R24" s="63">
        <f>SUM(S24:V24,X24:AA24,AN24:BD24)</f>
        <v>0</v>
      </c>
      <c r="S24" s="35">
        <f>+GETPIVOTDATA("XSR4",'suoirao (2016)'!$A$3,"MA_HT","SKN","MA_QH","CQP")</f>
        <v>0</v>
      </c>
      <c r="T24" s="35">
        <f>+GETPIVOTDATA("XSR4",'suoirao (2016)'!$A$3,"MA_HT","SKN","MA_QH","CAN")</f>
        <v>0</v>
      </c>
      <c r="U24" s="35">
        <f>+GETPIVOTDATA("XSR4",'suoirao (2016)'!$A$3,"MA_HT","SKN","MA_QH","SKK")</f>
        <v>0</v>
      </c>
      <c r="V24" s="35">
        <f>+GETPIVOTDATA("XSR4",'suoirao (2016)'!$A$3,"MA_HT","SKN","MA_QH","SKT")</f>
        <v>0</v>
      </c>
      <c r="W24" s="99" t="e">
        <f>$D24-$BF24</f>
        <v>#REF!</v>
      </c>
      <c r="X24" s="35">
        <f>+GETPIVOTDATA("XSR4",'suoirao (2016)'!$A$3,"MA_HT","SKN","MA_QH","TMD")</f>
        <v>0</v>
      </c>
      <c r="Y24" s="35">
        <f>+GETPIVOTDATA("XSR4",'suoirao (2016)'!$A$3,"MA_HT","SKN","MA_QH","SKC")</f>
        <v>0</v>
      </c>
      <c r="Z24" s="35">
        <f>+GETPIVOTDATA("XSR4",'suoirao (2016)'!$A$3,"MA_HT","SKN","MA_QH","SKS")</f>
        <v>0</v>
      </c>
      <c r="AA24" s="64">
        <f t="shared" si="12"/>
        <v>0</v>
      </c>
      <c r="AB24" s="35">
        <f>+GETPIVOTDATA("XSR4",'suoirao (2016)'!$A$3,"MA_HT","SKN","MA_QH","DGT")</f>
        <v>0</v>
      </c>
      <c r="AC24" s="35">
        <f>+GETPIVOTDATA("XSR4",'suoirao (2016)'!$A$3,"MA_HT","SKN","MA_QH","DTL")</f>
        <v>0</v>
      </c>
      <c r="AD24" s="35">
        <f>+GETPIVOTDATA("XSR4",'suoirao (2016)'!$A$3,"MA_HT","SKN","MA_QH","DNL")</f>
        <v>0</v>
      </c>
      <c r="AE24" s="35">
        <f>+GETPIVOTDATA("XSR4",'suoirao (2016)'!$A$3,"MA_HT","SKN","MA_QH","DBV")</f>
        <v>0</v>
      </c>
      <c r="AF24" s="35">
        <f>+GETPIVOTDATA("XSR4",'suoirao (2016)'!$A$3,"MA_HT","SKN","MA_QH","DVH")</f>
        <v>0</v>
      </c>
      <c r="AG24" s="35">
        <f>+GETPIVOTDATA("XSR4",'suoirao (2016)'!$A$3,"MA_HT","SKN","MA_QH","DYT")</f>
        <v>0</v>
      </c>
      <c r="AH24" s="35">
        <f>+GETPIVOTDATA("XSR4",'suoirao (2016)'!$A$3,"MA_HT","SKN","MA_QH","DGD")</f>
        <v>0</v>
      </c>
      <c r="AI24" s="35">
        <f>+GETPIVOTDATA("XSR4",'suoirao (2016)'!$A$3,"MA_HT","SKN","MA_QH","DTT")</f>
        <v>0</v>
      </c>
      <c r="AJ24" s="35">
        <f>+GETPIVOTDATA("XSR4",'suoirao (2016)'!$A$3,"MA_HT","SKN","MA_QH","NCK")</f>
        <v>0</v>
      </c>
      <c r="AK24" s="35">
        <f>+GETPIVOTDATA("XSR4",'suoirao (2016)'!$A$3,"MA_HT","SKN","MA_QH","DXH")</f>
        <v>0</v>
      </c>
      <c r="AL24" s="35">
        <f>+GETPIVOTDATA("XSR4",'suoirao (2016)'!$A$3,"MA_HT","SKN","MA_QH","DCH")</f>
        <v>0</v>
      </c>
      <c r="AM24" s="35">
        <f>+GETPIVOTDATA("XSR4",'suoirao (2016)'!$A$3,"MA_HT","SKN","MA_QH","DKG")</f>
        <v>0</v>
      </c>
      <c r="AN24" s="35">
        <f>+GETPIVOTDATA("XSR4",'suoirao (2016)'!$A$3,"MA_HT","SKN","MA_QH","DDT")</f>
        <v>0</v>
      </c>
      <c r="AO24" s="35">
        <f>+GETPIVOTDATA("XSR4",'suoirao (2016)'!$A$3,"MA_HT","SKN","MA_QH","DDL")</f>
        <v>0</v>
      </c>
      <c r="AP24" s="35">
        <f>+GETPIVOTDATA("XSR4",'suoirao (2016)'!$A$3,"MA_HT","SKN","MA_QH","DRA")</f>
        <v>0</v>
      </c>
      <c r="AQ24" s="35">
        <f>+GETPIVOTDATA("XSR4",'suoirao (2016)'!$A$3,"MA_HT","SKN","MA_QH","ONT")</f>
        <v>0</v>
      </c>
      <c r="AR24" s="35">
        <f>+GETPIVOTDATA("XSR4",'suoirao (2016)'!$A$3,"MA_HT","SKN","MA_QH","ODT")</f>
        <v>0</v>
      </c>
      <c r="AS24" s="35">
        <f>+GETPIVOTDATA("XSR4",'suoirao (2016)'!$A$3,"MA_HT","SKN","MA_QH","TSC")</f>
        <v>0</v>
      </c>
      <c r="AT24" s="35">
        <f>+GETPIVOTDATA("XSR4",'suoirao (2016)'!$A$3,"MA_HT","SKN","MA_QH","DTS")</f>
        <v>0</v>
      </c>
      <c r="AU24" s="35">
        <f>+GETPIVOTDATA("XSR4",'suoirao (2016)'!$A$3,"MA_HT","SKN","MA_QH","DNG")</f>
        <v>0</v>
      </c>
      <c r="AV24" s="35">
        <f>+GETPIVOTDATA("XSR4",'suoirao (2016)'!$A$3,"MA_HT","SKN","MA_QH","TON")</f>
        <v>0</v>
      </c>
      <c r="AW24" s="35">
        <f>+GETPIVOTDATA("XSR4",'suoirao (2016)'!$A$3,"MA_HT","SKN","MA_QH","NTD")</f>
        <v>0</v>
      </c>
      <c r="AX24" s="35">
        <f>+GETPIVOTDATA("XSR4",'suoirao (2016)'!$A$3,"MA_HT","SKN","MA_QH","SKX")</f>
        <v>0</v>
      </c>
      <c r="AY24" s="35">
        <f>+GETPIVOTDATA("XSR4",'suoirao (2016)'!$A$3,"MA_HT","SKN","MA_QH","DSH")</f>
        <v>0</v>
      </c>
      <c r="AZ24" s="35">
        <f>+GETPIVOTDATA("XSR4",'suoirao (2016)'!$A$3,"MA_HT","SKN","MA_QH","DKV")</f>
        <v>0</v>
      </c>
      <c r="BA24" s="140">
        <f>+GETPIVOTDATA("XSR4",'suoirao (2016)'!$A$3,"MA_HT","SKN","MA_QH","TIN")</f>
        <v>0</v>
      </c>
      <c r="BB24" s="74">
        <f>+GETPIVOTDATA("XSR4",'suoirao (2016)'!$A$3,"MA_HT","SKN","MA_QH","SON")</f>
        <v>0</v>
      </c>
      <c r="BC24" s="74">
        <f>+GETPIVOTDATA("XSR4",'suoirao (2016)'!$A$3,"MA_HT","SKN","MA_QH","MNC")</f>
        <v>0</v>
      </c>
      <c r="BD24" s="35">
        <f>+GETPIVOTDATA("XSR4",'suoirao (2016)'!$A$3,"MA_HT","SKN","MA_QH","PNK")</f>
        <v>0</v>
      </c>
      <c r="BE24" s="58">
        <f>+GETPIVOTDATA("XSR4",'suoirao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+GETPIVOTDATA("XSR4",'suoirao (2016)'!$A$3,"MA_HT","TMD","MA_QH","LUC")</f>
        <v>0</v>
      </c>
      <c r="H25" s="35">
        <f>+GETPIVOTDATA("XSR4",'suoirao (2016)'!$A$3,"MA_HT","TMD","MA_QH","LUK")</f>
        <v>0</v>
      </c>
      <c r="I25" s="35">
        <f>+GETPIVOTDATA("XSR4",'suoirao (2016)'!$A$3,"MA_HT","TMD","MA_QH","LUN")</f>
        <v>0</v>
      </c>
      <c r="J25" s="35">
        <f>+GETPIVOTDATA("XSR4",'suoirao (2016)'!$A$3,"MA_HT","TMD","MA_QH","HNK")</f>
        <v>0</v>
      </c>
      <c r="K25" s="35">
        <f>+GETPIVOTDATA("XSR4",'suoirao (2016)'!$A$3,"MA_HT","TMD","MA_QH","CLN")</f>
        <v>0</v>
      </c>
      <c r="L25" s="35">
        <f>+GETPIVOTDATA("XSR4",'suoirao (2016)'!$A$3,"MA_HT","TMD","MA_QH","RSX")</f>
        <v>0</v>
      </c>
      <c r="M25" s="35">
        <f>+GETPIVOTDATA("XSR4",'suoirao (2016)'!$A$3,"MA_HT","TMD","MA_QH","RPH")</f>
        <v>0</v>
      </c>
      <c r="N25" s="35">
        <f>+GETPIVOTDATA("XSR4",'suoirao (2016)'!$A$3,"MA_HT","TMD","MA_QH","RDD")</f>
        <v>0</v>
      </c>
      <c r="O25" s="35">
        <f>+GETPIVOTDATA("XSR4",'suoirao (2016)'!$A$3,"MA_HT","TMD","MA_QH","NTS")</f>
        <v>0</v>
      </c>
      <c r="P25" s="35">
        <f>+GETPIVOTDATA("XSR4",'suoirao (2016)'!$A$3,"MA_HT","TMD","MA_QH","LMU")</f>
        <v>0</v>
      </c>
      <c r="Q25" s="35">
        <f>+GETPIVOTDATA("XSR4",'suoirao (2016)'!$A$3,"MA_HT","TMD","MA_QH","NKH")</f>
        <v>0</v>
      </c>
      <c r="R25" s="63">
        <f>SUM(S25:W25,Y25:AA25,AN25:BD25)</f>
        <v>0</v>
      </c>
      <c r="S25" s="35">
        <f>+GETPIVOTDATA("XSR4",'suoirao (2016)'!$A$3,"MA_HT","TMD","MA_QH","CQP")</f>
        <v>0</v>
      </c>
      <c r="T25" s="35">
        <f>+GETPIVOTDATA("XSR4",'suoirao (2016)'!$A$3,"MA_HT","TMD","MA_QH","CAN")</f>
        <v>0</v>
      </c>
      <c r="U25" s="35">
        <f>+GETPIVOTDATA("XSR4",'suoirao (2016)'!$A$3,"MA_HT","TMD","MA_QH","SKK")</f>
        <v>0</v>
      </c>
      <c r="V25" s="35">
        <f>+GETPIVOTDATA("XSR4",'suoirao (2016)'!$A$3,"MA_HT","TMD","MA_QH","SKT")</f>
        <v>0</v>
      </c>
      <c r="W25" s="35">
        <f>+GETPIVOTDATA("XSR4",'suoirao (2016)'!$A$3,"MA_HT","TMD","MA_QH","SKN")</f>
        <v>0</v>
      </c>
      <c r="X25" s="99" t="e">
        <f>$D25-$BF25</f>
        <v>#REF!</v>
      </c>
      <c r="Y25" s="35">
        <f>+GETPIVOTDATA("XSR4",'suoirao (2016)'!$A$3,"MA_HT","TMD","MA_QH","SKC")</f>
        <v>0</v>
      </c>
      <c r="Z25" s="35">
        <f>+GETPIVOTDATA("XSR4",'suoirao (2016)'!$A$3,"MA_HT","TMD","MA_QH","SKS")</f>
        <v>0</v>
      </c>
      <c r="AA25" s="64">
        <f t="shared" si="12"/>
        <v>0</v>
      </c>
      <c r="AB25" s="35">
        <f>+GETPIVOTDATA("XSR4",'suoirao (2016)'!$A$3,"MA_HT","TMD","MA_QH","DGT")</f>
        <v>0</v>
      </c>
      <c r="AC25" s="35">
        <f>+GETPIVOTDATA("XSR4",'suoirao (2016)'!$A$3,"MA_HT","TMD","MA_QH","DTL")</f>
        <v>0</v>
      </c>
      <c r="AD25" s="35">
        <f>+GETPIVOTDATA("XSR4",'suoirao (2016)'!$A$3,"MA_HT","TMD","MA_QH","DNL")</f>
        <v>0</v>
      </c>
      <c r="AE25" s="35">
        <f>+GETPIVOTDATA("XSR4",'suoirao (2016)'!$A$3,"MA_HT","TMD","MA_QH","DBV")</f>
        <v>0</v>
      </c>
      <c r="AF25" s="35">
        <f>+GETPIVOTDATA("XSR4",'suoirao (2016)'!$A$3,"MA_HT","TMD","MA_QH","DVH")</f>
        <v>0</v>
      </c>
      <c r="AG25" s="35">
        <f>+GETPIVOTDATA("XSR4",'suoirao (2016)'!$A$3,"MA_HT","TMD","MA_QH","DYT")</f>
        <v>0</v>
      </c>
      <c r="AH25" s="35">
        <f>+GETPIVOTDATA("XSR4",'suoirao (2016)'!$A$3,"MA_HT","TMD","MA_QH","DGD")</f>
        <v>0</v>
      </c>
      <c r="AI25" s="35">
        <f>+GETPIVOTDATA("XSR4",'suoirao (2016)'!$A$3,"MA_HT","TMD","MA_QH","DTT")</f>
        <v>0</v>
      </c>
      <c r="AJ25" s="35">
        <f>+GETPIVOTDATA("XSR4",'suoirao (2016)'!$A$3,"MA_HT","TMD","MA_QH","NCK")</f>
        <v>0</v>
      </c>
      <c r="AK25" s="35">
        <f>+GETPIVOTDATA("XSR4",'suoirao (2016)'!$A$3,"MA_HT","TMD","MA_QH","DXH")</f>
        <v>0</v>
      </c>
      <c r="AL25" s="35">
        <f>+GETPIVOTDATA("XSR4",'suoirao (2016)'!$A$3,"MA_HT","TMD","MA_QH","DCH")</f>
        <v>0</v>
      </c>
      <c r="AM25" s="35">
        <f>+GETPIVOTDATA("XSR4",'suoirao (2016)'!$A$3,"MA_HT","TMD","MA_QH","DKG")</f>
        <v>0</v>
      </c>
      <c r="AN25" s="35">
        <f>+GETPIVOTDATA("XSR4",'suoirao (2016)'!$A$3,"MA_HT","TMD","MA_QH","DDT")</f>
        <v>0</v>
      </c>
      <c r="AO25" s="35">
        <f>+GETPIVOTDATA("XSR4",'suoirao (2016)'!$A$3,"MA_HT","TMD","MA_QH","DDL")</f>
        <v>0</v>
      </c>
      <c r="AP25" s="35">
        <f>+GETPIVOTDATA("XSR4",'suoirao (2016)'!$A$3,"MA_HT","TMD","MA_QH","DRA")</f>
        <v>0</v>
      </c>
      <c r="AQ25" s="35">
        <f>+GETPIVOTDATA("XSR4",'suoirao (2016)'!$A$3,"MA_HT","TMD","MA_QH","ONT")</f>
        <v>0</v>
      </c>
      <c r="AR25" s="35">
        <f>+GETPIVOTDATA("XSR4",'suoirao (2016)'!$A$3,"MA_HT","TMD","MA_QH","ODT")</f>
        <v>0</v>
      </c>
      <c r="AS25" s="35">
        <f>+GETPIVOTDATA("XSR4",'suoirao (2016)'!$A$3,"MA_HT","TMD","MA_QH","TSC")</f>
        <v>0</v>
      </c>
      <c r="AT25" s="35">
        <f>+GETPIVOTDATA("XSR4",'suoirao (2016)'!$A$3,"MA_HT","TMD","MA_QH","DTS")</f>
        <v>0</v>
      </c>
      <c r="AU25" s="35">
        <f>+GETPIVOTDATA("XSR4",'suoirao (2016)'!$A$3,"MA_HT","TMD","MA_QH","DNG")</f>
        <v>0</v>
      </c>
      <c r="AV25" s="35">
        <f>+GETPIVOTDATA("XSR4",'suoirao (2016)'!$A$3,"MA_HT","TMD","MA_QH","TON")</f>
        <v>0</v>
      </c>
      <c r="AW25" s="35">
        <f>+GETPIVOTDATA("XSR4",'suoirao (2016)'!$A$3,"MA_HT","TMD","MA_QH","NTD")</f>
        <v>0</v>
      </c>
      <c r="AX25" s="35">
        <f>+GETPIVOTDATA("XSR4",'suoirao (2016)'!$A$3,"MA_HT","TMD","MA_QH","SKX")</f>
        <v>0</v>
      </c>
      <c r="AY25" s="35">
        <f>+GETPIVOTDATA("XSR4",'suoirao (2016)'!$A$3,"MA_HT","TMD","MA_QH","DSH")</f>
        <v>0</v>
      </c>
      <c r="AZ25" s="35">
        <f>+GETPIVOTDATA("XSR4",'suoirao (2016)'!$A$3,"MA_HT","TMD","MA_QH","DKV")</f>
        <v>0</v>
      </c>
      <c r="BA25" s="140">
        <f>+GETPIVOTDATA("XSR4",'suoirao (2016)'!$A$3,"MA_HT","TMD","MA_QH","TIN")</f>
        <v>0</v>
      </c>
      <c r="BB25" s="74">
        <f>+GETPIVOTDATA("XSR4",'suoirao (2016)'!$A$3,"MA_HT","TMD","MA_QH","SON")</f>
        <v>0</v>
      </c>
      <c r="BC25" s="74">
        <f>+GETPIVOTDATA("XSR4",'suoirao (2016)'!$A$3,"MA_HT","TMD","MA_QH","MNC")</f>
        <v>0</v>
      </c>
      <c r="BD25" s="35">
        <f>+GETPIVOTDATA("XSR4",'suoirao (2016)'!$A$3,"MA_HT","TMD","MA_QH","PNK")</f>
        <v>0</v>
      </c>
      <c r="BE25" s="58">
        <f>+GETPIVOTDATA("XSR4",'suoirao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+GETPIVOTDATA("XSR4",'suoirao (2016)'!$A$3,"MA_HT","SKC","MA_QH","LUC")</f>
        <v>0</v>
      </c>
      <c r="H26" s="35">
        <f>+GETPIVOTDATA("XSR4",'suoirao (2016)'!$A$3,"MA_HT","SKC","MA_QH","LUK")</f>
        <v>0</v>
      </c>
      <c r="I26" s="35">
        <f>+GETPIVOTDATA("XSR4",'suoirao (2016)'!$A$3,"MA_HT","SKC","MA_QH","LUN")</f>
        <v>0</v>
      </c>
      <c r="J26" s="35">
        <f>+GETPIVOTDATA("XSR4",'suoirao (2016)'!$A$3,"MA_HT","SKC","MA_QH","HNK")</f>
        <v>0</v>
      </c>
      <c r="K26" s="35">
        <f>+GETPIVOTDATA("XSR4",'suoirao (2016)'!$A$3,"MA_HT","SKC","MA_QH","CLN")</f>
        <v>0</v>
      </c>
      <c r="L26" s="35">
        <f>+GETPIVOTDATA("XSR4",'suoirao (2016)'!$A$3,"MA_HT","SKC","MA_QH","RSX")</f>
        <v>0</v>
      </c>
      <c r="M26" s="35">
        <f>+GETPIVOTDATA("XSR4",'suoirao (2016)'!$A$3,"MA_HT","SKC","MA_QH","RPH")</f>
        <v>0</v>
      </c>
      <c r="N26" s="35">
        <f>+GETPIVOTDATA("XSR4",'suoirao (2016)'!$A$3,"MA_HT","SKC","MA_QH","RDD")</f>
        <v>0</v>
      </c>
      <c r="O26" s="35">
        <f>+GETPIVOTDATA("XSR4",'suoirao (2016)'!$A$3,"MA_HT","SKC","MA_QH","NTS")</f>
        <v>0</v>
      </c>
      <c r="P26" s="35">
        <f>+GETPIVOTDATA("XSR4",'suoirao (2016)'!$A$3,"MA_HT","SKC","MA_QH","LMU")</f>
        <v>0</v>
      </c>
      <c r="Q26" s="35">
        <f>+GETPIVOTDATA("XSR4",'suoirao (2016)'!$A$3,"MA_HT","SKC","MA_QH","NKH")</f>
        <v>0</v>
      </c>
      <c r="R26" s="63">
        <f>SUM(S26:X26,Z26,AN26:BD26)</f>
        <v>0</v>
      </c>
      <c r="S26" s="35">
        <f>+GETPIVOTDATA("XSR4",'suoirao (2016)'!$A$3,"MA_HT","SKC","MA_QH","CQP")</f>
        <v>0</v>
      </c>
      <c r="T26" s="35">
        <f>+GETPIVOTDATA("XSR4",'suoirao (2016)'!$A$3,"MA_HT","SKC","MA_QH","CAN")</f>
        <v>0</v>
      </c>
      <c r="U26" s="35">
        <f>+GETPIVOTDATA("XSR4",'suoirao (2016)'!$A$3,"MA_HT","SKC","MA_QH","SKK")</f>
        <v>0</v>
      </c>
      <c r="V26" s="35">
        <f>+GETPIVOTDATA("XSR4",'suoirao (2016)'!$A$3,"MA_HT","SKC","MA_QH","SKT")</f>
        <v>0</v>
      </c>
      <c r="W26" s="35">
        <f>+GETPIVOTDATA("XSR4",'suoirao (2016)'!$A$3,"MA_HT","SKC","MA_QH","SKN")</f>
        <v>0</v>
      </c>
      <c r="X26" s="35">
        <f>+GETPIVOTDATA("XSR4",'suoirao (2016)'!$A$3,"MA_HT","SKC","MA_QH","TMD")</f>
        <v>0</v>
      </c>
      <c r="Y26" s="99" t="e">
        <f>$D26-$BF26</f>
        <v>#REF!</v>
      </c>
      <c r="Z26" s="35">
        <f>+GETPIVOTDATA("XSR4",'suoirao (2016)'!$A$3,"MA_HT","SKC","MA_QH","SKS")</f>
        <v>0</v>
      </c>
      <c r="AA26" s="64">
        <f t="shared" si="12"/>
        <v>0</v>
      </c>
      <c r="AB26" s="35">
        <f>+GETPIVOTDATA("XSR4",'suoirao (2016)'!$A$3,"MA_HT","SKC","MA_QH","DGT")</f>
        <v>0</v>
      </c>
      <c r="AC26" s="35">
        <f>+GETPIVOTDATA("XSR4",'suoirao (2016)'!$A$3,"MA_HT","SKC","MA_QH","DTL")</f>
        <v>0</v>
      </c>
      <c r="AD26" s="35">
        <f>+GETPIVOTDATA("XSR4",'suoirao (2016)'!$A$3,"MA_HT","SKC","MA_QH","DNL")</f>
        <v>0</v>
      </c>
      <c r="AE26" s="35">
        <f>+GETPIVOTDATA("XSR4",'suoirao (2016)'!$A$3,"MA_HT","SKC","MA_QH","DBV")</f>
        <v>0</v>
      </c>
      <c r="AF26" s="35">
        <f>+GETPIVOTDATA("XSR4",'suoirao (2016)'!$A$3,"MA_HT","SKC","MA_QH","DVH")</f>
        <v>0</v>
      </c>
      <c r="AG26" s="35">
        <f>+GETPIVOTDATA("XSR4",'suoirao (2016)'!$A$3,"MA_HT","SKC","MA_QH","DYT")</f>
        <v>0</v>
      </c>
      <c r="AH26" s="35">
        <f>+GETPIVOTDATA("XSR4",'suoirao (2016)'!$A$3,"MA_HT","SKC","MA_QH","DGD")</f>
        <v>0</v>
      </c>
      <c r="AI26" s="35">
        <f>+GETPIVOTDATA("XSR4",'suoirao (2016)'!$A$3,"MA_HT","SKC","MA_QH","DTT")</f>
        <v>0</v>
      </c>
      <c r="AJ26" s="35">
        <f>+GETPIVOTDATA("XSR4",'suoirao (2016)'!$A$3,"MA_HT","SKC","MA_QH","NCK")</f>
        <v>0</v>
      </c>
      <c r="AK26" s="35">
        <f>+GETPIVOTDATA("XSR4",'suoirao (2016)'!$A$3,"MA_HT","SKC","MA_QH","DXH")</f>
        <v>0</v>
      </c>
      <c r="AL26" s="35">
        <f>+GETPIVOTDATA("XSR4",'suoirao (2016)'!$A$3,"MA_HT","SKC","MA_QH","DCH")</f>
        <v>0</v>
      </c>
      <c r="AM26" s="35">
        <f>+GETPIVOTDATA("XSR4",'suoirao (2016)'!$A$3,"MA_HT","SKC","MA_QH","DKG")</f>
        <v>0</v>
      </c>
      <c r="AN26" s="35">
        <f>+GETPIVOTDATA("XSR4",'suoirao (2016)'!$A$3,"MA_HT","SKC","MA_QH","DDT")</f>
        <v>0</v>
      </c>
      <c r="AO26" s="35">
        <f>+GETPIVOTDATA("XSR4",'suoirao (2016)'!$A$3,"MA_HT","SKC","MA_QH","DDL")</f>
        <v>0</v>
      </c>
      <c r="AP26" s="35">
        <f>+GETPIVOTDATA("XSR4",'suoirao (2016)'!$A$3,"MA_HT","SKC","MA_QH","DRA")</f>
        <v>0</v>
      </c>
      <c r="AQ26" s="35">
        <f>+GETPIVOTDATA("XSR4",'suoirao (2016)'!$A$3,"MA_HT","SKC","MA_QH","ONT")</f>
        <v>0</v>
      </c>
      <c r="AR26" s="35">
        <f>+GETPIVOTDATA("XSR4",'suoirao (2016)'!$A$3,"MA_HT","SKC","MA_QH","ODT")</f>
        <v>0</v>
      </c>
      <c r="AS26" s="35">
        <f>+GETPIVOTDATA("XSR4",'suoirao (2016)'!$A$3,"MA_HT","SKC","MA_QH","TSC")</f>
        <v>0</v>
      </c>
      <c r="AT26" s="35">
        <f>+GETPIVOTDATA("XSR4",'suoirao (2016)'!$A$3,"MA_HT","SKC","MA_QH","DTS")</f>
        <v>0</v>
      </c>
      <c r="AU26" s="35">
        <f>+GETPIVOTDATA("XSR4",'suoirao (2016)'!$A$3,"MA_HT","SKC","MA_QH","DNG")</f>
        <v>0</v>
      </c>
      <c r="AV26" s="35">
        <f>+GETPIVOTDATA("XSR4",'suoirao (2016)'!$A$3,"MA_HT","SKC","MA_QH","TON")</f>
        <v>0</v>
      </c>
      <c r="AW26" s="35">
        <f>+GETPIVOTDATA("XSR4",'suoirao (2016)'!$A$3,"MA_HT","SKC","MA_QH","NTD")</f>
        <v>0</v>
      </c>
      <c r="AX26" s="35">
        <f>+GETPIVOTDATA("XSR4",'suoirao (2016)'!$A$3,"MA_HT","SKC","MA_QH","SKX")</f>
        <v>0</v>
      </c>
      <c r="AY26" s="35">
        <f>+GETPIVOTDATA("XSR4",'suoirao (2016)'!$A$3,"MA_HT","SKC","MA_QH","DSH")</f>
        <v>0</v>
      </c>
      <c r="AZ26" s="35">
        <f>+GETPIVOTDATA("XSR4",'suoirao (2016)'!$A$3,"MA_HT","SKC","MA_QH","DKV")</f>
        <v>0</v>
      </c>
      <c r="BA26" s="140">
        <f>+GETPIVOTDATA("XSR4",'suoirao (2016)'!$A$3,"MA_HT","SKC","MA_QH","TIN")</f>
        <v>0</v>
      </c>
      <c r="BB26" s="74">
        <f>+GETPIVOTDATA("XSR4",'suoirao (2016)'!$A$3,"MA_HT","SKC","MA_QH","SON")</f>
        <v>0</v>
      </c>
      <c r="BC26" s="74">
        <f>+GETPIVOTDATA("XSR4",'suoirao (2016)'!$A$3,"MA_HT","SKC","MA_QH","MNC")</f>
        <v>0</v>
      </c>
      <c r="BD26" s="35">
        <f>+GETPIVOTDATA("XSR4",'suoirao (2016)'!$A$3,"MA_HT","SKC","MA_QH","PNK")</f>
        <v>0</v>
      </c>
      <c r="BE26" s="58">
        <f>+GETPIVOTDATA("XSR4",'suoirao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+GETPIVOTDATA("XSR4",'suoirao (2016)'!$A$3,"MA_HT","SKS","MA_QH","LUC")</f>
        <v>0</v>
      </c>
      <c r="H27" s="35">
        <f>+GETPIVOTDATA("XSR4",'suoirao (2016)'!$A$3,"MA_HT","SKS","MA_QH","LUK")</f>
        <v>0</v>
      </c>
      <c r="I27" s="35">
        <f>+GETPIVOTDATA("XSR4",'suoirao (2016)'!$A$3,"MA_HT","SKS","MA_QH","LUN")</f>
        <v>0</v>
      </c>
      <c r="J27" s="35">
        <f>+GETPIVOTDATA("XSR4",'suoirao (2016)'!$A$3,"MA_HT","SKS","MA_QH","HNK")</f>
        <v>0</v>
      </c>
      <c r="K27" s="35">
        <f>+GETPIVOTDATA("XSR4",'suoirao (2016)'!$A$3,"MA_HT","SKS","MA_QH","CLN")</f>
        <v>0</v>
      </c>
      <c r="L27" s="35">
        <f>+GETPIVOTDATA("XSR4",'suoirao (2016)'!$A$3,"MA_HT","SKS","MA_QH","RSX")</f>
        <v>0</v>
      </c>
      <c r="M27" s="35">
        <f>+GETPIVOTDATA("XSR4",'suoirao (2016)'!$A$3,"MA_HT","SKS","MA_QH","RPH")</f>
        <v>0</v>
      </c>
      <c r="N27" s="35">
        <f>+GETPIVOTDATA("XSR4",'suoirao (2016)'!$A$3,"MA_HT","SKS","MA_QH","RDD")</f>
        <v>0</v>
      </c>
      <c r="O27" s="35">
        <f>+GETPIVOTDATA("XSR4",'suoirao (2016)'!$A$3,"MA_HT","SKS","MA_QH","NTS")</f>
        <v>0</v>
      </c>
      <c r="P27" s="35">
        <f>+GETPIVOTDATA("XSR4",'suoirao (2016)'!$A$3,"MA_HT","SKS","MA_QH","LMU")</f>
        <v>0</v>
      </c>
      <c r="Q27" s="35">
        <f>+GETPIVOTDATA("XSR4",'suoirao (2016)'!$A$3,"MA_HT","SKS","MA_QH","NKH")</f>
        <v>0</v>
      </c>
      <c r="R27" s="63">
        <f>SUM(S27:Y27,AA27,AN27:BD27)</f>
        <v>0</v>
      </c>
      <c r="S27" s="35">
        <f>+GETPIVOTDATA("XSR4",'suoirao (2016)'!$A$3,"MA_HT","SKS","MA_QH","CQP")</f>
        <v>0</v>
      </c>
      <c r="T27" s="35">
        <f>+GETPIVOTDATA("XSR4",'suoirao (2016)'!$A$3,"MA_HT","SKS","MA_QH","CAN")</f>
        <v>0</v>
      </c>
      <c r="U27" s="35">
        <f>+GETPIVOTDATA("XSR4",'suoirao (2016)'!$A$3,"MA_HT","SKS","MA_QH","SKK")</f>
        <v>0</v>
      </c>
      <c r="V27" s="35">
        <f>+GETPIVOTDATA("XSR4",'suoirao (2016)'!$A$3,"MA_HT","SKS","MA_QH","SKT")</f>
        <v>0</v>
      </c>
      <c r="W27" s="35">
        <f>+GETPIVOTDATA("XSR4",'suoirao (2016)'!$A$3,"MA_HT","SKS","MA_QH","SKN")</f>
        <v>0</v>
      </c>
      <c r="X27" s="35">
        <f>+GETPIVOTDATA("XSR4",'suoirao (2016)'!$A$3,"MA_HT","SKS","MA_QH","TMD")</f>
        <v>0</v>
      </c>
      <c r="Y27" s="35">
        <f>+GETPIVOTDATA("XSR4",'suoirao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+GETPIVOTDATA("XSR4",'suoirao (2016)'!$A$3,"MA_HT","SKS","MA_QH","DGT")</f>
        <v>0</v>
      </c>
      <c r="AC27" s="35">
        <f>+GETPIVOTDATA("XSR4",'suoirao (2016)'!$A$3,"MA_HT","SKS","MA_QH","DTL")</f>
        <v>0</v>
      </c>
      <c r="AD27" s="35">
        <f>+GETPIVOTDATA("XSR4",'suoirao (2016)'!$A$3,"MA_HT","SKS","MA_QH","DNL")</f>
        <v>0</v>
      </c>
      <c r="AE27" s="35">
        <f>+GETPIVOTDATA("XSR4",'suoirao (2016)'!$A$3,"MA_HT","SKS","MA_QH","DBV")</f>
        <v>0</v>
      </c>
      <c r="AF27" s="35">
        <f>+GETPIVOTDATA("XSR4",'suoirao (2016)'!$A$3,"MA_HT","SKS","MA_QH","DVH")</f>
        <v>0</v>
      </c>
      <c r="AG27" s="35">
        <f>+GETPIVOTDATA("XSR4",'suoirao (2016)'!$A$3,"MA_HT","SKS","MA_QH","DYT")</f>
        <v>0</v>
      </c>
      <c r="AH27" s="35">
        <f>+GETPIVOTDATA("XSR4",'suoirao (2016)'!$A$3,"MA_HT","SKS","MA_QH","DGD")</f>
        <v>0</v>
      </c>
      <c r="AI27" s="35">
        <f>+GETPIVOTDATA("XSR4",'suoirao (2016)'!$A$3,"MA_HT","SKS","MA_QH","DTT")</f>
        <v>0</v>
      </c>
      <c r="AJ27" s="35">
        <f>+GETPIVOTDATA("XSR4",'suoirao (2016)'!$A$3,"MA_HT","SKS","MA_QH","NCK")</f>
        <v>0</v>
      </c>
      <c r="AK27" s="35">
        <f>+GETPIVOTDATA("XSR4",'suoirao (2016)'!$A$3,"MA_HT","SKS","MA_QH","DXH")</f>
        <v>0</v>
      </c>
      <c r="AL27" s="35">
        <f>+GETPIVOTDATA("XSR4",'suoirao (2016)'!$A$3,"MA_HT","SKS","MA_QH","DCH")</f>
        <v>0</v>
      </c>
      <c r="AM27" s="35">
        <f>+GETPIVOTDATA("XSR4",'suoirao (2016)'!$A$3,"MA_HT","SKS","MA_QH","DKG")</f>
        <v>0</v>
      </c>
      <c r="AN27" s="35">
        <f>+GETPIVOTDATA("XSR4",'suoirao (2016)'!$A$3,"MA_HT","SKS","MA_QH","DDT")</f>
        <v>0</v>
      </c>
      <c r="AO27" s="35">
        <f>+GETPIVOTDATA("XSR4",'suoirao (2016)'!$A$3,"MA_HT","SKS","MA_QH","DDL")</f>
        <v>0</v>
      </c>
      <c r="AP27" s="35">
        <f>+GETPIVOTDATA("XSR4",'suoirao (2016)'!$A$3,"MA_HT","SKS","MA_QH","DRA")</f>
        <v>0</v>
      </c>
      <c r="AQ27" s="35">
        <f>+GETPIVOTDATA("XSR4",'suoirao (2016)'!$A$3,"MA_HT","SKS","MA_QH","ONT")</f>
        <v>0</v>
      </c>
      <c r="AR27" s="35">
        <f>+GETPIVOTDATA("XSR4",'suoirao (2016)'!$A$3,"MA_HT","SKS","MA_QH","ODT")</f>
        <v>0</v>
      </c>
      <c r="AS27" s="35">
        <f>+GETPIVOTDATA("XSR4",'suoirao (2016)'!$A$3,"MA_HT","SKS","MA_QH","TSC")</f>
        <v>0</v>
      </c>
      <c r="AT27" s="35">
        <f>+GETPIVOTDATA("XSR4",'suoirao (2016)'!$A$3,"MA_HT","SKS","MA_QH","DTS")</f>
        <v>0</v>
      </c>
      <c r="AU27" s="35">
        <f>+GETPIVOTDATA("XSR4",'suoirao (2016)'!$A$3,"MA_HT","SKS","MA_QH","DNG")</f>
        <v>0</v>
      </c>
      <c r="AV27" s="35">
        <f>+GETPIVOTDATA("XSR4",'suoirao (2016)'!$A$3,"MA_HT","SKS","MA_QH","TON")</f>
        <v>0</v>
      </c>
      <c r="AW27" s="35">
        <f>+GETPIVOTDATA("XSR4",'suoirao (2016)'!$A$3,"MA_HT","SKS","MA_QH","NTD")</f>
        <v>0</v>
      </c>
      <c r="AX27" s="35">
        <f>+GETPIVOTDATA("XSR4",'suoirao (2016)'!$A$3,"MA_HT","SKS","MA_QH","SKX")</f>
        <v>0</v>
      </c>
      <c r="AY27" s="35">
        <f>+GETPIVOTDATA("XSR4",'suoirao (2016)'!$A$3,"MA_HT","SKS","MA_QH","DSH")</f>
        <v>0</v>
      </c>
      <c r="AZ27" s="35">
        <f>+GETPIVOTDATA("XSR4",'suoirao (2016)'!$A$3,"MA_HT","SKS","MA_QH","DKV")</f>
        <v>0</v>
      </c>
      <c r="BA27" s="140">
        <f>+GETPIVOTDATA("XSR4",'suoirao (2016)'!$A$3,"MA_HT","SKS","MA_QH","TIN")</f>
        <v>0</v>
      </c>
      <c r="BB27" s="74">
        <f>+GETPIVOTDATA("XSR4",'suoirao (2016)'!$A$3,"MA_HT","SKS","MA_QH","SON")</f>
        <v>0</v>
      </c>
      <c r="BC27" s="74">
        <f>+GETPIVOTDATA("XSR4",'suoirao (2016)'!$A$3,"MA_HT","SKS","MA_QH","MNC")</f>
        <v>0</v>
      </c>
      <c r="BD27" s="35">
        <f>+GETPIVOTDATA("XSR4",'suoirao (2016)'!$A$3,"MA_HT","SKS","MA_QH","PNK")</f>
        <v>0</v>
      </c>
      <c r="BE27" s="58">
        <f>+GETPIVOTDATA("XSR4",'suoirao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+GETPIVOTDATA("XSR4",'suoirao (2016)'!$A$3,"MA_HT","DGT","MA_QH","LUC")</f>
        <v>0</v>
      </c>
      <c r="H29" s="74">
        <f>+GETPIVOTDATA("XSR4",'suoirao (2016)'!$A$3,"MA_HT","DGT","MA_QH","LUK")</f>
        <v>0</v>
      </c>
      <c r="I29" s="74">
        <f>+GETPIVOTDATA("XSR4",'suoirao (2016)'!$A$3,"MA_HT","DGT","MA_QH","LUN")</f>
        <v>0</v>
      </c>
      <c r="J29" s="74">
        <f>+GETPIVOTDATA("XSR4",'suoirao (2016)'!$A$3,"MA_HT","DGT","MA_QH","HNK")</f>
        <v>0</v>
      </c>
      <c r="K29" s="74">
        <f>+GETPIVOTDATA("XSR4",'suoirao (2016)'!$A$3,"MA_HT","DGT","MA_QH","CLN")</f>
        <v>0</v>
      </c>
      <c r="L29" s="74">
        <f>+GETPIVOTDATA("XSR4",'suoirao (2016)'!$A$3,"MA_HT","DGT","MA_QH","RSX")</f>
        <v>0</v>
      </c>
      <c r="M29" s="74">
        <f>+GETPIVOTDATA("XSR4",'suoirao (2016)'!$A$3,"MA_HT","DGT","MA_QH","RPH")</f>
        <v>0</v>
      </c>
      <c r="N29" s="74">
        <f>+GETPIVOTDATA("XSR4",'suoirao (2016)'!$A$3,"MA_HT","DGT","MA_QH","RDD")</f>
        <v>0</v>
      </c>
      <c r="O29" s="74">
        <f>+GETPIVOTDATA("XSR4",'suoirao (2016)'!$A$3,"MA_HT","DGT","MA_QH","NTS")</f>
        <v>0</v>
      </c>
      <c r="P29" s="74">
        <f>+GETPIVOTDATA("XSR4",'suoirao (2016)'!$A$3,"MA_HT","DGT","MA_QH","LMU")</f>
        <v>0</v>
      </c>
      <c r="Q29" s="74">
        <f>+GETPIVOTDATA("XSR4",'suoirao (2016)'!$A$3,"MA_HT","DGT","MA_QH","NKH")</f>
        <v>0</v>
      </c>
      <c r="R29" s="72">
        <f>SUM(S29:AA29,AN29:BD29)</f>
        <v>0</v>
      </c>
      <c r="S29" s="74">
        <f>+GETPIVOTDATA("XSR4",'suoirao (2016)'!$A$3,"MA_HT","DGT","MA_QH","CQP")</f>
        <v>0</v>
      </c>
      <c r="T29" s="74">
        <f>+GETPIVOTDATA("XSR4",'suoirao (2016)'!$A$3,"MA_HT","DGT","MA_QH","CAN")</f>
        <v>0</v>
      </c>
      <c r="U29" s="74">
        <f>+GETPIVOTDATA("XSR4",'suoirao (2016)'!$A$3,"MA_HT","DGT","MA_QH","SKK")</f>
        <v>0</v>
      </c>
      <c r="V29" s="74">
        <f>+GETPIVOTDATA("XSR4",'suoirao (2016)'!$A$3,"MA_HT","DGT","MA_QH","SKT")</f>
        <v>0</v>
      </c>
      <c r="W29" s="74">
        <f>+GETPIVOTDATA("XSR4",'suoirao (2016)'!$A$3,"MA_HT","DGT","MA_QH","SKN")</f>
        <v>0</v>
      </c>
      <c r="X29" s="74">
        <f>+GETPIVOTDATA("XSR4",'suoirao (2016)'!$A$3,"MA_HT","DGT","MA_QH","TMD")</f>
        <v>0</v>
      </c>
      <c r="Y29" s="74">
        <f>+GETPIVOTDATA("XSR4",'suoirao (2016)'!$A$3,"MA_HT","DGT","MA_QH","SKC")</f>
        <v>0</v>
      </c>
      <c r="Z29" s="74">
        <f>+GETPIVOTDATA("XSR4",'suoirao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+GETPIVOTDATA("XSR4",'suoirao (2016)'!$A$3,"MA_HT","DGT","MA_QH","DTL")</f>
        <v>0</v>
      </c>
      <c r="AD29" s="74">
        <f>+GETPIVOTDATA("XSR4",'suoirao (2016)'!$A$3,"MA_HT","DGT","MA_QH","DNL")</f>
        <v>0</v>
      </c>
      <c r="AE29" s="74">
        <f>+GETPIVOTDATA("XSR4",'suoirao (2016)'!$A$3,"MA_HT","DGT","MA_QH","DBV")</f>
        <v>0</v>
      </c>
      <c r="AF29" s="74">
        <f>+GETPIVOTDATA("XSR4",'suoirao (2016)'!$A$3,"MA_HT","DGT","MA_QH","DVH")</f>
        <v>0</v>
      </c>
      <c r="AG29" s="74">
        <f>+GETPIVOTDATA("XSR4",'suoirao (2016)'!$A$3,"MA_HT","DGT","MA_QH","DYT")</f>
        <v>0</v>
      </c>
      <c r="AH29" s="74">
        <f>+GETPIVOTDATA("XSR4",'suoirao (2016)'!$A$3,"MA_HT","DGT","MA_QH","DGD")</f>
        <v>0</v>
      </c>
      <c r="AI29" s="74">
        <f>+GETPIVOTDATA("XSR4",'suoirao (2016)'!$A$3,"MA_HT","DGT","MA_QH","DTT")</f>
        <v>0</v>
      </c>
      <c r="AJ29" s="74">
        <f>+GETPIVOTDATA("XSR4",'suoirao (2016)'!$A$3,"MA_HT","DGT","MA_QH","NCK")</f>
        <v>0</v>
      </c>
      <c r="AK29" s="74">
        <f>+GETPIVOTDATA("XSR4",'suoirao (2016)'!$A$3,"MA_HT","DGT","MA_QH","DXH")</f>
        <v>0</v>
      </c>
      <c r="AL29" s="74">
        <f>+GETPIVOTDATA("XSR4",'suoirao (2016)'!$A$3,"MA_HT","DGT","MA_QH","DCH")</f>
        <v>0</v>
      </c>
      <c r="AM29" s="74">
        <f>+GETPIVOTDATA("XSR4",'suoirao (2016)'!$A$3,"MA_HT","DGT","MA_QH","DKG")</f>
        <v>0</v>
      </c>
      <c r="AN29" s="74">
        <f>+GETPIVOTDATA("XSR4",'suoirao (2016)'!$A$3,"MA_HT","DGT","MA_QH","DDT")</f>
        <v>0</v>
      </c>
      <c r="AO29" s="74">
        <f>+GETPIVOTDATA("XSR4",'suoirao (2016)'!$A$3,"MA_HT","DGT","MA_QH","DDL")</f>
        <v>0</v>
      </c>
      <c r="AP29" s="74">
        <f>+GETPIVOTDATA("XSR4",'suoirao (2016)'!$A$3,"MA_HT","DGT","MA_QH","DRA")</f>
        <v>0</v>
      </c>
      <c r="AQ29" s="74">
        <f>+GETPIVOTDATA("XSR4",'suoirao (2016)'!$A$3,"MA_HT","DGT","MA_QH","ONT")</f>
        <v>0</v>
      </c>
      <c r="AR29" s="74">
        <f>+GETPIVOTDATA("XSR4",'suoirao (2016)'!$A$3,"MA_HT","DGT","MA_QH","ODT")</f>
        <v>0</v>
      </c>
      <c r="AS29" s="74">
        <f>+GETPIVOTDATA("XSR4",'suoirao (2016)'!$A$3,"MA_HT","DGT","MA_QH","TSC")</f>
        <v>0</v>
      </c>
      <c r="AT29" s="74">
        <f>+GETPIVOTDATA("XSR4",'suoirao (2016)'!$A$3,"MA_HT","DGT","MA_QH","DTS")</f>
        <v>0</v>
      </c>
      <c r="AU29" s="74">
        <f>+GETPIVOTDATA("XSR4",'suoirao (2016)'!$A$3,"MA_HT","DGT","MA_QH","DNG")</f>
        <v>0</v>
      </c>
      <c r="AV29" s="74">
        <f>+GETPIVOTDATA("XSR4",'suoirao (2016)'!$A$3,"MA_HT","DGT","MA_QH","TON")</f>
        <v>0</v>
      </c>
      <c r="AW29" s="74">
        <f>+GETPIVOTDATA("XSR4",'suoirao (2016)'!$A$3,"MA_HT","DGT","MA_QH","NTD")</f>
        <v>0</v>
      </c>
      <c r="AX29" s="74">
        <f>+GETPIVOTDATA("XSR4",'suoirao (2016)'!$A$3,"MA_HT","DGT","MA_QH","SKX")</f>
        <v>0</v>
      </c>
      <c r="AY29" s="74">
        <f>+GETPIVOTDATA("XSR4",'suoirao (2016)'!$A$3,"MA_HT","DGT","MA_QH","DSH")</f>
        <v>0</v>
      </c>
      <c r="AZ29" s="74">
        <f>+GETPIVOTDATA("XSR4",'suoirao (2016)'!$A$3,"MA_HT","DGT","MA_QH","DKV")</f>
        <v>0</v>
      </c>
      <c r="BA29" s="139">
        <f>+GETPIVOTDATA("XSR4",'suoirao (2016)'!$A$3,"MA_HT","DGT","MA_QH","TIN")</f>
        <v>0</v>
      </c>
      <c r="BB29" s="74">
        <f>+GETPIVOTDATA("XSR4",'suoirao (2016)'!$A$3,"MA_HT","DGT","MA_QH","SON")</f>
        <v>0</v>
      </c>
      <c r="BC29" s="74">
        <f>+GETPIVOTDATA("XSR4",'suoirao (2016)'!$A$3,"MA_HT","DGT","MA_QH","MNC")</f>
        <v>0</v>
      </c>
      <c r="BD29" s="74">
        <f>+GETPIVOTDATA("XSR4",'suoirao (2016)'!$A$3,"MA_HT","DGT","MA_QH","PNK")</f>
        <v>0</v>
      </c>
      <c r="BE29" s="102">
        <f>+GETPIVOTDATA("XSR4",'suoirao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+GETPIVOTDATA("XSR4",'suoirao (2016)'!$A$3,"MA_HT","DTL","MA_QH","LUC")</f>
        <v>0</v>
      </c>
      <c r="H30" s="74">
        <f>+GETPIVOTDATA("XSR4",'suoirao (2016)'!$A$3,"MA_HT","DTL","MA_QH","LUK")</f>
        <v>0</v>
      </c>
      <c r="I30" s="74">
        <f>+GETPIVOTDATA("XSR4",'suoirao (2016)'!$A$3,"MA_HT","DTL","MA_QH","LUN")</f>
        <v>0</v>
      </c>
      <c r="J30" s="74">
        <f>+GETPIVOTDATA("XSR4",'suoirao (2016)'!$A$3,"MA_HT","DTL","MA_QH","HNK")</f>
        <v>0</v>
      </c>
      <c r="K30" s="74">
        <f>+GETPIVOTDATA("XSR4",'suoirao (2016)'!$A$3,"MA_HT","DTL","MA_QH","CLN")</f>
        <v>0</v>
      </c>
      <c r="L30" s="74">
        <f>+GETPIVOTDATA("XSR4",'suoirao (2016)'!$A$3,"MA_HT","DTL","MA_QH","RSX")</f>
        <v>0</v>
      </c>
      <c r="M30" s="74">
        <f>+GETPIVOTDATA("XSR4",'suoirao (2016)'!$A$3,"MA_HT","DTL","MA_QH","RPH")</f>
        <v>0</v>
      </c>
      <c r="N30" s="74">
        <f>+GETPIVOTDATA("XSR4",'suoirao (2016)'!$A$3,"MA_HT","DTL","MA_QH","RDD")</f>
        <v>0</v>
      </c>
      <c r="O30" s="74">
        <f>+GETPIVOTDATA("XSR4",'suoirao (2016)'!$A$3,"MA_HT","DTL","MA_QH","NTS")</f>
        <v>0</v>
      </c>
      <c r="P30" s="74">
        <f>+GETPIVOTDATA("XSR4",'suoirao (2016)'!$A$3,"MA_HT","DTL","MA_QH","LMU")</f>
        <v>0</v>
      </c>
      <c r="Q30" s="74">
        <f>+GETPIVOTDATA("XSR4",'suoirao (2016)'!$A$3,"MA_HT","DTL","MA_QH","NKH")</f>
        <v>0</v>
      </c>
      <c r="R30" s="72">
        <f t="shared" ref="R30:R39" si="20">SUM(S30:AA30,AN30:BD30)</f>
        <v>0</v>
      </c>
      <c r="S30" s="74">
        <f>+GETPIVOTDATA("XSR4",'suoirao (2016)'!$A$3,"MA_HT","DTL","MA_QH","CQP")</f>
        <v>0</v>
      </c>
      <c r="T30" s="74">
        <f>+GETPIVOTDATA("XSR4",'suoirao (2016)'!$A$3,"MA_HT","DTL","MA_QH","CAN")</f>
        <v>0</v>
      </c>
      <c r="U30" s="74">
        <f>+GETPIVOTDATA("XSR4",'suoirao (2016)'!$A$3,"MA_HT","DTL","MA_QH","SKK")</f>
        <v>0</v>
      </c>
      <c r="V30" s="74">
        <f>+GETPIVOTDATA("XSR4",'suoirao (2016)'!$A$3,"MA_HT","DTL","MA_QH","SKT")</f>
        <v>0</v>
      </c>
      <c r="W30" s="74">
        <f>+GETPIVOTDATA("XSR4",'suoirao (2016)'!$A$3,"MA_HT","DTL","MA_QH","SKN")</f>
        <v>0</v>
      </c>
      <c r="X30" s="74">
        <f>+GETPIVOTDATA("XSR4",'suoirao (2016)'!$A$3,"MA_HT","DTL","MA_QH","TMD")</f>
        <v>0</v>
      </c>
      <c r="Y30" s="74">
        <f>+GETPIVOTDATA("XSR4",'suoirao (2016)'!$A$3,"MA_HT","DTL","MA_QH","SKC")</f>
        <v>0</v>
      </c>
      <c r="Z30" s="74">
        <f>+GETPIVOTDATA("XSR4",'suoirao (2016)'!$A$3,"MA_HT","DTL","MA_QH","SKS")</f>
        <v>0</v>
      </c>
      <c r="AA30" s="64">
        <f>+SUM(AB30,AD30:AM30)</f>
        <v>0</v>
      </c>
      <c r="AB30" s="74">
        <f>+GETPIVOTDATA("XSR4",'suoirao (2016)'!$A$3,"MA_HT","DTL","MA_QH","DGT")</f>
        <v>0</v>
      </c>
      <c r="AC30" s="100" t="e">
        <f>$D30-$BF30</f>
        <v>#REF!</v>
      </c>
      <c r="AD30" s="74">
        <f>+GETPIVOTDATA("XSR4",'suoirao (2016)'!$A$3,"MA_HT","DTL","MA_QH","DNL")</f>
        <v>0</v>
      </c>
      <c r="AE30" s="74">
        <f>+GETPIVOTDATA("XSR4",'suoirao (2016)'!$A$3,"MA_HT","DTL","MA_QH","DBV")</f>
        <v>0</v>
      </c>
      <c r="AF30" s="74">
        <f>+GETPIVOTDATA("XSR4",'suoirao (2016)'!$A$3,"MA_HT","DTL","MA_QH","DVH")</f>
        <v>0</v>
      </c>
      <c r="AG30" s="74">
        <f>+GETPIVOTDATA("XSR4",'suoirao (2016)'!$A$3,"MA_HT","DTL","MA_QH","DYT")</f>
        <v>0</v>
      </c>
      <c r="AH30" s="74">
        <f>+GETPIVOTDATA("XSR4",'suoirao (2016)'!$A$3,"MA_HT","DTL","MA_QH","DGD")</f>
        <v>0</v>
      </c>
      <c r="AI30" s="74">
        <f>+GETPIVOTDATA("XSR4",'suoirao (2016)'!$A$3,"MA_HT","DTL","MA_QH","DTT")</f>
        <v>0</v>
      </c>
      <c r="AJ30" s="74">
        <f>+GETPIVOTDATA("XSR4",'suoirao (2016)'!$A$3,"MA_HT","DTL","MA_QH","NCK")</f>
        <v>0</v>
      </c>
      <c r="AK30" s="74">
        <f>+GETPIVOTDATA("XSR4",'suoirao (2016)'!$A$3,"MA_HT","DTL","MA_QH","DXH")</f>
        <v>0</v>
      </c>
      <c r="AL30" s="74">
        <f>+GETPIVOTDATA("XSR4",'suoirao (2016)'!$A$3,"MA_HT","DTL","MA_QH","DCH")</f>
        <v>0</v>
      </c>
      <c r="AM30" s="74">
        <f>+GETPIVOTDATA("XSR4",'suoirao (2016)'!$A$3,"MA_HT","DTL","MA_QH","DKG")</f>
        <v>0</v>
      </c>
      <c r="AN30" s="74">
        <f>+GETPIVOTDATA("XSR4",'suoirao (2016)'!$A$3,"MA_HT","DTL","MA_QH","DDT")</f>
        <v>0</v>
      </c>
      <c r="AO30" s="74">
        <f>+GETPIVOTDATA("XSR4",'suoirao (2016)'!$A$3,"MA_HT","DTL","MA_QH","DDL")</f>
        <v>0</v>
      </c>
      <c r="AP30" s="74">
        <f>+GETPIVOTDATA("XSR4",'suoirao (2016)'!$A$3,"MA_HT","DTL","MA_QH","DRA")</f>
        <v>0</v>
      </c>
      <c r="AQ30" s="74">
        <f>+GETPIVOTDATA("XSR4",'suoirao (2016)'!$A$3,"MA_HT","DTL","MA_QH","ONT")</f>
        <v>0</v>
      </c>
      <c r="AR30" s="74">
        <f>+GETPIVOTDATA("XSR4",'suoirao (2016)'!$A$3,"MA_HT","DTL","MA_QH","ODT")</f>
        <v>0</v>
      </c>
      <c r="AS30" s="74">
        <f>+GETPIVOTDATA("XSR4",'suoirao (2016)'!$A$3,"MA_HT","DTL","MA_QH","TSC")</f>
        <v>0</v>
      </c>
      <c r="AT30" s="74">
        <f>+GETPIVOTDATA("XSR4",'suoirao (2016)'!$A$3,"MA_HT","DTL","MA_QH","DTS")</f>
        <v>0</v>
      </c>
      <c r="AU30" s="74">
        <f>+GETPIVOTDATA("XSR4",'suoirao (2016)'!$A$3,"MA_HT","DTL","MA_QH","DNG")</f>
        <v>0</v>
      </c>
      <c r="AV30" s="74">
        <f>+GETPIVOTDATA("XSR4",'suoirao (2016)'!$A$3,"MA_HT","DTL","MA_QH","TON")</f>
        <v>0</v>
      </c>
      <c r="AW30" s="74">
        <f>+GETPIVOTDATA("XSR4",'suoirao (2016)'!$A$3,"MA_HT","DTL","MA_QH","NTD")</f>
        <v>0</v>
      </c>
      <c r="AX30" s="74">
        <f>+GETPIVOTDATA("XSR4",'suoirao (2016)'!$A$3,"MA_HT","DTL","MA_QH","SKX")</f>
        <v>0</v>
      </c>
      <c r="AY30" s="74">
        <f>+GETPIVOTDATA("XSR4",'suoirao (2016)'!$A$3,"MA_HT","DTL","MA_QH","DSH")</f>
        <v>0</v>
      </c>
      <c r="AZ30" s="74">
        <f>+GETPIVOTDATA("XSR4",'suoirao (2016)'!$A$3,"MA_HT","DTL","MA_QH","DKV")</f>
        <v>0</v>
      </c>
      <c r="BA30" s="139">
        <f>+GETPIVOTDATA("XSR4",'suoirao (2016)'!$A$3,"MA_HT","DTL","MA_QH","TIN")</f>
        <v>0</v>
      </c>
      <c r="BB30" s="74">
        <f>+GETPIVOTDATA("XSR4",'suoirao (2016)'!$A$3,"MA_HT","DTL","MA_QH","SON")</f>
        <v>0</v>
      </c>
      <c r="BC30" s="74">
        <f>+GETPIVOTDATA("XSR4",'suoirao (2016)'!$A$3,"MA_HT","DTL","MA_QH","MNC")</f>
        <v>0</v>
      </c>
      <c r="BD30" s="74">
        <f>+GETPIVOTDATA("XSR4",'suoirao (2016)'!$A$3,"MA_HT","DTL","MA_QH","PNK")</f>
        <v>0</v>
      </c>
      <c r="BE30" s="102">
        <f>+GETPIVOTDATA("XSR4",'suoirao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+GETPIVOTDATA("XSR4",'suoirao (2016)'!$A$3,"MA_HT","DNL","MA_QH","LUC")</f>
        <v>0</v>
      </c>
      <c r="H31" s="74">
        <f>+GETPIVOTDATA("XSR4",'suoirao (2016)'!$A$3,"MA_HT","DNL","MA_QH","LUK")</f>
        <v>0</v>
      </c>
      <c r="I31" s="74">
        <f>+GETPIVOTDATA("XSR4",'suoirao (2016)'!$A$3,"MA_HT","DNL","MA_QH","LUN")</f>
        <v>0</v>
      </c>
      <c r="J31" s="74">
        <f>+GETPIVOTDATA("XSR4",'suoirao (2016)'!$A$3,"MA_HT","DNL","MA_QH","HNK")</f>
        <v>0</v>
      </c>
      <c r="K31" s="74">
        <f>+GETPIVOTDATA("XSR4",'suoirao (2016)'!$A$3,"MA_HT","DNL","MA_QH","CLN")</f>
        <v>0</v>
      </c>
      <c r="L31" s="74">
        <f>+GETPIVOTDATA("XSR4",'suoirao (2016)'!$A$3,"MA_HT","DNL","MA_QH","RSX")</f>
        <v>0</v>
      </c>
      <c r="M31" s="74">
        <f>+GETPIVOTDATA("XSR4",'suoirao (2016)'!$A$3,"MA_HT","DNL","MA_QH","RPH")</f>
        <v>0</v>
      </c>
      <c r="N31" s="74">
        <f>+GETPIVOTDATA("XSR4",'suoirao (2016)'!$A$3,"MA_HT","DNL","MA_QH","RDD")</f>
        <v>0</v>
      </c>
      <c r="O31" s="74">
        <f>+GETPIVOTDATA("XSR4",'suoirao (2016)'!$A$3,"MA_HT","DNL","MA_QH","NTS")</f>
        <v>0</v>
      </c>
      <c r="P31" s="74">
        <f>+GETPIVOTDATA("XSR4",'suoirao (2016)'!$A$3,"MA_HT","DNL","MA_QH","LMU")</f>
        <v>0</v>
      </c>
      <c r="Q31" s="74">
        <f>+GETPIVOTDATA("XSR4",'suoirao (2016)'!$A$3,"MA_HT","DNL","MA_QH","NKH")</f>
        <v>0</v>
      </c>
      <c r="R31" s="72">
        <f t="shared" si="20"/>
        <v>0</v>
      </c>
      <c r="S31" s="74">
        <f>+GETPIVOTDATA("XSR4",'suoirao (2016)'!$A$3,"MA_HT","DNL","MA_QH","CQP")</f>
        <v>0</v>
      </c>
      <c r="T31" s="74">
        <f>+GETPIVOTDATA("XSR4",'suoirao (2016)'!$A$3,"MA_HT","DNL","MA_QH","CAN")</f>
        <v>0</v>
      </c>
      <c r="U31" s="74">
        <f>+GETPIVOTDATA("XSR4",'suoirao (2016)'!$A$3,"MA_HT","DNL","MA_QH","SKK")</f>
        <v>0</v>
      </c>
      <c r="V31" s="74">
        <f>+GETPIVOTDATA("XSR4",'suoirao (2016)'!$A$3,"MA_HT","DNL","MA_QH","SKT")</f>
        <v>0</v>
      </c>
      <c r="W31" s="74">
        <f>+GETPIVOTDATA("XSR4",'suoirao (2016)'!$A$3,"MA_HT","DNL","MA_QH","SKN")</f>
        <v>0</v>
      </c>
      <c r="X31" s="74">
        <f>+GETPIVOTDATA("XSR4",'suoirao (2016)'!$A$3,"MA_HT","DNL","MA_QH","TMD")</f>
        <v>0</v>
      </c>
      <c r="Y31" s="74">
        <f>+GETPIVOTDATA("XSR4",'suoirao (2016)'!$A$3,"MA_HT","DNL","MA_QH","SKC")</f>
        <v>0</v>
      </c>
      <c r="Z31" s="74">
        <f>+GETPIVOTDATA("XSR4",'suoirao (2016)'!$A$3,"MA_HT","DNL","MA_QH","SKS")</f>
        <v>0</v>
      </c>
      <c r="AA31" s="64">
        <f>+SUM(AB31:AC31,AE31:AM31)</f>
        <v>0</v>
      </c>
      <c r="AB31" s="74">
        <f>+GETPIVOTDATA("XSR4",'suoirao (2016)'!$A$3,"MA_HT","DNL","MA_QH","DGT")</f>
        <v>0</v>
      </c>
      <c r="AC31" s="74">
        <f>+GETPIVOTDATA("XSR4",'suoirao (2016)'!$A$3,"MA_HT","DNL","MA_QH","DTL")</f>
        <v>0</v>
      </c>
      <c r="AD31" s="100" t="e">
        <f>$D31-$BF31</f>
        <v>#REF!</v>
      </c>
      <c r="AE31" s="74">
        <f>+GETPIVOTDATA("XSR4",'suoirao (2016)'!$A$3,"MA_HT","DNL","MA_QH","DBV")</f>
        <v>0</v>
      </c>
      <c r="AF31" s="74">
        <f>+GETPIVOTDATA("XSR4",'suoirao (2016)'!$A$3,"MA_HT","DNL","MA_QH","DVH")</f>
        <v>0</v>
      </c>
      <c r="AG31" s="74">
        <f>+GETPIVOTDATA("XSR4",'suoirao (2016)'!$A$3,"MA_HT","DNL","MA_QH","DYT")</f>
        <v>0</v>
      </c>
      <c r="AH31" s="74">
        <f>+GETPIVOTDATA("XSR4",'suoirao (2016)'!$A$3,"MA_HT","DNL","MA_QH","DGD")</f>
        <v>0</v>
      </c>
      <c r="AI31" s="74">
        <f>+GETPIVOTDATA("XSR4",'suoirao (2016)'!$A$3,"MA_HT","DNL","MA_QH","DTT")</f>
        <v>0</v>
      </c>
      <c r="AJ31" s="74">
        <f>+GETPIVOTDATA("XSR4",'suoirao (2016)'!$A$3,"MA_HT","DNL","MA_QH","NCK")</f>
        <v>0</v>
      </c>
      <c r="AK31" s="74">
        <f>+GETPIVOTDATA("XSR4",'suoirao (2016)'!$A$3,"MA_HT","DNL","MA_QH","DXH")</f>
        <v>0</v>
      </c>
      <c r="AL31" s="74">
        <f>+GETPIVOTDATA("XSR4",'suoirao (2016)'!$A$3,"MA_HT","DNL","MA_QH","DCH")</f>
        <v>0</v>
      </c>
      <c r="AM31" s="74">
        <f>+GETPIVOTDATA("XSR4",'suoirao (2016)'!$A$3,"MA_HT","DNL","MA_QH","DKG")</f>
        <v>0</v>
      </c>
      <c r="AN31" s="74">
        <f>+GETPIVOTDATA("XSR4",'suoirao (2016)'!$A$3,"MA_HT","DNL","MA_QH","DDT")</f>
        <v>0</v>
      </c>
      <c r="AO31" s="74">
        <f>+GETPIVOTDATA("XSR4",'suoirao (2016)'!$A$3,"MA_HT","DNL","MA_QH","DDL")</f>
        <v>0</v>
      </c>
      <c r="AP31" s="74">
        <f>+GETPIVOTDATA("XSR4",'suoirao (2016)'!$A$3,"MA_HT","DNL","MA_QH","DRA")</f>
        <v>0</v>
      </c>
      <c r="AQ31" s="74">
        <f>+GETPIVOTDATA("XSR4",'suoirao (2016)'!$A$3,"MA_HT","DNL","MA_QH","ONT")</f>
        <v>0</v>
      </c>
      <c r="AR31" s="74">
        <f>+GETPIVOTDATA("XSR4",'suoirao (2016)'!$A$3,"MA_HT","DNL","MA_QH","ODT")</f>
        <v>0</v>
      </c>
      <c r="AS31" s="74">
        <f>+GETPIVOTDATA("XSR4",'suoirao (2016)'!$A$3,"MA_HT","DNL","MA_QH","TSC")</f>
        <v>0</v>
      </c>
      <c r="AT31" s="74">
        <f>+GETPIVOTDATA("XSR4",'suoirao (2016)'!$A$3,"MA_HT","DNL","MA_QH","DTS")</f>
        <v>0</v>
      </c>
      <c r="AU31" s="74">
        <f>+GETPIVOTDATA("XSR4",'suoirao (2016)'!$A$3,"MA_HT","DNL","MA_QH","DNG")</f>
        <v>0</v>
      </c>
      <c r="AV31" s="74">
        <f>+GETPIVOTDATA("XSR4",'suoirao (2016)'!$A$3,"MA_HT","DNL","MA_QH","TON")</f>
        <v>0</v>
      </c>
      <c r="AW31" s="74">
        <f>+GETPIVOTDATA("XSR4",'suoirao (2016)'!$A$3,"MA_HT","DNL","MA_QH","NTD")</f>
        <v>0</v>
      </c>
      <c r="AX31" s="74">
        <f>+GETPIVOTDATA("XSR4",'suoirao (2016)'!$A$3,"MA_HT","DNL","MA_QH","SKX")</f>
        <v>0</v>
      </c>
      <c r="AY31" s="74">
        <f>+GETPIVOTDATA("XSR4",'suoirao (2016)'!$A$3,"MA_HT","DNL","MA_QH","DSH")</f>
        <v>0</v>
      </c>
      <c r="AZ31" s="74">
        <f>+GETPIVOTDATA("XSR4",'suoirao (2016)'!$A$3,"MA_HT","DNL","MA_QH","DKV")</f>
        <v>0</v>
      </c>
      <c r="BA31" s="139">
        <f>+GETPIVOTDATA("XSR4",'suoirao (2016)'!$A$3,"MA_HT","DNL","MA_QH","TIN")</f>
        <v>0</v>
      </c>
      <c r="BB31" s="74">
        <f>+GETPIVOTDATA("XSR4",'suoirao (2016)'!$A$3,"MA_HT","DNL","MA_QH","SON")</f>
        <v>0</v>
      </c>
      <c r="BC31" s="74">
        <f>+GETPIVOTDATA("XSR4",'suoirao (2016)'!$A$3,"MA_HT","DNL","MA_QH","MNC")</f>
        <v>0</v>
      </c>
      <c r="BD31" s="74">
        <f>+GETPIVOTDATA("XSR4",'suoirao (2016)'!$A$3,"MA_HT","DNL","MA_QH","PNK")</f>
        <v>0</v>
      </c>
      <c r="BE31" s="102">
        <f>+GETPIVOTDATA("XSR4",'suoirao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+GETPIVOTDATA("XSR4",'suoirao (2016)'!$A$3,"MA_HT","DBV","MA_QH","LUC")</f>
        <v>0</v>
      </c>
      <c r="H32" s="74">
        <f>+GETPIVOTDATA("XSR4",'suoirao (2016)'!$A$3,"MA_HT","DBV","MA_QH","LUK")</f>
        <v>0</v>
      </c>
      <c r="I32" s="74">
        <f>+GETPIVOTDATA("XSR4",'suoirao (2016)'!$A$3,"MA_HT","DBV","MA_QH","LUN")</f>
        <v>0</v>
      </c>
      <c r="J32" s="74">
        <f>+GETPIVOTDATA("XSR4",'suoirao (2016)'!$A$3,"MA_HT","DBV","MA_QH","HNK")</f>
        <v>0</v>
      </c>
      <c r="K32" s="74">
        <f>+GETPIVOTDATA("XSR4",'suoirao (2016)'!$A$3,"MA_HT","DBV","MA_QH","CLN")</f>
        <v>0</v>
      </c>
      <c r="L32" s="74">
        <f>+GETPIVOTDATA("XSR4",'suoirao (2016)'!$A$3,"MA_HT","DBV","MA_QH","RSX")</f>
        <v>0</v>
      </c>
      <c r="M32" s="74">
        <f>+GETPIVOTDATA("XSR4",'suoirao (2016)'!$A$3,"MA_HT","DBV","MA_QH","RPH")</f>
        <v>0</v>
      </c>
      <c r="N32" s="74">
        <f>+GETPIVOTDATA("XSR4",'suoirao (2016)'!$A$3,"MA_HT","DBV","MA_QH","RDD")</f>
        <v>0</v>
      </c>
      <c r="O32" s="74">
        <f>+GETPIVOTDATA("XSR4",'suoirao (2016)'!$A$3,"MA_HT","DBV","MA_QH","NTS")</f>
        <v>0</v>
      </c>
      <c r="P32" s="74">
        <f>+GETPIVOTDATA("XSR4",'suoirao (2016)'!$A$3,"MA_HT","DBV","MA_QH","LMU")</f>
        <v>0</v>
      </c>
      <c r="Q32" s="74">
        <f>+GETPIVOTDATA("XSR4",'suoirao (2016)'!$A$3,"MA_HT","DBV","MA_QH","NKH")</f>
        <v>0</v>
      </c>
      <c r="R32" s="72">
        <f t="shared" si="20"/>
        <v>0</v>
      </c>
      <c r="S32" s="74">
        <f>+GETPIVOTDATA("XSR4",'suoirao (2016)'!$A$3,"MA_HT","DBV","MA_QH","CQP")</f>
        <v>0</v>
      </c>
      <c r="T32" s="74">
        <f>+GETPIVOTDATA("XSR4",'suoirao (2016)'!$A$3,"MA_HT","DBV","MA_QH","CAN")</f>
        <v>0</v>
      </c>
      <c r="U32" s="74">
        <f>+GETPIVOTDATA("XSR4",'suoirao (2016)'!$A$3,"MA_HT","DBV","MA_QH","SKK")</f>
        <v>0</v>
      </c>
      <c r="V32" s="74">
        <f>+GETPIVOTDATA("XSR4",'suoirao (2016)'!$A$3,"MA_HT","DBV","MA_QH","SKT")</f>
        <v>0</v>
      </c>
      <c r="W32" s="74">
        <f>+GETPIVOTDATA("XSR4",'suoirao (2016)'!$A$3,"MA_HT","DBV","MA_QH","SKN")</f>
        <v>0</v>
      </c>
      <c r="X32" s="74">
        <f>+GETPIVOTDATA("XSR4",'suoirao (2016)'!$A$3,"MA_HT","DBV","MA_QH","TMD")</f>
        <v>0</v>
      </c>
      <c r="Y32" s="74">
        <f>+GETPIVOTDATA("XSR4",'suoirao (2016)'!$A$3,"MA_HT","DBV","MA_QH","SKC")</f>
        <v>0</v>
      </c>
      <c r="Z32" s="74">
        <f>+GETPIVOTDATA("XSR4",'suoirao (2016)'!$A$3,"MA_HT","DBV","MA_QH","SKS")</f>
        <v>0</v>
      </c>
      <c r="AA32" s="64">
        <f>+SUM(AB32:AD32,AF32:AM32)</f>
        <v>0</v>
      </c>
      <c r="AB32" s="74">
        <f>+GETPIVOTDATA("XSR4",'suoirao (2016)'!$A$3,"MA_HT","DBV","MA_QH","DGT")</f>
        <v>0</v>
      </c>
      <c r="AC32" s="74">
        <f>+GETPIVOTDATA("XSR4",'suoirao (2016)'!$A$3,"MA_HT","DBV","MA_QH","DTL")</f>
        <v>0</v>
      </c>
      <c r="AD32" s="74">
        <f>+GETPIVOTDATA("XSR4",'suoirao (2016)'!$A$3,"MA_HT","DBV","MA_QH","DNL")</f>
        <v>0</v>
      </c>
      <c r="AE32" s="100" t="e">
        <f>$D32-$BF32</f>
        <v>#REF!</v>
      </c>
      <c r="AF32" s="74">
        <f>+GETPIVOTDATA("XSR4",'suoirao (2016)'!$A$3,"MA_HT","DBV","MA_QH","DVH")</f>
        <v>0</v>
      </c>
      <c r="AG32" s="74">
        <f>+GETPIVOTDATA("XSR4",'suoirao (2016)'!$A$3,"MA_HT","DBV","MA_QH","DYT")</f>
        <v>0</v>
      </c>
      <c r="AH32" s="74">
        <f>+GETPIVOTDATA("XSR4",'suoirao (2016)'!$A$3,"MA_HT","DBV","MA_QH","DGD")</f>
        <v>0</v>
      </c>
      <c r="AI32" s="74">
        <f>+GETPIVOTDATA("XSR4",'suoirao (2016)'!$A$3,"MA_HT","DBV","MA_QH","DTT")</f>
        <v>0</v>
      </c>
      <c r="AJ32" s="74">
        <f>+GETPIVOTDATA("XSR4",'suoirao (2016)'!$A$3,"MA_HT","DBV","MA_QH","NCK")</f>
        <v>0</v>
      </c>
      <c r="AK32" s="74">
        <f>+GETPIVOTDATA("XSR4",'suoirao (2016)'!$A$3,"MA_HT","DBV","MA_QH","DXH")</f>
        <v>0</v>
      </c>
      <c r="AL32" s="74">
        <f>+GETPIVOTDATA("XSR4",'suoirao (2016)'!$A$3,"MA_HT","DBV","MA_QH","DCH")</f>
        <v>0</v>
      </c>
      <c r="AM32" s="74">
        <f>+GETPIVOTDATA("XSR4",'suoirao (2016)'!$A$3,"MA_HT","DBV","MA_QH","DKG")</f>
        <v>0</v>
      </c>
      <c r="AN32" s="74">
        <f>+GETPIVOTDATA("XSR4",'suoirao (2016)'!$A$3,"MA_HT","DBV","MA_QH","DDT")</f>
        <v>0</v>
      </c>
      <c r="AO32" s="74">
        <f>+GETPIVOTDATA("XSR4",'suoirao (2016)'!$A$3,"MA_HT","DBV","MA_QH","DDL")</f>
        <v>0</v>
      </c>
      <c r="AP32" s="74">
        <f>+GETPIVOTDATA("XSR4",'suoirao (2016)'!$A$3,"MA_HT","DBV","MA_QH","DRA")</f>
        <v>0</v>
      </c>
      <c r="AQ32" s="74">
        <f>+GETPIVOTDATA("XSR4",'suoirao (2016)'!$A$3,"MA_HT","DBV","MA_QH","ONT")</f>
        <v>0</v>
      </c>
      <c r="AR32" s="74">
        <f>+GETPIVOTDATA("XSR4",'suoirao (2016)'!$A$3,"MA_HT","DBV","MA_QH","ODT")</f>
        <v>0</v>
      </c>
      <c r="AS32" s="74">
        <f>+GETPIVOTDATA("XSR4",'suoirao (2016)'!$A$3,"MA_HT","DBV","MA_QH","TSC")</f>
        <v>0</v>
      </c>
      <c r="AT32" s="74">
        <f>+GETPIVOTDATA("XSR4",'suoirao (2016)'!$A$3,"MA_HT","DBV","MA_QH","DTS")</f>
        <v>0</v>
      </c>
      <c r="AU32" s="74">
        <f>+GETPIVOTDATA("XSR4",'suoirao (2016)'!$A$3,"MA_HT","DBV","MA_QH","DNG")</f>
        <v>0</v>
      </c>
      <c r="AV32" s="74">
        <f>+GETPIVOTDATA("XSR4",'suoirao (2016)'!$A$3,"MA_HT","DBV","MA_QH","TON")</f>
        <v>0</v>
      </c>
      <c r="AW32" s="74">
        <f>+GETPIVOTDATA("XSR4",'suoirao (2016)'!$A$3,"MA_HT","DBV","MA_QH","NTD")</f>
        <v>0</v>
      </c>
      <c r="AX32" s="74">
        <f>+GETPIVOTDATA("XSR4",'suoirao (2016)'!$A$3,"MA_HT","DBV","MA_QH","SKX")</f>
        <v>0</v>
      </c>
      <c r="AY32" s="74">
        <f>+GETPIVOTDATA("XSR4",'suoirao (2016)'!$A$3,"MA_HT","DBV","MA_QH","DSH")</f>
        <v>0</v>
      </c>
      <c r="AZ32" s="74">
        <f>+GETPIVOTDATA("XSR4",'suoirao (2016)'!$A$3,"MA_HT","DBV","MA_QH","DKV")</f>
        <v>0</v>
      </c>
      <c r="BA32" s="139">
        <f>+GETPIVOTDATA("XSR4",'suoirao (2016)'!$A$3,"MA_HT","DBV","MA_QH","TIN")</f>
        <v>0</v>
      </c>
      <c r="BB32" s="74">
        <f>+GETPIVOTDATA("XSR4",'suoirao (2016)'!$A$3,"MA_HT","DBV","MA_QH","SON")</f>
        <v>0</v>
      </c>
      <c r="BC32" s="74">
        <f>+GETPIVOTDATA("XSR4",'suoirao (2016)'!$A$3,"MA_HT","DBV","MA_QH","MNC")</f>
        <v>0</v>
      </c>
      <c r="BD32" s="74">
        <f>+GETPIVOTDATA("XSR4",'suoirao (2016)'!$A$3,"MA_HT","DBV","MA_QH","PNK")</f>
        <v>0</v>
      </c>
      <c r="BE32" s="102">
        <f>+GETPIVOTDATA("XSR4",'suoirao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+GETPIVOTDATA("XSR4",'suoirao (2016)'!$A$3,"MA_HT","DVH","MA_QH","LUC")</f>
        <v>0</v>
      </c>
      <c r="H33" s="74">
        <f>+GETPIVOTDATA("XSR4",'suoirao (2016)'!$A$3,"MA_HT","DVH","MA_QH","LUK")</f>
        <v>0</v>
      </c>
      <c r="I33" s="74">
        <f>+GETPIVOTDATA("XSR4",'suoirao (2016)'!$A$3,"MA_HT","DVH","MA_QH","LUN")</f>
        <v>0</v>
      </c>
      <c r="J33" s="74">
        <f>+GETPIVOTDATA("XSR4",'suoirao (2016)'!$A$3,"MA_HT","DVH","MA_QH","HNK")</f>
        <v>0</v>
      </c>
      <c r="K33" s="74">
        <f>+GETPIVOTDATA("XSR4",'suoirao (2016)'!$A$3,"MA_HT","DVH","MA_QH","CLN")</f>
        <v>0</v>
      </c>
      <c r="L33" s="74">
        <f>+GETPIVOTDATA("XSR4",'suoirao (2016)'!$A$3,"MA_HT","DVH","MA_QH","RSX")</f>
        <v>0</v>
      </c>
      <c r="M33" s="74">
        <f>+GETPIVOTDATA("XSR4",'suoirao (2016)'!$A$3,"MA_HT","DVH","MA_QH","RPH")</f>
        <v>0</v>
      </c>
      <c r="N33" s="74">
        <f>+GETPIVOTDATA("XSR4",'suoirao (2016)'!$A$3,"MA_HT","DVH","MA_QH","RDD")</f>
        <v>0</v>
      </c>
      <c r="O33" s="74">
        <f>+GETPIVOTDATA("XSR4",'suoirao (2016)'!$A$3,"MA_HT","DVH","MA_QH","NTS")</f>
        <v>0</v>
      </c>
      <c r="P33" s="74">
        <f>+GETPIVOTDATA("XSR4",'suoirao (2016)'!$A$3,"MA_HT","DVH","MA_QH","LMU")</f>
        <v>0</v>
      </c>
      <c r="Q33" s="74">
        <f>+GETPIVOTDATA("XSR4",'suoirao (2016)'!$A$3,"MA_HT","DVH","MA_QH","NKH")</f>
        <v>0</v>
      </c>
      <c r="R33" s="72">
        <f t="shared" si="20"/>
        <v>0</v>
      </c>
      <c r="S33" s="74">
        <f>+GETPIVOTDATA("XSR4",'suoirao (2016)'!$A$3,"MA_HT","DVH","MA_QH","CQP")</f>
        <v>0</v>
      </c>
      <c r="T33" s="74">
        <f>+GETPIVOTDATA("XSR4",'suoirao (2016)'!$A$3,"MA_HT","DVH","MA_QH","CAN")</f>
        <v>0</v>
      </c>
      <c r="U33" s="74">
        <f>+GETPIVOTDATA("XSR4",'suoirao (2016)'!$A$3,"MA_HT","DVH","MA_QH","SKK")</f>
        <v>0</v>
      </c>
      <c r="V33" s="74">
        <f>+GETPIVOTDATA("XSR4",'suoirao (2016)'!$A$3,"MA_HT","DVH","MA_QH","SKT")</f>
        <v>0</v>
      </c>
      <c r="W33" s="74">
        <f>+GETPIVOTDATA("XSR4",'suoirao (2016)'!$A$3,"MA_HT","DVH","MA_QH","SKN")</f>
        <v>0</v>
      </c>
      <c r="X33" s="74">
        <f>+GETPIVOTDATA("XSR4",'suoirao (2016)'!$A$3,"MA_HT","DVH","MA_QH","TMD")</f>
        <v>0</v>
      </c>
      <c r="Y33" s="74">
        <f>+GETPIVOTDATA("XSR4",'suoirao (2016)'!$A$3,"MA_HT","DVH","MA_QH","SKC")</f>
        <v>0</v>
      </c>
      <c r="Z33" s="74">
        <f>+GETPIVOTDATA("XSR4",'suoirao (2016)'!$A$3,"MA_HT","DVH","MA_QH","SKS")</f>
        <v>0</v>
      </c>
      <c r="AA33" s="64">
        <f>+SUM(AB33:AE33,AG33:AM33)</f>
        <v>0</v>
      </c>
      <c r="AB33" s="74">
        <f>+GETPIVOTDATA("XSR4",'suoirao (2016)'!$A$3,"MA_HT","DVH","MA_QH","DGT")</f>
        <v>0</v>
      </c>
      <c r="AC33" s="74">
        <f>+GETPIVOTDATA("XSR4",'suoirao (2016)'!$A$3,"MA_HT","DVH","MA_QH","DTL")</f>
        <v>0</v>
      </c>
      <c r="AD33" s="74">
        <f>+GETPIVOTDATA("XSR4",'suoirao (2016)'!$A$3,"MA_HT","DVH","MA_QH","DNL")</f>
        <v>0</v>
      </c>
      <c r="AE33" s="74">
        <f>+GETPIVOTDATA("XSR4",'suoirao (2016)'!$A$3,"MA_HT","DVH","MA_QH","DBV")</f>
        <v>0</v>
      </c>
      <c r="AF33" s="100" t="e">
        <f>$D33-$BF33</f>
        <v>#REF!</v>
      </c>
      <c r="AG33" s="74">
        <f>+GETPIVOTDATA("XSR4",'suoirao (2016)'!$A$3,"MA_HT","DVH","MA_QH","DYT")</f>
        <v>0</v>
      </c>
      <c r="AH33" s="74">
        <f>+GETPIVOTDATA("XSR4",'suoirao (2016)'!$A$3,"MA_HT","DVH","MA_QH","DGD")</f>
        <v>0</v>
      </c>
      <c r="AI33" s="74">
        <f>+GETPIVOTDATA("XSR4",'suoirao (2016)'!$A$3,"MA_HT","DVH","MA_QH","DTT")</f>
        <v>0</v>
      </c>
      <c r="AJ33" s="74">
        <f>+GETPIVOTDATA("XSR4",'suoirao (2016)'!$A$3,"MA_HT","DVH","MA_QH","NCK")</f>
        <v>0</v>
      </c>
      <c r="AK33" s="74">
        <f>+GETPIVOTDATA("XSR4",'suoirao (2016)'!$A$3,"MA_HT","DVH","MA_QH","DXH")</f>
        <v>0</v>
      </c>
      <c r="AL33" s="74">
        <f>+GETPIVOTDATA("XSR4",'suoirao (2016)'!$A$3,"MA_HT","DVH","MA_QH","DCH")</f>
        <v>0</v>
      </c>
      <c r="AM33" s="74">
        <f>+GETPIVOTDATA("XSR4",'suoirao (2016)'!$A$3,"MA_HT","DVH","MA_QH","DKG")</f>
        <v>0</v>
      </c>
      <c r="AN33" s="74">
        <f>+GETPIVOTDATA("XSR4",'suoirao (2016)'!$A$3,"MA_HT","DVH","MA_QH","DDT")</f>
        <v>0</v>
      </c>
      <c r="AO33" s="74">
        <f>+GETPIVOTDATA("XSR4",'suoirao (2016)'!$A$3,"MA_HT","DVH","MA_QH","DDL")</f>
        <v>0</v>
      </c>
      <c r="AP33" s="74">
        <f>+GETPIVOTDATA("XSR4",'suoirao (2016)'!$A$3,"MA_HT","DVH","MA_QH","DRA")</f>
        <v>0</v>
      </c>
      <c r="AQ33" s="74">
        <f>+GETPIVOTDATA("XSR4",'suoirao (2016)'!$A$3,"MA_HT","DVH","MA_QH","ONT")</f>
        <v>0</v>
      </c>
      <c r="AR33" s="74">
        <f>+GETPIVOTDATA("XSR4",'suoirao (2016)'!$A$3,"MA_HT","DVH","MA_QH","ODT")</f>
        <v>0</v>
      </c>
      <c r="AS33" s="74">
        <f>+GETPIVOTDATA("XSR4",'suoirao (2016)'!$A$3,"MA_HT","DVH","MA_QH","TSC")</f>
        <v>0</v>
      </c>
      <c r="AT33" s="74">
        <f>+GETPIVOTDATA("XSR4",'suoirao (2016)'!$A$3,"MA_HT","DVH","MA_QH","DTS")</f>
        <v>0</v>
      </c>
      <c r="AU33" s="74">
        <f>+GETPIVOTDATA("XSR4",'suoirao (2016)'!$A$3,"MA_HT","DVH","MA_QH","DNG")</f>
        <v>0</v>
      </c>
      <c r="AV33" s="74">
        <f>+GETPIVOTDATA("XSR4",'suoirao (2016)'!$A$3,"MA_HT","DVH","MA_QH","TON")</f>
        <v>0</v>
      </c>
      <c r="AW33" s="74">
        <f>+GETPIVOTDATA("XSR4",'suoirao (2016)'!$A$3,"MA_HT","DVH","MA_QH","NTD")</f>
        <v>0</v>
      </c>
      <c r="AX33" s="74">
        <f>+GETPIVOTDATA("XSR4",'suoirao (2016)'!$A$3,"MA_HT","DVH","MA_QH","SKX")</f>
        <v>0</v>
      </c>
      <c r="AY33" s="74">
        <f>+GETPIVOTDATA("XSR4",'suoirao (2016)'!$A$3,"MA_HT","DVH","MA_QH","DSH")</f>
        <v>0</v>
      </c>
      <c r="AZ33" s="74">
        <f>+GETPIVOTDATA("XSR4",'suoirao (2016)'!$A$3,"MA_HT","DVH","MA_QH","DKV")</f>
        <v>0</v>
      </c>
      <c r="BA33" s="139">
        <f>+GETPIVOTDATA("XSR4",'suoirao (2016)'!$A$3,"MA_HT","DVH","MA_QH","TIN")</f>
        <v>0</v>
      </c>
      <c r="BB33" s="74">
        <f>+GETPIVOTDATA("XSR4",'suoirao (2016)'!$A$3,"MA_HT","DVH","MA_QH","SON")</f>
        <v>0</v>
      </c>
      <c r="BC33" s="74">
        <f>+GETPIVOTDATA("XSR4",'suoirao (2016)'!$A$3,"MA_HT","DVH","MA_QH","MNC")</f>
        <v>0</v>
      </c>
      <c r="BD33" s="74">
        <f>+GETPIVOTDATA("XSR4",'suoirao (2016)'!$A$3,"MA_HT","DVH","MA_QH","PNK")</f>
        <v>0</v>
      </c>
      <c r="BE33" s="102">
        <f>+GETPIVOTDATA("XSR4",'suoirao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+GETPIVOTDATA("XSR4",'suoirao (2016)'!$A$3,"MA_HT","DYT","MA_QH","LUC")</f>
        <v>0</v>
      </c>
      <c r="H34" s="74">
        <f>+GETPIVOTDATA("XSR4",'suoirao (2016)'!$A$3,"MA_HT","DYT","MA_QH","LUK")</f>
        <v>0</v>
      </c>
      <c r="I34" s="74">
        <f>+GETPIVOTDATA("XSR4",'suoirao (2016)'!$A$3,"MA_HT","DYT","MA_QH","LUN")</f>
        <v>0</v>
      </c>
      <c r="J34" s="74">
        <f>+GETPIVOTDATA("XSR4",'suoirao (2016)'!$A$3,"MA_HT","DYT","MA_QH","HNK")</f>
        <v>0</v>
      </c>
      <c r="K34" s="74">
        <f>+GETPIVOTDATA("XSR4",'suoirao (2016)'!$A$3,"MA_HT","DYT","MA_QH","CLN")</f>
        <v>0</v>
      </c>
      <c r="L34" s="74">
        <f>+GETPIVOTDATA("XSR4",'suoirao (2016)'!$A$3,"MA_HT","DYT","MA_QH","RSX")</f>
        <v>0</v>
      </c>
      <c r="M34" s="74">
        <f>+GETPIVOTDATA("XSR4",'suoirao (2016)'!$A$3,"MA_HT","DYT","MA_QH","RPH")</f>
        <v>0</v>
      </c>
      <c r="N34" s="74">
        <f>+GETPIVOTDATA("XSR4",'suoirao (2016)'!$A$3,"MA_HT","DYT","MA_QH","RDD")</f>
        <v>0</v>
      </c>
      <c r="O34" s="74">
        <f>+GETPIVOTDATA("XSR4",'suoirao (2016)'!$A$3,"MA_HT","DYT","MA_QH","NTS")</f>
        <v>0</v>
      </c>
      <c r="P34" s="74">
        <f>+GETPIVOTDATA("XSR4",'suoirao (2016)'!$A$3,"MA_HT","DYT","MA_QH","LMU")</f>
        <v>0</v>
      </c>
      <c r="Q34" s="74">
        <f>+GETPIVOTDATA("XSR4",'suoirao (2016)'!$A$3,"MA_HT","DYT","MA_QH","NKH")</f>
        <v>0</v>
      </c>
      <c r="R34" s="72">
        <f t="shared" si="20"/>
        <v>0</v>
      </c>
      <c r="S34" s="74">
        <f>+GETPIVOTDATA("XSR4",'suoirao (2016)'!$A$3,"MA_HT","DYT","MA_QH","CQP")</f>
        <v>0</v>
      </c>
      <c r="T34" s="74">
        <f>+GETPIVOTDATA("XSR4",'suoirao (2016)'!$A$3,"MA_HT","DYT","MA_QH","CAN")</f>
        <v>0</v>
      </c>
      <c r="U34" s="74">
        <f>+GETPIVOTDATA("XSR4",'suoirao (2016)'!$A$3,"MA_HT","DYT","MA_QH","SKK")</f>
        <v>0</v>
      </c>
      <c r="V34" s="74">
        <f>+GETPIVOTDATA("XSR4",'suoirao (2016)'!$A$3,"MA_HT","DYT","MA_QH","SKT")</f>
        <v>0</v>
      </c>
      <c r="W34" s="74">
        <f>+GETPIVOTDATA("XSR4",'suoirao (2016)'!$A$3,"MA_HT","DYT","MA_QH","SKN")</f>
        <v>0</v>
      </c>
      <c r="X34" s="74">
        <f>+GETPIVOTDATA("XSR4",'suoirao (2016)'!$A$3,"MA_HT","DYT","MA_QH","TMD")</f>
        <v>0</v>
      </c>
      <c r="Y34" s="74">
        <f>+GETPIVOTDATA("XSR4",'suoirao (2016)'!$A$3,"MA_HT","DYT","MA_QH","SKC")</f>
        <v>0</v>
      </c>
      <c r="Z34" s="74">
        <f>+GETPIVOTDATA("XSR4",'suoirao (2016)'!$A$3,"MA_HT","DYT","MA_QH","SKS")</f>
        <v>0</v>
      </c>
      <c r="AA34" s="64">
        <f>+SUM(AB34:AF34,AH34:AM34)</f>
        <v>0</v>
      </c>
      <c r="AB34" s="74">
        <f>+GETPIVOTDATA("XSR4",'suoirao (2016)'!$A$3,"MA_HT","DYT","MA_QH","DGT")</f>
        <v>0</v>
      </c>
      <c r="AC34" s="74">
        <f>+GETPIVOTDATA("XSR4",'suoirao (2016)'!$A$3,"MA_HT","DYT","MA_QH","DTL")</f>
        <v>0</v>
      </c>
      <c r="AD34" s="74">
        <f>+GETPIVOTDATA("XSR4",'suoirao (2016)'!$A$3,"MA_HT","DYT","MA_QH","DNL")</f>
        <v>0</v>
      </c>
      <c r="AE34" s="74">
        <f>+GETPIVOTDATA("XSR4",'suoirao (2016)'!$A$3,"MA_HT","DYT","MA_QH","DBV")</f>
        <v>0</v>
      </c>
      <c r="AF34" s="74">
        <f>+GETPIVOTDATA("XSR4",'suoirao (2016)'!$A$3,"MA_HT","DYT","MA_QH","DVH")</f>
        <v>0</v>
      </c>
      <c r="AG34" s="100" t="e">
        <f>$D34-$BF34</f>
        <v>#REF!</v>
      </c>
      <c r="AH34" s="74">
        <f>+GETPIVOTDATA("XSR4",'suoirao (2016)'!$A$3,"MA_HT","DYT","MA_QH","DGD")</f>
        <v>0</v>
      </c>
      <c r="AI34" s="74">
        <f>+GETPIVOTDATA("XSR4",'suoirao (2016)'!$A$3,"MA_HT","DYT","MA_QH","DTT")</f>
        <v>0</v>
      </c>
      <c r="AJ34" s="74">
        <f>+GETPIVOTDATA("XSR4",'suoirao (2016)'!$A$3,"MA_HT","DYT","MA_QH","NCK")</f>
        <v>0</v>
      </c>
      <c r="AK34" s="74">
        <f>+GETPIVOTDATA("XSR4",'suoirao (2016)'!$A$3,"MA_HT","DYT","MA_QH","DXH")</f>
        <v>0</v>
      </c>
      <c r="AL34" s="74">
        <f>+GETPIVOTDATA("XSR4",'suoirao (2016)'!$A$3,"MA_HT","DYT","MA_QH","DCH")</f>
        <v>0</v>
      </c>
      <c r="AM34" s="74">
        <f>+GETPIVOTDATA("XSR4",'suoirao (2016)'!$A$3,"MA_HT","DYT","MA_QH","DKG")</f>
        <v>0</v>
      </c>
      <c r="AN34" s="74">
        <f>+GETPIVOTDATA("XSR4",'suoirao (2016)'!$A$3,"MA_HT","DYT","MA_QH","DDT")</f>
        <v>0</v>
      </c>
      <c r="AO34" s="74">
        <f>+GETPIVOTDATA("XSR4",'suoirao (2016)'!$A$3,"MA_HT","DYT","MA_QH","DDL")</f>
        <v>0</v>
      </c>
      <c r="AP34" s="74">
        <f>+GETPIVOTDATA("XSR4",'suoirao (2016)'!$A$3,"MA_HT","DYT","MA_QH","DRA")</f>
        <v>0</v>
      </c>
      <c r="AQ34" s="74">
        <f>+GETPIVOTDATA("XSR4",'suoirao (2016)'!$A$3,"MA_HT","DYT","MA_QH","ONT")</f>
        <v>0</v>
      </c>
      <c r="AR34" s="74">
        <f>+GETPIVOTDATA("XSR4",'suoirao (2016)'!$A$3,"MA_HT","DYT","MA_QH","ODT")</f>
        <v>0</v>
      </c>
      <c r="AS34" s="74">
        <f>+GETPIVOTDATA("XSR4",'suoirao (2016)'!$A$3,"MA_HT","DYT","MA_QH","TSC")</f>
        <v>0</v>
      </c>
      <c r="AT34" s="74">
        <f>+GETPIVOTDATA("XSR4",'suoirao (2016)'!$A$3,"MA_HT","DYT","MA_QH","DTS")</f>
        <v>0</v>
      </c>
      <c r="AU34" s="74">
        <f>+GETPIVOTDATA("XSR4",'suoirao (2016)'!$A$3,"MA_HT","DYT","MA_QH","DNG")</f>
        <v>0</v>
      </c>
      <c r="AV34" s="74">
        <f>+GETPIVOTDATA("XSR4",'suoirao (2016)'!$A$3,"MA_HT","DYT","MA_QH","TON")</f>
        <v>0</v>
      </c>
      <c r="AW34" s="74">
        <f>+GETPIVOTDATA("XSR4",'suoirao (2016)'!$A$3,"MA_HT","DYT","MA_QH","NTD")</f>
        <v>0</v>
      </c>
      <c r="AX34" s="74">
        <f>+GETPIVOTDATA("XSR4",'suoirao (2016)'!$A$3,"MA_HT","DYT","MA_QH","SKX")</f>
        <v>0</v>
      </c>
      <c r="AY34" s="74">
        <f>+GETPIVOTDATA("XSR4",'suoirao (2016)'!$A$3,"MA_HT","DYT","MA_QH","DSH")</f>
        <v>0</v>
      </c>
      <c r="AZ34" s="74">
        <f>+GETPIVOTDATA("XSR4",'suoirao (2016)'!$A$3,"MA_HT","DYT","MA_QH","DKV")</f>
        <v>0</v>
      </c>
      <c r="BA34" s="139">
        <f>+GETPIVOTDATA("XSR4",'suoirao (2016)'!$A$3,"MA_HT","DYT","MA_QH","TIN")</f>
        <v>0</v>
      </c>
      <c r="BB34" s="74">
        <f>+GETPIVOTDATA("XSR4",'suoirao (2016)'!$A$3,"MA_HT","DYT","MA_QH","SON")</f>
        <v>0</v>
      </c>
      <c r="BC34" s="74">
        <f>+GETPIVOTDATA("XSR4",'suoirao (2016)'!$A$3,"MA_HT","DYT","MA_QH","MNC")</f>
        <v>0</v>
      </c>
      <c r="BD34" s="74">
        <f>+GETPIVOTDATA("XSR4",'suoirao (2016)'!$A$3,"MA_HT","DYT","MA_QH","PNK")</f>
        <v>0</v>
      </c>
      <c r="BE34" s="102">
        <f>+GETPIVOTDATA("XSR4",'suoirao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+GETPIVOTDATA("XSR4",'suoirao (2016)'!$A$3,"MA_HT","DGD","MA_QH","LUC")</f>
        <v>0</v>
      </c>
      <c r="H35" s="74">
        <f>+GETPIVOTDATA("XSR4",'suoirao (2016)'!$A$3,"MA_HT","DGD","MA_QH","LUK")</f>
        <v>0</v>
      </c>
      <c r="I35" s="74">
        <f>+GETPIVOTDATA("XSR4",'suoirao (2016)'!$A$3,"MA_HT","DGD","MA_QH","LUN")</f>
        <v>0</v>
      </c>
      <c r="J35" s="74">
        <f>+GETPIVOTDATA("XSR4",'suoirao (2016)'!$A$3,"MA_HT","DGD","MA_QH","HNK")</f>
        <v>0</v>
      </c>
      <c r="K35" s="74">
        <f>+GETPIVOTDATA("XSR4",'suoirao (2016)'!$A$3,"MA_HT","DGD","MA_QH","CLN")</f>
        <v>0</v>
      </c>
      <c r="L35" s="74">
        <f>+GETPIVOTDATA("XSR4",'suoirao (2016)'!$A$3,"MA_HT","DGD","MA_QH","RSX")</f>
        <v>0</v>
      </c>
      <c r="M35" s="74">
        <f>+GETPIVOTDATA("XSR4",'suoirao (2016)'!$A$3,"MA_HT","DGD","MA_QH","RPH")</f>
        <v>0</v>
      </c>
      <c r="N35" s="74">
        <f>+GETPIVOTDATA("XSR4",'suoirao (2016)'!$A$3,"MA_HT","DGD","MA_QH","RDD")</f>
        <v>0</v>
      </c>
      <c r="O35" s="74">
        <f>+GETPIVOTDATA("XSR4",'suoirao (2016)'!$A$3,"MA_HT","DGD","MA_QH","NTS")</f>
        <v>0</v>
      </c>
      <c r="P35" s="74">
        <f>+GETPIVOTDATA("XSR4",'suoirao (2016)'!$A$3,"MA_HT","DGD","MA_QH","LMU")</f>
        <v>0</v>
      </c>
      <c r="Q35" s="74">
        <f>+GETPIVOTDATA("XSR4",'suoirao (2016)'!$A$3,"MA_HT","DGD","MA_QH","NKH")</f>
        <v>0</v>
      </c>
      <c r="R35" s="72">
        <f t="shared" si="20"/>
        <v>0</v>
      </c>
      <c r="S35" s="74">
        <f>+GETPIVOTDATA("XSR4",'suoirao (2016)'!$A$3,"MA_HT","DGD","MA_QH","CQP")</f>
        <v>0</v>
      </c>
      <c r="T35" s="74">
        <f>+GETPIVOTDATA("XSR4",'suoirao (2016)'!$A$3,"MA_HT","DGD","MA_QH","CAN")</f>
        <v>0</v>
      </c>
      <c r="U35" s="74">
        <f>+GETPIVOTDATA("XSR4",'suoirao (2016)'!$A$3,"MA_HT","DGD","MA_QH","SKK")</f>
        <v>0</v>
      </c>
      <c r="V35" s="74">
        <f>+GETPIVOTDATA("XSR4",'suoirao (2016)'!$A$3,"MA_HT","DGD","MA_QH","SKT")</f>
        <v>0</v>
      </c>
      <c r="W35" s="74">
        <f>+GETPIVOTDATA("XSR4",'suoirao (2016)'!$A$3,"MA_HT","DGD","MA_QH","SKN")</f>
        <v>0</v>
      </c>
      <c r="X35" s="74">
        <f>+GETPIVOTDATA("XSR4",'suoirao (2016)'!$A$3,"MA_HT","DGD","MA_QH","TMD")</f>
        <v>0</v>
      </c>
      <c r="Y35" s="74">
        <f>+GETPIVOTDATA("XSR4",'suoirao (2016)'!$A$3,"MA_HT","DGD","MA_QH","SKC")</f>
        <v>0</v>
      </c>
      <c r="Z35" s="74">
        <f>+GETPIVOTDATA("XSR4",'suoirao (2016)'!$A$3,"MA_HT","DGD","MA_QH","SKS")</f>
        <v>0</v>
      </c>
      <c r="AA35" s="64">
        <f>+SUM(AB35:AG35,AI35:AM35)</f>
        <v>0</v>
      </c>
      <c r="AB35" s="74">
        <f>+GETPIVOTDATA("XSR4",'suoirao (2016)'!$A$3,"MA_HT","DGD","MA_QH","DGT")</f>
        <v>0</v>
      </c>
      <c r="AC35" s="74">
        <f>+GETPIVOTDATA("XSR4",'suoirao (2016)'!$A$3,"MA_HT","DGD","MA_QH","DTL")</f>
        <v>0</v>
      </c>
      <c r="AD35" s="74">
        <f>+GETPIVOTDATA("XSR4",'suoirao (2016)'!$A$3,"MA_HT","DGD","MA_QH","DNL")</f>
        <v>0</v>
      </c>
      <c r="AE35" s="74">
        <f>+GETPIVOTDATA("XSR4",'suoirao (2016)'!$A$3,"MA_HT","DGD","MA_QH","DBV")</f>
        <v>0</v>
      </c>
      <c r="AF35" s="74">
        <f>+GETPIVOTDATA("XSR4",'suoirao (2016)'!$A$3,"MA_HT","DGD","MA_QH","DVH")</f>
        <v>0</v>
      </c>
      <c r="AG35" s="74">
        <f>+GETPIVOTDATA("XSR4",'suoirao (2016)'!$A$3,"MA_HT","DGD","MA_QH","DYT")</f>
        <v>0</v>
      </c>
      <c r="AH35" s="100" t="e">
        <f>$D35-$BF35</f>
        <v>#REF!</v>
      </c>
      <c r="AI35" s="74">
        <f>+GETPIVOTDATA("XSR4",'suoirao (2016)'!$A$3,"MA_HT","DGD","MA_QH","DTT")</f>
        <v>0</v>
      </c>
      <c r="AJ35" s="74">
        <f>+GETPIVOTDATA("XSR4",'suoirao (2016)'!$A$3,"MA_HT","DGD","MA_QH","NCK")</f>
        <v>0</v>
      </c>
      <c r="AK35" s="74">
        <f>+GETPIVOTDATA("XSR4",'suoirao (2016)'!$A$3,"MA_HT","DGD","MA_QH","DXH")</f>
        <v>0</v>
      </c>
      <c r="AL35" s="74">
        <f>+GETPIVOTDATA("XSR4",'suoirao (2016)'!$A$3,"MA_HT","DGD","MA_QH","DCH")</f>
        <v>0</v>
      </c>
      <c r="AM35" s="74">
        <f>+GETPIVOTDATA("XSR4",'suoirao (2016)'!$A$3,"MA_HT","DGD","MA_QH","DKG")</f>
        <v>0</v>
      </c>
      <c r="AN35" s="74">
        <f>+GETPIVOTDATA("XSR4",'suoirao (2016)'!$A$3,"MA_HT","DGD","MA_QH","DDT")</f>
        <v>0</v>
      </c>
      <c r="AO35" s="74">
        <f>+GETPIVOTDATA("XSR4",'suoirao (2016)'!$A$3,"MA_HT","DGD","MA_QH","DDL")</f>
        <v>0</v>
      </c>
      <c r="AP35" s="74">
        <f>+GETPIVOTDATA("XSR4",'suoirao (2016)'!$A$3,"MA_HT","DGD","MA_QH","DRA")</f>
        <v>0</v>
      </c>
      <c r="AQ35" s="74">
        <f>+GETPIVOTDATA("XSR4",'suoirao (2016)'!$A$3,"MA_HT","DGD","MA_QH","ONT")</f>
        <v>0</v>
      </c>
      <c r="AR35" s="74">
        <f>+GETPIVOTDATA("XSR4",'suoirao (2016)'!$A$3,"MA_HT","DGD","MA_QH","ODT")</f>
        <v>0</v>
      </c>
      <c r="AS35" s="74">
        <f>+GETPIVOTDATA("XSR4",'suoirao (2016)'!$A$3,"MA_HT","DGD","MA_QH","TSC")</f>
        <v>0</v>
      </c>
      <c r="AT35" s="74">
        <f>+GETPIVOTDATA("XSR4",'suoirao (2016)'!$A$3,"MA_HT","DGD","MA_QH","DTS")</f>
        <v>0</v>
      </c>
      <c r="AU35" s="74">
        <f>+GETPIVOTDATA("XSR4",'suoirao (2016)'!$A$3,"MA_HT","DGD","MA_QH","DNG")</f>
        <v>0</v>
      </c>
      <c r="AV35" s="74">
        <f>+GETPIVOTDATA("XSR4",'suoirao (2016)'!$A$3,"MA_HT","DGD","MA_QH","TON")</f>
        <v>0</v>
      </c>
      <c r="AW35" s="74">
        <f>+GETPIVOTDATA("XSR4",'suoirao (2016)'!$A$3,"MA_HT","DGD","MA_QH","NTD")</f>
        <v>0</v>
      </c>
      <c r="AX35" s="74">
        <f>+GETPIVOTDATA("XSR4",'suoirao (2016)'!$A$3,"MA_HT","DGD","MA_QH","SKX")</f>
        <v>0</v>
      </c>
      <c r="AY35" s="74">
        <f>+GETPIVOTDATA("XSR4",'suoirao (2016)'!$A$3,"MA_HT","DGD","MA_QH","DSH")</f>
        <v>0</v>
      </c>
      <c r="AZ35" s="74">
        <f>+GETPIVOTDATA("XSR4",'suoirao (2016)'!$A$3,"MA_HT","DGD","MA_QH","DKV")</f>
        <v>0</v>
      </c>
      <c r="BA35" s="139">
        <f>+GETPIVOTDATA("XSR4",'suoirao (2016)'!$A$3,"MA_HT","DGD","MA_QH","TIN")</f>
        <v>0</v>
      </c>
      <c r="BB35" s="74">
        <f>+GETPIVOTDATA("XSR4",'suoirao (2016)'!$A$3,"MA_HT","DGD","MA_QH","SON")</f>
        <v>0</v>
      </c>
      <c r="BC35" s="74">
        <f>+GETPIVOTDATA("XSR4",'suoirao (2016)'!$A$3,"MA_HT","DGD","MA_QH","MNC")</f>
        <v>0</v>
      </c>
      <c r="BD35" s="74">
        <f>+GETPIVOTDATA("XSR4",'suoirao (2016)'!$A$3,"MA_HT","DGD","MA_QH","PNK")</f>
        <v>0</v>
      </c>
      <c r="BE35" s="102">
        <f>+GETPIVOTDATA("XSR4",'suoirao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+GETPIVOTDATA("XSR4",'suoirao (2016)'!$A$3,"MA_HT","DTT","MA_QH","LUC")</f>
        <v>0</v>
      </c>
      <c r="H36" s="74">
        <f>+GETPIVOTDATA("XSR4",'suoirao (2016)'!$A$3,"MA_HT","DTT","MA_QH","LUK")</f>
        <v>0</v>
      </c>
      <c r="I36" s="74">
        <f>+GETPIVOTDATA("XSR4",'suoirao (2016)'!$A$3,"MA_HT","DTT","MA_QH","LUN")</f>
        <v>0</v>
      </c>
      <c r="J36" s="74">
        <f>+GETPIVOTDATA("XSR4",'suoirao (2016)'!$A$3,"MA_HT","DTT","MA_QH","HNK")</f>
        <v>0</v>
      </c>
      <c r="K36" s="74">
        <f>+GETPIVOTDATA("XSR4",'suoirao (2016)'!$A$3,"MA_HT","DTT","MA_QH","CLN")</f>
        <v>0</v>
      </c>
      <c r="L36" s="74">
        <f>+GETPIVOTDATA("XSR4",'suoirao (2016)'!$A$3,"MA_HT","DTT","MA_QH","RSX")</f>
        <v>0</v>
      </c>
      <c r="M36" s="74">
        <f>+GETPIVOTDATA("XSR4",'suoirao (2016)'!$A$3,"MA_HT","DTT","MA_QH","RPH")</f>
        <v>0</v>
      </c>
      <c r="N36" s="74">
        <f>+GETPIVOTDATA("XSR4",'suoirao (2016)'!$A$3,"MA_HT","DTT","MA_QH","RDD")</f>
        <v>0</v>
      </c>
      <c r="O36" s="74">
        <f>+GETPIVOTDATA("XSR4",'suoirao (2016)'!$A$3,"MA_HT","DTT","MA_QH","NTS")</f>
        <v>0</v>
      </c>
      <c r="P36" s="74">
        <f>+GETPIVOTDATA("XSR4",'suoirao (2016)'!$A$3,"MA_HT","DTT","MA_QH","LMU")</f>
        <v>0</v>
      </c>
      <c r="Q36" s="74">
        <f>+GETPIVOTDATA("XSR4",'suoirao (2016)'!$A$3,"MA_HT","DTT","MA_QH","NKH")</f>
        <v>0</v>
      </c>
      <c r="R36" s="72">
        <f>SUM(S36:AA36,AN36:BD36)</f>
        <v>0</v>
      </c>
      <c r="S36" s="74">
        <f>+GETPIVOTDATA("XSR4",'suoirao (2016)'!$A$3,"MA_HT","DTT","MA_QH","CQP")</f>
        <v>0</v>
      </c>
      <c r="T36" s="74">
        <f>+GETPIVOTDATA("XSR4",'suoirao (2016)'!$A$3,"MA_HT","DTT","MA_QH","CAN")</f>
        <v>0</v>
      </c>
      <c r="U36" s="74">
        <f>+GETPIVOTDATA("XSR4",'suoirao (2016)'!$A$3,"MA_HT","DTT","MA_QH","SKK")</f>
        <v>0</v>
      </c>
      <c r="V36" s="74">
        <f>+GETPIVOTDATA("XSR4",'suoirao (2016)'!$A$3,"MA_HT","DTT","MA_QH","SKT")</f>
        <v>0</v>
      </c>
      <c r="W36" s="74">
        <f>+GETPIVOTDATA("XSR4",'suoirao (2016)'!$A$3,"MA_HT","DTT","MA_QH","SKN")</f>
        <v>0</v>
      </c>
      <c r="X36" s="74">
        <f>+GETPIVOTDATA("XSR4",'suoirao (2016)'!$A$3,"MA_HT","DTT","MA_QH","TMD")</f>
        <v>0</v>
      </c>
      <c r="Y36" s="74">
        <f>+GETPIVOTDATA("XSR4",'suoirao (2016)'!$A$3,"MA_HT","DTT","MA_QH","SKC")</f>
        <v>0</v>
      </c>
      <c r="Z36" s="74">
        <f>+GETPIVOTDATA("XSR4",'suoirao (2016)'!$A$3,"MA_HT","DTT","MA_QH","SKS")</f>
        <v>0</v>
      </c>
      <c r="AA36" s="64">
        <f>+SUM(AB36:AH36,AJ36:AM36)</f>
        <v>0</v>
      </c>
      <c r="AB36" s="74">
        <f>+GETPIVOTDATA("XSR4",'suoirao (2016)'!$A$3,"MA_HT","DTT","MA_QH","DGT")</f>
        <v>0</v>
      </c>
      <c r="AC36" s="74">
        <f>+GETPIVOTDATA("XSR4",'suoirao (2016)'!$A$3,"MA_HT","DTT","MA_QH","DTL")</f>
        <v>0</v>
      </c>
      <c r="AD36" s="74">
        <f>+GETPIVOTDATA("XSR4",'suoirao (2016)'!$A$3,"MA_HT","DTT","MA_QH","DNL")</f>
        <v>0</v>
      </c>
      <c r="AE36" s="74">
        <f>+GETPIVOTDATA("XSR4",'suoirao (2016)'!$A$3,"MA_HT","DTT","MA_QH","DBV")</f>
        <v>0</v>
      </c>
      <c r="AF36" s="74">
        <f>+GETPIVOTDATA("XSR4",'suoirao (2016)'!$A$3,"MA_HT","DTT","MA_QH","DVH")</f>
        <v>0</v>
      </c>
      <c r="AG36" s="74">
        <f>+GETPIVOTDATA("XSR4",'suoirao (2016)'!$A$3,"MA_HT","DTT","MA_QH","DYT")</f>
        <v>0</v>
      </c>
      <c r="AH36" s="74">
        <f>+GETPIVOTDATA("XSR4",'suoirao (2016)'!$A$3,"MA_HT","DTT","MA_QH","DGD")</f>
        <v>0</v>
      </c>
      <c r="AI36" s="100" t="e">
        <f>$D36-$BF36</f>
        <v>#REF!</v>
      </c>
      <c r="AJ36" s="74">
        <f>+GETPIVOTDATA("XSR4",'suoirao (2016)'!$A$3,"MA_HT","DTT","MA_QH","NCK")</f>
        <v>0</v>
      </c>
      <c r="AK36" s="74">
        <f>+GETPIVOTDATA("XSR4",'suoirao (2016)'!$A$3,"MA_HT","DTT","MA_QH","DXH")</f>
        <v>0</v>
      </c>
      <c r="AL36" s="74">
        <f>+GETPIVOTDATA("XSR4",'suoirao (2016)'!$A$3,"MA_HT","DTT","MA_QH","DCH")</f>
        <v>0</v>
      </c>
      <c r="AM36" s="74">
        <f>+GETPIVOTDATA("XSR4",'suoirao (2016)'!$A$3,"MA_HT","DTT","MA_QH","DKG")</f>
        <v>0</v>
      </c>
      <c r="AN36" s="74">
        <f>+GETPIVOTDATA("XSR4",'suoirao (2016)'!$A$3,"MA_HT","DTT","MA_QH","DDT")</f>
        <v>0</v>
      </c>
      <c r="AO36" s="74">
        <f>+GETPIVOTDATA("XSR4",'suoirao (2016)'!$A$3,"MA_HT","DTT","MA_QH","DDL")</f>
        <v>0</v>
      </c>
      <c r="AP36" s="74">
        <f>+GETPIVOTDATA("XSR4",'suoirao (2016)'!$A$3,"MA_HT","DTT","MA_QH","DRA")</f>
        <v>0</v>
      </c>
      <c r="AQ36" s="74">
        <f>+GETPIVOTDATA("XSR4",'suoirao (2016)'!$A$3,"MA_HT","DTT","MA_QH","ONT")</f>
        <v>0</v>
      </c>
      <c r="AR36" s="74">
        <f>+GETPIVOTDATA("XSR4",'suoirao (2016)'!$A$3,"MA_HT","DTT","MA_QH","ODT")</f>
        <v>0</v>
      </c>
      <c r="AS36" s="74">
        <f>+GETPIVOTDATA("XSR4",'suoirao (2016)'!$A$3,"MA_HT","DTT","MA_QH","TSC")</f>
        <v>0</v>
      </c>
      <c r="AT36" s="74">
        <f>+GETPIVOTDATA("XSR4",'suoirao (2016)'!$A$3,"MA_HT","DTT","MA_QH","DTS")</f>
        <v>0</v>
      </c>
      <c r="AU36" s="74">
        <f>+GETPIVOTDATA("XSR4",'suoirao (2016)'!$A$3,"MA_HT","DTT","MA_QH","DNG")</f>
        <v>0</v>
      </c>
      <c r="AV36" s="74">
        <f>+GETPIVOTDATA("XSR4",'suoirao (2016)'!$A$3,"MA_HT","DTT","MA_QH","TON")</f>
        <v>0</v>
      </c>
      <c r="AW36" s="74">
        <f>+GETPIVOTDATA("XSR4",'suoirao (2016)'!$A$3,"MA_HT","DTT","MA_QH","NTD")</f>
        <v>0</v>
      </c>
      <c r="AX36" s="74">
        <f>+GETPIVOTDATA("XSR4",'suoirao (2016)'!$A$3,"MA_HT","DTT","MA_QH","SKX")</f>
        <v>0</v>
      </c>
      <c r="AY36" s="74">
        <f>+GETPIVOTDATA("XSR4",'suoirao (2016)'!$A$3,"MA_HT","DTT","MA_QH","DSH")</f>
        <v>0</v>
      </c>
      <c r="AZ36" s="74">
        <f>+GETPIVOTDATA("XSR4",'suoirao (2016)'!$A$3,"MA_HT","DTT","MA_QH","DKV")</f>
        <v>0</v>
      </c>
      <c r="BA36" s="139">
        <f>+GETPIVOTDATA("XSR4",'suoirao (2016)'!$A$3,"MA_HT","DTT","MA_QH","TIN")</f>
        <v>0</v>
      </c>
      <c r="BB36" s="74">
        <f>+GETPIVOTDATA("XSR4",'suoirao (2016)'!$A$3,"MA_HT","DTT","MA_QH","SON")</f>
        <v>0</v>
      </c>
      <c r="BC36" s="74">
        <f>+GETPIVOTDATA("XSR4",'suoirao (2016)'!$A$3,"MA_HT","DTT","MA_QH","MNC")</f>
        <v>0</v>
      </c>
      <c r="BD36" s="74">
        <f>+GETPIVOTDATA("XSR4",'suoirao (2016)'!$A$3,"MA_HT","DTT","MA_QH","PNK")</f>
        <v>0</v>
      </c>
      <c r="BE36" s="102">
        <f>+GETPIVOTDATA("XSR4",'suoirao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+GETPIVOTDATA("XSR4",'suoirao (2016)'!$A$3,"MA_HT","NCK","MA_QH","LUC")</f>
        <v>0</v>
      </c>
      <c r="H37" s="74">
        <f>+GETPIVOTDATA("XSR4",'suoirao (2016)'!$A$3,"MA_HT","NCK","MA_QH","LUK")</f>
        <v>0</v>
      </c>
      <c r="I37" s="74">
        <f>+GETPIVOTDATA("XSR4",'suoirao (2016)'!$A$3,"MA_HT","NCK","MA_QH","LUN")</f>
        <v>0</v>
      </c>
      <c r="J37" s="74">
        <f>+GETPIVOTDATA("XSR4",'suoirao (2016)'!$A$3,"MA_HT","NCK","MA_QH","HNK")</f>
        <v>0</v>
      </c>
      <c r="K37" s="74">
        <f>+GETPIVOTDATA("XSR4",'suoirao (2016)'!$A$3,"MA_HT","NCK","MA_QH","CLN")</f>
        <v>0</v>
      </c>
      <c r="L37" s="74">
        <f>+GETPIVOTDATA("XSR4",'suoirao (2016)'!$A$3,"MA_HT","NCK","MA_QH","RSX")</f>
        <v>0</v>
      </c>
      <c r="M37" s="74">
        <f>+GETPIVOTDATA("XSR4",'suoirao (2016)'!$A$3,"MA_HT","NCK","MA_QH","RPH")</f>
        <v>0</v>
      </c>
      <c r="N37" s="74">
        <f>+GETPIVOTDATA("XSR4",'suoirao (2016)'!$A$3,"MA_HT","NCK","MA_QH","RDD")</f>
        <v>0</v>
      </c>
      <c r="O37" s="74">
        <f>+GETPIVOTDATA("XSR4",'suoirao (2016)'!$A$3,"MA_HT","NCK","MA_QH","NTS")</f>
        <v>0</v>
      </c>
      <c r="P37" s="74">
        <f>+GETPIVOTDATA("XSR4",'suoirao (2016)'!$A$3,"MA_HT","NCK","MA_QH","LMU")</f>
        <v>0</v>
      </c>
      <c r="Q37" s="74">
        <f>+GETPIVOTDATA("XSR4",'suoirao (2016)'!$A$3,"MA_HT","NCK","MA_QH","NKH")</f>
        <v>0</v>
      </c>
      <c r="R37" s="72">
        <f t="shared" si="20"/>
        <v>0</v>
      </c>
      <c r="S37" s="74">
        <f>+GETPIVOTDATA("XSR4",'suoirao (2016)'!$A$3,"MA_HT","NCK","MA_QH","CQP")</f>
        <v>0</v>
      </c>
      <c r="T37" s="74">
        <f>+GETPIVOTDATA("XSR4",'suoirao (2016)'!$A$3,"MA_HT","NCK","MA_QH","CAN")</f>
        <v>0</v>
      </c>
      <c r="U37" s="74">
        <f>+GETPIVOTDATA("XSR4",'suoirao (2016)'!$A$3,"MA_HT","NCK","MA_QH","SKK")</f>
        <v>0</v>
      </c>
      <c r="V37" s="74">
        <f>+GETPIVOTDATA("XSR4",'suoirao (2016)'!$A$3,"MA_HT","NCK","MA_QH","SKT")</f>
        <v>0</v>
      </c>
      <c r="W37" s="74">
        <f>+GETPIVOTDATA("XSR4",'suoirao (2016)'!$A$3,"MA_HT","NCK","MA_QH","SKN")</f>
        <v>0</v>
      </c>
      <c r="X37" s="74">
        <f>+GETPIVOTDATA("XSR4",'suoirao (2016)'!$A$3,"MA_HT","NCK","MA_QH","TMD")</f>
        <v>0</v>
      </c>
      <c r="Y37" s="74">
        <f>+GETPIVOTDATA("XSR4",'suoirao (2016)'!$A$3,"MA_HT","NCK","MA_QH","SKC")</f>
        <v>0</v>
      </c>
      <c r="Z37" s="74">
        <f>+GETPIVOTDATA("XSR4",'suoirao (2016)'!$A$3,"MA_HT","NCK","MA_QH","SKS")</f>
        <v>0</v>
      </c>
      <c r="AA37" s="64">
        <f>+SUM(AB37:AI37,AK37:AM37)</f>
        <v>0</v>
      </c>
      <c r="AB37" s="74">
        <f>+GETPIVOTDATA("XSR4",'suoirao (2016)'!$A$3,"MA_HT","NCK","MA_QH","DGT")</f>
        <v>0</v>
      </c>
      <c r="AC37" s="74">
        <f>+GETPIVOTDATA("XSR4",'suoirao (2016)'!$A$3,"MA_HT","NCK","MA_QH","DTL")</f>
        <v>0</v>
      </c>
      <c r="AD37" s="74">
        <f>+GETPIVOTDATA("XSR4",'suoirao (2016)'!$A$3,"MA_HT","NCK","MA_QH","DNL")</f>
        <v>0</v>
      </c>
      <c r="AE37" s="74">
        <f>+GETPIVOTDATA("XSR4",'suoirao (2016)'!$A$3,"MA_HT","NCK","MA_QH","DBV")</f>
        <v>0</v>
      </c>
      <c r="AF37" s="74">
        <f>+GETPIVOTDATA("XSR4",'suoirao (2016)'!$A$3,"MA_HT","NCK","MA_QH","DVH")</f>
        <v>0</v>
      </c>
      <c r="AG37" s="74">
        <f>+GETPIVOTDATA("XSR4",'suoirao (2016)'!$A$3,"MA_HT","NCK","MA_QH","DYT")</f>
        <v>0</v>
      </c>
      <c r="AH37" s="74">
        <f>+GETPIVOTDATA("XSR4",'suoirao (2016)'!$A$3,"MA_HT","NCK","MA_QH","DGD")</f>
        <v>0</v>
      </c>
      <c r="AI37" s="74">
        <f>+GETPIVOTDATA("XSR4",'suoirao (2016)'!$A$3,"MA_HT","NCK","MA_QH","DTT")</f>
        <v>0</v>
      </c>
      <c r="AJ37" s="100" t="e">
        <f>$D37-$BF37</f>
        <v>#REF!</v>
      </c>
      <c r="AK37" s="74">
        <f>+GETPIVOTDATA("XSR4",'suoirao (2016)'!$A$3,"MA_HT","NCK","MA_QH","DXH")</f>
        <v>0</v>
      </c>
      <c r="AL37" s="74">
        <f>+GETPIVOTDATA("XSR4",'suoirao (2016)'!$A$3,"MA_HT","NCK","MA_QH","DCH")</f>
        <v>0</v>
      </c>
      <c r="AM37" s="74">
        <f>+GETPIVOTDATA("XSR4",'suoirao (2016)'!$A$3,"MA_HT","NCK","MA_QH","DKG")</f>
        <v>0</v>
      </c>
      <c r="AN37" s="74">
        <f>+GETPIVOTDATA("XSR4",'suoirao (2016)'!$A$3,"MA_HT","NCK","MA_QH","DDT")</f>
        <v>0</v>
      </c>
      <c r="AO37" s="74">
        <f>+GETPIVOTDATA("XSR4",'suoirao (2016)'!$A$3,"MA_HT","NCK","MA_QH","DDL")</f>
        <v>0</v>
      </c>
      <c r="AP37" s="74">
        <f>+GETPIVOTDATA("XSR4",'suoirao (2016)'!$A$3,"MA_HT","NCK","MA_QH","DRA")</f>
        <v>0</v>
      </c>
      <c r="AQ37" s="74">
        <f>+GETPIVOTDATA("XSR4",'suoirao (2016)'!$A$3,"MA_HT","NCK","MA_QH","ONT")</f>
        <v>0</v>
      </c>
      <c r="AR37" s="74">
        <f>+GETPIVOTDATA("XSR4",'suoirao (2016)'!$A$3,"MA_HT","NCK","MA_QH","ODT")</f>
        <v>0</v>
      </c>
      <c r="AS37" s="74">
        <f>+GETPIVOTDATA("XSR4",'suoirao (2016)'!$A$3,"MA_HT","NCK","MA_QH","TSC")</f>
        <v>0</v>
      </c>
      <c r="AT37" s="74">
        <f>+GETPIVOTDATA("XSR4",'suoirao (2016)'!$A$3,"MA_HT","NCK","MA_QH","DTS")</f>
        <v>0</v>
      </c>
      <c r="AU37" s="74">
        <f>+GETPIVOTDATA("XSR4",'suoirao (2016)'!$A$3,"MA_HT","NCK","MA_QH","DNG")</f>
        <v>0</v>
      </c>
      <c r="AV37" s="74">
        <f>+GETPIVOTDATA("XSR4",'suoirao (2016)'!$A$3,"MA_HT","NCK","MA_QH","TON")</f>
        <v>0</v>
      </c>
      <c r="AW37" s="74">
        <f>+GETPIVOTDATA("XSR4",'suoirao (2016)'!$A$3,"MA_HT","NCK","MA_QH","NTD")</f>
        <v>0</v>
      </c>
      <c r="AX37" s="74">
        <f>+GETPIVOTDATA("XSR4",'suoirao (2016)'!$A$3,"MA_HT","NCK","MA_QH","SKX")</f>
        <v>0</v>
      </c>
      <c r="AY37" s="74">
        <f>+GETPIVOTDATA("XSR4",'suoirao (2016)'!$A$3,"MA_HT","NCK","MA_QH","DSH")</f>
        <v>0</v>
      </c>
      <c r="AZ37" s="74">
        <f>+GETPIVOTDATA("XSR4",'suoirao (2016)'!$A$3,"MA_HT","NCK","MA_QH","DKV")</f>
        <v>0</v>
      </c>
      <c r="BA37" s="139">
        <f>+GETPIVOTDATA("XSR4",'suoirao (2016)'!$A$3,"MA_HT","NCK","MA_QH","TIN")</f>
        <v>0</v>
      </c>
      <c r="BB37" s="74">
        <f>+GETPIVOTDATA("XSR4",'suoirao (2016)'!$A$3,"MA_HT","NCK","MA_QH","SON")</f>
        <v>0</v>
      </c>
      <c r="BC37" s="74">
        <f>+GETPIVOTDATA("XSR4",'suoirao (2016)'!$A$3,"MA_HT","NCK","MA_QH","MNC")</f>
        <v>0</v>
      </c>
      <c r="BD37" s="74">
        <f>+GETPIVOTDATA("XSR4",'suoirao (2016)'!$A$3,"MA_HT","NCK","MA_QH","PNK")</f>
        <v>0</v>
      </c>
      <c r="BE37" s="102">
        <f>+GETPIVOTDATA("XSR4",'suoirao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+GETPIVOTDATA("XSR4",'suoirao (2016)'!$A$3,"MA_HT","DXH","MA_QH","LUC")</f>
        <v>0</v>
      </c>
      <c r="H38" s="74">
        <f>+GETPIVOTDATA("XSR4",'suoirao (2016)'!$A$3,"MA_HT","DXH","MA_QH","LUK")</f>
        <v>0</v>
      </c>
      <c r="I38" s="74">
        <f>+GETPIVOTDATA("XSR4",'suoirao (2016)'!$A$3,"MA_HT","DXH","MA_QH","LUN")</f>
        <v>0</v>
      </c>
      <c r="J38" s="74">
        <f>+GETPIVOTDATA("XSR4",'suoirao (2016)'!$A$3,"MA_HT","DXH","MA_QH","HNK")</f>
        <v>0</v>
      </c>
      <c r="K38" s="74">
        <f>+GETPIVOTDATA("XSR4",'suoirao (2016)'!$A$3,"MA_HT","DXH","MA_QH","CLN")</f>
        <v>0</v>
      </c>
      <c r="L38" s="74">
        <f>+GETPIVOTDATA("XSR4",'suoirao (2016)'!$A$3,"MA_HT","DXH","MA_QH","RSX")</f>
        <v>0</v>
      </c>
      <c r="M38" s="74">
        <f>+GETPIVOTDATA("XSR4",'suoirao (2016)'!$A$3,"MA_HT","DXH","MA_QH","RPH")</f>
        <v>0</v>
      </c>
      <c r="N38" s="74">
        <f>+GETPIVOTDATA("XSR4",'suoirao (2016)'!$A$3,"MA_HT","DXH","MA_QH","RDD")</f>
        <v>0</v>
      </c>
      <c r="O38" s="74">
        <f>+GETPIVOTDATA("XSR4",'suoirao (2016)'!$A$3,"MA_HT","DXH","MA_QH","NTS")</f>
        <v>0</v>
      </c>
      <c r="P38" s="74">
        <f>+GETPIVOTDATA("XSR4",'suoirao (2016)'!$A$3,"MA_HT","DXH","MA_QH","LMU")</f>
        <v>0</v>
      </c>
      <c r="Q38" s="74">
        <f>+GETPIVOTDATA("XSR4",'suoirao (2016)'!$A$3,"MA_HT","DXH","MA_QH","NKH")</f>
        <v>0</v>
      </c>
      <c r="R38" s="72">
        <f t="shared" si="20"/>
        <v>0</v>
      </c>
      <c r="S38" s="74">
        <f>+GETPIVOTDATA("XSR4",'suoirao (2016)'!$A$3,"MA_HT","DXH","MA_QH","CQP")</f>
        <v>0</v>
      </c>
      <c r="T38" s="74">
        <f>+GETPIVOTDATA("XSR4",'suoirao (2016)'!$A$3,"MA_HT","DXH","MA_QH","CAN")</f>
        <v>0</v>
      </c>
      <c r="U38" s="74">
        <f>+GETPIVOTDATA("XSR4",'suoirao (2016)'!$A$3,"MA_HT","DXH","MA_QH","SKK")</f>
        <v>0</v>
      </c>
      <c r="V38" s="74">
        <f>+GETPIVOTDATA("XSR4",'suoirao (2016)'!$A$3,"MA_HT","DXH","MA_QH","SKT")</f>
        <v>0</v>
      </c>
      <c r="W38" s="74">
        <f>+GETPIVOTDATA("XSR4",'suoirao (2016)'!$A$3,"MA_HT","DXH","MA_QH","SKN")</f>
        <v>0</v>
      </c>
      <c r="X38" s="74">
        <f>+GETPIVOTDATA("XSR4",'suoirao (2016)'!$A$3,"MA_HT","DXH","MA_QH","TMD")</f>
        <v>0</v>
      </c>
      <c r="Y38" s="74">
        <f>+GETPIVOTDATA("XSR4",'suoirao (2016)'!$A$3,"MA_HT","DXH","MA_QH","SKC")</f>
        <v>0</v>
      </c>
      <c r="Z38" s="74">
        <f>+GETPIVOTDATA("XSR4",'suoirao (2016)'!$A$3,"MA_HT","DXH","MA_QH","SKS")</f>
        <v>0</v>
      </c>
      <c r="AA38" s="64">
        <f>+SUM(AB38:AJ38,AL38:AM38)</f>
        <v>0</v>
      </c>
      <c r="AB38" s="74">
        <f>+GETPIVOTDATA("XSR4",'suoirao (2016)'!$A$3,"MA_HT","DXH","MA_QH","DGT")</f>
        <v>0</v>
      </c>
      <c r="AC38" s="74">
        <f>+GETPIVOTDATA("XSR4",'suoirao (2016)'!$A$3,"MA_HT","DXH","MA_QH","DTL")</f>
        <v>0</v>
      </c>
      <c r="AD38" s="74">
        <f>+GETPIVOTDATA("XSR4",'suoirao (2016)'!$A$3,"MA_HT","DXH","MA_QH","DNL")</f>
        <v>0</v>
      </c>
      <c r="AE38" s="74">
        <f>+GETPIVOTDATA("XSR4",'suoirao (2016)'!$A$3,"MA_HT","DXH","MA_QH","DBV")</f>
        <v>0</v>
      </c>
      <c r="AF38" s="74">
        <f>+GETPIVOTDATA("XSR4",'suoirao (2016)'!$A$3,"MA_HT","DXH","MA_QH","DVH")</f>
        <v>0</v>
      </c>
      <c r="AG38" s="74">
        <f>+GETPIVOTDATA("XSR4",'suoirao (2016)'!$A$3,"MA_HT","DXH","MA_QH","DYT")</f>
        <v>0</v>
      </c>
      <c r="AH38" s="74">
        <f>+GETPIVOTDATA("XSR4",'suoirao (2016)'!$A$3,"MA_HT","DXH","MA_QH","DGD")</f>
        <v>0</v>
      </c>
      <c r="AI38" s="74">
        <f>+GETPIVOTDATA("XSR4",'suoirao (2016)'!$A$3,"MA_HT","DXH","MA_QH","DTT")</f>
        <v>0</v>
      </c>
      <c r="AJ38" s="74">
        <f>+GETPIVOTDATA("XSR4",'suoirao (2016)'!$A$3,"MA_HT","DXH","MA_QH","NCK")</f>
        <v>0</v>
      </c>
      <c r="AK38" s="100" t="e">
        <f>$D38-$BF38</f>
        <v>#REF!</v>
      </c>
      <c r="AL38" s="74">
        <f>+GETPIVOTDATA("XSR4",'suoirao (2016)'!$A$3,"MA_HT","DXH","MA_QH","DCH")</f>
        <v>0</v>
      </c>
      <c r="AM38" s="74">
        <f>+GETPIVOTDATA("XSR4",'suoirao (2016)'!$A$3,"MA_HT","DXH","MA_QH","DKG")</f>
        <v>0</v>
      </c>
      <c r="AN38" s="74">
        <f>+GETPIVOTDATA("XSR4",'suoirao (2016)'!$A$3,"MA_HT","DXH","MA_QH","DDT")</f>
        <v>0</v>
      </c>
      <c r="AO38" s="74">
        <f>+GETPIVOTDATA("XSR4",'suoirao (2016)'!$A$3,"MA_HT","DXH","MA_QH","DDL")</f>
        <v>0</v>
      </c>
      <c r="AP38" s="74">
        <f>+GETPIVOTDATA("XSR4",'suoirao (2016)'!$A$3,"MA_HT","DXH","MA_QH","DRA")</f>
        <v>0</v>
      </c>
      <c r="AQ38" s="74">
        <f>+GETPIVOTDATA("XSR4",'suoirao (2016)'!$A$3,"MA_HT","DXH","MA_QH","ONT")</f>
        <v>0</v>
      </c>
      <c r="AR38" s="74">
        <f>+GETPIVOTDATA("XSR4",'suoirao (2016)'!$A$3,"MA_HT","DXH","MA_QH","ODT")</f>
        <v>0</v>
      </c>
      <c r="AS38" s="74">
        <f>+GETPIVOTDATA("XSR4",'suoirao (2016)'!$A$3,"MA_HT","DXH","MA_QH","TSC")</f>
        <v>0</v>
      </c>
      <c r="AT38" s="74">
        <f>+GETPIVOTDATA("XSR4",'suoirao (2016)'!$A$3,"MA_HT","DXH","MA_QH","DTS")</f>
        <v>0</v>
      </c>
      <c r="AU38" s="74">
        <f>+GETPIVOTDATA("XSR4",'suoirao (2016)'!$A$3,"MA_HT","DXH","MA_QH","DNG")</f>
        <v>0</v>
      </c>
      <c r="AV38" s="74">
        <f>+GETPIVOTDATA("XSR4",'suoirao (2016)'!$A$3,"MA_HT","DXH","MA_QH","TON")</f>
        <v>0</v>
      </c>
      <c r="AW38" s="74">
        <f>+GETPIVOTDATA("XSR4",'suoirao (2016)'!$A$3,"MA_HT","DXH","MA_QH","NTD")</f>
        <v>0</v>
      </c>
      <c r="AX38" s="74">
        <f>+GETPIVOTDATA("XSR4",'suoirao (2016)'!$A$3,"MA_HT","DXH","MA_QH","SKX")</f>
        <v>0</v>
      </c>
      <c r="AY38" s="74">
        <f>+GETPIVOTDATA("XSR4",'suoirao (2016)'!$A$3,"MA_HT","DXH","MA_QH","DSH")</f>
        <v>0</v>
      </c>
      <c r="AZ38" s="74">
        <f>+GETPIVOTDATA("XSR4",'suoirao (2016)'!$A$3,"MA_HT","DXH","MA_QH","DKV")</f>
        <v>0</v>
      </c>
      <c r="BA38" s="139">
        <f>+GETPIVOTDATA("XSR4",'suoirao (2016)'!$A$3,"MA_HT","DXH","MA_QH","TIN")</f>
        <v>0</v>
      </c>
      <c r="BB38" s="74">
        <f>+GETPIVOTDATA("XSR4",'suoirao (2016)'!$A$3,"MA_HT","DXH","MA_QH","SON")</f>
        <v>0</v>
      </c>
      <c r="BC38" s="74">
        <f>+GETPIVOTDATA("XSR4",'suoirao (2016)'!$A$3,"MA_HT","DXH","MA_QH","MNC")</f>
        <v>0</v>
      </c>
      <c r="BD38" s="74">
        <f>+GETPIVOTDATA("XSR4",'suoirao (2016)'!$A$3,"MA_HT","DXH","MA_QH","PNK")</f>
        <v>0</v>
      </c>
      <c r="BE38" s="102">
        <f>+GETPIVOTDATA("XSR4",'suoirao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+GETPIVOTDATA("XSR4",'suoirao (2016)'!$A$3,"MA_HT","DCH","MA_QH","LUC")</f>
        <v>0</v>
      </c>
      <c r="H39" s="74">
        <f>+GETPIVOTDATA("XSR4",'suoirao (2016)'!$A$3,"MA_HT","DCH","MA_QH","LUK")</f>
        <v>0</v>
      </c>
      <c r="I39" s="74">
        <f>+GETPIVOTDATA("XSR4",'suoirao (2016)'!$A$3,"MA_HT","DCH","MA_QH","LUN")</f>
        <v>0</v>
      </c>
      <c r="J39" s="74">
        <f>+GETPIVOTDATA("XSR4",'suoirao (2016)'!$A$3,"MA_HT","DCH","MA_QH","HNK")</f>
        <v>0</v>
      </c>
      <c r="K39" s="74">
        <f>+GETPIVOTDATA("XSR4",'suoirao (2016)'!$A$3,"MA_HT","DCH","MA_QH","CLN")</f>
        <v>0</v>
      </c>
      <c r="L39" s="74">
        <f>+GETPIVOTDATA("XSR4",'suoirao (2016)'!$A$3,"MA_HT","DCH","MA_QH","RSX")</f>
        <v>0</v>
      </c>
      <c r="M39" s="74">
        <f>+GETPIVOTDATA("XSR4",'suoirao (2016)'!$A$3,"MA_HT","DCH","MA_QH","RPH")</f>
        <v>0</v>
      </c>
      <c r="N39" s="74">
        <f>+GETPIVOTDATA("XSR4",'suoirao (2016)'!$A$3,"MA_HT","DCH","MA_QH","RDD")</f>
        <v>0</v>
      </c>
      <c r="O39" s="74">
        <f>+GETPIVOTDATA("XSR4",'suoirao (2016)'!$A$3,"MA_HT","DCH","MA_QH","NTS")</f>
        <v>0</v>
      </c>
      <c r="P39" s="74">
        <f>+GETPIVOTDATA("XSR4",'suoirao (2016)'!$A$3,"MA_HT","DCH","MA_QH","LMU")</f>
        <v>0</v>
      </c>
      <c r="Q39" s="74">
        <f>+GETPIVOTDATA("XSR4",'suoirao (2016)'!$A$3,"MA_HT","DCH","MA_QH","NKH")</f>
        <v>0</v>
      </c>
      <c r="R39" s="72">
        <f t="shared" si="20"/>
        <v>0</v>
      </c>
      <c r="S39" s="74">
        <f>+GETPIVOTDATA("XSR4",'suoirao (2016)'!$A$3,"MA_HT","DCH","MA_QH","CQP")</f>
        <v>0</v>
      </c>
      <c r="T39" s="74">
        <f>+GETPIVOTDATA("XSR4",'suoirao (2016)'!$A$3,"MA_HT","DCH","MA_QH","CAN")</f>
        <v>0</v>
      </c>
      <c r="U39" s="74">
        <f>+GETPIVOTDATA("XSR4",'suoirao (2016)'!$A$3,"MA_HT","DCH","MA_QH","SKK")</f>
        <v>0</v>
      </c>
      <c r="V39" s="74">
        <f>+GETPIVOTDATA("XSR4",'suoirao (2016)'!$A$3,"MA_HT","DCH","MA_QH","SKT")</f>
        <v>0</v>
      </c>
      <c r="W39" s="74">
        <f>+GETPIVOTDATA("XSR4",'suoirao (2016)'!$A$3,"MA_HT","DCH","MA_QH","SKN")</f>
        <v>0</v>
      </c>
      <c r="X39" s="74">
        <f>+GETPIVOTDATA("XSR4",'suoirao (2016)'!$A$3,"MA_HT","DCH","MA_QH","TMD")</f>
        <v>0</v>
      </c>
      <c r="Y39" s="74">
        <f>+GETPIVOTDATA("XSR4",'suoirao (2016)'!$A$3,"MA_HT","DCH","MA_QH","SKC")</f>
        <v>0</v>
      </c>
      <c r="Z39" s="74">
        <f>+GETPIVOTDATA("XSR4",'suoirao (2016)'!$A$3,"MA_HT","DCH","MA_QH","SKS")</f>
        <v>0</v>
      </c>
      <c r="AA39" s="64">
        <f>+SUM(AB39:AK39,AM39)</f>
        <v>0</v>
      </c>
      <c r="AB39" s="74">
        <f>+GETPIVOTDATA("XSR4",'suoirao (2016)'!$A$3,"MA_HT","DCH","MA_QH","DGT")</f>
        <v>0</v>
      </c>
      <c r="AC39" s="74">
        <f>+GETPIVOTDATA("XSR4",'suoirao (2016)'!$A$3,"MA_HT","DCH","MA_QH","DTL")</f>
        <v>0</v>
      </c>
      <c r="AD39" s="74">
        <f>+GETPIVOTDATA("XSR4",'suoirao (2016)'!$A$3,"MA_HT","DCH","MA_QH","DNL")</f>
        <v>0</v>
      </c>
      <c r="AE39" s="74">
        <f>+GETPIVOTDATA("XSR4",'suoirao (2016)'!$A$3,"MA_HT","DCH","MA_QH","DBV")</f>
        <v>0</v>
      </c>
      <c r="AF39" s="74">
        <f>+GETPIVOTDATA("XSR4",'suoirao (2016)'!$A$3,"MA_HT","DCH","MA_QH","DVH")</f>
        <v>0</v>
      </c>
      <c r="AG39" s="74">
        <f>+GETPIVOTDATA("XSR4",'suoirao (2016)'!$A$3,"MA_HT","DCH","MA_QH","DYT")</f>
        <v>0</v>
      </c>
      <c r="AH39" s="74">
        <f>+GETPIVOTDATA("XSR4",'suoirao (2016)'!$A$3,"MA_HT","DCH","MA_QH","DGD")</f>
        <v>0</v>
      </c>
      <c r="AI39" s="74">
        <f>+GETPIVOTDATA("XSR4",'suoirao (2016)'!$A$3,"MA_HT","DCH","MA_QH","DTT")</f>
        <v>0</v>
      </c>
      <c r="AJ39" s="74">
        <f>+GETPIVOTDATA("XSR4",'suoirao (2016)'!$A$3,"MA_HT","DCH","MA_QH","NCK")</f>
        <v>0</v>
      </c>
      <c r="AK39" s="74">
        <f>+GETPIVOTDATA("XSR4",'suoirao (2016)'!$A$3,"MA_HT","DCH","MA_QH","DXH")</f>
        <v>0</v>
      </c>
      <c r="AL39" s="100" t="e">
        <f>$D39-$BF39</f>
        <v>#REF!</v>
      </c>
      <c r="AM39" s="74">
        <f>+GETPIVOTDATA("XSR4",'suoirao (2016)'!$A$3,"MA_HT","DXH","MA_QH","DKG")</f>
        <v>0</v>
      </c>
      <c r="AN39" s="74">
        <f>+GETPIVOTDATA("XSR4",'suoirao (2016)'!$A$3,"MA_HT","DCH","MA_QH","DDT")</f>
        <v>0</v>
      </c>
      <c r="AO39" s="74">
        <f>+GETPIVOTDATA("XSR4",'suoirao (2016)'!$A$3,"MA_HT","DCH","MA_QH","DDL")</f>
        <v>0</v>
      </c>
      <c r="AP39" s="74">
        <f>+GETPIVOTDATA("XSR4",'suoirao (2016)'!$A$3,"MA_HT","DCH","MA_QH","DRA")</f>
        <v>0</v>
      </c>
      <c r="AQ39" s="74">
        <f>+GETPIVOTDATA("XSR4",'suoirao (2016)'!$A$3,"MA_HT","DCH","MA_QH","ONT")</f>
        <v>0</v>
      </c>
      <c r="AR39" s="74">
        <f>+GETPIVOTDATA("XSR4",'suoirao (2016)'!$A$3,"MA_HT","DCH","MA_QH","ODT")</f>
        <v>0</v>
      </c>
      <c r="AS39" s="74">
        <f>+GETPIVOTDATA("XSR4",'suoirao (2016)'!$A$3,"MA_HT","DCH","MA_QH","TSC")</f>
        <v>0</v>
      </c>
      <c r="AT39" s="74">
        <f>+GETPIVOTDATA("XSR4",'suoirao (2016)'!$A$3,"MA_HT","DCH","MA_QH","DTS")</f>
        <v>0</v>
      </c>
      <c r="AU39" s="74">
        <f>+GETPIVOTDATA("XSR4",'suoirao (2016)'!$A$3,"MA_HT","DCH","MA_QH","DNG")</f>
        <v>0</v>
      </c>
      <c r="AV39" s="74">
        <f>+GETPIVOTDATA("XSR4",'suoirao (2016)'!$A$3,"MA_HT","DCH","MA_QH","TON")</f>
        <v>0</v>
      </c>
      <c r="AW39" s="74">
        <f>+GETPIVOTDATA("XSR4",'suoirao (2016)'!$A$3,"MA_HT","DCH","MA_QH","NTD")</f>
        <v>0</v>
      </c>
      <c r="AX39" s="74">
        <f>+GETPIVOTDATA("XSR4",'suoirao (2016)'!$A$3,"MA_HT","DCH","MA_QH","SKX")</f>
        <v>0</v>
      </c>
      <c r="AY39" s="74">
        <f>+GETPIVOTDATA("XSR4",'suoirao (2016)'!$A$3,"MA_HT","DCH","MA_QH","DSH")</f>
        <v>0</v>
      </c>
      <c r="AZ39" s="74">
        <f>+GETPIVOTDATA("XSR4",'suoirao (2016)'!$A$3,"MA_HT","DCH","MA_QH","DKV")</f>
        <v>0</v>
      </c>
      <c r="BA39" s="139">
        <f>+GETPIVOTDATA("XSR4",'suoirao (2016)'!$A$3,"MA_HT","DCH","MA_QH","TIN")</f>
        <v>0</v>
      </c>
      <c r="BB39" s="74">
        <f>+GETPIVOTDATA("XSR4",'suoirao (2016)'!$A$3,"MA_HT","DCH","MA_QH","SON")</f>
        <v>0</v>
      </c>
      <c r="BC39" s="74">
        <f>+GETPIVOTDATA("XSR4",'suoirao (2016)'!$A$3,"MA_HT","DCH","MA_QH","MNC")</f>
        <v>0</v>
      </c>
      <c r="BD39" s="74">
        <f>+GETPIVOTDATA("XSR4",'suoirao (2016)'!$A$3,"MA_HT","DCH","MA_QH","PNK")</f>
        <v>0</v>
      </c>
      <c r="BE39" s="102">
        <f>+GETPIVOTDATA("XSR4",'suoirao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+GETPIVOTDATA("XSR4",'suoirao (2016)'!$A$3,"MA_HT","DKG","MA_QH","LUC")</f>
        <v>0</v>
      </c>
      <c r="H40" s="74">
        <f>+GETPIVOTDATA("XSR4",'suoirao (2016)'!$A$3,"MA_HT","DKG","MA_QH","LUK")</f>
        <v>0</v>
      </c>
      <c r="I40" s="74">
        <f>+GETPIVOTDATA("XSR4",'suoirao (2016)'!$A$3,"MA_HT","DKG","MA_QH","LUN")</f>
        <v>0</v>
      </c>
      <c r="J40" s="74">
        <f>+GETPIVOTDATA("XSR4",'suoirao (2016)'!$A$3,"MA_HT","DKG","MA_QH","HNK")</f>
        <v>0</v>
      </c>
      <c r="K40" s="74">
        <f>+GETPIVOTDATA("XSR4",'suoirao (2016)'!$A$3,"MA_HT","DKG","MA_QH","CLN")</f>
        <v>0</v>
      </c>
      <c r="L40" s="74">
        <f>+GETPIVOTDATA("XSR4",'suoirao (2016)'!$A$3,"MA_HT","DKG","MA_QH","RSX")</f>
        <v>0</v>
      </c>
      <c r="M40" s="74">
        <f>+GETPIVOTDATA("XSR4",'suoirao (2016)'!$A$3,"MA_HT","DKG","MA_QH","RPH")</f>
        <v>0</v>
      </c>
      <c r="N40" s="74">
        <f>+GETPIVOTDATA("XSR4",'suoirao (2016)'!$A$3,"MA_HT","DKG","MA_QH","RDD")</f>
        <v>0</v>
      </c>
      <c r="O40" s="74">
        <f>+GETPIVOTDATA("XSR4",'suoirao (2016)'!$A$3,"MA_HT","DKG","MA_QH","NTS")</f>
        <v>0</v>
      </c>
      <c r="P40" s="74">
        <f>+GETPIVOTDATA("XSR4",'suoirao (2016)'!$A$3,"MA_HT","DKG","MA_QH","LMU")</f>
        <v>0</v>
      </c>
      <c r="Q40" s="74">
        <f>+GETPIVOTDATA("XSR4",'suoirao (2016)'!$A$3,"MA_HT","DKG","MA_QH","NKH")</f>
        <v>0</v>
      </c>
      <c r="R40" s="72">
        <f>SUM(S40:AA40,AN40:BD40)</f>
        <v>0</v>
      </c>
      <c r="S40" s="74">
        <f>+GETPIVOTDATA("XSR4",'suoirao (2016)'!$A$3,"MA_HT","DKG","MA_QH","CQP")</f>
        <v>0</v>
      </c>
      <c r="T40" s="74">
        <f>+GETPIVOTDATA("XSR4",'suoirao (2016)'!$A$3,"MA_HT","DKG","MA_QH","CAN")</f>
        <v>0</v>
      </c>
      <c r="U40" s="74">
        <f>+GETPIVOTDATA("XSR4",'suoirao (2016)'!$A$3,"MA_HT","DKG","MA_QH","SKK")</f>
        <v>0</v>
      </c>
      <c r="V40" s="74">
        <f>+GETPIVOTDATA("XSR4",'suoirao (2016)'!$A$3,"MA_HT","DKG","MA_QH","SKT")</f>
        <v>0</v>
      </c>
      <c r="W40" s="74">
        <f>+GETPIVOTDATA("XSR4",'suoirao (2016)'!$A$3,"MA_HT","DKG","MA_QH","SKN")</f>
        <v>0</v>
      </c>
      <c r="X40" s="74">
        <f>+GETPIVOTDATA("XSR4",'suoirao (2016)'!$A$3,"MA_HT","DKG","MA_QH","TMD")</f>
        <v>0</v>
      </c>
      <c r="Y40" s="74">
        <f>+GETPIVOTDATA("XSR4",'suoirao (2016)'!$A$3,"MA_HT","DKG","MA_QH","SKC")</f>
        <v>0</v>
      </c>
      <c r="Z40" s="74">
        <f>+GETPIVOTDATA("XSR4",'suoirao (2016)'!$A$3,"MA_HT","DKG","MA_QH","SKS")</f>
        <v>0</v>
      </c>
      <c r="AA40" s="64">
        <f>+SUM(AB40:AL40)</f>
        <v>0</v>
      </c>
      <c r="AB40" s="74">
        <f>+GETPIVOTDATA("XSR4",'suoirao (2016)'!$A$3,"MA_HT","DKG","MA_QH","DGT")</f>
        <v>0</v>
      </c>
      <c r="AC40" s="74">
        <f>+GETPIVOTDATA("XSR4",'suoirao (2016)'!$A$3,"MA_HT","DKG","MA_QH","DTL")</f>
        <v>0</v>
      </c>
      <c r="AD40" s="74">
        <f>+GETPIVOTDATA("XSR4",'suoirao (2016)'!$A$3,"MA_HT","DKG","MA_QH","DNL")</f>
        <v>0</v>
      </c>
      <c r="AE40" s="74">
        <f>+GETPIVOTDATA("XSR4",'suoirao (2016)'!$A$3,"MA_HT","DKG","MA_QH","DBV")</f>
        <v>0</v>
      </c>
      <c r="AF40" s="74">
        <f>+GETPIVOTDATA("XSR4",'suoirao (2016)'!$A$3,"MA_HT","DKG","MA_QH","DVH")</f>
        <v>0</v>
      </c>
      <c r="AG40" s="74">
        <f>+GETPIVOTDATA("XSR4",'suoirao (2016)'!$A$3,"MA_HT","DKG","MA_QH","DYT")</f>
        <v>0</v>
      </c>
      <c r="AH40" s="74">
        <f>+GETPIVOTDATA("XSR4",'suoirao (2016)'!$A$3,"MA_HT","DKG","MA_QH","DGD")</f>
        <v>0</v>
      </c>
      <c r="AI40" s="74">
        <f>+GETPIVOTDATA("XSR4",'suoirao (2016)'!$A$3,"MA_HT","DKG","MA_QH","DTT")</f>
        <v>0</v>
      </c>
      <c r="AJ40" s="74">
        <f>+GETPIVOTDATA("XSR4",'suoirao (2016)'!$A$3,"MA_HT","DKG","MA_QH","NCK")</f>
        <v>0</v>
      </c>
      <c r="AK40" s="74">
        <f>+GETPIVOTDATA("XSR4",'suoirao (2016)'!$A$3,"MA_HT","DKG","MA_QH","DXH")</f>
        <v>0</v>
      </c>
      <c r="AL40" s="122">
        <f>+GETPIVOTDATA("XSR4",'suoirao (2016)'!$A$3,"MA_HT","DDT","MA_QH","DKG")</f>
        <v>0</v>
      </c>
      <c r="AM40" s="100" t="e">
        <f>$D40-$BF40</f>
        <v>#REF!</v>
      </c>
      <c r="AN40" s="74">
        <f>+GETPIVOTDATA("XSR4",'suoirao (2016)'!$A$3,"MA_HT","DKG","MA_QH","DDT")</f>
        <v>0</v>
      </c>
      <c r="AO40" s="74">
        <f>+GETPIVOTDATA("XSR4",'suoirao (2016)'!$A$3,"MA_HT","DKG","MA_QH","DDL")</f>
        <v>0</v>
      </c>
      <c r="AP40" s="74">
        <f>+GETPIVOTDATA("XSR4",'suoirao (2016)'!$A$3,"MA_HT","DKG","MA_QH","DRA")</f>
        <v>0</v>
      </c>
      <c r="AQ40" s="74">
        <f>+GETPIVOTDATA("XSR4",'suoirao (2016)'!$A$3,"MA_HT","DKG","MA_QH","ONT")</f>
        <v>0</v>
      </c>
      <c r="AR40" s="74">
        <f>+GETPIVOTDATA("XSR4",'suoirao (2016)'!$A$3,"MA_HT","DKG","MA_QH","ODT")</f>
        <v>0</v>
      </c>
      <c r="AS40" s="74">
        <f>+GETPIVOTDATA("XSR4",'suoirao (2016)'!$A$3,"MA_HT","DKG","MA_QH","TSC")</f>
        <v>0</v>
      </c>
      <c r="AT40" s="74">
        <f>+GETPIVOTDATA("XSR4",'suoirao (2016)'!$A$3,"MA_HT","DKG","MA_QH","DTS")</f>
        <v>0</v>
      </c>
      <c r="AU40" s="74">
        <f>+GETPIVOTDATA("XSR4",'suoirao (2016)'!$A$3,"MA_HT","DKG","MA_QH","DNG")</f>
        <v>0</v>
      </c>
      <c r="AV40" s="74">
        <f>+GETPIVOTDATA("XSR4",'suoirao (2016)'!$A$3,"MA_HT","DKG","MA_QH","TON")</f>
        <v>0</v>
      </c>
      <c r="AW40" s="74">
        <f>+GETPIVOTDATA("XSR4",'suoirao (2016)'!$A$3,"MA_HT","DKG","MA_QH","NTD")</f>
        <v>0</v>
      </c>
      <c r="AX40" s="74">
        <f>+GETPIVOTDATA("XSR4",'suoirao (2016)'!$A$3,"MA_HT","DKG","MA_QH","SKX")</f>
        <v>0</v>
      </c>
      <c r="AY40" s="74">
        <f>+GETPIVOTDATA("XSR4",'suoirao (2016)'!$A$3,"MA_HT","DKG","MA_QH","DSH")</f>
        <v>0</v>
      </c>
      <c r="AZ40" s="74">
        <f>+GETPIVOTDATA("XSR4",'suoirao (2016)'!$A$3,"MA_HT","DKG","MA_QH","DKV")</f>
        <v>0</v>
      </c>
      <c r="BA40" s="139">
        <f>+GETPIVOTDATA("XSR4",'suoirao (2016)'!$A$3,"MA_HT","DKG","MA_QH","TIN")</f>
        <v>0</v>
      </c>
      <c r="BB40" s="74">
        <f>+GETPIVOTDATA("XSR4",'suoirao (2016)'!$A$3,"MA_HT","DKG","MA_QH","SON")</f>
        <v>0</v>
      </c>
      <c r="BC40" s="74">
        <f>+GETPIVOTDATA("XSR4",'suoirao (2016)'!$A$3,"MA_HT","DKG","MA_QH","MNC")</f>
        <v>0</v>
      </c>
      <c r="BD40" s="74">
        <f>+GETPIVOTDATA("XSR4",'suoirao (2016)'!$A$3,"MA_HT","DKG","MA_QH","PNK")</f>
        <v>0</v>
      </c>
      <c r="BE40" s="102">
        <f>+GETPIVOTDATA("XSR4",'suoirao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+GETPIVOTDATA("XSR4",'suoirao (2016)'!$A$3,"MA_HT","DDT","MA_QH","LUC")</f>
        <v>0</v>
      </c>
      <c r="H41" s="122">
        <f>+GETPIVOTDATA("XSR4",'suoirao (2016)'!$A$3,"MA_HT","DDT","MA_QH","LUK")</f>
        <v>0</v>
      </c>
      <c r="I41" s="122">
        <f>+GETPIVOTDATA("XSR4",'suoirao (2016)'!$A$3,"MA_HT","DDT","MA_QH","LUN")</f>
        <v>0</v>
      </c>
      <c r="J41" s="122">
        <f>+GETPIVOTDATA("XSR4",'suoirao (2016)'!$A$3,"MA_HT","DDT","MA_QH","HNK")</f>
        <v>0</v>
      </c>
      <c r="K41" s="122">
        <f>+GETPIVOTDATA("XSR4",'suoirao (2016)'!$A$3,"MA_HT","DDT","MA_QH","CLN")</f>
        <v>0</v>
      </c>
      <c r="L41" s="122">
        <f>+GETPIVOTDATA("XSR4",'suoirao (2016)'!$A$3,"MA_HT","DDT","MA_QH","RSX")</f>
        <v>0</v>
      </c>
      <c r="M41" s="122">
        <f>+GETPIVOTDATA("XSR4",'suoirao (2016)'!$A$3,"MA_HT","DDT","MA_QH","RPH")</f>
        <v>0</v>
      </c>
      <c r="N41" s="122">
        <f>+GETPIVOTDATA("XSR4",'suoirao (2016)'!$A$3,"MA_HT","DDT","MA_QH","RDD")</f>
        <v>0</v>
      </c>
      <c r="O41" s="122">
        <f>+GETPIVOTDATA("XSR4",'suoirao (2016)'!$A$3,"MA_HT","DDT","MA_QH","NTS")</f>
        <v>0</v>
      </c>
      <c r="P41" s="122">
        <f>+GETPIVOTDATA("XSR4",'suoirao (2016)'!$A$3,"MA_HT","DDT","MA_QH","LMU")</f>
        <v>0</v>
      </c>
      <c r="Q41" s="122">
        <f>+GETPIVOTDATA("XSR4",'suoirao (2016)'!$A$3,"MA_HT","DDT","MA_QH","NKH")</f>
        <v>0</v>
      </c>
      <c r="R41" s="123">
        <f>SUM(S41:AA41,AO41:BD41)</f>
        <v>0</v>
      </c>
      <c r="S41" s="122">
        <f>+GETPIVOTDATA("XSR4",'suoirao (2016)'!$A$3,"MA_HT","DDT","MA_QH","CQP")</f>
        <v>0</v>
      </c>
      <c r="T41" s="122">
        <f>+GETPIVOTDATA("XSR4",'suoirao (2016)'!$A$3,"MA_HT","DDT","MA_QH","CAN")</f>
        <v>0</v>
      </c>
      <c r="U41" s="122">
        <f>+GETPIVOTDATA("XSR4",'suoirao (2016)'!$A$3,"MA_HT","DDT","MA_QH","SKK")</f>
        <v>0</v>
      </c>
      <c r="V41" s="122">
        <f>+GETPIVOTDATA("XSR4",'suoirao (2016)'!$A$3,"MA_HT","DDT","MA_QH","SKT")</f>
        <v>0</v>
      </c>
      <c r="W41" s="122">
        <f>+GETPIVOTDATA("XSR4",'suoirao (2016)'!$A$3,"MA_HT","DDT","MA_QH","SKN")</f>
        <v>0</v>
      </c>
      <c r="X41" s="122">
        <f>+GETPIVOTDATA("XSR4",'suoirao (2016)'!$A$3,"MA_HT","DDT","MA_QH","TMD")</f>
        <v>0</v>
      </c>
      <c r="Y41" s="122">
        <f>+GETPIVOTDATA("XSR4",'suoirao (2016)'!$A$3,"MA_HT","DDT","MA_QH","SKC")</f>
        <v>0</v>
      </c>
      <c r="Z41" s="122">
        <f>+GETPIVOTDATA("XSR4",'suoirao (2016)'!$A$3,"MA_HT","DDT","MA_QH","SKS")</f>
        <v>0</v>
      </c>
      <c r="AA41" s="121">
        <f t="shared" ref="AA41:AA58" si="21">+SUM(AB41:AM41)</f>
        <v>0</v>
      </c>
      <c r="AB41" s="122">
        <f>+GETPIVOTDATA("XSR4",'suoirao (2016)'!$A$3,"MA_HT","DDT","MA_QH","DGT")</f>
        <v>0</v>
      </c>
      <c r="AC41" s="122">
        <f>+GETPIVOTDATA("XSR4",'suoirao (2016)'!$A$3,"MA_HT","DDT","MA_QH","DTL")</f>
        <v>0</v>
      </c>
      <c r="AD41" s="122">
        <f>+GETPIVOTDATA("XSR4",'suoirao (2016)'!$A$3,"MA_HT","DDT","MA_QH","DNL")</f>
        <v>0</v>
      </c>
      <c r="AE41" s="122">
        <f>+GETPIVOTDATA("XSR4",'suoirao (2016)'!$A$3,"MA_HT","DDT","MA_QH","DBV")</f>
        <v>0</v>
      </c>
      <c r="AF41" s="122">
        <f>+GETPIVOTDATA("XSR4",'suoirao (2016)'!$A$3,"MA_HT","DDT","MA_QH","DVH")</f>
        <v>0</v>
      </c>
      <c r="AG41" s="122">
        <f>+GETPIVOTDATA("XSR4",'suoirao (2016)'!$A$3,"MA_HT","DDT","MA_QH","DYT")</f>
        <v>0</v>
      </c>
      <c r="AH41" s="122">
        <f>+GETPIVOTDATA("XSR4",'suoirao (2016)'!$A$3,"MA_HT","DDT","MA_QH","DGD")</f>
        <v>0</v>
      </c>
      <c r="AI41" s="122">
        <f>+GETPIVOTDATA("XSR4",'suoirao (2016)'!$A$3,"MA_HT","DDT","MA_QH","DTT")</f>
        <v>0</v>
      </c>
      <c r="AJ41" s="122">
        <f>+GETPIVOTDATA("XSR4",'suoirao (2016)'!$A$3,"MA_HT","DDT","MA_QH","NCK")</f>
        <v>0</v>
      </c>
      <c r="AK41" s="122">
        <f>+GETPIVOTDATA("XSR4",'suoirao (2016)'!$A$3,"MA_HT","DDT","MA_QH","DXH")</f>
        <v>0</v>
      </c>
      <c r="AL41" s="122">
        <f>+GETPIVOTDATA("XSR4",'suoirao (2016)'!$A$3,"MA_HT","DDT","MA_QH","DCH")</f>
        <v>0</v>
      </c>
      <c r="AM41" s="122">
        <f>+GETPIVOTDATA("XSR4",'suoirao (2016)'!$A$3,"MA_HT","DDT","MA_QH","DKG")</f>
        <v>0</v>
      </c>
      <c r="AN41" s="124" t="e">
        <f>$D41-$BF41</f>
        <v>#REF!</v>
      </c>
      <c r="AO41" s="122">
        <f>+GETPIVOTDATA("XSR4",'suoirao (2016)'!$A$3,"MA_HT","DDT","MA_QH","DDL")</f>
        <v>0</v>
      </c>
      <c r="AP41" s="122">
        <f>+GETPIVOTDATA("XSR4",'suoirao (2016)'!$A$3,"MA_HT","DDT","MA_QH","DRA")</f>
        <v>0</v>
      </c>
      <c r="AQ41" s="122">
        <f>+GETPIVOTDATA("XSR4",'suoirao (2016)'!$A$3,"MA_HT","DDT","MA_QH","ONT")</f>
        <v>0</v>
      </c>
      <c r="AR41" s="122">
        <f>+GETPIVOTDATA("XSR4",'suoirao (2016)'!$A$3,"MA_HT","DDT","MA_QH","ODT")</f>
        <v>0</v>
      </c>
      <c r="AS41" s="122">
        <f>+GETPIVOTDATA("XSR4",'suoirao (2016)'!$A$3,"MA_HT","DDT","MA_QH","TSC")</f>
        <v>0</v>
      </c>
      <c r="AT41" s="122">
        <f>+GETPIVOTDATA("XSR4",'suoirao (2016)'!$A$3,"MA_HT","DDT","MA_QH","DTS")</f>
        <v>0</v>
      </c>
      <c r="AU41" s="122">
        <f>+GETPIVOTDATA("XSR4",'suoirao (2016)'!$A$3,"MA_HT","DDT","MA_QH","DNG")</f>
        <v>0</v>
      </c>
      <c r="AV41" s="122">
        <f>+GETPIVOTDATA("XSR4",'suoirao (2016)'!$A$3,"MA_HT","DDT","MA_QH","TON")</f>
        <v>0</v>
      </c>
      <c r="AW41" s="122">
        <f>+GETPIVOTDATA("XSR4",'suoirao (2016)'!$A$3,"MA_HT","DDT","MA_QH","NTD")</f>
        <v>0</v>
      </c>
      <c r="AX41" s="122">
        <f>+GETPIVOTDATA("XSR4",'suoirao (2016)'!$A$3,"MA_HT","DDT","MA_QH","SKX")</f>
        <v>0</v>
      </c>
      <c r="AY41" s="122">
        <f>+GETPIVOTDATA("XSR4",'suoirao (2016)'!$A$3,"MA_HT","DDT","MA_QH","DSH")</f>
        <v>0</v>
      </c>
      <c r="AZ41" s="122">
        <f>+GETPIVOTDATA("XSR4",'suoirao (2016)'!$A$3,"MA_HT","DDT","MA_QH","DKV")</f>
        <v>0</v>
      </c>
      <c r="BA41" s="141">
        <f>+GETPIVOTDATA("XSR4",'suoirao (2016)'!$A$3,"MA_HT","DDT","MA_QH","TIN")</f>
        <v>0</v>
      </c>
      <c r="BB41" s="125">
        <f>+GETPIVOTDATA("XSR4",'suoirao (2016)'!$A$3,"MA_HT","DDT","MA_QH","SON")</f>
        <v>0</v>
      </c>
      <c r="BC41" s="125">
        <f>+GETPIVOTDATA("XSR4",'suoirao (2016)'!$A$3,"MA_HT","DDT","MA_QH","MNC")</f>
        <v>0</v>
      </c>
      <c r="BD41" s="122">
        <f>+GETPIVOTDATA("XSR4",'suoirao (2016)'!$A$3,"MA_HT","DDT","MA_QH","PNK")</f>
        <v>0</v>
      </c>
      <c r="BE41" s="126">
        <f>+GETPIVOTDATA("XSR4",'suoirao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+GETPIVOTDATA("XSR4",'suoirao (2016)'!$A$3,"MA_HT","DDL","MA_QH","LUC")</f>
        <v>0</v>
      </c>
      <c r="H42" s="35">
        <f>+GETPIVOTDATA("XSR4",'suoirao (2016)'!$A$3,"MA_HT","DDL","MA_QH","LUK")</f>
        <v>0</v>
      </c>
      <c r="I42" s="35">
        <f>+GETPIVOTDATA("XSR4",'suoirao (2016)'!$A$3,"MA_HT","DDL","MA_QH","LUN")</f>
        <v>0</v>
      </c>
      <c r="J42" s="35">
        <f>+GETPIVOTDATA("XSR4",'suoirao (2016)'!$A$3,"MA_HT","DDL","MA_QH","HNK")</f>
        <v>0</v>
      </c>
      <c r="K42" s="35">
        <f>+GETPIVOTDATA("XSR4",'suoirao (2016)'!$A$3,"MA_HT","DDL","MA_QH","CLN")</f>
        <v>0</v>
      </c>
      <c r="L42" s="35">
        <f>+GETPIVOTDATA("XSR4",'suoirao (2016)'!$A$3,"MA_HT","DDL","MA_QH","RSX")</f>
        <v>0</v>
      </c>
      <c r="M42" s="35">
        <f>+GETPIVOTDATA("XSR4",'suoirao (2016)'!$A$3,"MA_HT","DDL","MA_QH","RPH")</f>
        <v>0</v>
      </c>
      <c r="N42" s="35">
        <f>+GETPIVOTDATA("XSR4",'suoirao (2016)'!$A$3,"MA_HT","DDL","MA_QH","RDD")</f>
        <v>0</v>
      </c>
      <c r="O42" s="35">
        <f>+GETPIVOTDATA("XSR4",'suoirao (2016)'!$A$3,"MA_HT","DDL","MA_QH","NTS")</f>
        <v>0</v>
      </c>
      <c r="P42" s="35">
        <f>+GETPIVOTDATA("XSR4",'suoirao (2016)'!$A$3,"MA_HT","DDL","MA_QH","LMU")</f>
        <v>0</v>
      </c>
      <c r="Q42" s="35">
        <f>+GETPIVOTDATA("XSR4",'suoirao (2016)'!$A$3,"MA_HT","DDL","MA_QH","NKH")</f>
        <v>0</v>
      </c>
      <c r="R42" s="106">
        <f>SUM(S42:AA42,AN42,AP42:BD42)</f>
        <v>0</v>
      </c>
      <c r="S42" s="35">
        <f>+GETPIVOTDATA("XSR4",'suoirao (2016)'!$A$3,"MA_HT","DDL","MA_QH","CQP")</f>
        <v>0</v>
      </c>
      <c r="T42" s="35">
        <f>+GETPIVOTDATA("XSR4",'suoirao (2016)'!$A$3,"MA_HT","DDL","MA_QH","CAN")</f>
        <v>0</v>
      </c>
      <c r="U42" s="35">
        <f>+GETPIVOTDATA("XSR4",'suoirao (2016)'!$A$3,"MA_HT","DDL","MA_QH","SKK")</f>
        <v>0</v>
      </c>
      <c r="V42" s="35">
        <f>+GETPIVOTDATA("XSR4",'suoirao (2016)'!$A$3,"MA_HT","DDL","MA_QH","SKT")</f>
        <v>0</v>
      </c>
      <c r="W42" s="35">
        <f>+GETPIVOTDATA("XSR4",'suoirao (2016)'!$A$3,"MA_HT","DDL","MA_QH","SKN")</f>
        <v>0</v>
      </c>
      <c r="X42" s="35">
        <f>+GETPIVOTDATA("XSR4",'suoirao (2016)'!$A$3,"MA_HT","DDL","MA_QH","TMD")</f>
        <v>0</v>
      </c>
      <c r="Y42" s="35">
        <f>+GETPIVOTDATA("XSR4",'suoirao (2016)'!$A$3,"MA_HT","DDL","MA_QH","SKC")</f>
        <v>0</v>
      </c>
      <c r="Z42" s="35">
        <f>+GETPIVOTDATA("XSR4",'suoirao (2016)'!$A$3,"MA_HT","DDL","MA_QH","SKS")</f>
        <v>0</v>
      </c>
      <c r="AA42" s="64">
        <f t="shared" si="21"/>
        <v>0</v>
      </c>
      <c r="AB42" s="35">
        <f>+GETPIVOTDATA("XSR4",'suoirao (2016)'!$A$3,"MA_HT","DDL","MA_QH","DGT")</f>
        <v>0</v>
      </c>
      <c r="AC42" s="35">
        <f>+GETPIVOTDATA("XSR4",'suoirao (2016)'!$A$3,"MA_HT","DDL","MA_QH","DTL")</f>
        <v>0</v>
      </c>
      <c r="AD42" s="35">
        <f>+GETPIVOTDATA("XSR4",'suoirao (2016)'!$A$3,"MA_HT","DDL","MA_QH","DNL")</f>
        <v>0</v>
      </c>
      <c r="AE42" s="35">
        <f>+GETPIVOTDATA("XSR4",'suoirao (2016)'!$A$3,"MA_HT","DDL","MA_QH","DBV")</f>
        <v>0</v>
      </c>
      <c r="AF42" s="35">
        <f>+GETPIVOTDATA("XSR4",'suoirao (2016)'!$A$3,"MA_HT","DDL","MA_QH","DVH")</f>
        <v>0</v>
      </c>
      <c r="AG42" s="35">
        <f>+GETPIVOTDATA("XSR4",'suoirao (2016)'!$A$3,"MA_HT","DDL","MA_QH","DYT")</f>
        <v>0</v>
      </c>
      <c r="AH42" s="35">
        <f>+GETPIVOTDATA("XSR4",'suoirao (2016)'!$A$3,"MA_HT","DDL","MA_QH","DGD")</f>
        <v>0</v>
      </c>
      <c r="AI42" s="35">
        <f>+GETPIVOTDATA("XSR4",'suoirao (2016)'!$A$3,"MA_HT","DDL","MA_QH","DTT")</f>
        <v>0</v>
      </c>
      <c r="AJ42" s="35">
        <f>+GETPIVOTDATA("XSR4",'suoirao (2016)'!$A$3,"MA_HT","DDL","MA_QH","NCK")</f>
        <v>0</v>
      </c>
      <c r="AK42" s="35">
        <f>+GETPIVOTDATA("XSR4",'suoirao (2016)'!$A$3,"MA_HT","DDL","MA_QH","DXH")</f>
        <v>0</v>
      </c>
      <c r="AL42" s="35">
        <f>+GETPIVOTDATA("XSR4",'suoirao (2016)'!$A$3,"MA_HT","DDL","MA_QH","DCH")</f>
        <v>0</v>
      </c>
      <c r="AM42" s="35">
        <f>+GETPIVOTDATA("XSR4",'suoirao (2016)'!$A$3,"MA_HT","DDL","MA_QH","DKG")</f>
        <v>0</v>
      </c>
      <c r="AN42" s="35">
        <f>+GETPIVOTDATA("XSR4",'suoirao (2016)'!$A$3,"MA_HT","DDL","MA_QH","DDT")</f>
        <v>0</v>
      </c>
      <c r="AO42" s="99" t="e">
        <f>$D42-$BF42</f>
        <v>#REF!</v>
      </c>
      <c r="AP42" s="35">
        <f>+GETPIVOTDATA("XSR4",'suoirao (2016)'!$A$3,"MA_HT","DDL","MA_QH","DRA")</f>
        <v>0</v>
      </c>
      <c r="AQ42" s="35">
        <f>+GETPIVOTDATA("XSR4",'suoirao (2016)'!$A$3,"MA_HT","DDL","MA_QH","ONT")</f>
        <v>0</v>
      </c>
      <c r="AR42" s="35">
        <f>+GETPIVOTDATA("XSR4",'suoirao (2016)'!$A$3,"MA_HT","DDL","MA_QH","ODT")</f>
        <v>0</v>
      </c>
      <c r="AS42" s="35">
        <f>+GETPIVOTDATA("XSR4",'suoirao (2016)'!$A$3,"MA_HT","DDL","MA_QH","TSC")</f>
        <v>0</v>
      </c>
      <c r="AT42" s="35">
        <f>+GETPIVOTDATA("XSR4",'suoirao (2016)'!$A$3,"MA_HT","DDL","MA_QH","DTS")</f>
        <v>0</v>
      </c>
      <c r="AU42" s="35">
        <f>+GETPIVOTDATA("XSR4",'suoirao (2016)'!$A$3,"MA_HT","DDL","MA_QH","DNG")</f>
        <v>0</v>
      </c>
      <c r="AV42" s="35">
        <f>+GETPIVOTDATA("XSR4",'suoirao (2016)'!$A$3,"MA_HT","DDL","MA_QH","TON")</f>
        <v>0</v>
      </c>
      <c r="AW42" s="35">
        <f>+GETPIVOTDATA("XSR4",'suoirao (2016)'!$A$3,"MA_HT","DDL","MA_QH","NTD")</f>
        <v>0</v>
      </c>
      <c r="AX42" s="35">
        <f>+GETPIVOTDATA("XSR4",'suoirao (2016)'!$A$3,"MA_HT","DDL","MA_QH","SKX")</f>
        <v>0</v>
      </c>
      <c r="AY42" s="35">
        <f>+GETPIVOTDATA("XSR4",'suoirao (2016)'!$A$3,"MA_HT","DDL","MA_QH","DSH")</f>
        <v>0</v>
      </c>
      <c r="AZ42" s="35">
        <f>+GETPIVOTDATA("XSR4",'suoirao (2016)'!$A$3,"MA_HT","DDL","MA_QH","DKV")</f>
        <v>0</v>
      </c>
      <c r="BA42" s="140">
        <f>+GETPIVOTDATA("XSR4",'suoirao (2016)'!$A$3,"MA_HT","DDL","MA_QH","TIN")</f>
        <v>0</v>
      </c>
      <c r="BB42" s="74">
        <f>+GETPIVOTDATA("XSR4",'suoirao (2016)'!$A$3,"MA_HT","DDL","MA_QH","SON")</f>
        <v>0</v>
      </c>
      <c r="BC42" s="74">
        <f>+GETPIVOTDATA("XSR4",'suoirao (2016)'!$A$3,"MA_HT","DDL","MA_QH","MNC")</f>
        <v>0</v>
      </c>
      <c r="BD42" s="35">
        <f>+GETPIVOTDATA("XSR4",'suoirao (2016)'!$A$3,"MA_HT","DDL","MA_QH","PNK")</f>
        <v>0</v>
      </c>
      <c r="BE42" s="58">
        <f>+GETPIVOTDATA("XSR4",'suoirao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+GETPIVOTDATA("XSR4",'suoirao (2016)'!$A$3,"MA_HT","DRA","MA_QH","LUC")</f>
        <v>0</v>
      </c>
      <c r="H43" s="35">
        <f>+GETPIVOTDATA("XSR4",'suoirao (2016)'!$A$3,"MA_HT","DRA","MA_QH","LUK")</f>
        <v>0</v>
      </c>
      <c r="I43" s="35">
        <f>+GETPIVOTDATA("XSR4",'suoirao (2016)'!$A$3,"MA_HT","DRA","MA_QH","LUN")</f>
        <v>0</v>
      </c>
      <c r="J43" s="35">
        <f>+GETPIVOTDATA("XSR4",'suoirao (2016)'!$A$3,"MA_HT","DRA","MA_QH","HNK")</f>
        <v>0</v>
      </c>
      <c r="K43" s="35">
        <f>+GETPIVOTDATA("XSR4",'suoirao (2016)'!$A$3,"MA_HT","DRA","MA_QH","CLN")</f>
        <v>0</v>
      </c>
      <c r="L43" s="35">
        <f>+GETPIVOTDATA("XSR4",'suoirao (2016)'!$A$3,"MA_HT","DRA","MA_QH","RSX")</f>
        <v>0</v>
      </c>
      <c r="M43" s="35">
        <f>+GETPIVOTDATA("XSR4",'suoirao (2016)'!$A$3,"MA_HT","DRA","MA_QH","RPH")</f>
        <v>0</v>
      </c>
      <c r="N43" s="35">
        <f>+GETPIVOTDATA("XSR4",'suoirao (2016)'!$A$3,"MA_HT","DRA","MA_QH","RDD")</f>
        <v>0</v>
      </c>
      <c r="O43" s="35">
        <f>+GETPIVOTDATA("XSR4",'suoirao (2016)'!$A$3,"MA_HT","DRA","MA_QH","NTS")</f>
        <v>0</v>
      </c>
      <c r="P43" s="35">
        <f>+GETPIVOTDATA("XSR4",'suoirao (2016)'!$A$3,"MA_HT","DRA","MA_QH","LMU")</f>
        <v>0</v>
      </c>
      <c r="Q43" s="35">
        <f>+GETPIVOTDATA("XSR4",'suoirao (2016)'!$A$3,"MA_HT","DRA","MA_QH","NKH")</f>
        <v>0</v>
      </c>
      <c r="R43" s="106">
        <f>SUM(S43:AA43,AN43:AO43,AQ43:BD43)</f>
        <v>0</v>
      </c>
      <c r="S43" s="35">
        <f>+GETPIVOTDATA("XSR4",'suoirao (2016)'!$A$3,"MA_HT","DRA","MA_QH","CQP")</f>
        <v>0</v>
      </c>
      <c r="T43" s="35">
        <f>+GETPIVOTDATA("XSR4",'suoirao (2016)'!$A$3,"MA_HT","DRA","MA_QH","CAN")</f>
        <v>0</v>
      </c>
      <c r="U43" s="35">
        <f>+GETPIVOTDATA("XSR4",'suoirao (2016)'!$A$3,"MA_HT","DRA","MA_QH","SKK")</f>
        <v>0</v>
      </c>
      <c r="V43" s="35">
        <f>+GETPIVOTDATA("XSR4",'suoirao (2016)'!$A$3,"MA_HT","DRA","MA_QH","SKT")</f>
        <v>0</v>
      </c>
      <c r="W43" s="35">
        <f>+GETPIVOTDATA("XSR4",'suoirao (2016)'!$A$3,"MA_HT","DRA","MA_QH","SKN")</f>
        <v>0</v>
      </c>
      <c r="X43" s="35">
        <f>+GETPIVOTDATA("XSR4",'suoirao (2016)'!$A$3,"MA_HT","DRA","MA_QH","TMD")</f>
        <v>0</v>
      </c>
      <c r="Y43" s="35">
        <f>+GETPIVOTDATA("XSR4",'suoirao (2016)'!$A$3,"MA_HT","DRA","MA_QH","SKC")</f>
        <v>0</v>
      </c>
      <c r="Z43" s="35">
        <f>+GETPIVOTDATA("XSR4",'suoirao (2016)'!$A$3,"MA_HT","DRA","MA_QH","SKS")</f>
        <v>0</v>
      </c>
      <c r="AA43" s="64">
        <f t="shared" si="21"/>
        <v>0</v>
      </c>
      <c r="AB43" s="35">
        <f>+GETPIVOTDATA("XSR4",'suoirao (2016)'!$A$3,"MA_HT","DRA","MA_QH","DGT")</f>
        <v>0</v>
      </c>
      <c r="AC43" s="35">
        <f>+GETPIVOTDATA("XSR4",'suoirao (2016)'!$A$3,"MA_HT","DRA","MA_QH","DTL")</f>
        <v>0</v>
      </c>
      <c r="AD43" s="35">
        <f>+GETPIVOTDATA("XSR4",'suoirao (2016)'!$A$3,"MA_HT","DRA","MA_QH","DNL")</f>
        <v>0</v>
      </c>
      <c r="AE43" s="35">
        <f>+GETPIVOTDATA("XSR4",'suoirao (2016)'!$A$3,"MA_HT","DRA","MA_QH","DBV")</f>
        <v>0</v>
      </c>
      <c r="AF43" s="35">
        <f>+GETPIVOTDATA("XSR4",'suoirao (2016)'!$A$3,"MA_HT","DRA","MA_QH","DVH")</f>
        <v>0</v>
      </c>
      <c r="AG43" s="35">
        <f>+GETPIVOTDATA("XSR4",'suoirao (2016)'!$A$3,"MA_HT","DRA","MA_QH","DYT")</f>
        <v>0</v>
      </c>
      <c r="AH43" s="35">
        <f>+GETPIVOTDATA("XSR4",'suoirao (2016)'!$A$3,"MA_HT","DRA","MA_QH","DGD")</f>
        <v>0</v>
      </c>
      <c r="AI43" s="35">
        <f>+GETPIVOTDATA("XSR4",'suoirao (2016)'!$A$3,"MA_HT","DRA","MA_QH","DTT")</f>
        <v>0</v>
      </c>
      <c r="AJ43" s="35">
        <f>+GETPIVOTDATA("XSR4",'suoirao (2016)'!$A$3,"MA_HT","DRA","MA_QH","NCK")</f>
        <v>0</v>
      </c>
      <c r="AK43" s="35">
        <f>+GETPIVOTDATA("XSR4",'suoirao (2016)'!$A$3,"MA_HT","DRA","MA_QH","DXH")</f>
        <v>0</v>
      </c>
      <c r="AL43" s="35">
        <f>+GETPIVOTDATA("XSR4",'suoirao (2016)'!$A$3,"MA_HT","DRA","MA_QH","DCH")</f>
        <v>0</v>
      </c>
      <c r="AM43" s="35">
        <f>+GETPIVOTDATA("XSR4",'suoirao (2016)'!$A$3,"MA_HT","DRA","MA_QH","DKG")</f>
        <v>0</v>
      </c>
      <c r="AN43" s="35">
        <f>+GETPIVOTDATA("XSR4",'suoirao (2016)'!$A$3,"MA_HT","DRA","MA_QH","DDT")</f>
        <v>0</v>
      </c>
      <c r="AO43" s="35">
        <f>+GETPIVOTDATA("XSR4",'suoirao (2016)'!$A$3,"MA_HT","DRA","MA_QH","DDL")</f>
        <v>0</v>
      </c>
      <c r="AP43" s="99" t="e">
        <f>$D43-$BF43</f>
        <v>#REF!</v>
      </c>
      <c r="AQ43" s="35">
        <f>+GETPIVOTDATA("XSR4",'suoirao (2016)'!$A$3,"MA_HT","DRA","MA_QH","ONT")</f>
        <v>0</v>
      </c>
      <c r="AR43" s="35">
        <f>+GETPIVOTDATA("XSR4",'suoirao (2016)'!$A$3,"MA_HT","DRA","MA_QH","ODT")</f>
        <v>0</v>
      </c>
      <c r="AS43" s="35">
        <f>+GETPIVOTDATA("XSR4",'suoirao (2016)'!$A$3,"MA_HT","DRA","MA_QH","TSC")</f>
        <v>0</v>
      </c>
      <c r="AT43" s="35">
        <f>+GETPIVOTDATA("XSR4",'suoirao (2016)'!$A$3,"MA_HT","DRA","MA_QH","DTS")</f>
        <v>0</v>
      </c>
      <c r="AU43" s="35">
        <f>+GETPIVOTDATA("XSR4",'suoirao (2016)'!$A$3,"MA_HT","DRA","MA_QH","DNG")</f>
        <v>0</v>
      </c>
      <c r="AV43" s="35">
        <f>+GETPIVOTDATA("XSR4",'suoirao (2016)'!$A$3,"MA_HT","DRA","MA_QH","TON")</f>
        <v>0</v>
      </c>
      <c r="AW43" s="35">
        <f>+GETPIVOTDATA("XSR4",'suoirao (2016)'!$A$3,"MA_HT","DRA","MA_QH","NTD")</f>
        <v>0</v>
      </c>
      <c r="AX43" s="35">
        <f>+GETPIVOTDATA("XSR4",'suoirao (2016)'!$A$3,"MA_HT","DRA","MA_QH","SKX")</f>
        <v>0</v>
      </c>
      <c r="AY43" s="35">
        <f>+GETPIVOTDATA("XSR4",'suoirao (2016)'!$A$3,"MA_HT","DRA","MA_QH","DSH")</f>
        <v>0</v>
      </c>
      <c r="AZ43" s="35">
        <f>+GETPIVOTDATA("XSR4",'suoirao (2016)'!$A$3,"MA_HT","DRA","MA_QH","DKV")</f>
        <v>0</v>
      </c>
      <c r="BA43" s="140">
        <f>+GETPIVOTDATA("XSR4",'suoirao (2016)'!$A$3,"MA_HT","DRA","MA_QH","TIN")</f>
        <v>0</v>
      </c>
      <c r="BB43" s="74">
        <f>+GETPIVOTDATA("XSR4",'suoirao (2016)'!$A$3,"MA_HT","DRA","MA_QH","SON")</f>
        <v>0</v>
      </c>
      <c r="BC43" s="74">
        <f>+GETPIVOTDATA("XSR4",'suoirao (2016)'!$A$3,"MA_HT","DRA","MA_QH","MNC")</f>
        <v>0</v>
      </c>
      <c r="BD43" s="35">
        <f>+GETPIVOTDATA("XSR4",'suoirao (2016)'!$A$3,"MA_HT","DRA","MA_QH","PNK")</f>
        <v>0</v>
      </c>
      <c r="BE43" s="58">
        <f>+GETPIVOTDATA("XSR4",'suoirao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+GETPIVOTDATA("XSR4",'suoirao (2016)'!$A$3,"MA_HT","ONT","MA_QH","LUC")</f>
        <v>0</v>
      </c>
      <c r="H44" s="35">
        <f>+GETPIVOTDATA("XSR4",'suoirao (2016)'!$A$3,"MA_HT","ONT","MA_QH","LUK")</f>
        <v>0</v>
      </c>
      <c r="I44" s="35">
        <f>+GETPIVOTDATA("XSR4",'suoirao (2016)'!$A$3,"MA_HT","ONT","MA_QH","LUN")</f>
        <v>0</v>
      </c>
      <c r="J44" s="35">
        <f>+GETPIVOTDATA("XSR4",'suoirao (2016)'!$A$3,"MA_HT","ONT","MA_QH","HNK")</f>
        <v>0</v>
      </c>
      <c r="K44" s="35">
        <f>+GETPIVOTDATA("XSR4",'suoirao (2016)'!$A$3,"MA_HT","ONT","MA_QH","CLN")</f>
        <v>0</v>
      </c>
      <c r="L44" s="35">
        <f>+GETPIVOTDATA("XSR4",'suoirao (2016)'!$A$3,"MA_HT","ONT","MA_QH","RSX")</f>
        <v>0</v>
      </c>
      <c r="M44" s="35">
        <f>+GETPIVOTDATA("XSR4",'suoirao (2016)'!$A$3,"MA_HT","ONT","MA_QH","RPH")</f>
        <v>0</v>
      </c>
      <c r="N44" s="35">
        <f>+GETPIVOTDATA("XSR4",'suoirao (2016)'!$A$3,"MA_HT","ONT","MA_QH","RDD")</f>
        <v>0</v>
      </c>
      <c r="O44" s="35">
        <f>+GETPIVOTDATA("XSR4",'suoirao (2016)'!$A$3,"MA_HT","ONT","MA_QH","NTS")</f>
        <v>0</v>
      </c>
      <c r="P44" s="35">
        <f>+GETPIVOTDATA("XSR4",'suoirao (2016)'!$A$3,"MA_HT","ONT","MA_QH","LMU")</f>
        <v>0</v>
      </c>
      <c r="Q44" s="35">
        <f>+GETPIVOTDATA("XSR4",'suoirao (2016)'!$A$3,"MA_HT","ONT","MA_QH","NKH")</f>
        <v>0</v>
      </c>
      <c r="R44" s="106">
        <f>SUM(S44:AA44,AN44:AP44,AR44:BD44)</f>
        <v>0</v>
      </c>
      <c r="S44" s="35">
        <f>+GETPIVOTDATA("XSR4",'suoirao (2016)'!$A$3,"MA_HT","ONT","MA_QH","CQP")</f>
        <v>0</v>
      </c>
      <c r="T44" s="35">
        <f>+GETPIVOTDATA("XSR4",'suoirao (2016)'!$A$3,"MA_HT","ONT","MA_QH","CAN")</f>
        <v>0</v>
      </c>
      <c r="U44" s="35">
        <f>+GETPIVOTDATA("XSR4",'suoirao (2016)'!$A$3,"MA_HT","ONT","MA_QH","SKK")</f>
        <v>0</v>
      </c>
      <c r="V44" s="35">
        <f>+GETPIVOTDATA("XSR4",'suoirao (2016)'!$A$3,"MA_HT","ONT","MA_QH","SKT")</f>
        <v>0</v>
      </c>
      <c r="W44" s="35">
        <f>+GETPIVOTDATA("XSR4",'suoirao (2016)'!$A$3,"MA_HT","ONT","MA_QH","SKN")</f>
        <v>0</v>
      </c>
      <c r="X44" s="35">
        <f>+GETPIVOTDATA("XSR4",'suoirao (2016)'!$A$3,"MA_HT","ONT","MA_QH","TMD")</f>
        <v>0</v>
      </c>
      <c r="Y44" s="35">
        <f>+GETPIVOTDATA("XSR4",'suoirao (2016)'!$A$3,"MA_HT","ONT","MA_QH","SKC")</f>
        <v>0</v>
      </c>
      <c r="Z44" s="35">
        <f>+GETPIVOTDATA("XSR4",'suoirao (2016)'!$A$3,"MA_HT","ONT","MA_QH","SKS")</f>
        <v>0</v>
      </c>
      <c r="AA44" s="64">
        <f t="shared" si="21"/>
        <v>0</v>
      </c>
      <c r="AB44" s="35">
        <f>+GETPIVOTDATA("XSR4",'suoirao (2016)'!$A$3,"MA_HT","ONT","MA_QH","DGT")</f>
        <v>0</v>
      </c>
      <c r="AC44" s="35">
        <f>+GETPIVOTDATA("XSR4",'suoirao (2016)'!$A$3,"MA_HT","ONT","MA_QH","DTL")</f>
        <v>0</v>
      </c>
      <c r="AD44" s="35">
        <f>+GETPIVOTDATA("XSR4",'suoirao (2016)'!$A$3,"MA_HT","ONT","MA_QH","DNL")</f>
        <v>0</v>
      </c>
      <c r="AE44" s="35">
        <f>+GETPIVOTDATA("XSR4",'suoirao (2016)'!$A$3,"MA_HT","ONT","MA_QH","DBV")</f>
        <v>0</v>
      </c>
      <c r="AF44" s="35">
        <f>+GETPIVOTDATA("XSR4",'suoirao (2016)'!$A$3,"MA_HT","ONT","MA_QH","DVH")</f>
        <v>0</v>
      </c>
      <c r="AG44" s="35">
        <f>+GETPIVOTDATA("XSR4",'suoirao (2016)'!$A$3,"MA_HT","ONT","MA_QH","DYT")</f>
        <v>0</v>
      </c>
      <c r="AH44" s="35">
        <f>+GETPIVOTDATA("XSR4",'suoirao (2016)'!$A$3,"MA_HT","ONT","MA_QH","DGD")</f>
        <v>0</v>
      </c>
      <c r="AI44" s="35">
        <f>+GETPIVOTDATA("XSR4",'suoirao (2016)'!$A$3,"MA_HT","ONT","MA_QH","DTT")</f>
        <v>0</v>
      </c>
      <c r="AJ44" s="35">
        <f>+GETPIVOTDATA("XSR4",'suoirao (2016)'!$A$3,"MA_HT","ONT","MA_QH","NCK")</f>
        <v>0</v>
      </c>
      <c r="AK44" s="35">
        <f>+GETPIVOTDATA("XSR4",'suoirao (2016)'!$A$3,"MA_HT","ONT","MA_QH","DXH")</f>
        <v>0</v>
      </c>
      <c r="AL44" s="35">
        <f>+GETPIVOTDATA("XSR4",'suoirao (2016)'!$A$3,"MA_HT","ONT","MA_QH","DCH")</f>
        <v>0</v>
      </c>
      <c r="AM44" s="35">
        <f>+GETPIVOTDATA("XSR4",'suoirao (2016)'!$A$3,"MA_HT","ONT","MA_QH","DKG")</f>
        <v>0</v>
      </c>
      <c r="AN44" s="35">
        <f>+GETPIVOTDATA("XSR4",'suoirao (2016)'!$A$3,"MA_HT","ONT","MA_QH","DDT")</f>
        <v>0</v>
      </c>
      <c r="AO44" s="35">
        <f>+GETPIVOTDATA("XSR4",'suoirao (2016)'!$A$3,"MA_HT","ONT","MA_QH","DDL")</f>
        <v>0</v>
      </c>
      <c r="AP44" s="35">
        <f>+GETPIVOTDATA("XSR4",'suoirao (2016)'!$A$3,"MA_HT","ONT","MA_QH","DRA")</f>
        <v>0</v>
      </c>
      <c r="AQ44" s="99" t="e">
        <f>$D44-$BF44</f>
        <v>#REF!</v>
      </c>
      <c r="AR44" s="35">
        <f>+GETPIVOTDATA("XSR4",'suoirao (2016)'!$A$3,"MA_HT","ONT","MA_QH","ODT")</f>
        <v>0</v>
      </c>
      <c r="AS44" s="35">
        <f>+GETPIVOTDATA("XSR4",'suoirao (2016)'!$A$3,"MA_HT","ONT","MA_QH","TSC")</f>
        <v>0</v>
      </c>
      <c r="AT44" s="35">
        <f>+GETPIVOTDATA("XSR4",'suoirao (2016)'!$A$3,"MA_HT","ONT","MA_QH","DTS")</f>
        <v>0</v>
      </c>
      <c r="AU44" s="35">
        <f>+GETPIVOTDATA("XSR4",'suoirao (2016)'!$A$3,"MA_HT","ONT","MA_QH","DNG")</f>
        <v>0</v>
      </c>
      <c r="AV44" s="35">
        <f>+GETPIVOTDATA("XSR4",'suoirao (2016)'!$A$3,"MA_HT","ONT","MA_QH","TON")</f>
        <v>0</v>
      </c>
      <c r="AW44" s="35">
        <f>+GETPIVOTDATA("XSR4",'suoirao (2016)'!$A$3,"MA_HT","ONT","MA_QH","NTD")</f>
        <v>0</v>
      </c>
      <c r="AX44" s="35">
        <f>+GETPIVOTDATA("XSR4",'suoirao (2016)'!$A$3,"MA_HT","ONT","MA_QH","SKX")</f>
        <v>0</v>
      </c>
      <c r="AY44" s="35">
        <f>+GETPIVOTDATA("XSR4",'suoirao (2016)'!$A$3,"MA_HT","ONT","MA_QH","DSH")</f>
        <v>0</v>
      </c>
      <c r="AZ44" s="35">
        <f>+GETPIVOTDATA("XSR4",'suoirao (2016)'!$A$3,"MA_HT","ONT","MA_QH","DKV")</f>
        <v>0</v>
      </c>
      <c r="BA44" s="140">
        <f>+GETPIVOTDATA("XSR4",'suoirao (2016)'!$A$3,"MA_HT","ONT","MA_QH","TIN")</f>
        <v>0</v>
      </c>
      <c r="BB44" s="74">
        <f>+GETPIVOTDATA("XSR4",'suoirao (2016)'!$A$3,"MA_HT","ONT","MA_QH","SON")</f>
        <v>0</v>
      </c>
      <c r="BC44" s="74">
        <f>+GETPIVOTDATA("XSR4",'suoirao (2016)'!$A$3,"MA_HT","ONT","MA_QH","MNC")</f>
        <v>0</v>
      </c>
      <c r="BD44" s="35">
        <f>+GETPIVOTDATA("XSR4",'suoirao (2016)'!$A$3,"MA_HT","ONT","MA_QH","PNK")</f>
        <v>0</v>
      </c>
      <c r="BE44" s="58">
        <f>+GETPIVOTDATA("XSR4",'suoirao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+GETPIVOTDATA("XSR4",'suoirao (2016)'!$A$3,"MA_HT","ODT","MA_QH","LUC")</f>
        <v>0</v>
      </c>
      <c r="H45" s="111">
        <f>+GETPIVOTDATA("XSR4",'suoirao (2016)'!$A$3,"MA_HT","ODT","MA_QH","LUK")</f>
        <v>0</v>
      </c>
      <c r="I45" s="111">
        <f>+GETPIVOTDATA("XSR4",'suoirao (2016)'!$A$3,"MA_HT","ODT","MA_QH","LUN")</f>
        <v>0</v>
      </c>
      <c r="J45" s="111">
        <f>+GETPIVOTDATA("XSR4",'suoirao (2016)'!$A$3,"MA_HT","ODT","MA_QH","HNK")</f>
        <v>0</v>
      </c>
      <c r="K45" s="111">
        <f>+GETPIVOTDATA("XSR4",'suoirao (2016)'!$A$3,"MA_HT","ODT","MA_QH","CLN")</f>
        <v>0</v>
      </c>
      <c r="L45" s="111">
        <f>+GETPIVOTDATA("XSR4",'suoirao (2016)'!$A$3,"MA_HT","ODT","MA_QH","RSX")</f>
        <v>0</v>
      </c>
      <c r="M45" s="111">
        <f>+GETPIVOTDATA("XSR4",'suoirao (2016)'!$A$3,"MA_HT","ODT","MA_QH","RPH")</f>
        <v>0</v>
      </c>
      <c r="N45" s="111">
        <f>+GETPIVOTDATA("XSR4",'suoirao (2016)'!$A$3,"MA_HT","ODT","MA_QH","RDD")</f>
        <v>0</v>
      </c>
      <c r="O45" s="111">
        <f>+GETPIVOTDATA("XSR4",'suoirao (2016)'!$A$3,"MA_HT","ODT","MA_QH","NTS")</f>
        <v>0</v>
      </c>
      <c r="P45" s="111">
        <f>+GETPIVOTDATA("XSR4",'suoirao (2016)'!$A$3,"MA_HT","ODT","MA_QH","LMU")</f>
        <v>0</v>
      </c>
      <c r="Q45" s="111">
        <f>+GETPIVOTDATA("XSR4",'suoirao (2016)'!$A$3,"MA_HT","ODT","MA_QH","NKH")</f>
        <v>0</v>
      </c>
      <c r="R45" s="106">
        <f>SUM(S45:AA45,AN45:AQ45,AS45:BD45)</f>
        <v>0</v>
      </c>
      <c r="S45" s="111">
        <f>+GETPIVOTDATA("XSR4",'suoirao (2016)'!$A$3,"MA_HT","ODT","MA_QH","CQP")</f>
        <v>0</v>
      </c>
      <c r="T45" s="111">
        <f>+GETPIVOTDATA("XSR4",'suoirao (2016)'!$A$3,"MA_HT","ODT","MA_QH","CAN")</f>
        <v>0</v>
      </c>
      <c r="U45" s="111">
        <f>+GETPIVOTDATA("XSR4",'suoirao (2016)'!$A$3,"MA_HT","ODT","MA_QH","SKK")</f>
        <v>0</v>
      </c>
      <c r="V45" s="111">
        <f>+GETPIVOTDATA("XSR4",'suoirao (2016)'!$A$3,"MA_HT","ODT","MA_QH","SKT")</f>
        <v>0</v>
      </c>
      <c r="W45" s="111">
        <f>+GETPIVOTDATA("XSR4",'suoirao (2016)'!$A$3,"MA_HT","ODT","MA_QH","SKN")</f>
        <v>0</v>
      </c>
      <c r="X45" s="111">
        <f>+GETPIVOTDATA("XSR4",'suoirao (2016)'!$A$3,"MA_HT","ODT","MA_QH","TMD")</f>
        <v>0</v>
      </c>
      <c r="Y45" s="111">
        <f>+GETPIVOTDATA("XSR4",'suoirao (2016)'!$A$3,"MA_HT","ODT","MA_QH","SKC")</f>
        <v>0</v>
      </c>
      <c r="Z45" s="111">
        <f>+GETPIVOTDATA("XSR4",'suoirao (2016)'!$A$3,"MA_HT","ODT","MA_QH","SKS")</f>
        <v>0</v>
      </c>
      <c r="AA45" s="104">
        <f t="shared" si="21"/>
        <v>0</v>
      </c>
      <c r="AB45" s="111">
        <f>+GETPIVOTDATA("XSR4",'suoirao (2016)'!$A$3,"MA_HT","ODT","MA_QH","DGT")</f>
        <v>0</v>
      </c>
      <c r="AC45" s="111">
        <f>+GETPIVOTDATA("XSR4",'suoirao (2016)'!$A$3,"MA_HT","ODT","MA_QH","DTL")</f>
        <v>0</v>
      </c>
      <c r="AD45" s="111">
        <f>+GETPIVOTDATA("XSR4",'suoirao (2016)'!$A$3,"MA_HT","ODT","MA_QH","DNL")</f>
        <v>0</v>
      </c>
      <c r="AE45" s="111">
        <f>+GETPIVOTDATA("XSR4",'suoirao (2016)'!$A$3,"MA_HT","ODT","MA_QH","DBV")</f>
        <v>0</v>
      </c>
      <c r="AF45" s="111">
        <f>+GETPIVOTDATA("XSR4",'suoirao (2016)'!$A$3,"MA_HT","ODT","MA_QH","DVH")</f>
        <v>0</v>
      </c>
      <c r="AG45" s="111">
        <f>+GETPIVOTDATA("XSR4",'suoirao (2016)'!$A$3,"MA_HT","ODT","MA_QH","DYT")</f>
        <v>0</v>
      </c>
      <c r="AH45" s="111">
        <f>+GETPIVOTDATA("XSR4",'suoirao (2016)'!$A$3,"MA_HT","ODT","MA_QH","DGD")</f>
        <v>0</v>
      </c>
      <c r="AI45" s="111">
        <f>+GETPIVOTDATA("XSR4",'suoirao (2016)'!$A$3,"MA_HT","ODT","MA_QH","DTT")</f>
        <v>0</v>
      </c>
      <c r="AJ45" s="111">
        <f>+GETPIVOTDATA("XSR4",'suoirao (2016)'!$A$3,"MA_HT","ODT","MA_QH","NCK")</f>
        <v>0</v>
      </c>
      <c r="AK45" s="111">
        <f>+GETPIVOTDATA("XSR4",'suoirao (2016)'!$A$3,"MA_HT","ODT","MA_QH","DXH")</f>
        <v>0</v>
      </c>
      <c r="AL45" s="111">
        <f>+GETPIVOTDATA("XSR4",'suoirao (2016)'!$A$3,"MA_HT","ODT","MA_QH","DCH")</f>
        <v>0</v>
      </c>
      <c r="AM45" s="111">
        <f>+GETPIVOTDATA("XSR4",'suoirao (2016)'!$A$3,"MA_HT","ODT","MA_QH","DKG")</f>
        <v>0</v>
      </c>
      <c r="AN45" s="111">
        <f>+GETPIVOTDATA("XSR4",'suoirao (2016)'!$A$3,"MA_HT","ODT","MA_QH","DDT")</f>
        <v>0</v>
      </c>
      <c r="AO45" s="111">
        <f>+GETPIVOTDATA("XSR4",'suoirao (2016)'!$A$3,"MA_HT","ODT","MA_QH","DDL")</f>
        <v>0</v>
      </c>
      <c r="AP45" s="111">
        <f>+GETPIVOTDATA("XSR4",'suoirao (2016)'!$A$3,"MA_HT","ODT","MA_QH","DRA")</f>
        <v>0</v>
      </c>
      <c r="AQ45" s="111">
        <f>+GETPIVOTDATA("XSR4",'suoirao (2016)'!$A$3,"MA_HT","ODT","MA_QH","ONT")</f>
        <v>0</v>
      </c>
      <c r="AR45" s="112" t="e">
        <f>$D45-$BF45</f>
        <v>#REF!</v>
      </c>
      <c r="AS45" s="111">
        <f>+GETPIVOTDATA("XSR4",'suoirao (2016)'!$A$3,"MA_HT","ODT","MA_QH","TSC")</f>
        <v>0</v>
      </c>
      <c r="AT45" s="111">
        <f>+GETPIVOTDATA("XSR4",'suoirao (2016)'!$A$3,"MA_HT","ODT","MA_QH","DTS")</f>
        <v>0</v>
      </c>
      <c r="AU45" s="111">
        <f>+GETPIVOTDATA("XSR4",'suoirao (2016)'!$A$3,"MA_HT","ODT","MA_QH","DNG")</f>
        <v>0</v>
      </c>
      <c r="AV45" s="111">
        <f>+GETPIVOTDATA("XSR4",'suoirao (2016)'!$A$3,"MA_HT","ODT","MA_QH","TON")</f>
        <v>0</v>
      </c>
      <c r="AW45" s="111">
        <f>+GETPIVOTDATA("XSR4",'suoirao (2016)'!$A$3,"MA_HT","ODT","MA_QH","NTD")</f>
        <v>0</v>
      </c>
      <c r="AX45" s="111">
        <f>+GETPIVOTDATA("XSR4",'suoirao (2016)'!$A$3,"MA_HT","ODT","MA_QH","SKX")</f>
        <v>0</v>
      </c>
      <c r="AY45" s="111">
        <f>+GETPIVOTDATA("XSR4",'suoirao (2016)'!$A$3,"MA_HT","ODT","MA_QH","DSH")</f>
        <v>0</v>
      </c>
      <c r="AZ45" s="111">
        <f>+GETPIVOTDATA("XSR4",'suoirao (2016)'!$A$3,"MA_HT","ODT","MA_QH","DKV")</f>
        <v>0</v>
      </c>
      <c r="BA45" s="142">
        <f>+GETPIVOTDATA("XSR4",'suoirao (2016)'!$A$3,"MA_HT","ODT","MA_QH","TIN")</f>
        <v>0</v>
      </c>
      <c r="BB45" s="105">
        <f>+GETPIVOTDATA("XSR4",'suoirao (2016)'!$A$3,"MA_HT","ODT","MA_QH","SON")</f>
        <v>0</v>
      </c>
      <c r="BC45" s="105">
        <f>+GETPIVOTDATA("XSR4",'suoirao (2016)'!$A$3,"MA_HT","ODT","MA_QH","MNC")</f>
        <v>0</v>
      </c>
      <c r="BD45" s="111">
        <f>+GETPIVOTDATA("XSR4",'suoirao (2016)'!$A$3,"MA_HT","ODT","MA_QH","PNK")</f>
        <v>0</v>
      </c>
      <c r="BE45" s="113">
        <f>+GETPIVOTDATA("XSR4",'suoirao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+GETPIVOTDATA("XSR4",'suoirao (2016)'!$A$3,"MA_HT","TSC","MA_QH","LUC")</f>
        <v>0</v>
      </c>
      <c r="H46" s="35">
        <f>+GETPIVOTDATA("XSR4",'suoirao (2016)'!$A$3,"MA_HT","TSC","MA_QH","LUK")</f>
        <v>0</v>
      </c>
      <c r="I46" s="35">
        <f>+GETPIVOTDATA("XSR4",'suoirao (2016)'!$A$3,"MA_HT","TSC","MA_QH","LUN")</f>
        <v>0</v>
      </c>
      <c r="J46" s="35">
        <f>+GETPIVOTDATA("XSR4",'suoirao (2016)'!$A$3,"MA_HT","TSC","MA_QH","HNK")</f>
        <v>0</v>
      </c>
      <c r="K46" s="35">
        <f>+GETPIVOTDATA("XSR4",'suoirao (2016)'!$A$3,"MA_HT","TSC","MA_QH","CLN")</f>
        <v>0</v>
      </c>
      <c r="L46" s="35">
        <f>+GETPIVOTDATA("XSR4",'suoirao (2016)'!$A$3,"MA_HT","TSC","MA_QH","RSX")</f>
        <v>0</v>
      </c>
      <c r="M46" s="35">
        <f>+GETPIVOTDATA("XSR4",'suoirao (2016)'!$A$3,"MA_HT","TSC","MA_QH","RPH")</f>
        <v>0</v>
      </c>
      <c r="N46" s="35">
        <f>+GETPIVOTDATA("XSR4",'suoirao (2016)'!$A$3,"MA_HT","TSC","MA_QH","RDD")</f>
        <v>0</v>
      </c>
      <c r="O46" s="35">
        <f>+GETPIVOTDATA("XSR4",'suoirao (2016)'!$A$3,"MA_HT","TSC","MA_QH","NTS")</f>
        <v>0</v>
      </c>
      <c r="P46" s="35">
        <f>+GETPIVOTDATA("XSR4",'suoirao (2016)'!$A$3,"MA_HT","TSC","MA_QH","LMU")</f>
        <v>0</v>
      </c>
      <c r="Q46" s="35">
        <f>+GETPIVOTDATA("XSR4",'suoirao (2016)'!$A$3,"MA_HT","TSC","MA_QH","NKH")</f>
        <v>0</v>
      </c>
      <c r="R46" s="72">
        <f>SUM(S46:AA46,AN46:AR46,AT46:BD46)</f>
        <v>0</v>
      </c>
      <c r="S46" s="35">
        <f>+GETPIVOTDATA("XSR4",'suoirao (2016)'!$A$3,"MA_HT","TSC","MA_QH","CQP")</f>
        <v>0</v>
      </c>
      <c r="T46" s="35">
        <f>+GETPIVOTDATA("XSR4",'suoirao (2016)'!$A$3,"MA_HT","TSC","MA_QH","CAN")</f>
        <v>0</v>
      </c>
      <c r="U46" s="35">
        <f>+GETPIVOTDATA("XSR4",'suoirao (2016)'!$A$3,"MA_HT","TSC","MA_QH","SKK")</f>
        <v>0</v>
      </c>
      <c r="V46" s="35">
        <f>+GETPIVOTDATA("XSR4",'suoirao (2016)'!$A$3,"MA_HT","TSC","MA_QH","SKT")</f>
        <v>0</v>
      </c>
      <c r="W46" s="35">
        <f>+GETPIVOTDATA("XSR4",'suoirao (2016)'!$A$3,"MA_HT","TSC","MA_QH","SKN")</f>
        <v>0</v>
      </c>
      <c r="X46" s="35">
        <f>+GETPIVOTDATA("XSR4",'suoirao (2016)'!$A$3,"MA_HT","TSC","MA_QH","TMD")</f>
        <v>0</v>
      </c>
      <c r="Y46" s="35">
        <f>+GETPIVOTDATA("XSR4",'suoirao (2016)'!$A$3,"MA_HT","TSC","MA_QH","SKC")</f>
        <v>0</v>
      </c>
      <c r="Z46" s="35">
        <f>+GETPIVOTDATA("XSR4",'suoirao (2016)'!$A$3,"MA_HT","TSC","MA_QH","SKS")</f>
        <v>0</v>
      </c>
      <c r="AA46" s="64">
        <f t="shared" si="21"/>
        <v>0</v>
      </c>
      <c r="AB46" s="35">
        <f>+GETPIVOTDATA("XSR4",'suoirao (2016)'!$A$3,"MA_HT","TSC","MA_QH","DGT")</f>
        <v>0</v>
      </c>
      <c r="AC46" s="35">
        <f>+GETPIVOTDATA("XSR4",'suoirao (2016)'!$A$3,"MA_HT","TSC","MA_QH","DTL")</f>
        <v>0</v>
      </c>
      <c r="AD46" s="35">
        <f>+GETPIVOTDATA("XSR4",'suoirao (2016)'!$A$3,"MA_HT","TSC","MA_QH","DNL")</f>
        <v>0</v>
      </c>
      <c r="AE46" s="35">
        <f>+GETPIVOTDATA("XSR4",'suoirao (2016)'!$A$3,"MA_HT","TSC","MA_QH","DBV")</f>
        <v>0</v>
      </c>
      <c r="AF46" s="35">
        <f>+GETPIVOTDATA("XSR4",'suoirao (2016)'!$A$3,"MA_HT","TSC","MA_QH","DVH")</f>
        <v>0</v>
      </c>
      <c r="AG46" s="35">
        <f>+GETPIVOTDATA("XSR4",'suoirao (2016)'!$A$3,"MA_HT","TSC","MA_QH","DYT")</f>
        <v>0</v>
      </c>
      <c r="AH46" s="35">
        <f>+GETPIVOTDATA("XSR4",'suoirao (2016)'!$A$3,"MA_HT","TSC","MA_QH","DGD")</f>
        <v>0</v>
      </c>
      <c r="AI46" s="35">
        <f>+GETPIVOTDATA("XSR4",'suoirao (2016)'!$A$3,"MA_HT","TSC","MA_QH","DTT")</f>
        <v>0</v>
      </c>
      <c r="AJ46" s="35">
        <f>+GETPIVOTDATA("XSR4",'suoirao (2016)'!$A$3,"MA_HT","TSC","MA_QH","NCK")</f>
        <v>0</v>
      </c>
      <c r="AK46" s="35">
        <f>+GETPIVOTDATA("XSR4",'suoirao (2016)'!$A$3,"MA_HT","TSC","MA_QH","DXH")</f>
        <v>0</v>
      </c>
      <c r="AL46" s="35">
        <f>+GETPIVOTDATA("XSR4",'suoirao (2016)'!$A$3,"MA_HT","TSC","MA_QH","DCH")</f>
        <v>0</v>
      </c>
      <c r="AM46" s="35">
        <f>+GETPIVOTDATA("XSR4",'suoirao (2016)'!$A$3,"MA_HT","TSC","MA_QH","DKG")</f>
        <v>0</v>
      </c>
      <c r="AN46" s="35">
        <f>+GETPIVOTDATA("XSR4",'suoirao (2016)'!$A$3,"MA_HT","TSC","MA_QH","DDT")</f>
        <v>0</v>
      </c>
      <c r="AO46" s="35">
        <f>+GETPIVOTDATA("XSR4",'suoirao (2016)'!$A$3,"MA_HT","TSC","MA_QH","DDL")</f>
        <v>0</v>
      </c>
      <c r="AP46" s="35">
        <f>+GETPIVOTDATA("XSR4",'suoirao (2016)'!$A$3,"MA_HT","TSC","MA_QH","DRA")</f>
        <v>0</v>
      </c>
      <c r="AQ46" s="35">
        <f>+GETPIVOTDATA("XSR4",'suoirao (2016)'!$A$3,"MA_HT","TSC","MA_QH","ONT")</f>
        <v>0</v>
      </c>
      <c r="AR46" s="35">
        <f>+GETPIVOTDATA("XSR4",'suoirao (2016)'!$A$3,"MA_HT","TSC","MA_QH","ODT")</f>
        <v>0</v>
      </c>
      <c r="AS46" s="99" t="e">
        <f>$D46-$BF46</f>
        <v>#REF!</v>
      </c>
      <c r="AT46" s="35">
        <f>+GETPIVOTDATA("XSR4",'suoirao (2016)'!$A$3,"MA_HT","TSC","MA_QH","DTS")</f>
        <v>0</v>
      </c>
      <c r="AU46" s="35">
        <f>+GETPIVOTDATA("XSR4",'suoirao (2016)'!$A$3,"MA_HT","TSC","MA_QH","DNG")</f>
        <v>0</v>
      </c>
      <c r="AV46" s="35">
        <f>+GETPIVOTDATA("XSR4",'suoirao (2016)'!$A$3,"MA_HT","TSC","MA_QH","TON")</f>
        <v>0</v>
      </c>
      <c r="AW46" s="35">
        <f>+GETPIVOTDATA("XSR4",'suoirao (2016)'!$A$3,"MA_HT","TSC","MA_QH","NTD")</f>
        <v>0</v>
      </c>
      <c r="AX46" s="35">
        <f>+GETPIVOTDATA("XSR4",'suoirao (2016)'!$A$3,"MA_HT","TSC","MA_QH","SKX")</f>
        <v>0</v>
      </c>
      <c r="AY46" s="35">
        <f>+GETPIVOTDATA("XSR4",'suoirao (2016)'!$A$3,"MA_HT","TSC","MA_QH","DSH")</f>
        <v>0</v>
      </c>
      <c r="AZ46" s="35">
        <f>+GETPIVOTDATA("XSR4",'suoirao (2016)'!$A$3,"MA_HT","TSC","MA_QH","DKV")</f>
        <v>0</v>
      </c>
      <c r="BA46" s="140">
        <f>+GETPIVOTDATA("XSR4",'suoirao (2016)'!$A$3,"MA_HT","TSC","MA_QH","TIN")</f>
        <v>0</v>
      </c>
      <c r="BB46" s="74">
        <f>+GETPIVOTDATA("XSR4",'suoirao (2016)'!$A$3,"MA_HT","TSC","MA_QH","SON")</f>
        <v>0</v>
      </c>
      <c r="BC46" s="74">
        <f>+GETPIVOTDATA("XSR4",'suoirao (2016)'!$A$3,"MA_HT","TSC","MA_QH","MNC")</f>
        <v>0</v>
      </c>
      <c r="BD46" s="35">
        <f>+GETPIVOTDATA("XSR4",'suoirao (2016)'!$A$3,"MA_HT","TSC","MA_QH","PNK")</f>
        <v>0</v>
      </c>
      <c r="BE46" s="58">
        <f>+GETPIVOTDATA("XSR4",'suoirao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+GETPIVOTDATA("XSR4",'suoirao (2016)'!$A$3,"MA_HT","DTS","MA_QH","LUC")</f>
        <v>0</v>
      </c>
      <c r="H47" s="122">
        <f>+GETPIVOTDATA("XSR4",'suoirao (2016)'!$A$3,"MA_HT","DTS","MA_QH","LUK")</f>
        <v>0</v>
      </c>
      <c r="I47" s="122">
        <f>+GETPIVOTDATA("XSR4",'suoirao (2016)'!$A$3,"MA_HT","DTS","MA_QH","LUN")</f>
        <v>0</v>
      </c>
      <c r="J47" s="122">
        <f>+GETPIVOTDATA("XSR4",'suoirao (2016)'!$A$3,"MA_HT","DTS","MA_QH","HNK")</f>
        <v>0</v>
      </c>
      <c r="K47" s="122">
        <f>+GETPIVOTDATA("XSR4",'suoirao (2016)'!$A$3,"MA_HT","DTS","MA_QH","CLN")</f>
        <v>0</v>
      </c>
      <c r="L47" s="122">
        <f>+GETPIVOTDATA("XSR4",'suoirao (2016)'!$A$3,"MA_HT","DTS","MA_QH","RSX")</f>
        <v>0</v>
      </c>
      <c r="M47" s="122">
        <f>+GETPIVOTDATA("XSR4",'suoirao (2016)'!$A$3,"MA_HT","DTS","MA_QH","RPH")</f>
        <v>0</v>
      </c>
      <c r="N47" s="122">
        <f>+GETPIVOTDATA("XSR4",'suoirao (2016)'!$A$3,"MA_HT","DTS","MA_QH","RDD")</f>
        <v>0</v>
      </c>
      <c r="O47" s="122">
        <f>+GETPIVOTDATA("XSR4",'suoirao (2016)'!$A$3,"MA_HT","DTS","MA_QH","NTS")</f>
        <v>0</v>
      </c>
      <c r="P47" s="122">
        <f>+GETPIVOTDATA("XSR4",'suoirao (2016)'!$A$3,"MA_HT","DTS","MA_QH","LMU")</f>
        <v>0</v>
      </c>
      <c r="Q47" s="122">
        <f>+GETPIVOTDATA("XSR4",'suoirao (2016)'!$A$3,"MA_HT","DTS","MA_QH","NKH")</f>
        <v>0</v>
      </c>
      <c r="R47" s="123">
        <f>SUM(S47:AA47,AN47:AS47,AU47:BD47)</f>
        <v>0</v>
      </c>
      <c r="S47" s="122">
        <f>+GETPIVOTDATA("XSR4",'suoirao (2016)'!$A$3,"MA_HT","DTS","MA_QH","CQP")</f>
        <v>0</v>
      </c>
      <c r="T47" s="122">
        <f>+GETPIVOTDATA("XSR4",'suoirao (2016)'!$A$3,"MA_HT","DTS","MA_QH","CAN")</f>
        <v>0</v>
      </c>
      <c r="U47" s="122">
        <f>+GETPIVOTDATA("XSR4",'suoirao (2016)'!$A$3,"MA_HT","DTS","MA_QH","SKK")</f>
        <v>0</v>
      </c>
      <c r="V47" s="122">
        <f>+GETPIVOTDATA("XSR4",'suoirao (2016)'!$A$3,"MA_HT","DTS","MA_QH","SKT")</f>
        <v>0</v>
      </c>
      <c r="W47" s="122">
        <f>+GETPIVOTDATA("XSR4",'suoirao (2016)'!$A$3,"MA_HT","DTS","MA_QH","SKN")</f>
        <v>0</v>
      </c>
      <c r="X47" s="122">
        <f>+GETPIVOTDATA("XSR4",'suoirao (2016)'!$A$3,"MA_HT","DTS","MA_QH","TMD")</f>
        <v>0</v>
      </c>
      <c r="Y47" s="122">
        <f>+GETPIVOTDATA("XSR4",'suoirao (2016)'!$A$3,"MA_HT","DTS","MA_QH","SKC")</f>
        <v>0</v>
      </c>
      <c r="Z47" s="122">
        <f>+GETPIVOTDATA("XSR4",'suoirao (2016)'!$A$3,"MA_HT","DTS","MA_QH","SKS")</f>
        <v>0</v>
      </c>
      <c r="AA47" s="121">
        <f t="shared" si="21"/>
        <v>0</v>
      </c>
      <c r="AB47" s="122">
        <f>+GETPIVOTDATA("XSR4",'suoirao (2016)'!$A$3,"MA_HT","DTS","MA_QH","DGT")</f>
        <v>0</v>
      </c>
      <c r="AC47" s="122">
        <f>+GETPIVOTDATA("XSR4",'suoirao (2016)'!$A$3,"MA_HT","DTS","MA_QH","DTL")</f>
        <v>0</v>
      </c>
      <c r="AD47" s="122">
        <f>+GETPIVOTDATA("XSR4",'suoirao (2016)'!$A$3,"MA_HT","DTS","MA_QH","DNL")</f>
        <v>0</v>
      </c>
      <c r="AE47" s="122">
        <f>+GETPIVOTDATA("XSR4",'suoirao (2016)'!$A$3,"MA_HT","DTS","MA_QH","DBV")</f>
        <v>0</v>
      </c>
      <c r="AF47" s="122">
        <f>+GETPIVOTDATA("XSR4",'suoirao (2016)'!$A$3,"MA_HT","DTS","MA_QH","DVH")</f>
        <v>0</v>
      </c>
      <c r="AG47" s="122">
        <f>+GETPIVOTDATA("XSR4",'suoirao (2016)'!$A$3,"MA_HT","DTS","MA_QH","DYT")</f>
        <v>0</v>
      </c>
      <c r="AH47" s="122">
        <f>+GETPIVOTDATA("XSR4",'suoirao (2016)'!$A$3,"MA_HT","DTS","MA_QH","DGD")</f>
        <v>0</v>
      </c>
      <c r="AI47" s="122">
        <f>+GETPIVOTDATA("XSR4",'suoirao (2016)'!$A$3,"MA_HT","DTS","MA_QH","DTT")</f>
        <v>0</v>
      </c>
      <c r="AJ47" s="122">
        <f>+GETPIVOTDATA("XSR4",'suoirao (2016)'!$A$3,"MA_HT","DTS","MA_QH","NCK")</f>
        <v>0</v>
      </c>
      <c r="AK47" s="122">
        <f>+GETPIVOTDATA("XSR4",'suoirao (2016)'!$A$3,"MA_HT","DTS","MA_QH","DXH")</f>
        <v>0</v>
      </c>
      <c r="AL47" s="122">
        <f>+GETPIVOTDATA("XSR4",'suoirao (2016)'!$A$3,"MA_HT","DTS","MA_QH","DCH")</f>
        <v>0</v>
      </c>
      <c r="AM47" s="122">
        <f>+GETPIVOTDATA("XSR4",'suoirao (2016)'!$A$3,"MA_HT","DTS","MA_QH","DKG")</f>
        <v>0</v>
      </c>
      <c r="AN47" s="122">
        <f>+GETPIVOTDATA("XSR4",'suoirao (2016)'!$A$3,"MA_HT","DTS","MA_QH","DDT")</f>
        <v>0</v>
      </c>
      <c r="AO47" s="122">
        <f>+GETPIVOTDATA("XSR4",'suoirao (2016)'!$A$3,"MA_HT","DTS","MA_QH","DDL")</f>
        <v>0</v>
      </c>
      <c r="AP47" s="122">
        <f>+GETPIVOTDATA("XSR4",'suoirao (2016)'!$A$3,"MA_HT","DTS","MA_QH","DRA")</f>
        <v>0</v>
      </c>
      <c r="AQ47" s="122">
        <f>+GETPIVOTDATA("XSR4",'suoirao (2016)'!$A$3,"MA_HT","DTS","MA_QH","ONT")</f>
        <v>0</v>
      </c>
      <c r="AR47" s="122">
        <f>+GETPIVOTDATA("XSR4",'suoirao (2016)'!$A$3,"MA_HT","DTS","MA_QH","ODT")</f>
        <v>0</v>
      </c>
      <c r="AS47" s="122">
        <f>+GETPIVOTDATA("XSR4",'suoirao (2016)'!$A$3,"MA_HT","DTS","MA_QH","TSC")</f>
        <v>0</v>
      </c>
      <c r="AT47" s="124" t="e">
        <f>$D47-$BF47</f>
        <v>#REF!</v>
      </c>
      <c r="AU47" s="122">
        <f>+GETPIVOTDATA("XSR4",'suoirao (2016)'!$A$3,"MA_HT","DTS","MA_QH","DNG")</f>
        <v>0</v>
      </c>
      <c r="AV47" s="122">
        <f>+GETPIVOTDATA("XSR4",'suoirao (2016)'!$A$3,"MA_HT","DTS","MA_QH","TON")</f>
        <v>0</v>
      </c>
      <c r="AW47" s="122">
        <f>+GETPIVOTDATA("XSR4",'suoirao (2016)'!$A$3,"MA_HT","DTS","MA_QH","NTD")</f>
        <v>0</v>
      </c>
      <c r="AX47" s="122">
        <f>+GETPIVOTDATA("XSR4",'suoirao (2016)'!$A$3,"MA_HT","DTS","MA_QH","SKX")</f>
        <v>0</v>
      </c>
      <c r="AY47" s="122">
        <f>+GETPIVOTDATA("XSR4",'suoirao (2016)'!$A$3,"MA_HT","DTS","MA_QH","DSH")</f>
        <v>0</v>
      </c>
      <c r="AZ47" s="122">
        <f>+GETPIVOTDATA("XSR4",'suoirao (2016)'!$A$3,"MA_HT","DTS","MA_QH","DKV")</f>
        <v>0</v>
      </c>
      <c r="BA47" s="141">
        <f>+GETPIVOTDATA("XSR4",'suoirao (2016)'!$A$3,"MA_HT","DTS","MA_QH","TIN")</f>
        <v>0</v>
      </c>
      <c r="BB47" s="125">
        <f>+GETPIVOTDATA("XSR4",'suoirao (2016)'!$A$3,"MA_HT","DTS","MA_QH","SON")</f>
        <v>0</v>
      </c>
      <c r="BC47" s="125">
        <f>+GETPIVOTDATA("XSR4",'suoirao (2016)'!$A$3,"MA_HT","DTS","MA_QH","MNC")</f>
        <v>0</v>
      </c>
      <c r="BD47" s="122">
        <f>+GETPIVOTDATA("XSR4",'suoirao (2016)'!$A$3,"MA_HT","DTS","MA_QH","PNK")</f>
        <v>0</v>
      </c>
      <c r="BE47" s="126">
        <f>+GETPIVOTDATA("XSR4",'suoirao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+GETPIVOTDATA("XSR4",'suoirao (2016)'!$A$3,"MA_HT","DNG","MA_QH","LUC")</f>
        <v>0</v>
      </c>
      <c r="H48" s="35">
        <f>+GETPIVOTDATA("XSR4",'suoirao (2016)'!$A$3,"MA_HT","DNG","MA_QH","LUK")</f>
        <v>0</v>
      </c>
      <c r="I48" s="35">
        <f>+GETPIVOTDATA("XSR4",'suoirao (2016)'!$A$3,"MA_HT","DNG","MA_QH","LUN")</f>
        <v>0</v>
      </c>
      <c r="J48" s="35">
        <f>+GETPIVOTDATA("XSR4",'suoirao (2016)'!$A$3,"MA_HT","DNG","MA_QH","HNK")</f>
        <v>0</v>
      </c>
      <c r="K48" s="35">
        <f>+GETPIVOTDATA("XSR4",'suoirao (2016)'!$A$3,"MA_HT","DNG","MA_QH","CLN")</f>
        <v>0</v>
      </c>
      <c r="L48" s="35">
        <f>+GETPIVOTDATA("XSR4",'suoirao (2016)'!$A$3,"MA_HT","DNG","MA_QH","RSX")</f>
        <v>0</v>
      </c>
      <c r="M48" s="35">
        <f>+GETPIVOTDATA("XSR4",'suoirao (2016)'!$A$3,"MA_HT","DNG","MA_QH","RPH")</f>
        <v>0</v>
      </c>
      <c r="N48" s="35">
        <f>+GETPIVOTDATA("XSR4",'suoirao (2016)'!$A$3,"MA_HT","DNG","MA_QH","RDD")</f>
        <v>0</v>
      </c>
      <c r="O48" s="35">
        <f>+GETPIVOTDATA("XSR4",'suoirao (2016)'!$A$3,"MA_HT","DNG","MA_QH","NTS")</f>
        <v>0</v>
      </c>
      <c r="P48" s="35">
        <f>+GETPIVOTDATA("XSR4",'suoirao (2016)'!$A$3,"MA_HT","DNG","MA_QH","LMU")</f>
        <v>0</v>
      </c>
      <c r="Q48" s="35">
        <f>+GETPIVOTDATA("XSR4",'suoirao (2016)'!$A$3,"MA_HT","DNG","MA_QH","NKH")</f>
        <v>0</v>
      </c>
      <c r="R48" s="106">
        <f>SUM(S48:AA48,AN48:AT48,AV48:BD48)</f>
        <v>0</v>
      </c>
      <c r="S48" s="35">
        <f>+GETPIVOTDATA("XSR4",'suoirao (2016)'!$A$3,"MA_HT","DNG","MA_QH","CQP")</f>
        <v>0</v>
      </c>
      <c r="T48" s="35">
        <f>+GETPIVOTDATA("XSR4",'suoirao (2016)'!$A$3,"MA_HT","DNG","MA_QH","CAN")</f>
        <v>0</v>
      </c>
      <c r="U48" s="35">
        <f>+GETPIVOTDATA("XSR4",'suoirao (2016)'!$A$3,"MA_HT","DNG","MA_QH","SKK")</f>
        <v>0</v>
      </c>
      <c r="V48" s="35">
        <f>+GETPIVOTDATA("XSR4",'suoirao (2016)'!$A$3,"MA_HT","DNG","MA_QH","SKT")</f>
        <v>0</v>
      </c>
      <c r="W48" s="35">
        <f>+GETPIVOTDATA("XSR4",'suoirao (2016)'!$A$3,"MA_HT","DNG","MA_QH","SKN")</f>
        <v>0</v>
      </c>
      <c r="X48" s="35">
        <f>+GETPIVOTDATA("XSR4",'suoirao (2016)'!$A$3,"MA_HT","DNG","MA_QH","TMD")</f>
        <v>0</v>
      </c>
      <c r="Y48" s="35">
        <f>+GETPIVOTDATA("XSR4",'suoirao (2016)'!$A$3,"MA_HT","DNG","MA_QH","SKC")</f>
        <v>0</v>
      </c>
      <c r="Z48" s="35">
        <f>+GETPIVOTDATA("XSR4",'suoirao (2016)'!$A$3,"MA_HT","DNG","MA_QH","SKS")</f>
        <v>0</v>
      </c>
      <c r="AA48" s="64">
        <f t="shared" si="21"/>
        <v>0</v>
      </c>
      <c r="AB48" s="35">
        <f>+GETPIVOTDATA("XSR4",'suoirao (2016)'!$A$3,"MA_HT","DNG","MA_QH","DGT")</f>
        <v>0</v>
      </c>
      <c r="AC48" s="35">
        <f>+GETPIVOTDATA("XSR4",'suoirao (2016)'!$A$3,"MA_HT","DNG","MA_QH","DTL")</f>
        <v>0</v>
      </c>
      <c r="AD48" s="35">
        <f>+GETPIVOTDATA("XSR4",'suoirao (2016)'!$A$3,"MA_HT","DNG","MA_QH","DNL")</f>
        <v>0</v>
      </c>
      <c r="AE48" s="35">
        <f>+GETPIVOTDATA("XSR4",'suoirao (2016)'!$A$3,"MA_HT","DNG","MA_QH","DBV")</f>
        <v>0</v>
      </c>
      <c r="AF48" s="35">
        <f>+GETPIVOTDATA("XSR4",'suoirao (2016)'!$A$3,"MA_HT","DNG","MA_QH","DVH")</f>
        <v>0</v>
      </c>
      <c r="AG48" s="35">
        <f>+GETPIVOTDATA("XSR4",'suoirao (2016)'!$A$3,"MA_HT","DNG","MA_QH","DYT")</f>
        <v>0</v>
      </c>
      <c r="AH48" s="35">
        <f>+GETPIVOTDATA("XSR4",'suoirao (2016)'!$A$3,"MA_HT","DNG","MA_QH","DGD")</f>
        <v>0</v>
      </c>
      <c r="AI48" s="35">
        <f>+GETPIVOTDATA("XSR4",'suoirao (2016)'!$A$3,"MA_HT","DNG","MA_QH","DTT")</f>
        <v>0</v>
      </c>
      <c r="AJ48" s="35">
        <f>+GETPIVOTDATA("XSR4",'suoirao (2016)'!$A$3,"MA_HT","DNG","MA_QH","NCK")</f>
        <v>0</v>
      </c>
      <c r="AK48" s="35">
        <f>+GETPIVOTDATA("XSR4",'suoirao (2016)'!$A$3,"MA_HT","DNG","MA_QH","DXH")</f>
        <v>0</v>
      </c>
      <c r="AL48" s="35">
        <f>+GETPIVOTDATA("XSR4",'suoirao (2016)'!$A$3,"MA_HT","DNG","MA_QH","DCH")</f>
        <v>0</v>
      </c>
      <c r="AM48" s="35">
        <f>+GETPIVOTDATA("XSR4",'suoirao (2016)'!$A$3,"MA_HT","DNG","MA_QH","DKG")</f>
        <v>0</v>
      </c>
      <c r="AN48" s="35">
        <f>+GETPIVOTDATA("XSR4",'suoirao (2016)'!$A$3,"MA_HT","DNG","MA_QH","DDT")</f>
        <v>0</v>
      </c>
      <c r="AO48" s="35">
        <f>+GETPIVOTDATA("XSR4",'suoirao (2016)'!$A$3,"MA_HT","DNG","MA_QH","DDL")</f>
        <v>0</v>
      </c>
      <c r="AP48" s="35">
        <f>+GETPIVOTDATA("XSR4",'suoirao (2016)'!$A$3,"MA_HT","DNG","MA_QH","DRA")</f>
        <v>0</v>
      </c>
      <c r="AQ48" s="35">
        <f>+GETPIVOTDATA("XSR4",'suoirao (2016)'!$A$3,"MA_HT","DNG","MA_QH","ONT")</f>
        <v>0</v>
      </c>
      <c r="AR48" s="35">
        <f>+GETPIVOTDATA("XSR4",'suoirao (2016)'!$A$3,"MA_HT","DNG","MA_QH","ODT")</f>
        <v>0</v>
      </c>
      <c r="AS48" s="35">
        <f>+GETPIVOTDATA("XSR4",'suoirao (2016)'!$A$3,"MA_HT","DNG","MA_QH","TSC")</f>
        <v>0</v>
      </c>
      <c r="AT48" s="35">
        <f>+GETPIVOTDATA("XSR4",'suoirao (2016)'!$A$3,"MA_HT","DNG","MA_QH","DTS")</f>
        <v>0</v>
      </c>
      <c r="AU48" s="99" t="e">
        <f>$D48-$BF48</f>
        <v>#REF!</v>
      </c>
      <c r="AV48" s="35">
        <f>+GETPIVOTDATA("XSR4",'suoirao (2016)'!$A$3,"MA_HT","DNG","MA_QH","TON")</f>
        <v>0</v>
      </c>
      <c r="AW48" s="35">
        <f>+GETPIVOTDATA("XSR4",'suoirao (2016)'!$A$3,"MA_HT","DNG","MA_QH","NTD")</f>
        <v>0</v>
      </c>
      <c r="AX48" s="35">
        <f>+GETPIVOTDATA("XSR4",'suoirao (2016)'!$A$3,"MA_HT","DNG","MA_QH","SKX")</f>
        <v>0</v>
      </c>
      <c r="AY48" s="35">
        <f>+GETPIVOTDATA("XSR4",'suoirao (2016)'!$A$3,"MA_HT","DNG","MA_QH","DSH")</f>
        <v>0</v>
      </c>
      <c r="AZ48" s="35">
        <f>+GETPIVOTDATA("XSR4",'suoirao (2016)'!$A$3,"MA_HT","DNG","MA_QH","DKV")</f>
        <v>0</v>
      </c>
      <c r="BA48" s="140">
        <f>+GETPIVOTDATA("XSR4",'suoirao (2016)'!$A$3,"MA_HT","DNG","MA_QH","TIN")</f>
        <v>0</v>
      </c>
      <c r="BB48" s="74">
        <f>+GETPIVOTDATA("XSR4",'suoirao (2016)'!$A$3,"MA_HT","DNG","MA_QH","SON")</f>
        <v>0</v>
      </c>
      <c r="BC48" s="74">
        <f>+GETPIVOTDATA("XSR4",'suoirao (2016)'!$A$3,"MA_HT","DNG","MA_QH","MNC")</f>
        <v>0</v>
      </c>
      <c r="BD48" s="35">
        <f>+GETPIVOTDATA("XSR4",'suoirao (2016)'!$A$3,"MA_HT","DNG","MA_QH","PNK")</f>
        <v>0</v>
      </c>
      <c r="BE48" s="58">
        <f>+GETPIVOTDATA("XSR4",'suoirao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+GETPIVOTDATA("XSR4",'suoirao (2016)'!$A$3,"MA_HT","TON","MA_QH","LUC")</f>
        <v>0</v>
      </c>
      <c r="H49" s="35">
        <f>+GETPIVOTDATA("XSR4",'suoirao (2016)'!$A$3,"MA_HT","TON","MA_QH","LUK")</f>
        <v>0</v>
      </c>
      <c r="I49" s="35">
        <f>+GETPIVOTDATA("XSR4",'suoirao (2016)'!$A$3,"MA_HT","TON","MA_QH","LUN")</f>
        <v>0</v>
      </c>
      <c r="J49" s="35">
        <f>+GETPIVOTDATA("XSR4",'suoirao (2016)'!$A$3,"MA_HT","TON","MA_QH","HNK")</f>
        <v>0</v>
      </c>
      <c r="K49" s="35">
        <f>+GETPIVOTDATA("XSR4",'suoirao (2016)'!$A$3,"MA_HT","TON","MA_QH","CLN")</f>
        <v>0</v>
      </c>
      <c r="L49" s="35">
        <f>+GETPIVOTDATA("XSR4",'suoirao (2016)'!$A$3,"MA_HT","TON","MA_QH","RSX")</f>
        <v>0</v>
      </c>
      <c r="M49" s="35">
        <f>+GETPIVOTDATA("XSR4",'suoirao (2016)'!$A$3,"MA_HT","TON","MA_QH","RPH")</f>
        <v>0</v>
      </c>
      <c r="N49" s="35">
        <f>+GETPIVOTDATA("XSR4",'suoirao (2016)'!$A$3,"MA_HT","TON","MA_QH","RDD")</f>
        <v>0</v>
      </c>
      <c r="O49" s="35">
        <f>+GETPIVOTDATA("XSR4",'suoirao (2016)'!$A$3,"MA_HT","TON","MA_QH","NTS")</f>
        <v>0</v>
      </c>
      <c r="P49" s="35">
        <f>+GETPIVOTDATA("XSR4",'suoirao (2016)'!$A$3,"MA_HT","TON","MA_QH","LMU")</f>
        <v>0</v>
      </c>
      <c r="Q49" s="35">
        <f>+GETPIVOTDATA("XSR4",'suoirao (2016)'!$A$3,"MA_HT","TON","MA_QH","NKH")</f>
        <v>0</v>
      </c>
      <c r="R49" s="106">
        <f>SUM(S49:AA49,AN49:AU49,AW49:BD49)</f>
        <v>0</v>
      </c>
      <c r="S49" s="35">
        <f>+GETPIVOTDATA("XSR4",'suoirao (2016)'!$A$3,"MA_HT","TON","MA_QH","CQP")</f>
        <v>0</v>
      </c>
      <c r="T49" s="35">
        <f>+GETPIVOTDATA("XSR4",'suoirao (2016)'!$A$3,"MA_HT","TON","MA_QH","CAN")</f>
        <v>0</v>
      </c>
      <c r="U49" s="35">
        <f>+GETPIVOTDATA("XSR4",'suoirao (2016)'!$A$3,"MA_HT","TON","MA_QH","SKK")</f>
        <v>0</v>
      </c>
      <c r="V49" s="35">
        <f>+GETPIVOTDATA("XSR4",'suoirao (2016)'!$A$3,"MA_HT","TON","MA_QH","SKT")</f>
        <v>0</v>
      </c>
      <c r="W49" s="35">
        <f>+GETPIVOTDATA("XSR4",'suoirao (2016)'!$A$3,"MA_HT","TON","MA_QH","SKN")</f>
        <v>0</v>
      </c>
      <c r="X49" s="35">
        <f>+GETPIVOTDATA("XSR4",'suoirao (2016)'!$A$3,"MA_HT","TON","MA_QH","TMD")</f>
        <v>0</v>
      </c>
      <c r="Y49" s="35">
        <f>+GETPIVOTDATA("XSR4",'suoirao (2016)'!$A$3,"MA_HT","TON","MA_QH","SKC")</f>
        <v>0</v>
      </c>
      <c r="Z49" s="35">
        <f>+GETPIVOTDATA("XSR4",'suoirao (2016)'!$A$3,"MA_HT","TON","MA_QH","SKS")</f>
        <v>0</v>
      </c>
      <c r="AA49" s="64">
        <f t="shared" si="21"/>
        <v>0</v>
      </c>
      <c r="AB49" s="35">
        <f>+GETPIVOTDATA("XSR4",'suoirao (2016)'!$A$3,"MA_HT","TON","MA_QH","DGT")</f>
        <v>0</v>
      </c>
      <c r="AC49" s="35">
        <f>+GETPIVOTDATA("XSR4",'suoirao (2016)'!$A$3,"MA_HT","TON","MA_QH","DTL")</f>
        <v>0</v>
      </c>
      <c r="AD49" s="35">
        <f>+GETPIVOTDATA("XSR4",'suoirao (2016)'!$A$3,"MA_HT","TON","MA_QH","DNL")</f>
        <v>0</v>
      </c>
      <c r="AE49" s="35">
        <f>+GETPIVOTDATA("XSR4",'suoirao (2016)'!$A$3,"MA_HT","TON","MA_QH","DBV")</f>
        <v>0</v>
      </c>
      <c r="AF49" s="35">
        <f>+GETPIVOTDATA("XSR4",'suoirao (2016)'!$A$3,"MA_HT","TON","MA_QH","DVH")</f>
        <v>0</v>
      </c>
      <c r="AG49" s="35">
        <f>+GETPIVOTDATA("XSR4",'suoirao (2016)'!$A$3,"MA_HT","TON","MA_QH","DYT")</f>
        <v>0</v>
      </c>
      <c r="AH49" s="35">
        <f>+GETPIVOTDATA("XSR4",'suoirao (2016)'!$A$3,"MA_HT","TON","MA_QH","DGD")</f>
        <v>0</v>
      </c>
      <c r="AI49" s="35">
        <f>+GETPIVOTDATA("XSR4",'suoirao (2016)'!$A$3,"MA_HT","TON","MA_QH","DTT")</f>
        <v>0</v>
      </c>
      <c r="AJ49" s="35">
        <f>+GETPIVOTDATA("XSR4",'suoirao (2016)'!$A$3,"MA_HT","TON","MA_QH","NCK")</f>
        <v>0</v>
      </c>
      <c r="AK49" s="35">
        <f>+GETPIVOTDATA("XSR4",'suoirao (2016)'!$A$3,"MA_HT","TON","MA_QH","DXH")</f>
        <v>0</v>
      </c>
      <c r="AL49" s="35">
        <f>+GETPIVOTDATA("XSR4",'suoirao (2016)'!$A$3,"MA_HT","TON","MA_QH","DCH")</f>
        <v>0</v>
      </c>
      <c r="AM49" s="35">
        <f>+GETPIVOTDATA("XSR4",'suoirao (2016)'!$A$3,"MA_HT","TON","MA_QH","DKG")</f>
        <v>0</v>
      </c>
      <c r="AN49" s="35">
        <f>+GETPIVOTDATA("XSR4",'suoirao (2016)'!$A$3,"MA_HT","TON","MA_QH","DDT")</f>
        <v>0</v>
      </c>
      <c r="AO49" s="35">
        <f>+GETPIVOTDATA("XSR4",'suoirao (2016)'!$A$3,"MA_HT","TON","MA_QH","DDL")</f>
        <v>0</v>
      </c>
      <c r="AP49" s="35">
        <f>+GETPIVOTDATA("XSR4",'suoirao (2016)'!$A$3,"MA_HT","TON","MA_QH","DRA")</f>
        <v>0</v>
      </c>
      <c r="AQ49" s="35">
        <f>+GETPIVOTDATA("XSR4",'suoirao (2016)'!$A$3,"MA_HT","TON","MA_QH","ONT")</f>
        <v>0</v>
      </c>
      <c r="AR49" s="35">
        <f>+GETPIVOTDATA("XSR4",'suoirao (2016)'!$A$3,"MA_HT","TON","MA_QH","ODT")</f>
        <v>0</v>
      </c>
      <c r="AS49" s="35">
        <f>+GETPIVOTDATA("XSR4",'suoirao (2016)'!$A$3,"MA_HT","TON","MA_QH","TSC")</f>
        <v>0</v>
      </c>
      <c r="AT49" s="35">
        <f>+GETPIVOTDATA("XSR4",'suoirao (2016)'!$A$3,"MA_HT","TON","MA_QH","DTS")</f>
        <v>0</v>
      </c>
      <c r="AU49" s="35">
        <f>+GETPIVOTDATA("XSR4",'suoirao (2016)'!$A$3,"MA_HT","TON","MA_QH","DNG")</f>
        <v>0</v>
      </c>
      <c r="AV49" s="99" t="e">
        <f>$D49-$BF49</f>
        <v>#REF!</v>
      </c>
      <c r="AW49" s="35">
        <f>+GETPIVOTDATA("XSR4",'suoirao (2016)'!$A$3,"MA_HT","TON","MA_QH","NTD")</f>
        <v>0</v>
      </c>
      <c r="AX49" s="35">
        <f>+GETPIVOTDATA("XSR4",'suoirao (2016)'!$A$3,"MA_HT","TON","MA_QH","SKX")</f>
        <v>0</v>
      </c>
      <c r="AY49" s="35">
        <f>+GETPIVOTDATA("XSR4",'suoirao (2016)'!$A$3,"MA_HT","TON","MA_QH","DSH")</f>
        <v>0</v>
      </c>
      <c r="AZ49" s="35">
        <f>+GETPIVOTDATA("XSR4",'suoirao (2016)'!$A$3,"MA_HT","TON","MA_QH","DKV")</f>
        <v>0</v>
      </c>
      <c r="BA49" s="140">
        <f>+GETPIVOTDATA("XSR4",'suoirao (2016)'!$A$3,"MA_HT","TON","MA_QH","TIN")</f>
        <v>0</v>
      </c>
      <c r="BB49" s="74">
        <f>+GETPIVOTDATA("XSR4",'suoirao (2016)'!$A$3,"MA_HT","TON","MA_QH","SON")</f>
        <v>0</v>
      </c>
      <c r="BC49" s="74">
        <f>+GETPIVOTDATA("XSR4",'suoirao (2016)'!$A$3,"MA_HT","TON","MA_QH","MNC")</f>
        <v>0</v>
      </c>
      <c r="BD49" s="35">
        <f>+GETPIVOTDATA("XSR4",'suoirao (2016)'!$A$3,"MA_HT","TON","MA_QH","PNK")</f>
        <v>0</v>
      </c>
      <c r="BE49" s="58">
        <f>+GETPIVOTDATA("XSR4",'suoirao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+GETPIVOTDATA("XSR4",'suoirao (2016)'!$A$3,"MA_HT","NTD","MA_QH","LUC")</f>
        <v>0</v>
      </c>
      <c r="H50" s="35">
        <f>+GETPIVOTDATA("XSR4",'suoirao (2016)'!$A$3,"MA_HT","NTD","MA_QH","LUK")</f>
        <v>0</v>
      </c>
      <c r="I50" s="35">
        <f>+GETPIVOTDATA("XSR4",'suoirao (2016)'!$A$3,"MA_HT","NTD","MA_QH","LUN")</f>
        <v>0</v>
      </c>
      <c r="J50" s="35">
        <f>+GETPIVOTDATA("XSR4",'suoirao (2016)'!$A$3,"MA_HT","NTD","MA_QH","HNK")</f>
        <v>0</v>
      </c>
      <c r="K50" s="35">
        <f>+GETPIVOTDATA("XSR4",'suoirao (2016)'!$A$3,"MA_HT","NTD","MA_QH","CLN")</f>
        <v>0</v>
      </c>
      <c r="L50" s="35">
        <f>+GETPIVOTDATA("XSR4",'suoirao (2016)'!$A$3,"MA_HT","NTD","MA_QH","RSX")</f>
        <v>0</v>
      </c>
      <c r="M50" s="35">
        <f>+GETPIVOTDATA("XSR4",'suoirao (2016)'!$A$3,"MA_HT","NTD","MA_QH","RPH")</f>
        <v>0</v>
      </c>
      <c r="N50" s="35">
        <f>+GETPIVOTDATA("XSR4",'suoirao (2016)'!$A$3,"MA_HT","NTD","MA_QH","RDD")</f>
        <v>0</v>
      </c>
      <c r="O50" s="35">
        <f>+GETPIVOTDATA("XSR4",'suoirao (2016)'!$A$3,"MA_HT","NTD","MA_QH","NTS")</f>
        <v>0</v>
      </c>
      <c r="P50" s="35">
        <f>+GETPIVOTDATA("XSR4",'suoirao (2016)'!$A$3,"MA_HT","NTD","MA_QH","LMU")</f>
        <v>0</v>
      </c>
      <c r="Q50" s="35">
        <f>+GETPIVOTDATA("XSR4",'suoirao (2016)'!$A$3,"MA_HT","NTD","MA_QH","NKH")</f>
        <v>0</v>
      </c>
      <c r="R50" s="106">
        <f>SUM(S50:AA50,AN50:AV50,AX50:BD50)</f>
        <v>0</v>
      </c>
      <c r="S50" s="35">
        <f>+GETPIVOTDATA("XSR4",'suoirao (2016)'!$A$3,"MA_HT","NTD","MA_QH","CQP")</f>
        <v>0</v>
      </c>
      <c r="T50" s="35">
        <f>+GETPIVOTDATA("XSR4",'suoirao (2016)'!$A$3,"MA_HT","NTD","MA_QH","CAN")</f>
        <v>0</v>
      </c>
      <c r="U50" s="35">
        <f>+GETPIVOTDATA("XSR4",'suoirao (2016)'!$A$3,"MA_HT","NTD","MA_QH","SKK")</f>
        <v>0</v>
      </c>
      <c r="V50" s="35">
        <f>+GETPIVOTDATA("XSR4",'suoirao (2016)'!$A$3,"MA_HT","NTD","MA_QH","SKT")</f>
        <v>0</v>
      </c>
      <c r="W50" s="35">
        <f>+GETPIVOTDATA("XSR4",'suoirao (2016)'!$A$3,"MA_HT","NTD","MA_QH","SKN")</f>
        <v>0</v>
      </c>
      <c r="X50" s="35">
        <f>+GETPIVOTDATA("XSR4",'suoirao (2016)'!$A$3,"MA_HT","NTD","MA_QH","TMD")</f>
        <v>0</v>
      </c>
      <c r="Y50" s="35">
        <f>+GETPIVOTDATA("XSR4",'suoirao (2016)'!$A$3,"MA_HT","NTD","MA_QH","SKC")</f>
        <v>0</v>
      </c>
      <c r="Z50" s="35">
        <f>+GETPIVOTDATA("XSR4",'suoirao (2016)'!$A$3,"MA_HT","NTD","MA_QH","SKS")</f>
        <v>0</v>
      </c>
      <c r="AA50" s="64">
        <f t="shared" si="21"/>
        <v>0</v>
      </c>
      <c r="AB50" s="35">
        <f>+GETPIVOTDATA("XSR4",'suoirao (2016)'!$A$3,"MA_HT","NTD","MA_QH","DGT")</f>
        <v>0</v>
      </c>
      <c r="AC50" s="35">
        <f>+GETPIVOTDATA("XSR4",'suoirao (2016)'!$A$3,"MA_HT","NTD","MA_QH","DTL")</f>
        <v>0</v>
      </c>
      <c r="AD50" s="35">
        <f>+GETPIVOTDATA("XSR4",'suoirao (2016)'!$A$3,"MA_HT","NTD","MA_QH","DNL")</f>
        <v>0</v>
      </c>
      <c r="AE50" s="35">
        <f>+GETPIVOTDATA("XSR4",'suoirao (2016)'!$A$3,"MA_HT","NTD","MA_QH","DBV")</f>
        <v>0</v>
      </c>
      <c r="AF50" s="35">
        <f>+GETPIVOTDATA("XSR4",'suoirao (2016)'!$A$3,"MA_HT","NTD","MA_QH","DVH")</f>
        <v>0</v>
      </c>
      <c r="AG50" s="35">
        <f>+GETPIVOTDATA("XSR4",'suoirao (2016)'!$A$3,"MA_HT","NTD","MA_QH","DYT")</f>
        <v>0</v>
      </c>
      <c r="AH50" s="35">
        <f>+GETPIVOTDATA("XSR4",'suoirao (2016)'!$A$3,"MA_HT","NTD","MA_QH","DGD")</f>
        <v>0</v>
      </c>
      <c r="AI50" s="35">
        <f>+GETPIVOTDATA("XSR4",'suoirao (2016)'!$A$3,"MA_HT","NTD","MA_QH","DTT")</f>
        <v>0</v>
      </c>
      <c r="AJ50" s="35">
        <f>+GETPIVOTDATA("XSR4",'suoirao (2016)'!$A$3,"MA_HT","NTD","MA_QH","NCK")</f>
        <v>0</v>
      </c>
      <c r="AK50" s="35">
        <f>+GETPIVOTDATA("XSR4",'suoirao (2016)'!$A$3,"MA_HT","NTD","MA_QH","DXH")</f>
        <v>0</v>
      </c>
      <c r="AL50" s="35">
        <f>+GETPIVOTDATA("XSR4",'suoirao (2016)'!$A$3,"MA_HT","NTD","MA_QH","DCH")</f>
        <v>0</v>
      </c>
      <c r="AM50" s="35">
        <f>+GETPIVOTDATA("XSR4",'suoirao (2016)'!$A$3,"MA_HT","NTD","MA_QH","DKG")</f>
        <v>0</v>
      </c>
      <c r="AN50" s="35">
        <f>+GETPIVOTDATA("XSR4",'suoirao (2016)'!$A$3,"MA_HT","NTD","MA_QH","DDT")</f>
        <v>0</v>
      </c>
      <c r="AO50" s="35">
        <f>+GETPIVOTDATA("XSR4",'suoirao (2016)'!$A$3,"MA_HT","NTD","MA_QH","DDL")</f>
        <v>0</v>
      </c>
      <c r="AP50" s="35">
        <f>+GETPIVOTDATA("XSR4",'suoirao (2016)'!$A$3,"MA_HT","NTD","MA_QH","DRA")</f>
        <v>0</v>
      </c>
      <c r="AQ50" s="35">
        <f>+GETPIVOTDATA("XSR4",'suoirao (2016)'!$A$3,"MA_HT","NTD","MA_QH","ONT")</f>
        <v>0</v>
      </c>
      <c r="AR50" s="35">
        <f>+GETPIVOTDATA("XSR4",'suoirao (2016)'!$A$3,"MA_HT","NTD","MA_QH","ODT")</f>
        <v>0</v>
      </c>
      <c r="AS50" s="35">
        <f>+GETPIVOTDATA("XSR4",'suoirao (2016)'!$A$3,"MA_HT","NTD","MA_QH","TSC")</f>
        <v>0</v>
      </c>
      <c r="AT50" s="35">
        <f>+GETPIVOTDATA("XSR4",'suoirao (2016)'!$A$3,"MA_HT","NTD","MA_QH","DTS")</f>
        <v>0</v>
      </c>
      <c r="AU50" s="35">
        <f>+GETPIVOTDATA("XSR4",'suoirao (2016)'!$A$3,"MA_HT","NTD","MA_QH","DNG")</f>
        <v>0</v>
      </c>
      <c r="AV50" s="35">
        <f>+GETPIVOTDATA("XSR4",'suoirao (2016)'!$A$3,"MA_HT","NTD","MA_QH","TON")</f>
        <v>0</v>
      </c>
      <c r="AW50" s="99" t="e">
        <f>$D50-$BF50</f>
        <v>#REF!</v>
      </c>
      <c r="AX50" s="35">
        <f>+GETPIVOTDATA("XSR4",'suoirao (2016)'!$A$3,"MA_HT","NTD","MA_QH","SKX")</f>
        <v>0</v>
      </c>
      <c r="AY50" s="35">
        <f>+GETPIVOTDATA("XSR4",'suoirao (2016)'!$A$3,"MA_HT","NTD","MA_QH","DSH")</f>
        <v>0</v>
      </c>
      <c r="AZ50" s="35">
        <f>+GETPIVOTDATA("XSR4",'suoirao (2016)'!$A$3,"MA_HT","NTD","MA_QH","DKV")</f>
        <v>0</v>
      </c>
      <c r="BA50" s="140">
        <f>+GETPIVOTDATA("XSR4",'suoirao (2016)'!$A$3,"MA_HT","NTD","MA_QH","TIN")</f>
        <v>0</v>
      </c>
      <c r="BB50" s="74">
        <f>+GETPIVOTDATA("XSR4",'suoirao (2016)'!$A$3,"MA_HT","NTD","MA_QH","SON")</f>
        <v>0</v>
      </c>
      <c r="BC50" s="74">
        <f>+GETPIVOTDATA("XSR4",'suoirao (2016)'!$A$3,"MA_HT","NTD","MA_QH","MNC")</f>
        <v>0</v>
      </c>
      <c r="BD50" s="35">
        <f>+GETPIVOTDATA("XSR4",'suoirao (2016)'!$A$3,"MA_HT","NTD","MA_QH","PNK")</f>
        <v>0</v>
      </c>
      <c r="BE50" s="58">
        <f>+GETPIVOTDATA("XSR4",'suoirao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+GETPIVOTDATA("XSR4",'suoirao (2016)'!$A$3,"MA_HT","SKX","MA_QH","LUC")</f>
        <v>0</v>
      </c>
      <c r="H51" s="35">
        <f>+GETPIVOTDATA("XSR4",'suoirao (2016)'!$A$3,"MA_HT","SKX","MA_QH","LUK")</f>
        <v>0</v>
      </c>
      <c r="I51" s="35">
        <f>+GETPIVOTDATA("XSR4",'suoirao (2016)'!$A$3,"MA_HT","SKX","MA_QH","LUN")</f>
        <v>0</v>
      </c>
      <c r="J51" s="35">
        <f>+GETPIVOTDATA("XSR4",'suoirao (2016)'!$A$3,"MA_HT","SKX","MA_QH","HNK")</f>
        <v>0</v>
      </c>
      <c r="K51" s="35">
        <f>+GETPIVOTDATA("XSR4",'suoirao (2016)'!$A$3,"MA_HT","SKX","MA_QH","CLN")</f>
        <v>0</v>
      </c>
      <c r="L51" s="35">
        <f>+GETPIVOTDATA("XSR4",'suoirao (2016)'!$A$3,"MA_HT","SKX","MA_QH","RSX")</f>
        <v>0</v>
      </c>
      <c r="M51" s="35">
        <f>+GETPIVOTDATA("XSR4",'suoirao (2016)'!$A$3,"MA_HT","SKX","MA_QH","RPH")</f>
        <v>0</v>
      </c>
      <c r="N51" s="35">
        <f>+GETPIVOTDATA("XSR4",'suoirao (2016)'!$A$3,"MA_HT","SKX","MA_QH","RDD")</f>
        <v>0</v>
      </c>
      <c r="O51" s="35">
        <f>+GETPIVOTDATA("XSR4",'suoirao (2016)'!$A$3,"MA_HT","SKX","MA_QH","NTS")</f>
        <v>0</v>
      </c>
      <c r="P51" s="35">
        <f>+GETPIVOTDATA("XSR4",'suoirao (2016)'!$A$3,"MA_HT","SKX","MA_QH","LMU")</f>
        <v>0</v>
      </c>
      <c r="Q51" s="35">
        <f>+GETPIVOTDATA("XSR4",'suoirao (2016)'!$A$3,"MA_HT","SKX","MA_QH","NKH")</f>
        <v>0</v>
      </c>
      <c r="R51" s="106">
        <f>SUM(S51:AA51,AN51:AW51,AY51:BD51)</f>
        <v>0</v>
      </c>
      <c r="S51" s="35">
        <f>+GETPIVOTDATA("XSR4",'suoirao (2016)'!$A$3,"MA_HT","SKX","MA_QH","CQP")</f>
        <v>0</v>
      </c>
      <c r="T51" s="35">
        <f>+GETPIVOTDATA("XSR4",'suoirao (2016)'!$A$3,"MA_HT","SKX","MA_QH","CAN")</f>
        <v>0</v>
      </c>
      <c r="U51" s="35">
        <f>+GETPIVOTDATA("XSR4",'suoirao (2016)'!$A$3,"MA_HT","SKX","MA_QH","SKK")</f>
        <v>0</v>
      </c>
      <c r="V51" s="35">
        <f>+GETPIVOTDATA("XSR4",'suoirao (2016)'!$A$3,"MA_HT","SKX","MA_QH","SKT")</f>
        <v>0</v>
      </c>
      <c r="W51" s="35">
        <f>+GETPIVOTDATA("XSR4",'suoirao (2016)'!$A$3,"MA_HT","SKX","MA_QH","SKN")</f>
        <v>0</v>
      </c>
      <c r="X51" s="35">
        <f>+GETPIVOTDATA("XSR4",'suoirao (2016)'!$A$3,"MA_HT","SKX","MA_QH","TMD")</f>
        <v>0</v>
      </c>
      <c r="Y51" s="35">
        <f>+GETPIVOTDATA("XSR4",'suoirao (2016)'!$A$3,"MA_HT","SKX","MA_QH","SKC")</f>
        <v>0</v>
      </c>
      <c r="Z51" s="35">
        <f>+GETPIVOTDATA("XSR4",'suoirao (2016)'!$A$3,"MA_HT","SKX","MA_QH","SKS")</f>
        <v>0</v>
      </c>
      <c r="AA51" s="64">
        <f t="shared" si="21"/>
        <v>0</v>
      </c>
      <c r="AB51" s="35">
        <f>+GETPIVOTDATA("XSR4",'suoirao (2016)'!$A$3,"MA_HT","SKX","MA_QH","DGT")</f>
        <v>0</v>
      </c>
      <c r="AC51" s="35">
        <f>+GETPIVOTDATA("XSR4",'suoirao (2016)'!$A$3,"MA_HT","SKX","MA_QH","DTL")</f>
        <v>0</v>
      </c>
      <c r="AD51" s="35">
        <f>+GETPIVOTDATA("XSR4",'suoirao (2016)'!$A$3,"MA_HT","SKX","MA_QH","DNL")</f>
        <v>0</v>
      </c>
      <c r="AE51" s="35">
        <f>+GETPIVOTDATA("XSR4",'suoirao (2016)'!$A$3,"MA_HT","SKX","MA_QH","DBV")</f>
        <v>0</v>
      </c>
      <c r="AF51" s="35">
        <f>+GETPIVOTDATA("XSR4",'suoirao (2016)'!$A$3,"MA_HT","SKX","MA_QH","DVH")</f>
        <v>0</v>
      </c>
      <c r="AG51" s="35">
        <f>+GETPIVOTDATA("XSR4",'suoirao (2016)'!$A$3,"MA_HT","SKX","MA_QH","DYT")</f>
        <v>0</v>
      </c>
      <c r="AH51" s="35">
        <f>+GETPIVOTDATA("XSR4",'suoirao (2016)'!$A$3,"MA_HT","SKX","MA_QH","DGD")</f>
        <v>0</v>
      </c>
      <c r="AI51" s="35">
        <f>+GETPIVOTDATA("XSR4",'suoirao (2016)'!$A$3,"MA_HT","SKX","MA_QH","DTT")</f>
        <v>0</v>
      </c>
      <c r="AJ51" s="35">
        <f>+GETPIVOTDATA("XSR4",'suoirao (2016)'!$A$3,"MA_HT","SKX","MA_QH","NCK")</f>
        <v>0</v>
      </c>
      <c r="AK51" s="35">
        <f>+GETPIVOTDATA("XSR4",'suoirao (2016)'!$A$3,"MA_HT","SKX","MA_QH","DXH")</f>
        <v>0</v>
      </c>
      <c r="AL51" s="35">
        <f>+GETPIVOTDATA("XSR4",'suoirao (2016)'!$A$3,"MA_HT","SKX","MA_QH","DCH")</f>
        <v>0</v>
      </c>
      <c r="AM51" s="35">
        <f>+GETPIVOTDATA("XSR4",'suoirao (2016)'!$A$3,"MA_HT","SKX","MA_QH","DKG")</f>
        <v>0</v>
      </c>
      <c r="AN51" s="35">
        <f>+GETPIVOTDATA("XSR4",'suoirao (2016)'!$A$3,"MA_HT","SKX","MA_QH","DDT")</f>
        <v>0</v>
      </c>
      <c r="AO51" s="35">
        <f>+GETPIVOTDATA("XSR4",'suoirao (2016)'!$A$3,"MA_HT","SKX","MA_QH","DDL")</f>
        <v>0</v>
      </c>
      <c r="AP51" s="35">
        <f>+GETPIVOTDATA("XSR4",'suoirao (2016)'!$A$3,"MA_HT","SKX","MA_QH","DRA")</f>
        <v>0</v>
      </c>
      <c r="AQ51" s="35">
        <f>+GETPIVOTDATA("XSR4",'suoirao (2016)'!$A$3,"MA_HT","SKX","MA_QH","ONT")</f>
        <v>0</v>
      </c>
      <c r="AR51" s="35">
        <f>+GETPIVOTDATA("XSR4",'suoirao (2016)'!$A$3,"MA_HT","SKX","MA_QH","ODT")</f>
        <v>0</v>
      </c>
      <c r="AS51" s="35">
        <f>+GETPIVOTDATA("XSR4",'suoirao (2016)'!$A$3,"MA_HT","SKX","MA_QH","TSC")</f>
        <v>0</v>
      </c>
      <c r="AT51" s="35">
        <f>+GETPIVOTDATA("XSR4",'suoirao (2016)'!$A$3,"MA_HT","SKX","MA_QH","DTS")</f>
        <v>0</v>
      </c>
      <c r="AU51" s="35">
        <f>+GETPIVOTDATA("XSR4",'suoirao (2016)'!$A$3,"MA_HT","SKX","MA_QH","DNG")</f>
        <v>0</v>
      </c>
      <c r="AV51" s="35">
        <f>+GETPIVOTDATA("XSR4",'suoirao (2016)'!$A$3,"MA_HT","SKX","MA_QH","TON")</f>
        <v>0</v>
      </c>
      <c r="AW51" s="35">
        <f>+GETPIVOTDATA("XSR4",'suoirao (2016)'!$A$3,"MA_HT","SKX","MA_QH","NTD")</f>
        <v>0</v>
      </c>
      <c r="AX51" s="99" t="e">
        <f>$D51-$BF51</f>
        <v>#REF!</v>
      </c>
      <c r="AY51" s="35">
        <f>+GETPIVOTDATA("XSR4",'suoirao (2016)'!$A$3,"MA_HT","SKX","MA_QH","DSH")</f>
        <v>0</v>
      </c>
      <c r="AZ51" s="35">
        <f>+GETPIVOTDATA("XSR4",'suoirao (2016)'!$A$3,"MA_HT","SKX","MA_QH","DKV")</f>
        <v>0</v>
      </c>
      <c r="BA51" s="140">
        <f>+GETPIVOTDATA("XSR4",'suoirao (2016)'!$A$3,"MA_HT","SKX","MA_QH","TIN")</f>
        <v>0</v>
      </c>
      <c r="BB51" s="74">
        <f>+GETPIVOTDATA("XSR4",'suoirao (2016)'!$A$3,"MA_HT","SKX","MA_QH","SON")</f>
        <v>0</v>
      </c>
      <c r="BC51" s="74">
        <f>+GETPIVOTDATA("XSR4",'suoirao (2016)'!$A$3,"MA_HT","SKX","MA_QH","MNC")</f>
        <v>0</v>
      </c>
      <c r="BD51" s="35">
        <f>+GETPIVOTDATA("XSR4",'suoirao (2016)'!$A$3,"MA_HT","SKX","MA_QH","PNK")</f>
        <v>0</v>
      </c>
      <c r="BE51" s="58">
        <f>+GETPIVOTDATA("XSR4",'suoirao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+GETPIVOTDATA("XSR4",'suoirao (2016)'!$A$3,"MA_HT","DSH","MA_QH","LUC")</f>
        <v>0</v>
      </c>
      <c r="H52" s="35">
        <f>+GETPIVOTDATA("XSR4",'suoirao (2016)'!$A$3,"MA_HT","DSH","MA_QH","LUK")</f>
        <v>0</v>
      </c>
      <c r="I52" s="35">
        <f>+GETPIVOTDATA("XSR4",'suoirao (2016)'!$A$3,"MA_HT","DSH","MA_QH","LUN")</f>
        <v>0</v>
      </c>
      <c r="J52" s="35">
        <f>+GETPIVOTDATA("XSR4",'suoirao (2016)'!$A$3,"MA_HT","DSH","MA_QH","HNK")</f>
        <v>0</v>
      </c>
      <c r="K52" s="35">
        <f>+GETPIVOTDATA("XSR4",'suoirao (2016)'!$A$3,"MA_HT","DSH","MA_QH","CLN")</f>
        <v>0</v>
      </c>
      <c r="L52" s="35">
        <f>+GETPIVOTDATA("XSR4",'suoirao (2016)'!$A$3,"MA_HT","DSH","MA_QH","RSX")</f>
        <v>0</v>
      </c>
      <c r="M52" s="35">
        <f>+GETPIVOTDATA("XSR4",'suoirao (2016)'!$A$3,"MA_HT","DSH","MA_QH","RPH")</f>
        <v>0</v>
      </c>
      <c r="N52" s="35">
        <f>+GETPIVOTDATA("XSR4",'suoirao (2016)'!$A$3,"MA_HT","DSH","MA_QH","RDD")</f>
        <v>0</v>
      </c>
      <c r="O52" s="35">
        <f>+GETPIVOTDATA("XSR4",'suoirao (2016)'!$A$3,"MA_HT","DSH","MA_QH","NTS")</f>
        <v>0</v>
      </c>
      <c r="P52" s="35">
        <f>+GETPIVOTDATA("XSR4",'suoirao (2016)'!$A$3,"MA_HT","DSH","MA_QH","LMU")</f>
        <v>0</v>
      </c>
      <c r="Q52" s="35">
        <f>+GETPIVOTDATA("XSR4",'suoirao (2016)'!$A$3,"MA_HT","DSH","MA_QH","NKH")</f>
        <v>0</v>
      </c>
      <c r="R52" s="106">
        <f>SUM(S52:AA52,AN52:AX52,AZ52:BD52)</f>
        <v>0</v>
      </c>
      <c r="S52" s="35">
        <f>+GETPIVOTDATA("XSR4",'suoirao (2016)'!$A$3,"MA_HT","DSH","MA_QH","CQP")</f>
        <v>0</v>
      </c>
      <c r="T52" s="35">
        <f>+GETPIVOTDATA("XSR4",'suoirao (2016)'!$A$3,"MA_HT","DSH","MA_QH","CAN")</f>
        <v>0</v>
      </c>
      <c r="U52" s="35">
        <f>+GETPIVOTDATA("XSR4",'suoirao (2016)'!$A$3,"MA_HT","DSH","MA_QH","SKK")</f>
        <v>0</v>
      </c>
      <c r="V52" s="35">
        <f>+GETPIVOTDATA("XSR4",'suoirao (2016)'!$A$3,"MA_HT","DSH","MA_QH","SKT")</f>
        <v>0</v>
      </c>
      <c r="W52" s="35">
        <f>+GETPIVOTDATA("XSR4",'suoirao (2016)'!$A$3,"MA_HT","DSH","MA_QH","SKN")</f>
        <v>0</v>
      </c>
      <c r="X52" s="35">
        <f>+GETPIVOTDATA("XSR4",'suoirao (2016)'!$A$3,"MA_HT","DSH","MA_QH","TMD")</f>
        <v>0</v>
      </c>
      <c r="Y52" s="35">
        <f>+GETPIVOTDATA("XSR4",'suoirao (2016)'!$A$3,"MA_HT","DSH","MA_QH","SKC")</f>
        <v>0</v>
      </c>
      <c r="Z52" s="35">
        <f>+GETPIVOTDATA("XSR4",'suoirao (2016)'!$A$3,"MA_HT","DSH","MA_QH","SKS")</f>
        <v>0</v>
      </c>
      <c r="AA52" s="64">
        <f t="shared" si="21"/>
        <v>0</v>
      </c>
      <c r="AB52" s="35">
        <f>+GETPIVOTDATA("XSR4",'suoirao (2016)'!$A$3,"MA_HT","DSH","MA_QH","DGT")</f>
        <v>0</v>
      </c>
      <c r="AC52" s="35">
        <f>+GETPIVOTDATA("XSR4",'suoirao (2016)'!$A$3,"MA_HT","DSH","MA_QH","DTL")</f>
        <v>0</v>
      </c>
      <c r="AD52" s="35">
        <f>+GETPIVOTDATA("XSR4",'suoirao (2016)'!$A$3,"MA_HT","DSH","MA_QH","DNL")</f>
        <v>0</v>
      </c>
      <c r="AE52" s="35">
        <f>+GETPIVOTDATA("XSR4",'suoirao (2016)'!$A$3,"MA_HT","DSH","MA_QH","DBV")</f>
        <v>0</v>
      </c>
      <c r="AF52" s="35">
        <f>+GETPIVOTDATA("XSR4",'suoirao (2016)'!$A$3,"MA_HT","DSH","MA_QH","DVH")</f>
        <v>0</v>
      </c>
      <c r="AG52" s="35">
        <f>+GETPIVOTDATA("XSR4",'suoirao (2016)'!$A$3,"MA_HT","DSH","MA_QH","DYT")</f>
        <v>0</v>
      </c>
      <c r="AH52" s="35">
        <f>+GETPIVOTDATA("XSR4",'suoirao (2016)'!$A$3,"MA_HT","DSH","MA_QH","DGD")</f>
        <v>0</v>
      </c>
      <c r="AI52" s="35">
        <f>+GETPIVOTDATA("XSR4",'suoirao (2016)'!$A$3,"MA_HT","DSH","MA_QH","DTT")</f>
        <v>0</v>
      </c>
      <c r="AJ52" s="35">
        <f>+GETPIVOTDATA("XSR4",'suoirao (2016)'!$A$3,"MA_HT","DSH","MA_QH","NCK")</f>
        <v>0</v>
      </c>
      <c r="AK52" s="35">
        <f>+GETPIVOTDATA("XSR4",'suoirao (2016)'!$A$3,"MA_HT","DSH","MA_QH","DXH")</f>
        <v>0</v>
      </c>
      <c r="AL52" s="35">
        <f>+GETPIVOTDATA("XSR4",'suoirao (2016)'!$A$3,"MA_HT","DSH","MA_QH","DCH")</f>
        <v>0</v>
      </c>
      <c r="AM52" s="35">
        <f>+GETPIVOTDATA("XSR4",'suoirao (2016)'!$A$3,"MA_HT","DSH","MA_QH","DKG")</f>
        <v>0</v>
      </c>
      <c r="AN52" s="35">
        <f>+GETPIVOTDATA("XSR4",'suoirao (2016)'!$A$3,"MA_HT","DSH","MA_QH","DDT")</f>
        <v>0</v>
      </c>
      <c r="AO52" s="35">
        <f>+GETPIVOTDATA("XSR4",'suoirao (2016)'!$A$3,"MA_HT","DSH","MA_QH","DDL")</f>
        <v>0</v>
      </c>
      <c r="AP52" s="35">
        <f>+GETPIVOTDATA("XSR4",'suoirao (2016)'!$A$3,"MA_HT","DSH","MA_QH","DRA")</f>
        <v>0</v>
      </c>
      <c r="AQ52" s="35">
        <f>+GETPIVOTDATA("XSR4",'suoirao (2016)'!$A$3,"MA_HT","DSH","MA_QH","ONT")</f>
        <v>0</v>
      </c>
      <c r="AR52" s="35">
        <f>+GETPIVOTDATA("XSR4",'suoirao (2016)'!$A$3,"MA_HT","DSH","MA_QH","ODT")</f>
        <v>0</v>
      </c>
      <c r="AS52" s="35">
        <f>+GETPIVOTDATA("XSR4",'suoirao (2016)'!$A$3,"MA_HT","DSH","MA_QH","TSC")</f>
        <v>0</v>
      </c>
      <c r="AT52" s="35">
        <f>+GETPIVOTDATA("XSR4",'suoirao (2016)'!$A$3,"MA_HT","DSH","MA_QH","DTS")</f>
        <v>0</v>
      </c>
      <c r="AU52" s="35">
        <f>+GETPIVOTDATA("XSR4",'suoirao (2016)'!$A$3,"MA_HT","DSH","MA_QH","DNG")</f>
        <v>0</v>
      </c>
      <c r="AV52" s="35">
        <f>+GETPIVOTDATA("XSR4",'suoirao (2016)'!$A$3,"MA_HT","DSH","MA_QH","TON")</f>
        <v>0</v>
      </c>
      <c r="AW52" s="35">
        <f>+GETPIVOTDATA("XSR4",'suoirao (2016)'!$A$3,"MA_HT","DSH","MA_QH","NTD")</f>
        <v>0</v>
      </c>
      <c r="AX52" s="35">
        <f>+GETPIVOTDATA("XSR4",'suoirao (2016)'!$A$3,"MA_HT","DSH","MA_QH","SKX")</f>
        <v>0</v>
      </c>
      <c r="AY52" s="99" t="e">
        <f>$D52-$BF52</f>
        <v>#REF!</v>
      </c>
      <c r="AZ52" s="35">
        <f>+GETPIVOTDATA("XSR4",'suoirao (2016)'!$A$3,"MA_HT","DSH","MA_QH","DKV")</f>
        <v>0</v>
      </c>
      <c r="BA52" s="140">
        <f>+GETPIVOTDATA("XSR4",'suoirao (2016)'!$A$3,"MA_HT","DSH","MA_QH","TIN")</f>
        <v>0</v>
      </c>
      <c r="BB52" s="74">
        <f>+GETPIVOTDATA("XSR4",'suoirao (2016)'!$A$3,"MA_HT","DSH","MA_QH","SON")</f>
        <v>0</v>
      </c>
      <c r="BC52" s="74">
        <f>+GETPIVOTDATA("XSR4",'suoirao (2016)'!$A$3,"MA_HT","DSH","MA_QH","MNC")</f>
        <v>0</v>
      </c>
      <c r="BD52" s="35">
        <f>+GETPIVOTDATA("XSR4",'suoirao (2016)'!$A$3,"MA_HT","DSH","MA_QH","PNK")</f>
        <v>0</v>
      </c>
      <c r="BE52" s="58">
        <f>+GETPIVOTDATA("XSR4",'suoirao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+GETPIVOTDATA("XSR4",'suoirao (2016)'!$A$3,"MA_HT","DKV","MA_QH","LUC")</f>
        <v>0</v>
      </c>
      <c r="H53" s="35">
        <f>+GETPIVOTDATA("XSR4",'suoirao (2016)'!$A$3,"MA_HT","DKV","MA_QH","LUK")</f>
        <v>0</v>
      </c>
      <c r="I53" s="35">
        <f>+GETPIVOTDATA("XSR4",'suoirao (2016)'!$A$3,"MA_HT","DKV","MA_QH","LUN")</f>
        <v>0</v>
      </c>
      <c r="J53" s="35">
        <f>+GETPIVOTDATA("XSR4",'suoirao (2016)'!$A$3,"MA_HT","DKV","MA_QH","HNK")</f>
        <v>0</v>
      </c>
      <c r="K53" s="35">
        <f>+GETPIVOTDATA("XSR4",'suoirao (2016)'!$A$3,"MA_HT","DKV","MA_QH","CLN")</f>
        <v>0</v>
      </c>
      <c r="L53" s="35">
        <f>+GETPIVOTDATA("XSR4",'suoirao (2016)'!$A$3,"MA_HT","DKV","MA_QH","RSX")</f>
        <v>0</v>
      </c>
      <c r="M53" s="35">
        <f>+GETPIVOTDATA("XSR4",'suoirao (2016)'!$A$3,"MA_HT","DKV","MA_QH","RPH")</f>
        <v>0</v>
      </c>
      <c r="N53" s="35">
        <f>+GETPIVOTDATA("XSR4",'suoirao (2016)'!$A$3,"MA_HT","DKV","MA_QH","RDD")</f>
        <v>0</v>
      </c>
      <c r="O53" s="35">
        <f>+GETPIVOTDATA("XSR4",'suoirao (2016)'!$A$3,"MA_HT","DKV","MA_QH","NTS")</f>
        <v>0</v>
      </c>
      <c r="P53" s="35">
        <f>+GETPIVOTDATA("XSR4",'suoirao (2016)'!$A$3,"MA_HT","DKV","MA_QH","LMU")</f>
        <v>0</v>
      </c>
      <c r="Q53" s="35">
        <f>+GETPIVOTDATA("XSR4",'suoirao (2016)'!$A$3,"MA_HT","DKV","MA_QH","NKH")</f>
        <v>0</v>
      </c>
      <c r="R53" s="106">
        <f>SUM(S53:AA53,AN53:AY53,BB53:BD53)</f>
        <v>0</v>
      </c>
      <c r="S53" s="35">
        <f>+GETPIVOTDATA("XSR4",'suoirao (2016)'!$A$3,"MA_HT","DKV","MA_QH","CQP")</f>
        <v>0</v>
      </c>
      <c r="T53" s="35">
        <f>+GETPIVOTDATA("XSR4",'suoirao (2016)'!$A$3,"MA_HT","DKV","MA_QH","CAN")</f>
        <v>0</v>
      </c>
      <c r="U53" s="35">
        <f>+GETPIVOTDATA("XSR4",'suoirao (2016)'!$A$3,"MA_HT","DKV","MA_QH","SKK")</f>
        <v>0</v>
      </c>
      <c r="V53" s="35">
        <f>+GETPIVOTDATA("XSR4",'suoirao (2016)'!$A$3,"MA_HT","DKV","MA_QH","SKT")</f>
        <v>0</v>
      </c>
      <c r="W53" s="35">
        <f>+GETPIVOTDATA("XSR4",'suoirao (2016)'!$A$3,"MA_HT","DKV","MA_QH","SKN")</f>
        <v>0</v>
      </c>
      <c r="X53" s="35">
        <f>+GETPIVOTDATA("XSR4",'suoirao (2016)'!$A$3,"MA_HT","DKV","MA_QH","TMD")</f>
        <v>0</v>
      </c>
      <c r="Y53" s="35">
        <f>+GETPIVOTDATA("XSR4",'suoirao (2016)'!$A$3,"MA_HT","DKV","MA_QH","SKC")</f>
        <v>0</v>
      </c>
      <c r="Z53" s="35">
        <f>+GETPIVOTDATA("XSR4",'suoirao (2016)'!$A$3,"MA_HT","DKV","MA_QH","SKS")</f>
        <v>0</v>
      </c>
      <c r="AA53" s="64">
        <f t="shared" si="21"/>
        <v>0</v>
      </c>
      <c r="AB53" s="35">
        <f>+GETPIVOTDATA("XSR4",'suoirao (2016)'!$A$3,"MA_HT","DKV","MA_QH","DGT")</f>
        <v>0</v>
      </c>
      <c r="AC53" s="35">
        <f>+GETPIVOTDATA("XSR4",'suoirao (2016)'!$A$3,"MA_HT","DKV","MA_QH","DTL")</f>
        <v>0</v>
      </c>
      <c r="AD53" s="35">
        <f>+GETPIVOTDATA("XSR4",'suoirao (2016)'!$A$3,"MA_HT","DKV","MA_QH","DNL")</f>
        <v>0</v>
      </c>
      <c r="AE53" s="35">
        <f>+GETPIVOTDATA("XSR4",'suoirao (2016)'!$A$3,"MA_HT","DKV","MA_QH","DBV")</f>
        <v>0</v>
      </c>
      <c r="AF53" s="35">
        <f>+GETPIVOTDATA("XSR4",'suoirao (2016)'!$A$3,"MA_HT","DKV","MA_QH","DVH")</f>
        <v>0</v>
      </c>
      <c r="AG53" s="35">
        <f>+GETPIVOTDATA("XSR4",'suoirao (2016)'!$A$3,"MA_HT","DKV","MA_QH","DYT")</f>
        <v>0</v>
      </c>
      <c r="AH53" s="35">
        <f>+GETPIVOTDATA("XSR4",'suoirao (2016)'!$A$3,"MA_HT","DKV","MA_QH","DGD")</f>
        <v>0</v>
      </c>
      <c r="AI53" s="35">
        <f>+GETPIVOTDATA("XSR4",'suoirao (2016)'!$A$3,"MA_HT","DKV","MA_QH","DTT")</f>
        <v>0</v>
      </c>
      <c r="AJ53" s="35">
        <f>+GETPIVOTDATA("XSR4",'suoirao (2016)'!$A$3,"MA_HT","DKV","MA_QH","NCK")</f>
        <v>0</v>
      </c>
      <c r="AK53" s="35">
        <f>+GETPIVOTDATA("XSR4",'suoirao (2016)'!$A$3,"MA_HT","DKV","MA_QH","DXH")</f>
        <v>0</v>
      </c>
      <c r="AL53" s="35">
        <f>+GETPIVOTDATA("XSR4",'suoirao (2016)'!$A$3,"MA_HT","DKV","MA_QH","DCH")</f>
        <v>0</v>
      </c>
      <c r="AM53" s="35">
        <f>+GETPIVOTDATA("XSR4",'suoirao (2016)'!$A$3,"MA_HT","DKV","MA_QH","DKG")</f>
        <v>0</v>
      </c>
      <c r="AN53" s="35">
        <f>+GETPIVOTDATA("XSR4",'suoirao (2016)'!$A$3,"MA_HT","DKV","MA_QH","DDT")</f>
        <v>0</v>
      </c>
      <c r="AO53" s="35">
        <f>+GETPIVOTDATA("XSR4",'suoirao (2016)'!$A$3,"MA_HT","DKV","MA_QH","DDL")</f>
        <v>0</v>
      </c>
      <c r="AP53" s="35">
        <f>+GETPIVOTDATA("XSR4",'suoirao (2016)'!$A$3,"MA_HT","DKV","MA_QH","DRA")</f>
        <v>0</v>
      </c>
      <c r="AQ53" s="35">
        <f>+GETPIVOTDATA("XSR4",'suoirao (2016)'!$A$3,"MA_HT","DKV","MA_QH","ONT")</f>
        <v>0</v>
      </c>
      <c r="AR53" s="35">
        <f>+GETPIVOTDATA("XSR4",'suoirao (2016)'!$A$3,"MA_HT","DKV","MA_QH","ODT")</f>
        <v>0</v>
      </c>
      <c r="AS53" s="35">
        <f>+GETPIVOTDATA("XSR4",'suoirao (2016)'!$A$3,"MA_HT","DKV","MA_QH","TSC")</f>
        <v>0</v>
      </c>
      <c r="AT53" s="35">
        <f>+GETPIVOTDATA("XSR4",'suoirao (2016)'!$A$3,"MA_HT","DKV","MA_QH","DTS")</f>
        <v>0</v>
      </c>
      <c r="AU53" s="35">
        <f>+GETPIVOTDATA("XSR4",'suoirao (2016)'!$A$3,"MA_HT","DKV","MA_QH","DNG")</f>
        <v>0</v>
      </c>
      <c r="AV53" s="35">
        <f>+GETPIVOTDATA("XSR4",'suoirao (2016)'!$A$3,"MA_HT","DKV","MA_QH","TON")</f>
        <v>0</v>
      </c>
      <c r="AW53" s="35">
        <f>+GETPIVOTDATA("XSR4",'suoirao (2016)'!$A$3,"MA_HT","DKV","MA_QH","NTD")</f>
        <v>0</v>
      </c>
      <c r="AX53" s="35">
        <f>+GETPIVOTDATA("XSR4",'suoirao (2016)'!$A$3,"MA_HT","DKV","MA_QH","SKX")</f>
        <v>0</v>
      </c>
      <c r="AY53" s="35">
        <f>+GETPIVOTDATA("XSR4",'suoirao (2016)'!$A$3,"MA_HT","DKV","MA_QH","DSH")</f>
        <v>0</v>
      </c>
      <c r="AZ53" s="99" t="e">
        <f>$D53-$BF53</f>
        <v>#REF!</v>
      </c>
      <c r="BA53" s="140">
        <f>+GETPIVOTDATA("XSR4",'suoirao (2016)'!$A$3,"MA_HT","DKV","MA_QH","TIN")</f>
        <v>0</v>
      </c>
      <c r="BB53" s="74">
        <f>+GETPIVOTDATA("XSR4",'suoirao (2016)'!$A$3,"MA_HT","DKV","MA_QH","SON")</f>
        <v>0</v>
      </c>
      <c r="BC53" s="74">
        <f>+GETPIVOTDATA("XSR4",'suoirao (2016)'!$A$3,"MA_HT","DKV","MA_QH","MNC")</f>
        <v>0</v>
      </c>
      <c r="BD53" s="35">
        <f>+GETPIVOTDATA("XSR4",'suoirao (2016)'!$A$3,"MA_HT","DKV","MA_QH","PNK")</f>
        <v>0</v>
      </c>
      <c r="BE53" s="58">
        <f>+GETPIVOTDATA("XSR4",'suoirao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+GETPIVOTDATA("XSR4",'suoirao (2016)'!$A$3,"MA_HT","TIN","MA_QH","LUC")</f>
        <v>0</v>
      </c>
      <c r="H54" s="35">
        <f>+GETPIVOTDATA("XSR4",'suoirao (2016)'!$A$3,"MA_HT","TIN","MA_QH","LUK")</f>
        <v>0</v>
      </c>
      <c r="I54" s="35">
        <f>+GETPIVOTDATA("XSR4",'suoirao (2016)'!$A$3,"MA_HT","TIN","MA_QH","LUN")</f>
        <v>0</v>
      </c>
      <c r="J54" s="35">
        <f>+GETPIVOTDATA("XSR4",'suoirao (2016)'!$A$3,"MA_HT","TIN","MA_QH","HNK")</f>
        <v>0</v>
      </c>
      <c r="K54" s="35">
        <f>+GETPIVOTDATA("XSR4",'suoirao (2016)'!$A$3,"MA_HT","TIN","MA_QH","CLN")</f>
        <v>0</v>
      </c>
      <c r="L54" s="35">
        <f>+GETPIVOTDATA("XSR4",'suoirao (2016)'!$A$3,"MA_HT","TIN","MA_QH","RSX")</f>
        <v>0</v>
      </c>
      <c r="M54" s="35">
        <f>+GETPIVOTDATA("XSR4",'suoirao (2016)'!$A$3,"MA_HT","TIN","MA_QH","RPH")</f>
        <v>0</v>
      </c>
      <c r="N54" s="35">
        <f>+GETPIVOTDATA("XSR4",'suoirao (2016)'!$A$3,"MA_HT","TIN","MA_QH","RDD")</f>
        <v>0</v>
      </c>
      <c r="O54" s="35">
        <f>+GETPIVOTDATA("XSR4",'suoirao (2016)'!$A$3,"MA_HT","TIN","MA_QH","NTS")</f>
        <v>0</v>
      </c>
      <c r="P54" s="35">
        <f>+GETPIVOTDATA("XSR4",'suoirao (2016)'!$A$3,"MA_HT","TIN","MA_QH","LMU")</f>
        <v>0</v>
      </c>
      <c r="Q54" s="35">
        <f>+GETPIVOTDATA("XSR4",'suoirao (2016)'!$A$3,"MA_HT","TIN","MA_QH","NKH")</f>
        <v>0</v>
      </c>
      <c r="R54" s="106">
        <f>SUM(S54:AA54,AN54:AZ54,BB54:BD54)</f>
        <v>0</v>
      </c>
      <c r="S54" s="35">
        <f>+GETPIVOTDATA("XSR4",'suoirao (2016)'!$A$3,"MA_HT","TIN","MA_QH","CQP")</f>
        <v>0</v>
      </c>
      <c r="T54" s="35">
        <f>+GETPIVOTDATA("XSR4",'suoirao (2016)'!$A$3,"MA_HT","TIN","MA_QH","CAN")</f>
        <v>0</v>
      </c>
      <c r="U54" s="35">
        <f>+GETPIVOTDATA("XSR4",'suoirao (2016)'!$A$3,"MA_HT","TIN","MA_QH","SKK")</f>
        <v>0</v>
      </c>
      <c r="V54" s="35">
        <f>+GETPIVOTDATA("XSR4",'suoirao (2016)'!$A$3,"MA_HT","TIN","MA_QH","SKT")</f>
        <v>0</v>
      </c>
      <c r="W54" s="35">
        <f>+GETPIVOTDATA("XSR4",'suoirao (2016)'!$A$3,"MA_HT","TIN","MA_QH","SKN")</f>
        <v>0</v>
      </c>
      <c r="X54" s="35">
        <f>+GETPIVOTDATA("XSR4",'suoirao (2016)'!$A$3,"MA_HT","TIN","MA_QH","TMD")</f>
        <v>0</v>
      </c>
      <c r="Y54" s="35">
        <f>+GETPIVOTDATA("XSR4",'suoirao (2016)'!$A$3,"MA_HT","TIN","MA_QH","SKC")</f>
        <v>0</v>
      </c>
      <c r="Z54" s="35">
        <f>+GETPIVOTDATA("XSR4",'suoirao (2016)'!$A$3,"MA_HT","TIN","MA_QH","SKS")</f>
        <v>0</v>
      </c>
      <c r="AA54" s="64">
        <f t="shared" si="21"/>
        <v>0</v>
      </c>
      <c r="AB54" s="35">
        <f>+GETPIVOTDATA("XSR4",'suoirao (2016)'!$A$3,"MA_HT","TIN","MA_QH","DGT")</f>
        <v>0</v>
      </c>
      <c r="AC54" s="35">
        <f>+GETPIVOTDATA("XSR4",'suoirao (2016)'!$A$3,"MA_HT","TIN","MA_QH","DTL")</f>
        <v>0</v>
      </c>
      <c r="AD54" s="35">
        <f>+GETPIVOTDATA("XSR4",'suoirao (2016)'!$A$3,"MA_HT","TIN","MA_QH","DNL")</f>
        <v>0</v>
      </c>
      <c r="AE54" s="35">
        <f>+GETPIVOTDATA("XSR4",'suoirao (2016)'!$A$3,"MA_HT","TIN","MA_QH","DBV")</f>
        <v>0</v>
      </c>
      <c r="AF54" s="35">
        <f>+GETPIVOTDATA("XSR4",'suoirao (2016)'!$A$3,"MA_HT","TIN","MA_QH","DVH")</f>
        <v>0</v>
      </c>
      <c r="AG54" s="35">
        <f>+GETPIVOTDATA("XSR4",'suoirao (2016)'!$A$3,"MA_HT","TIN","MA_QH","DYT")</f>
        <v>0</v>
      </c>
      <c r="AH54" s="35">
        <f>+GETPIVOTDATA("XSR4",'suoirao (2016)'!$A$3,"MA_HT","TIN","MA_QH","DGD")</f>
        <v>0</v>
      </c>
      <c r="AI54" s="35">
        <f>+GETPIVOTDATA("XSR4",'suoirao (2016)'!$A$3,"MA_HT","TIN","MA_QH","DTT")</f>
        <v>0</v>
      </c>
      <c r="AJ54" s="35">
        <f>+GETPIVOTDATA("XSR4",'suoirao (2016)'!$A$3,"MA_HT","TIN","MA_QH","NCK")</f>
        <v>0</v>
      </c>
      <c r="AK54" s="35">
        <f>+GETPIVOTDATA("XSR4",'suoirao (2016)'!$A$3,"MA_HT","TIN","MA_QH","DXH")</f>
        <v>0</v>
      </c>
      <c r="AL54" s="35">
        <f>+GETPIVOTDATA("XSR4",'suoirao (2016)'!$A$3,"MA_HT","TIN","MA_QH","DCH")</f>
        <v>0</v>
      </c>
      <c r="AM54" s="35">
        <f>+GETPIVOTDATA("XSR4",'suoirao (2016)'!$A$3,"MA_HT","TIN","MA_QH","DKG")</f>
        <v>0</v>
      </c>
      <c r="AN54" s="35">
        <f>+GETPIVOTDATA("XSR4",'suoirao (2016)'!$A$3,"MA_HT","TIN","MA_QH","DDT")</f>
        <v>0</v>
      </c>
      <c r="AO54" s="35">
        <f>+GETPIVOTDATA("XSR4",'suoirao (2016)'!$A$3,"MA_HT","TIN","MA_QH","DDL")</f>
        <v>0</v>
      </c>
      <c r="AP54" s="35">
        <f>+GETPIVOTDATA("XSR4",'suoirao (2016)'!$A$3,"MA_HT","TIN","MA_QH","DRA")</f>
        <v>0</v>
      </c>
      <c r="AQ54" s="35">
        <f>+GETPIVOTDATA("XSR4",'suoirao (2016)'!$A$3,"MA_HT","TIN","MA_QH","ONT")</f>
        <v>0</v>
      </c>
      <c r="AR54" s="35">
        <f>+GETPIVOTDATA("XSR4",'suoirao (2016)'!$A$3,"MA_HT","TIN","MA_QH","ODT")</f>
        <v>0</v>
      </c>
      <c r="AS54" s="35">
        <f>+GETPIVOTDATA("XSR4",'suoirao (2016)'!$A$3,"MA_HT","TIN","MA_QH","TSC")</f>
        <v>0</v>
      </c>
      <c r="AT54" s="35">
        <f>+GETPIVOTDATA("XSR4",'suoirao (2016)'!$A$3,"MA_HT","TIN","MA_QH","DTS")</f>
        <v>0</v>
      </c>
      <c r="AU54" s="35">
        <f>+GETPIVOTDATA("XSR4",'suoirao (2016)'!$A$3,"MA_HT","TIN","MA_QH","DNG")</f>
        <v>0</v>
      </c>
      <c r="AV54" s="35">
        <f>+GETPIVOTDATA("XSR4",'suoirao (2016)'!$A$3,"MA_HT","TIN","MA_QH","TON")</f>
        <v>0</v>
      </c>
      <c r="AW54" s="35">
        <f>+GETPIVOTDATA("XSR4",'suoirao (2016)'!$A$3,"MA_HT","TIN","MA_QH","NTD")</f>
        <v>0</v>
      </c>
      <c r="AX54" s="35">
        <f>+GETPIVOTDATA("XSR4",'suoirao (2016)'!$A$3,"MA_HT","TIN","MA_QH","SKX")</f>
        <v>0</v>
      </c>
      <c r="AY54" s="35">
        <f>+GETPIVOTDATA("XSR4",'suoirao (2016)'!$A$3,"MA_HT","TIN","MA_QH","DSH")</f>
        <v>0</v>
      </c>
      <c r="AZ54" s="35">
        <f>+GETPIVOTDATA("XSR4",'suoirao (2016)'!$A$3,"MA_HT","TIN","MA_QH","DKV")</f>
        <v>0</v>
      </c>
      <c r="BA54" s="99" t="e">
        <f>$D54-$BF54</f>
        <v>#REF!</v>
      </c>
      <c r="BB54" s="35">
        <f>+GETPIVOTDATA("XSR4",'suoirao (2016)'!$A$3,"MA_HT","TIN","MA_QH","SON")</f>
        <v>0</v>
      </c>
      <c r="BC54" s="35">
        <f>+GETPIVOTDATA("XSR4",'suoirao (2016)'!$A$3,"MA_HT","TIN","MA_QH","MNC")</f>
        <v>0</v>
      </c>
      <c r="BD54" s="35">
        <f>+GETPIVOTDATA("XSR4",'suoirao (2016)'!$A$3,"MA_HT","TIN","MA_QH","PNK")</f>
        <v>0</v>
      </c>
      <c r="BE54" s="58">
        <f>+GETPIVOTDATA("XSR4",'suoirao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+GETPIVOTDATA("XSR4",'suoirao (2016)'!$A$3,"MA_HT","SON","MA_QH","LUC")</f>
        <v>0</v>
      </c>
      <c r="H55" s="35">
        <f>+GETPIVOTDATA("XSR4",'suoirao (2016)'!$A$3,"MA_HT","SON","MA_QH","LUK")</f>
        <v>0</v>
      </c>
      <c r="I55" s="35">
        <f>+GETPIVOTDATA("XSR4",'suoirao (2016)'!$A$3,"MA_HT","SON","MA_QH","LUN")</f>
        <v>0</v>
      </c>
      <c r="J55" s="35">
        <f>+GETPIVOTDATA("XSR4",'suoirao (2016)'!$A$3,"MA_HT","SON","MA_QH","HNK")</f>
        <v>0</v>
      </c>
      <c r="K55" s="35">
        <f>+GETPIVOTDATA("XSR4",'suoirao (2016)'!$A$3,"MA_HT","SON","MA_QH","CLN")</f>
        <v>0</v>
      </c>
      <c r="L55" s="35">
        <f>+GETPIVOTDATA("XSR4",'suoirao (2016)'!$A$3,"MA_HT","SON","MA_QH","RSX")</f>
        <v>0</v>
      </c>
      <c r="M55" s="35">
        <f>+GETPIVOTDATA("XSR4",'suoirao (2016)'!$A$3,"MA_HT","SON","MA_QH","RPH")</f>
        <v>0</v>
      </c>
      <c r="N55" s="35">
        <f>+GETPIVOTDATA("XSR4",'suoirao (2016)'!$A$3,"MA_HT","SON","MA_QH","RDD")</f>
        <v>0</v>
      </c>
      <c r="O55" s="35">
        <f>+GETPIVOTDATA("XSR4",'suoirao (2016)'!$A$3,"MA_HT","SON","MA_QH","NTS")</f>
        <v>0</v>
      </c>
      <c r="P55" s="35">
        <f>+GETPIVOTDATA("XSR4",'suoirao (2016)'!$A$3,"MA_HT","SON","MA_QH","LMU")</f>
        <v>0</v>
      </c>
      <c r="Q55" s="35">
        <f>+GETPIVOTDATA("XSR4",'suoirao (2016)'!$A$3,"MA_HT","SON","MA_QH","NKH")</f>
        <v>0</v>
      </c>
      <c r="R55" s="106">
        <f>SUM(S55:AA55,AN55:AZ55,BC55:BD55)</f>
        <v>0</v>
      </c>
      <c r="S55" s="35">
        <f>+GETPIVOTDATA("XSR4",'suoirao (2016)'!$A$3,"MA_HT","SON","MA_QH","CQP")</f>
        <v>0</v>
      </c>
      <c r="T55" s="35">
        <f>+GETPIVOTDATA("XSR4",'suoirao (2016)'!$A$3,"MA_HT","SON","MA_QH","CAN")</f>
        <v>0</v>
      </c>
      <c r="U55" s="35">
        <f>+GETPIVOTDATA("XSR4",'suoirao (2016)'!$A$3,"MA_HT","SON","MA_QH","SKK")</f>
        <v>0</v>
      </c>
      <c r="V55" s="35">
        <f>+GETPIVOTDATA("XSR4",'suoirao (2016)'!$A$3,"MA_HT","SON","MA_QH","SKT")</f>
        <v>0</v>
      </c>
      <c r="W55" s="35">
        <f>+GETPIVOTDATA("XSR4",'suoirao (2016)'!$A$3,"MA_HT","SON","MA_QH","SKN")</f>
        <v>0</v>
      </c>
      <c r="X55" s="35">
        <f>+GETPIVOTDATA("XSR4",'suoirao (2016)'!$A$3,"MA_HT","SON","MA_QH","TMD")</f>
        <v>0</v>
      </c>
      <c r="Y55" s="35">
        <f>+GETPIVOTDATA("XSR4",'suoirao (2016)'!$A$3,"MA_HT","SON","MA_QH","SKC")</f>
        <v>0</v>
      </c>
      <c r="Z55" s="35">
        <f>+GETPIVOTDATA("XSR4",'suoirao (2016)'!$A$3,"MA_HT","SON","MA_QH","SKS")</f>
        <v>0</v>
      </c>
      <c r="AA55" s="64">
        <f t="shared" si="21"/>
        <v>0</v>
      </c>
      <c r="AB55" s="35">
        <f>+GETPIVOTDATA("XSR4",'suoirao (2016)'!$A$3,"MA_HT","SON","MA_QH","DGT")</f>
        <v>0</v>
      </c>
      <c r="AC55" s="35">
        <f>+GETPIVOTDATA("XSR4",'suoirao (2016)'!$A$3,"MA_HT","SON","MA_QH","DTL")</f>
        <v>0</v>
      </c>
      <c r="AD55" s="35">
        <f>+GETPIVOTDATA("XSR4",'suoirao (2016)'!$A$3,"MA_HT","SON","MA_QH","DNL")</f>
        <v>0</v>
      </c>
      <c r="AE55" s="35">
        <f>+GETPIVOTDATA("XSR4",'suoirao (2016)'!$A$3,"MA_HT","SON","MA_QH","DBV")</f>
        <v>0</v>
      </c>
      <c r="AF55" s="35">
        <f>+GETPIVOTDATA("XSR4",'suoirao (2016)'!$A$3,"MA_HT","SON","MA_QH","DVH")</f>
        <v>0</v>
      </c>
      <c r="AG55" s="35">
        <f>+GETPIVOTDATA("XSR4",'suoirao (2016)'!$A$3,"MA_HT","SON","MA_QH","DYT")</f>
        <v>0</v>
      </c>
      <c r="AH55" s="35">
        <f>+GETPIVOTDATA("XSR4",'suoirao (2016)'!$A$3,"MA_HT","SON","MA_QH","DGD")</f>
        <v>0</v>
      </c>
      <c r="AI55" s="35">
        <f>+GETPIVOTDATA("XSR4",'suoirao (2016)'!$A$3,"MA_HT","SON","MA_QH","DTT")</f>
        <v>0</v>
      </c>
      <c r="AJ55" s="35">
        <f>+GETPIVOTDATA("XSR4",'suoirao (2016)'!$A$3,"MA_HT","SON","MA_QH","NCK")</f>
        <v>0</v>
      </c>
      <c r="AK55" s="35">
        <f>+GETPIVOTDATA("XSR4",'suoirao (2016)'!$A$3,"MA_HT","SON","MA_QH","DXH")</f>
        <v>0</v>
      </c>
      <c r="AL55" s="35">
        <f>+GETPIVOTDATA("XSR4",'suoirao (2016)'!$A$3,"MA_HT","SON","MA_QH","DCH")</f>
        <v>0</v>
      </c>
      <c r="AM55" s="35">
        <f>+GETPIVOTDATA("XSR4",'suoirao (2016)'!$A$3,"MA_HT","SON","MA_QH","DKG")</f>
        <v>0</v>
      </c>
      <c r="AN55" s="35">
        <f>+GETPIVOTDATA("XSR4",'suoirao (2016)'!$A$3,"MA_HT","SON","MA_QH","DDT")</f>
        <v>0</v>
      </c>
      <c r="AO55" s="35">
        <f>+GETPIVOTDATA("XSR4",'suoirao (2016)'!$A$3,"MA_HT","SON","MA_QH","DDL")</f>
        <v>0</v>
      </c>
      <c r="AP55" s="35">
        <f>+GETPIVOTDATA("XSR4",'suoirao (2016)'!$A$3,"MA_HT","SON","MA_QH","DRA")</f>
        <v>0</v>
      </c>
      <c r="AQ55" s="35">
        <f>+GETPIVOTDATA("XSR4",'suoirao (2016)'!$A$3,"MA_HT","SON","MA_QH","ONT")</f>
        <v>0</v>
      </c>
      <c r="AR55" s="35">
        <f>+GETPIVOTDATA("XSR4",'suoirao (2016)'!$A$3,"MA_HT","SON","MA_QH","ODT")</f>
        <v>0</v>
      </c>
      <c r="AS55" s="35">
        <f>+GETPIVOTDATA("XSR4",'suoirao (2016)'!$A$3,"MA_HT","SON","MA_QH","TSC")</f>
        <v>0</v>
      </c>
      <c r="AT55" s="35">
        <f>+GETPIVOTDATA("XSR4",'suoirao (2016)'!$A$3,"MA_HT","SON","MA_QH","DTS")</f>
        <v>0</v>
      </c>
      <c r="AU55" s="35">
        <f>+GETPIVOTDATA("XSR4",'suoirao (2016)'!$A$3,"MA_HT","SON","MA_QH","DNG")</f>
        <v>0</v>
      </c>
      <c r="AV55" s="35">
        <f>+GETPIVOTDATA("XSR4",'suoirao (2016)'!$A$3,"MA_HT","SON","MA_QH","TON")</f>
        <v>0</v>
      </c>
      <c r="AW55" s="35">
        <f>+GETPIVOTDATA("XSR4",'suoirao (2016)'!$A$3,"MA_HT","SON","MA_QH","NTD")</f>
        <v>0</v>
      </c>
      <c r="AX55" s="35">
        <f>+GETPIVOTDATA("XSR4",'suoirao (2016)'!$A$3,"MA_HT","SON","MA_QH","SKX")</f>
        <v>0</v>
      </c>
      <c r="AY55" s="35">
        <f>+GETPIVOTDATA("XSR4",'suoirao (2016)'!$A$3,"MA_HT","SON","MA_QH","DSH")</f>
        <v>0</v>
      </c>
      <c r="AZ55" s="35">
        <f>+GETPIVOTDATA("XSR4",'suoirao (2016)'!$A$3,"MA_HT","SON","MA_QH","DKV")</f>
        <v>0</v>
      </c>
      <c r="BA55" s="140">
        <f>+GETPIVOTDATA("XSR4",'suoirao (2016)'!$A$3,"MA_HT","SON","MA_QH","TIN")</f>
        <v>0</v>
      </c>
      <c r="BB55" s="99" t="e">
        <f>$D55-$BF55</f>
        <v>#REF!</v>
      </c>
      <c r="BC55" s="74">
        <f>+GETPIVOTDATA("XSR4",'suoirao (2016)'!$A$3,"MA_HT","SON","MA_QH","MNC")</f>
        <v>0</v>
      </c>
      <c r="BD55" s="35">
        <f>+GETPIVOTDATA("XSR4",'suoirao (2016)'!$A$3,"MA_HT","SON","MA_QH","PNK")</f>
        <v>0</v>
      </c>
      <c r="BE55" s="58">
        <f>+GETPIVOTDATA("XSR4",'suoirao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+GETPIVOTDATA("XSR4",'suoirao (2016)'!$A$3,"MA_HT","MNC","MA_QH","LUC")</f>
        <v>0</v>
      </c>
      <c r="H56" s="35">
        <f>+GETPIVOTDATA("XSR4",'suoirao (2016)'!$A$3,"MA_HT","MNC","MA_QH","LUK")</f>
        <v>0</v>
      </c>
      <c r="I56" s="35">
        <f>+GETPIVOTDATA("XSR4",'suoirao (2016)'!$A$3,"MA_HT","MNC","MA_QH","LUN")</f>
        <v>0</v>
      </c>
      <c r="J56" s="35">
        <f>+GETPIVOTDATA("XSR4",'suoirao (2016)'!$A$3,"MA_HT","MNC","MA_QH","HNK")</f>
        <v>0</v>
      </c>
      <c r="K56" s="35">
        <f>+GETPIVOTDATA("XSR4",'suoirao (2016)'!$A$3,"MA_HT","MNC","MA_QH","CLN")</f>
        <v>0</v>
      </c>
      <c r="L56" s="35">
        <f>+GETPIVOTDATA("XSR4",'suoirao (2016)'!$A$3,"MA_HT","MNC","MA_QH","RSX")</f>
        <v>0</v>
      </c>
      <c r="M56" s="35">
        <f>+GETPIVOTDATA("XSR4",'suoirao (2016)'!$A$3,"MA_HT","MNC","MA_QH","RPH")</f>
        <v>0</v>
      </c>
      <c r="N56" s="35">
        <f>+GETPIVOTDATA("XSR4",'suoirao (2016)'!$A$3,"MA_HT","MNC","MA_QH","RDD")</f>
        <v>0</v>
      </c>
      <c r="O56" s="35">
        <f>+GETPIVOTDATA("XSR4",'suoirao (2016)'!$A$3,"MA_HT","MNC","MA_QH","NTS")</f>
        <v>0</v>
      </c>
      <c r="P56" s="35">
        <f>+GETPIVOTDATA("XSR4",'suoirao (2016)'!$A$3,"MA_HT","MNC","MA_QH","LMU")</f>
        <v>0</v>
      </c>
      <c r="Q56" s="35">
        <f>+GETPIVOTDATA("XSR4",'suoirao (2016)'!$A$3,"MA_HT","MNC","MA_QH","NKH")</f>
        <v>0</v>
      </c>
      <c r="R56" s="106">
        <f>SUM(S56:AA56,AN56:BB56,BD56)</f>
        <v>0</v>
      </c>
      <c r="S56" s="35">
        <f>+GETPIVOTDATA("XSR4",'suoirao (2016)'!$A$3,"MA_HT","MNC","MA_QH","CQP")</f>
        <v>0</v>
      </c>
      <c r="T56" s="35">
        <f>+GETPIVOTDATA("XSR4",'suoirao (2016)'!$A$3,"MA_HT","MNC","MA_QH","CAN")</f>
        <v>0</v>
      </c>
      <c r="U56" s="35">
        <f>+GETPIVOTDATA("XSR4",'suoirao (2016)'!$A$3,"MA_HT","MNC","MA_QH","SKK")</f>
        <v>0</v>
      </c>
      <c r="V56" s="35">
        <f>+GETPIVOTDATA("XSR4",'suoirao (2016)'!$A$3,"MA_HT","MNC","MA_QH","SKT")</f>
        <v>0</v>
      </c>
      <c r="W56" s="35">
        <f>+GETPIVOTDATA("XSR4",'suoirao (2016)'!$A$3,"MA_HT","MNC","MA_QH","SKN")</f>
        <v>0</v>
      </c>
      <c r="X56" s="35">
        <f>+GETPIVOTDATA("XSR4",'suoirao (2016)'!$A$3,"MA_HT","MNC","MA_QH","TMD")</f>
        <v>0</v>
      </c>
      <c r="Y56" s="35">
        <f>+GETPIVOTDATA("XSR4",'suoirao (2016)'!$A$3,"MA_HT","MNC","MA_QH","SKC")</f>
        <v>0</v>
      </c>
      <c r="Z56" s="35">
        <f>+GETPIVOTDATA("XSR4",'suoirao (2016)'!$A$3,"MA_HT","MNC","MA_QH","SKS")</f>
        <v>0</v>
      </c>
      <c r="AA56" s="64">
        <f t="shared" si="21"/>
        <v>0</v>
      </c>
      <c r="AB56" s="35">
        <f>+GETPIVOTDATA("XSR4",'suoirao (2016)'!$A$3,"MA_HT","MNC","MA_QH","DGT")</f>
        <v>0</v>
      </c>
      <c r="AC56" s="35">
        <f>+GETPIVOTDATA("XSR4",'suoirao (2016)'!$A$3,"MA_HT","MNC","MA_QH","DTL")</f>
        <v>0</v>
      </c>
      <c r="AD56" s="35">
        <f>+GETPIVOTDATA("XSR4",'suoirao (2016)'!$A$3,"MA_HT","MNC","MA_QH","DNL")</f>
        <v>0</v>
      </c>
      <c r="AE56" s="35">
        <f>+GETPIVOTDATA("XSR4",'suoirao (2016)'!$A$3,"MA_HT","MNC","MA_QH","DBV")</f>
        <v>0</v>
      </c>
      <c r="AF56" s="35">
        <f>+GETPIVOTDATA("XSR4",'suoirao (2016)'!$A$3,"MA_HT","MNC","MA_QH","DVH")</f>
        <v>0</v>
      </c>
      <c r="AG56" s="35">
        <f>+GETPIVOTDATA("XSR4",'suoirao (2016)'!$A$3,"MA_HT","MNC","MA_QH","DYT")</f>
        <v>0</v>
      </c>
      <c r="AH56" s="35">
        <f>+GETPIVOTDATA("XSR4",'suoirao (2016)'!$A$3,"MA_HT","MNC","MA_QH","DGD")</f>
        <v>0</v>
      </c>
      <c r="AI56" s="35">
        <f>+GETPIVOTDATA("XSR4",'suoirao (2016)'!$A$3,"MA_HT","MNC","MA_QH","DTT")</f>
        <v>0</v>
      </c>
      <c r="AJ56" s="35">
        <f>+GETPIVOTDATA("XSR4",'suoirao (2016)'!$A$3,"MA_HT","MNC","MA_QH","NCK")</f>
        <v>0</v>
      </c>
      <c r="AK56" s="35">
        <f>+GETPIVOTDATA("XSR4",'suoirao (2016)'!$A$3,"MA_HT","MNC","MA_QH","DXH")</f>
        <v>0</v>
      </c>
      <c r="AL56" s="35">
        <f>+GETPIVOTDATA("XSR4",'suoirao (2016)'!$A$3,"MA_HT","MNC","MA_QH","DCH")</f>
        <v>0</v>
      </c>
      <c r="AM56" s="35">
        <f>+GETPIVOTDATA("XSR4",'suoirao (2016)'!$A$3,"MA_HT","MNC","MA_QH","DKG")</f>
        <v>0</v>
      </c>
      <c r="AN56" s="35">
        <f>+GETPIVOTDATA("XSR4",'suoirao (2016)'!$A$3,"MA_HT","MNC","MA_QH","DDT")</f>
        <v>0</v>
      </c>
      <c r="AO56" s="35">
        <f>+GETPIVOTDATA("XSR4",'suoirao (2016)'!$A$3,"MA_HT","MNC","MA_QH","DDL")</f>
        <v>0</v>
      </c>
      <c r="AP56" s="35">
        <f>+GETPIVOTDATA("XSR4",'suoirao (2016)'!$A$3,"MA_HT","MNC","MA_QH","DRA")</f>
        <v>0</v>
      </c>
      <c r="AQ56" s="35">
        <f>+GETPIVOTDATA("XSR4",'suoirao (2016)'!$A$3,"MA_HT","MNC","MA_QH","ONT")</f>
        <v>0</v>
      </c>
      <c r="AR56" s="35">
        <f>+GETPIVOTDATA("XSR4",'suoirao (2016)'!$A$3,"MA_HT","MNC","MA_QH","ODT")</f>
        <v>0</v>
      </c>
      <c r="AS56" s="35">
        <f>+GETPIVOTDATA("XSR4",'suoirao (2016)'!$A$3,"MA_HT","MNC","MA_QH","TSC")</f>
        <v>0</v>
      </c>
      <c r="AT56" s="35">
        <f>+GETPIVOTDATA("XSR4",'suoirao (2016)'!$A$3,"MA_HT","MNC","MA_QH","DTS")</f>
        <v>0</v>
      </c>
      <c r="AU56" s="35">
        <f>+GETPIVOTDATA("XSR4",'suoirao (2016)'!$A$3,"MA_HT","MNC","MA_QH","DNG")</f>
        <v>0</v>
      </c>
      <c r="AV56" s="35">
        <f>+GETPIVOTDATA("XSR4",'suoirao (2016)'!$A$3,"MA_HT","MNC","MA_QH","TON")</f>
        <v>0</v>
      </c>
      <c r="AW56" s="35">
        <f>+GETPIVOTDATA("XSR4",'suoirao (2016)'!$A$3,"MA_HT","MNC","MA_QH","NTD")</f>
        <v>0</v>
      </c>
      <c r="AX56" s="35">
        <f>+GETPIVOTDATA("XSR4",'suoirao (2016)'!$A$3,"MA_HT","MNC","MA_QH","SKX")</f>
        <v>0</v>
      </c>
      <c r="AY56" s="35">
        <f>+GETPIVOTDATA("XSR4",'suoirao (2016)'!$A$3,"MA_HT","MNC","MA_QH","DSH")</f>
        <v>0</v>
      </c>
      <c r="AZ56" s="35">
        <f>+GETPIVOTDATA("XSR4",'suoirao (2016)'!$A$3,"MA_HT","MNC","MA_QH","DKV")</f>
        <v>0</v>
      </c>
      <c r="BA56" s="140">
        <f>+GETPIVOTDATA("XSR4",'suoirao (2016)'!$A$3,"MA_HT","MNC","MA_QH","TIN")</f>
        <v>0</v>
      </c>
      <c r="BB56" s="74">
        <f>+GETPIVOTDATA("XSR4",'suoirao (2016)'!$A$3,"MA_HT","MNC","MA_QH","SON")</f>
        <v>0</v>
      </c>
      <c r="BC56" s="99" t="e">
        <f>$D56-$BF56</f>
        <v>#REF!</v>
      </c>
      <c r="BD56" s="35">
        <f>+GETPIVOTDATA("XSR4",'suoirao (2016)'!$A$3,"MA_HT","MNC","MA_QH","PNK")</f>
        <v>0</v>
      </c>
      <c r="BE56" s="58">
        <f>+GETPIVOTDATA("XSR4",'suoirao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+GETPIVOTDATA("XSR4",'suoirao (2016)'!$A$3,"MA_HT","PNK","MA_QH","LUC")</f>
        <v>0</v>
      </c>
      <c r="H57" s="35">
        <f>+GETPIVOTDATA("XSR4",'suoirao (2016)'!$A$3,"MA_HT","PNK","MA_QH","LUK")</f>
        <v>0</v>
      </c>
      <c r="I57" s="35">
        <f>+GETPIVOTDATA("XSR4",'suoirao (2016)'!$A$3,"MA_HT","PNK","MA_QH","LUN")</f>
        <v>0</v>
      </c>
      <c r="J57" s="35">
        <f>+GETPIVOTDATA("XSR4",'suoirao (2016)'!$A$3,"MA_HT","PNK","MA_QH","HNK")</f>
        <v>0</v>
      </c>
      <c r="K57" s="35">
        <f>+GETPIVOTDATA("XSR4",'suoirao (2016)'!$A$3,"MA_HT","PNK","MA_QH","CLN")</f>
        <v>0</v>
      </c>
      <c r="L57" s="35">
        <f>+GETPIVOTDATA("XSR4",'suoirao (2016)'!$A$3,"MA_HT","PNK","MA_QH","RSX")</f>
        <v>0</v>
      </c>
      <c r="M57" s="35">
        <f>+GETPIVOTDATA("XSR4",'suoirao (2016)'!$A$3,"MA_HT","PNK","MA_QH","RPH")</f>
        <v>0</v>
      </c>
      <c r="N57" s="35">
        <f>+GETPIVOTDATA("XSR4",'suoirao (2016)'!$A$3,"MA_HT","PNK","MA_QH","RDD")</f>
        <v>0</v>
      </c>
      <c r="O57" s="35">
        <f>+GETPIVOTDATA("XSR4",'suoirao (2016)'!$A$3,"MA_HT","PNK","MA_QH","NTS")</f>
        <v>0</v>
      </c>
      <c r="P57" s="35">
        <f>+GETPIVOTDATA("XSR4",'suoirao (2016)'!$A$3,"MA_HT","PNK","MA_QH","LMU")</f>
        <v>0</v>
      </c>
      <c r="Q57" s="35">
        <f>+GETPIVOTDATA("XSR4",'suoirao (2016)'!$A$3,"MA_HT","PNK","MA_QH","NKH")</f>
        <v>0</v>
      </c>
      <c r="R57" s="106">
        <f>SUM(S57:AA57,AN57:BC57)</f>
        <v>0</v>
      </c>
      <c r="S57" s="35">
        <f>+GETPIVOTDATA("XSR4",'suoirao (2016)'!$A$3,"MA_HT","PNK","MA_QH","CQP")</f>
        <v>0</v>
      </c>
      <c r="T57" s="35">
        <f>+GETPIVOTDATA("XSR4",'suoirao (2016)'!$A$3,"MA_HT","PNK","MA_QH","CAN")</f>
        <v>0</v>
      </c>
      <c r="U57" s="35">
        <f>+GETPIVOTDATA("XSR4",'suoirao (2016)'!$A$3,"MA_HT","PNK","MA_QH","SKK")</f>
        <v>0</v>
      </c>
      <c r="V57" s="35">
        <f>+GETPIVOTDATA("XSR4",'suoirao (2016)'!$A$3,"MA_HT","PNK","MA_QH","SKT")</f>
        <v>0</v>
      </c>
      <c r="W57" s="35">
        <f>+GETPIVOTDATA("XSR4",'suoirao (2016)'!$A$3,"MA_HT","PNK","MA_QH","SKN")</f>
        <v>0</v>
      </c>
      <c r="X57" s="35">
        <f>+GETPIVOTDATA("XSR4",'suoirao (2016)'!$A$3,"MA_HT","PNK","MA_QH","TMD")</f>
        <v>0</v>
      </c>
      <c r="Y57" s="35">
        <f>+GETPIVOTDATA("XSR4",'suoirao (2016)'!$A$3,"MA_HT","PNK","MA_QH","SKC")</f>
        <v>0</v>
      </c>
      <c r="Z57" s="35">
        <f>+GETPIVOTDATA("XSR4",'suoirao (2016)'!$A$3,"MA_HT","PNK","MA_QH","SKS")</f>
        <v>0</v>
      </c>
      <c r="AA57" s="64">
        <f t="shared" si="21"/>
        <v>0</v>
      </c>
      <c r="AB57" s="35">
        <f>+GETPIVOTDATA("XSR4",'suoirao (2016)'!$A$3,"MA_HT","PNK","MA_QH","DGT")</f>
        <v>0</v>
      </c>
      <c r="AC57" s="35">
        <f>+GETPIVOTDATA("XSR4",'suoirao (2016)'!$A$3,"MA_HT","PNK","MA_QH","DTL")</f>
        <v>0</v>
      </c>
      <c r="AD57" s="35">
        <f>+GETPIVOTDATA("XSR4",'suoirao (2016)'!$A$3,"MA_HT","PNK","MA_QH","DNL")</f>
        <v>0</v>
      </c>
      <c r="AE57" s="35">
        <f>+GETPIVOTDATA("XSR4",'suoirao (2016)'!$A$3,"MA_HT","PNK","MA_QH","DBV")</f>
        <v>0</v>
      </c>
      <c r="AF57" s="35">
        <f>+GETPIVOTDATA("XSR4",'suoirao (2016)'!$A$3,"MA_HT","PNK","MA_QH","DVH")</f>
        <v>0</v>
      </c>
      <c r="AG57" s="35">
        <f>+GETPIVOTDATA("XSR4",'suoirao (2016)'!$A$3,"MA_HT","PNK","MA_QH","DYT")</f>
        <v>0</v>
      </c>
      <c r="AH57" s="35">
        <f>+GETPIVOTDATA("XSR4",'suoirao (2016)'!$A$3,"MA_HT","PNK","MA_QH","DGD")</f>
        <v>0</v>
      </c>
      <c r="AI57" s="35">
        <f>+GETPIVOTDATA("XSR4",'suoirao (2016)'!$A$3,"MA_HT","PNK","MA_QH","DTT")</f>
        <v>0</v>
      </c>
      <c r="AJ57" s="35">
        <f>+GETPIVOTDATA("XSR4",'suoirao (2016)'!$A$3,"MA_HT","PNK","MA_QH","NCK")</f>
        <v>0</v>
      </c>
      <c r="AK57" s="35">
        <f>+GETPIVOTDATA("XSR4",'suoirao (2016)'!$A$3,"MA_HT","PNK","MA_QH","DXH")</f>
        <v>0</v>
      </c>
      <c r="AL57" s="35">
        <f>+GETPIVOTDATA("XSR4",'suoirao (2016)'!$A$3,"MA_HT","PNK","MA_QH","DCH")</f>
        <v>0</v>
      </c>
      <c r="AM57" s="35">
        <f>+GETPIVOTDATA("XSR4",'suoirao (2016)'!$A$3,"MA_HT","PNK","MA_QH","DKG")</f>
        <v>0</v>
      </c>
      <c r="AN57" s="35">
        <f>+GETPIVOTDATA("XSR4",'suoirao (2016)'!$A$3,"MA_HT","PNK","MA_QH","DDT")</f>
        <v>0</v>
      </c>
      <c r="AO57" s="35">
        <f>+GETPIVOTDATA("XSR4",'suoirao (2016)'!$A$3,"MA_HT","PNK","MA_QH","DDL")</f>
        <v>0</v>
      </c>
      <c r="AP57" s="35">
        <f>+GETPIVOTDATA("XSR4",'suoirao (2016)'!$A$3,"MA_HT","PNK","MA_QH","DRA")</f>
        <v>0</v>
      </c>
      <c r="AQ57" s="35">
        <f>+GETPIVOTDATA("XSR4",'suoirao (2016)'!$A$3,"MA_HT","PNK","MA_QH","ONT")</f>
        <v>0</v>
      </c>
      <c r="AR57" s="35">
        <f>+GETPIVOTDATA("XSR4",'suoirao (2016)'!$A$3,"MA_HT","PNK","MA_QH","ODT")</f>
        <v>0</v>
      </c>
      <c r="AS57" s="35">
        <f>+GETPIVOTDATA("XSR4",'suoirao (2016)'!$A$3,"MA_HT","PNK","MA_QH","TSC")</f>
        <v>0</v>
      </c>
      <c r="AT57" s="35">
        <f>+GETPIVOTDATA("XSR4",'suoirao (2016)'!$A$3,"MA_HT","PNK","MA_QH","DTS")</f>
        <v>0</v>
      </c>
      <c r="AU57" s="35">
        <f>+GETPIVOTDATA("XSR4",'suoirao (2016)'!$A$3,"MA_HT","PNK","MA_QH","DNG")</f>
        <v>0</v>
      </c>
      <c r="AV57" s="35">
        <f>+GETPIVOTDATA("XSR4",'suoirao (2016)'!$A$3,"MA_HT","PNK","MA_QH","TON")</f>
        <v>0</v>
      </c>
      <c r="AW57" s="35">
        <f>+GETPIVOTDATA("XSR4",'suoirao (2016)'!$A$3,"MA_HT","PNK","MA_QH","NTD")</f>
        <v>0</v>
      </c>
      <c r="AX57" s="35">
        <f>+GETPIVOTDATA("XSR4",'suoirao (2016)'!$A$3,"MA_HT","PNK","MA_QH","SKX")</f>
        <v>0</v>
      </c>
      <c r="AY57" s="35">
        <f>+GETPIVOTDATA("XSR4",'suoirao (2016)'!$A$3,"MA_HT","PNK","MA_QH","DSH")</f>
        <v>0</v>
      </c>
      <c r="AZ57" s="35">
        <f>+GETPIVOTDATA("XSR4",'suoirao (2016)'!$A$3,"MA_HT","PNK","MA_QH","DKV")</f>
        <v>0</v>
      </c>
      <c r="BA57" s="140">
        <f>+GETPIVOTDATA("XSR4",'suoirao (2016)'!$A$3,"MA_HT","PNK","MA_QH","TIN")</f>
        <v>0</v>
      </c>
      <c r="BB57" s="74">
        <f>+GETPIVOTDATA("XSR4",'suoirao (2016)'!$A$3,"MA_HT","PNK","MA_QH","SON")</f>
        <v>0</v>
      </c>
      <c r="BC57" s="74">
        <f>+GETPIVOTDATA("XSR4",'suoirao (2016)'!$A$3,"MA_HT","PNK","MA_QH","MNC")</f>
        <v>0</v>
      </c>
      <c r="BD57" s="99" t="e">
        <f>$D57-$BF57</f>
        <v>#REF!</v>
      </c>
      <c r="BE57" s="58">
        <f>+GETPIVOTDATA("XSR4",'suoirao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+GETPIVOTDATA("XSR4",'suoirao (2016)'!$A$3,"MA_HT","CSD","MA_QH","LUC")</f>
        <v>0</v>
      </c>
      <c r="H58" s="58">
        <f>+GETPIVOTDATA("XSR4",'suoirao (2016)'!$A$3,"MA_HT","CSD","MA_QH","LUK")</f>
        <v>0</v>
      </c>
      <c r="I58" s="58">
        <f>+GETPIVOTDATA("XSR4",'suoirao (2016)'!$A$3,"MA_HT","CSD","MA_QH","LUN")</f>
        <v>0</v>
      </c>
      <c r="J58" s="58">
        <f>+GETPIVOTDATA("XSR4",'suoirao (2016)'!$A$3,"MA_HT","CSD","MA_QH","HNK")</f>
        <v>0</v>
      </c>
      <c r="K58" s="58">
        <f>+GETPIVOTDATA("XSR4",'suoirao (2016)'!$A$3,"MA_HT","CSD","MA_QH","CLN")</f>
        <v>0</v>
      </c>
      <c r="L58" s="58">
        <f>+GETPIVOTDATA("XSR4",'suoirao (2016)'!$A$3,"MA_HT","CSD","MA_QH","RSX")</f>
        <v>0</v>
      </c>
      <c r="M58" s="58">
        <f>+GETPIVOTDATA("XSR4",'suoirao (2016)'!$A$3,"MA_HT","CSD","MA_QH","RPH")</f>
        <v>0</v>
      </c>
      <c r="N58" s="58">
        <f>+GETPIVOTDATA("XSR4",'suoirao (2016)'!$A$3,"MA_HT","CSD","MA_QH","RDD")</f>
        <v>0</v>
      </c>
      <c r="O58" s="58">
        <f>+GETPIVOTDATA("XSR4",'suoirao (2016)'!$A$3,"MA_HT","CSD","MA_QH","NTS")</f>
        <v>0</v>
      </c>
      <c r="P58" s="58">
        <f>+GETPIVOTDATA("XSR4",'suoirao (2016)'!$A$3,"MA_HT","CSD","MA_QH","LMU")</f>
        <v>0</v>
      </c>
      <c r="Q58" s="58">
        <f>+GETPIVOTDATA("XSR4",'suoirao (2016)'!$A$3,"MA_HT","CSD","MA_QH","NKH")</f>
        <v>0</v>
      </c>
      <c r="R58" s="106">
        <f>SUM(S58:AA58,AN58:BD58)</f>
        <v>0</v>
      </c>
      <c r="S58" s="102">
        <f>+GETPIVOTDATA("XSR4",'suoirao (2016)'!$A$3,"MA_HT","CSD","MA_QH","CQP")</f>
        <v>0</v>
      </c>
      <c r="T58" s="102">
        <f>+GETPIVOTDATA("XSR4",'suoirao (2016)'!$A$3,"MA_HT","CSD","MA_QH","CAN")</f>
        <v>0</v>
      </c>
      <c r="U58" s="58">
        <f>+GETPIVOTDATA("XSR4",'suoirao (2016)'!$A$3,"MA_HT","CSD","MA_QH","SKK")</f>
        <v>0</v>
      </c>
      <c r="V58" s="58">
        <f>+GETPIVOTDATA("XSR4",'suoirao (2016)'!$A$3,"MA_HT","CSD","MA_QH","SKT")</f>
        <v>0</v>
      </c>
      <c r="W58" s="58">
        <f>+GETPIVOTDATA("XSR4",'suoirao (2016)'!$A$3,"MA_HT","CSD","MA_QH","SKN")</f>
        <v>0</v>
      </c>
      <c r="X58" s="58">
        <f>+GETPIVOTDATA("XSR4",'suoirao (2016)'!$A$3,"MA_HT","CSD","MA_QH","TMD")</f>
        <v>0</v>
      </c>
      <c r="Y58" s="58">
        <f>+GETPIVOTDATA("XSR4",'suoirao (2016)'!$A$3,"MA_HT","CSD","MA_QH","SKC")</f>
        <v>0</v>
      </c>
      <c r="Z58" s="58">
        <f>+GETPIVOTDATA("XSR4",'suoirao (2016)'!$A$3,"MA_HT","CSD","MA_QH","SKS")</f>
        <v>0</v>
      </c>
      <c r="AA58" s="64">
        <f t="shared" si="21"/>
        <v>0</v>
      </c>
      <c r="AB58" s="102">
        <f>+GETPIVOTDATA("XSR4",'suoirao (2016)'!$A$3,"MA_HT","CSD","MA_QH","DGT")</f>
        <v>0</v>
      </c>
      <c r="AC58" s="102">
        <f>+GETPIVOTDATA("XSR4",'suoirao (2016)'!$A$3,"MA_HT","CSD","MA_QH","DTL")</f>
        <v>0</v>
      </c>
      <c r="AD58" s="102">
        <f>+GETPIVOTDATA("XSR4",'suoirao (2016)'!$A$3,"MA_HT","CSD","MA_QH","DNL")</f>
        <v>0</v>
      </c>
      <c r="AE58" s="102">
        <f>+GETPIVOTDATA("XSR4",'suoirao (2016)'!$A$3,"MA_HT","CSD","MA_QH","DBV")</f>
        <v>0</v>
      </c>
      <c r="AF58" s="102">
        <f>+GETPIVOTDATA("XSR4",'suoirao (2016)'!$A$3,"MA_HT","CSD","MA_QH","DVH")</f>
        <v>0</v>
      </c>
      <c r="AG58" s="102">
        <f>+GETPIVOTDATA("XSR4",'suoirao (2016)'!$A$3,"MA_HT","CSD","MA_QH","DYT")</f>
        <v>0</v>
      </c>
      <c r="AH58" s="102">
        <f>+GETPIVOTDATA("XSR4",'suoirao (2016)'!$A$3,"MA_HT","CSD","MA_QH","DGD")</f>
        <v>0</v>
      </c>
      <c r="AI58" s="102">
        <f>+GETPIVOTDATA("XSR4",'suoirao (2016)'!$A$3,"MA_HT","CSD","MA_QH","DTT")</f>
        <v>0</v>
      </c>
      <c r="AJ58" s="102">
        <f>+GETPIVOTDATA("XSR4",'suoirao (2016)'!$A$3,"MA_HT","CSD","MA_QH","NCK")</f>
        <v>0</v>
      </c>
      <c r="AK58" s="102">
        <f>+GETPIVOTDATA("XSR4",'suoirao (2016)'!$A$3,"MA_HT","CSD","MA_QH","DXH")</f>
        <v>0</v>
      </c>
      <c r="AL58" s="102">
        <f>+GETPIVOTDATA("XSR4",'suoirao (2016)'!$A$3,"MA_HT","CSD","MA_QH","DCH")</f>
        <v>0</v>
      </c>
      <c r="AM58" s="102">
        <f>+GETPIVOTDATA("XSR4",'suoirao (2016)'!$A$3,"MA_HT","CSD","MA_QH","DKG")</f>
        <v>0</v>
      </c>
      <c r="AN58" s="58">
        <f>+GETPIVOTDATA("XSR4",'suoirao (2016)'!$A$3,"MA_HT","CSD","MA_QH","DDT")</f>
        <v>0</v>
      </c>
      <c r="AO58" s="58">
        <f>+GETPIVOTDATA("XSR4",'suoirao (2016)'!$A$3,"MA_HT","CSD","MA_QH","DDL")</f>
        <v>0</v>
      </c>
      <c r="AP58" s="58">
        <f>+GETPIVOTDATA("XSR4",'suoirao (2016)'!$A$3,"MA_HT","CSD","MA_QH","DRA")</f>
        <v>0</v>
      </c>
      <c r="AQ58" s="58">
        <f>+GETPIVOTDATA("XSR4",'suoirao (2016)'!$A$3,"MA_HT","CSD","MA_QH","ONT")</f>
        <v>0</v>
      </c>
      <c r="AR58" s="58">
        <f>+GETPIVOTDATA("XSR4",'suoirao (2016)'!$A$3,"MA_HT","CSD","MA_QH","ODT")</f>
        <v>0</v>
      </c>
      <c r="AS58" s="58">
        <f>+GETPIVOTDATA("XSR4",'suoirao (2016)'!$A$3,"MA_HT","CSD","MA_QH","TSC")</f>
        <v>0</v>
      </c>
      <c r="AT58" s="58">
        <f>+GETPIVOTDATA("XSR4",'suoirao (2016)'!$A$3,"MA_HT","CSD","MA_QH","DTS")</f>
        <v>0</v>
      </c>
      <c r="AU58" s="58">
        <f>+GETPIVOTDATA("XSR4",'suoirao (2016)'!$A$3,"MA_HT","CSD","MA_QH","DNG")</f>
        <v>0</v>
      </c>
      <c r="AV58" s="58">
        <f>+GETPIVOTDATA("XSR4",'suoirao (2016)'!$A$3,"MA_HT","CSD","MA_QH","TON")</f>
        <v>0</v>
      </c>
      <c r="AW58" s="58">
        <f>+GETPIVOTDATA("XSR4",'suoirao (2016)'!$A$3,"MA_HT","CSD","MA_QH","NTD")</f>
        <v>0</v>
      </c>
      <c r="AX58" s="58">
        <f>+GETPIVOTDATA("XSR4",'suoirao (2016)'!$A$3,"MA_HT","CSD","MA_QH","SKX")</f>
        <v>0</v>
      </c>
      <c r="AY58" s="58">
        <f>+GETPIVOTDATA("XSR4",'suoirao (2016)'!$A$3,"MA_HT","CSD","MA_QH","DSH")</f>
        <v>0</v>
      </c>
      <c r="AZ58" s="58">
        <f>+GETPIVOTDATA("XSR4",'suoirao (2016)'!$A$3,"MA_HT","CSD","MA_QH","DKV")</f>
        <v>0</v>
      </c>
      <c r="BA58" s="140">
        <f>+GETPIVOTDATA("XSR4",'suoirao (2016)'!$A$3,"MA_HT","CSD","MA_QH","TIN")</f>
        <v>0</v>
      </c>
      <c r="BB58" s="102">
        <f>+GETPIVOTDATA("XSR4",'suoirao (2016)'!$A$3,"MA_HT","CSD","MA_QH","SON")</f>
        <v>0</v>
      </c>
      <c r="BC58" s="102">
        <f>+GETPIVOTDATA("XSR4",'suoirao (2016)'!$A$3,"MA_HT","CSD","MA_QH","MNC")</f>
        <v>0</v>
      </c>
      <c r="BD58" s="58">
        <f>+GETPIVOTDATA("XSR4",'suoirao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93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+GETPIVOTDATA("XXB4",'xabang (2016)'!$A$3,"MA_HT","LUC","MA_QH","LUK")</f>
        <v>0</v>
      </c>
      <c r="I8" s="74">
        <f>+GETPIVOTDATA("XXB4",'xabang (2016)'!$A$3,"MA_HT","LUC","MA_QH","LUN")</f>
        <v>0</v>
      </c>
      <c r="J8" s="74">
        <f>+GETPIVOTDATA("XXB4",'xabang (2016)'!$A$3,"MA_HT","LUC","MA_QH","HNK")</f>
        <v>0</v>
      </c>
      <c r="K8" s="74">
        <f>+GETPIVOTDATA("XXB4",'xabang (2016)'!$A$3,"MA_HT","LUC","MA_QH","CLN")</f>
        <v>0</v>
      </c>
      <c r="L8" s="74">
        <f>+GETPIVOTDATA("XXB4",'xabang (2016)'!$A$3,"MA_HT","LUC","MA_QH","RSX")</f>
        <v>0</v>
      </c>
      <c r="M8" s="74">
        <f>+GETPIVOTDATA("XXB4",'xabang (2016)'!$A$3,"MA_HT","LUC","MA_QH","RPH")</f>
        <v>0</v>
      </c>
      <c r="N8" s="74">
        <f>+GETPIVOTDATA("XXB4",'xabang (2016)'!$A$3,"MA_HT","LUC","MA_QH","RDD")</f>
        <v>0</v>
      </c>
      <c r="O8" s="74">
        <f>+GETPIVOTDATA("XXB4",'xabang (2016)'!$A$3,"MA_HT","LUC","MA_QH","NTS")</f>
        <v>0</v>
      </c>
      <c r="P8" s="74">
        <f>+GETPIVOTDATA("XXB4",'xabang (2016)'!$A$3,"MA_HT","LUC","MA_QH","LMU")</f>
        <v>0</v>
      </c>
      <c r="Q8" s="74">
        <f>+GETPIVOTDATA("XXB4",'xabang (2016)'!$A$3,"MA_HT","LUC","MA_QH","NKH")</f>
        <v>0</v>
      </c>
      <c r="R8" s="72">
        <f>SUM(S8:AA8,AN8:BD8)</f>
        <v>0</v>
      </c>
      <c r="S8" s="74">
        <f>+GETPIVOTDATA("XXB4",'xabang (2016)'!$A$3,"MA_HT","LUC","MA_QH","CQP")</f>
        <v>0</v>
      </c>
      <c r="T8" s="74">
        <f>+GETPIVOTDATA("XXB4",'xabang (2016)'!$A$3,"MA_HT","LUC","MA_QH","CAN")</f>
        <v>0</v>
      </c>
      <c r="U8" s="74">
        <f>+GETPIVOTDATA("XXB4",'xabang (2016)'!$A$3,"MA_HT","LUC","MA_QH","SKK")</f>
        <v>0</v>
      </c>
      <c r="V8" s="74">
        <f>+GETPIVOTDATA("XXB4",'xabang (2016)'!$A$3,"MA_HT","LUC","MA_QH","SKT")</f>
        <v>0</v>
      </c>
      <c r="W8" s="74">
        <f>+GETPIVOTDATA("XXB4",'xabang (2016)'!$A$3,"MA_HT","LUC","MA_QH","SKN")</f>
        <v>0</v>
      </c>
      <c r="X8" s="74">
        <f>+GETPIVOTDATA("XXB4",'xabang (2016)'!$A$3,"MA_HT","LUC","MA_QH","TMD")</f>
        <v>0</v>
      </c>
      <c r="Y8" s="74">
        <f>+GETPIVOTDATA("XXB4",'xabang (2016)'!$A$3,"MA_HT","LUC","MA_QH","SKC")</f>
        <v>0</v>
      </c>
      <c r="Z8" s="74">
        <f>+GETPIVOTDATA("XXB4",'xabang (2016)'!$A$3,"MA_HT","LUC","MA_QH","SKS")</f>
        <v>0</v>
      </c>
      <c r="AA8" s="64">
        <f t="shared" si="4"/>
        <v>0</v>
      </c>
      <c r="AB8" s="74">
        <f>+GETPIVOTDATA("XXB4",'xabang (2016)'!$A$3,"MA_HT","LUC","MA_QH","DGT")</f>
        <v>0</v>
      </c>
      <c r="AC8" s="74">
        <f>+GETPIVOTDATA("XXB4",'xabang (2016)'!$A$3,"MA_HT","LUC","MA_QH","DTL")</f>
        <v>0</v>
      </c>
      <c r="AD8" s="74">
        <f>+GETPIVOTDATA("XXB4",'xabang (2016)'!$A$3,"MA_HT","LUC","MA_QH","DNL")</f>
        <v>0</v>
      </c>
      <c r="AE8" s="74">
        <f>+GETPIVOTDATA("XXB4",'xabang (2016)'!$A$3,"MA_HT","LUC","MA_QH","DBV")</f>
        <v>0</v>
      </c>
      <c r="AF8" s="74">
        <f>+GETPIVOTDATA("XXB4",'xabang (2016)'!$A$3,"MA_HT","LUC","MA_QH","DVH")</f>
        <v>0</v>
      </c>
      <c r="AG8" s="74">
        <f>+GETPIVOTDATA("XXB4",'xabang (2016)'!$A$3,"MA_HT","LUC","MA_QH","DYT")</f>
        <v>0</v>
      </c>
      <c r="AH8" s="74">
        <f>+GETPIVOTDATA("XXB4",'xabang (2016)'!$A$3,"MA_HT","LUC","MA_QH","DGD")</f>
        <v>0</v>
      </c>
      <c r="AI8" s="74">
        <f>+GETPIVOTDATA("XXB4",'xabang (2016)'!$A$3,"MA_HT","LUC","MA_QH","DTT")</f>
        <v>0</v>
      </c>
      <c r="AJ8" s="74">
        <f>+GETPIVOTDATA("XXB4",'xabang (2016)'!$A$3,"MA_HT","LUC","MA_QH","NCK")</f>
        <v>0</v>
      </c>
      <c r="AK8" s="74">
        <f>+GETPIVOTDATA("XXB4",'xabang (2016)'!$A$3,"MA_HT","LUC","MA_QH","DXH")</f>
        <v>0</v>
      </c>
      <c r="AL8" s="74">
        <f>+GETPIVOTDATA("XXB4",'xabang (2016)'!$A$3,"MA_HT","LUC","MA_QH","DCH")</f>
        <v>0</v>
      </c>
      <c r="AM8" s="74">
        <f>+GETPIVOTDATA("XXB4",'xabang (2016)'!$A$3,"MA_HT","LUC","MA_QH","DKG")</f>
        <v>0</v>
      </c>
      <c r="AN8" s="74">
        <f>+GETPIVOTDATA("XXB4",'xabang (2016)'!$A$3,"MA_HT","LUC","MA_QH","DDT")</f>
        <v>0</v>
      </c>
      <c r="AO8" s="74">
        <f>+GETPIVOTDATA("XXB4",'xabang (2016)'!$A$3,"MA_HT","LUC","MA_QH","DDL")</f>
        <v>0</v>
      </c>
      <c r="AP8" s="74">
        <f>+GETPIVOTDATA("XXB4",'xabang (2016)'!$A$3,"MA_HT","LUC","MA_QH","DRA")</f>
        <v>0</v>
      </c>
      <c r="AQ8" s="74">
        <f>+GETPIVOTDATA("XXB4",'xabang (2016)'!$A$3,"MA_HT","LUC","MA_QH","ONT")</f>
        <v>0</v>
      </c>
      <c r="AR8" s="74">
        <f>+GETPIVOTDATA("XXB4",'xabang (2016)'!$A$3,"MA_HT","LUC","MA_QH","ODT")</f>
        <v>0</v>
      </c>
      <c r="AS8" s="74">
        <f>+GETPIVOTDATA("XXB4",'xabang (2016)'!$A$3,"MA_HT","LUC","MA_QH","TSC")</f>
        <v>0</v>
      </c>
      <c r="AT8" s="74">
        <f>+GETPIVOTDATA("XXB4",'xabang (2016)'!$A$3,"MA_HT","LUC","MA_QH","DTS")</f>
        <v>0</v>
      </c>
      <c r="AU8" s="74">
        <f>+GETPIVOTDATA("XXB4",'xabang (2016)'!$A$3,"MA_HT","LUC","MA_QH","DNG")</f>
        <v>0</v>
      </c>
      <c r="AV8" s="74">
        <f>+GETPIVOTDATA("XXB4",'xabang (2016)'!$A$3,"MA_HT","LUC","MA_QH","TON")</f>
        <v>0</v>
      </c>
      <c r="AW8" s="74">
        <f>+GETPIVOTDATA("XXB4",'xabang (2016)'!$A$3,"MA_HT","LUC","MA_QH","NTD")</f>
        <v>0</v>
      </c>
      <c r="AX8" s="74">
        <f>+GETPIVOTDATA("XXB4",'xabang (2016)'!$A$3,"MA_HT","LUC","MA_QH","SKX")</f>
        <v>0</v>
      </c>
      <c r="AY8" s="74">
        <f>+GETPIVOTDATA("XXB4",'xabang (2016)'!$A$3,"MA_HT","LUC","MA_QH","DSH")</f>
        <v>0</v>
      </c>
      <c r="AZ8" s="74">
        <f>+GETPIVOTDATA("XXB4",'xabang (2016)'!$A$3,"MA_HT","LUC","MA_QH","DKV")</f>
        <v>0</v>
      </c>
      <c r="BA8" s="139">
        <f>+GETPIVOTDATA("XXB4",'xabang (2016)'!$A$3,"MA_HT","LUC","MA_QH","TIN")</f>
        <v>0</v>
      </c>
      <c r="BB8" s="74">
        <f>+GETPIVOTDATA("XXB4",'xabang (2016)'!$A$3,"MA_HT","LUC","MA_QH","SON")</f>
        <v>0</v>
      </c>
      <c r="BC8" s="74">
        <f>+GETPIVOTDATA("XXB4",'xabang (2016)'!$A$3,"MA_HT","LUC","MA_QH","MNC")</f>
        <v>0</v>
      </c>
      <c r="BD8" s="74">
        <f>+GETPIVOTDATA("XXB4",'xabang (2016)'!$A$3,"MA_HT","LUC","MA_QH","PNK")</f>
        <v>0</v>
      </c>
      <c r="BE8" s="102">
        <f>+GETPIVOTDATA("XXB4",'xabang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+GETPIVOTDATA("XXB4",'xabang (2016)'!$A$3,"MA_HT","LUK","MA_QH","LUC")</f>
        <v>0</v>
      </c>
      <c r="H9" s="100" t="e">
        <f>$D9-$BF9</f>
        <v>#REF!</v>
      </c>
      <c r="I9" s="74">
        <f>+GETPIVOTDATA("XXB4",'xabang (2016)'!$A$3,"MA_HT","LUK","MA_QH","LUN")</f>
        <v>0</v>
      </c>
      <c r="J9" s="74">
        <f>+GETPIVOTDATA("XXB4",'xabang (2016)'!$A$3,"MA_HT","LUK","MA_QH","HNK")</f>
        <v>0</v>
      </c>
      <c r="K9" s="74">
        <f>+GETPIVOTDATA("XXB4",'xabang (2016)'!$A$3,"MA_HT","LUK","MA_QH","CLN")</f>
        <v>0</v>
      </c>
      <c r="L9" s="74">
        <f>+GETPIVOTDATA("XXB4",'xabang (2016)'!$A$3,"MA_HT","LUK","MA_QH","RSX")</f>
        <v>0</v>
      </c>
      <c r="M9" s="74">
        <f>+GETPIVOTDATA("XXB4",'xabang (2016)'!$A$3,"MA_HT","LUK","MA_QH","RPH")</f>
        <v>0</v>
      </c>
      <c r="N9" s="74">
        <f>+GETPIVOTDATA("XXB4",'xabang (2016)'!$A$3,"MA_HT","LUK","MA_QH","RDD")</f>
        <v>0</v>
      </c>
      <c r="O9" s="74">
        <f>+GETPIVOTDATA("XXB4",'xabang (2016)'!$A$3,"MA_HT","LUK","MA_QH","NTS")</f>
        <v>0</v>
      </c>
      <c r="P9" s="74">
        <f>+GETPIVOTDATA("XXB4",'xabang (2016)'!$A$3,"MA_HT","LUK","MA_QH","LMU")</f>
        <v>0</v>
      </c>
      <c r="Q9" s="74">
        <f>+GETPIVOTDATA("XXB4",'xabang (2016)'!$A$3,"MA_HT","LUK","MA_QH","NKH")</f>
        <v>0</v>
      </c>
      <c r="R9" s="72">
        <f t="shared" si="2"/>
        <v>0</v>
      </c>
      <c r="S9" s="74">
        <f>+GETPIVOTDATA("XXB4",'xabang (2016)'!$A$3,"MA_HT","LUK","MA_QH","CQP")</f>
        <v>0</v>
      </c>
      <c r="T9" s="74">
        <f>+GETPIVOTDATA("XXB4",'xabang (2016)'!$A$3,"MA_HT","LUK","MA_QH","CAN")</f>
        <v>0</v>
      </c>
      <c r="U9" s="74">
        <f>+GETPIVOTDATA("XXB4",'xabang (2016)'!$A$3,"MA_HT","LUK","MA_QH","SKK")</f>
        <v>0</v>
      </c>
      <c r="V9" s="74">
        <f>+GETPIVOTDATA("XXB4",'xabang (2016)'!$A$3,"MA_HT","LUK","MA_QH","SKT")</f>
        <v>0</v>
      </c>
      <c r="W9" s="74">
        <f>+GETPIVOTDATA("XXB4",'xabang (2016)'!$A$3,"MA_HT","LUK","MA_QH","SKN")</f>
        <v>0</v>
      </c>
      <c r="X9" s="74">
        <f>+GETPIVOTDATA("XXB4",'xabang (2016)'!$A$3,"MA_HT","LUK","MA_QH","TMD")</f>
        <v>0</v>
      </c>
      <c r="Y9" s="74">
        <f>+GETPIVOTDATA("XXB4",'xabang (2016)'!$A$3,"MA_HT","LUK","MA_QH","SKC")</f>
        <v>0</v>
      </c>
      <c r="Z9" s="74">
        <f>+GETPIVOTDATA("XXB4",'xabang (2016)'!$A$3,"MA_HT","LUK","MA_QH","SKS")</f>
        <v>0</v>
      </c>
      <c r="AA9" s="64">
        <f t="shared" si="4"/>
        <v>0</v>
      </c>
      <c r="AB9" s="74">
        <f>+GETPIVOTDATA("XXB4",'xabang (2016)'!$A$3,"MA_HT","LUK","MA_QH","DGT")</f>
        <v>0</v>
      </c>
      <c r="AC9" s="74">
        <f>+GETPIVOTDATA("XXB4",'xabang (2016)'!$A$3,"MA_HT","LUK","MA_QH","DTL")</f>
        <v>0</v>
      </c>
      <c r="AD9" s="74">
        <f>+GETPIVOTDATA("XXB4",'xabang (2016)'!$A$3,"MA_HT","LUK","MA_QH","DNL")</f>
        <v>0</v>
      </c>
      <c r="AE9" s="74">
        <f>+GETPIVOTDATA("XXB4",'xabang (2016)'!$A$3,"MA_HT","LUK","MA_QH","DBV")</f>
        <v>0</v>
      </c>
      <c r="AF9" s="74">
        <f>+GETPIVOTDATA("XXB4",'xabang (2016)'!$A$3,"MA_HT","LUK","MA_QH","DVH")</f>
        <v>0</v>
      </c>
      <c r="AG9" s="74">
        <f>+GETPIVOTDATA("XXB4",'xabang (2016)'!$A$3,"MA_HT","LUK","MA_QH","DYT")</f>
        <v>0</v>
      </c>
      <c r="AH9" s="74">
        <f>+GETPIVOTDATA("XXB4",'xabang (2016)'!$A$3,"MA_HT","LUK","MA_QH","DGD")</f>
        <v>0</v>
      </c>
      <c r="AI9" s="74">
        <f>+GETPIVOTDATA("XXB4",'xabang (2016)'!$A$3,"MA_HT","LUK","MA_QH","DTT")</f>
        <v>0</v>
      </c>
      <c r="AJ9" s="74">
        <f>+GETPIVOTDATA("XXB4",'xabang (2016)'!$A$3,"MA_HT","LUK","MA_QH","NCK")</f>
        <v>0</v>
      </c>
      <c r="AK9" s="74">
        <f>+GETPIVOTDATA("XXB4",'xabang (2016)'!$A$3,"MA_HT","LUK","MA_QH","DXH")</f>
        <v>0</v>
      </c>
      <c r="AL9" s="74">
        <f>+GETPIVOTDATA("XXB4",'xabang (2016)'!$A$3,"MA_HT","LUK","MA_QH","DCH")</f>
        <v>0</v>
      </c>
      <c r="AM9" s="74">
        <f>+GETPIVOTDATA("XXB4",'xabang (2016)'!$A$3,"MA_HT","LUK","MA_QH","DKG")</f>
        <v>0</v>
      </c>
      <c r="AN9" s="74">
        <f>+GETPIVOTDATA("XXB4",'xabang (2016)'!$A$3,"MA_HT","LUK","MA_QH","DDT")</f>
        <v>0</v>
      </c>
      <c r="AO9" s="74">
        <f>+GETPIVOTDATA("XXB4",'xabang (2016)'!$A$3,"MA_HT","LUK","MA_QH","DDL")</f>
        <v>0</v>
      </c>
      <c r="AP9" s="74">
        <f>+GETPIVOTDATA("XXB4",'xabang (2016)'!$A$3,"MA_HT","LUK","MA_QH","DRA")</f>
        <v>0</v>
      </c>
      <c r="AQ9" s="74">
        <f>+GETPIVOTDATA("XXB4",'xabang (2016)'!$A$3,"MA_HT","LUK","MA_QH","ONT")</f>
        <v>0</v>
      </c>
      <c r="AR9" s="74">
        <f>+GETPIVOTDATA("XXB4",'xabang (2016)'!$A$3,"MA_HT","LUK","MA_QH","ODT")</f>
        <v>0</v>
      </c>
      <c r="AS9" s="74">
        <f>+GETPIVOTDATA("XXB4",'xabang (2016)'!$A$3,"MA_HT","LUK","MA_QH","TSC")</f>
        <v>0</v>
      </c>
      <c r="AT9" s="74">
        <f>+GETPIVOTDATA("XXB4",'xabang (2016)'!$A$3,"MA_HT","LUK","MA_QH","DTS")</f>
        <v>0</v>
      </c>
      <c r="AU9" s="74">
        <f>+GETPIVOTDATA("XXB4",'xabang (2016)'!$A$3,"MA_HT","LUK","MA_QH","DNG")</f>
        <v>0</v>
      </c>
      <c r="AV9" s="74">
        <f>+GETPIVOTDATA("XXB4",'xabang (2016)'!$A$3,"MA_HT","LUK","MA_QH","TON")</f>
        <v>0</v>
      </c>
      <c r="AW9" s="74">
        <f>+GETPIVOTDATA("XXB4",'xabang (2016)'!$A$3,"MA_HT","LUK","MA_QH","NTD")</f>
        <v>0</v>
      </c>
      <c r="AX9" s="74">
        <f>+GETPIVOTDATA("XXB4",'xabang (2016)'!$A$3,"MA_HT","LUK","MA_QH","SKX")</f>
        <v>0</v>
      </c>
      <c r="AY9" s="74">
        <f>+GETPIVOTDATA("XXB4",'xabang (2016)'!$A$3,"MA_HT","LUK","MA_QH","DSH")</f>
        <v>0</v>
      </c>
      <c r="AZ9" s="74">
        <f>+GETPIVOTDATA("XXB4",'xabang (2016)'!$A$3,"MA_HT","LUK","MA_QH","DKV")</f>
        <v>0</v>
      </c>
      <c r="BA9" s="139">
        <f>+GETPIVOTDATA("XXB4",'xabang (2016)'!$A$3,"MA_HT","LUK","MA_QH","TIN")</f>
        <v>0</v>
      </c>
      <c r="BB9" s="74">
        <f>+GETPIVOTDATA("XXB4",'xabang (2016)'!$A$3,"MA_HT","LUK","MA_QH","SON")</f>
        <v>0</v>
      </c>
      <c r="BC9" s="74">
        <f>+GETPIVOTDATA("XXB4",'xabang (2016)'!$A$3,"MA_HT","LUK","MA_QH","MNC")</f>
        <v>0</v>
      </c>
      <c r="BD9" s="74">
        <f>+GETPIVOTDATA("XXB4",'xabang (2016)'!$A$3,"MA_HT","LUK","MA_QH","PNK")</f>
        <v>0</v>
      </c>
      <c r="BE9" s="102">
        <f>+GETPIVOTDATA("XXB4",'xabang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+GETPIVOTDATA("XXB4",'xabang (2016)'!$A$3,"MA_HT","LUN","MA_QH","LUC")</f>
        <v>0</v>
      </c>
      <c r="H10" s="74">
        <f>+GETPIVOTDATA("XXB4",'xabang (2016)'!$A$3,"MA_HT","LUN","MA_QH","LUK")</f>
        <v>0</v>
      </c>
      <c r="I10" s="100" t="e">
        <f>$D10-$BF10</f>
        <v>#REF!</v>
      </c>
      <c r="J10" s="74">
        <f>+GETPIVOTDATA("XXB4",'xabang (2016)'!$A$3,"MA_HT","LUN","MA_QH","HNK")</f>
        <v>0</v>
      </c>
      <c r="K10" s="74">
        <f>+GETPIVOTDATA("XXB4",'xabang (2016)'!$A$3,"MA_HT","LUN","MA_QH","CLN")</f>
        <v>0</v>
      </c>
      <c r="L10" s="74">
        <f>+GETPIVOTDATA("XXB4",'xabang (2016)'!$A$3,"MA_HT","LUN","MA_QH","RSX")</f>
        <v>0</v>
      </c>
      <c r="M10" s="74">
        <f>+GETPIVOTDATA("XXB4",'xabang (2016)'!$A$3,"MA_HT","LUN","MA_QH","RPH")</f>
        <v>0</v>
      </c>
      <c r="N10" s="74">
        <f>+GETPIVOTDATA("XXB4",'xabang (2016)'!$A$3,"MA_HT","LUN","MA_QH","RDD")</f>
        <v>0</v>
      </c>
      <c r="O10" s="74">
        <f>+GETPIVOTDATA("XXB4",'xabang (2016)'!$A$3,"MA_HT","LUN","MA_QH","NTS")</f>
        <v>0</v>
      </c>
      <c r="P10" s="74">
        <f>+GETPIVOTDATA("XXB4",'xabang (2016)'!$A$3,"MA_HT","LUN","MA_QH","LMU")</f>
        <v>0</v>
      </c>
      <c r="Q10" s="74">
        <f>+GETPIVOTDATA("XXB4",'xabang (2016)'!$A$3,"MA_HT","LUN","MA_QH","NKH")</f>
        <v>0</v>
      </c>
      <c r="R10" s="72">
        <f t="shared" si="2"/>
        <v>0</v>
      </c>
      <c r="S10" s="74">
        <f>+GETPIVOTDATA("XXB4",'xabang (2016)'!$A$3,"MA_HT","LUN","MA_QH","CQP")</f>
        <v>0</v>
      </c>
      <c r="T10" s="74">
        <f>+GETPIVOTDATA("XXB4",'xabang (2016)'!$A$3,"MA_HT","LUN","MA_QH","CAN")</f>
        <v>0</v>
      </c>
      <c r="U10" s="74">
        <f>+GETPIVOTDATA("XXB4",'xabang (2016)'!$A$3,"MA_HT","LUN","MA_QH","SKK")</f>
        <v>0</v>
      </c>
      <c r="V10" s="74">
        <f>+GETPIVOTDATA("XXB4",'xabang (2016)'!$A$3,"MA_HT","LUN","MA_QH","SKT")</f>
        <v>0</v>
      </c>
      <c r="W10" s="74">
        <f>+GETPIVOTDATA("XXB4",'xabang (2016)'!$A$3,"MA_HT","LUN","MA_QH","SKN")</f>
        <v>0</v>
      </c>
      <c r="X10" s="74">
        <f>+GETPIVOTDATA("XXB4",'xabang (2016)'!$A$3,"MA_HT","LUN","MA_QH","TMD")</f>
        <v>0</v>
      </c>
      <c r="Y10" s="74">
        <f>+GETPIVOTDATA("XXB4",'xabang (2016)'!$A$3,"MA_HT","LUN","MA_QH","SKC")</f>
        <v>0</v>
      </c>
      <c r="Z10" s="74">
        <f>+GETPIVOTDATA("XXB4",'xabang (2016)'!$A$3,"MA_HT","LUN","MA_QH","SKS")</f>
        <v>0</v>
      </c>
      <c r="AA10" s="64">
        <f t="shared" si="4"/>
        <v>0</v>
      </c>
      <c r="AB10" s="74">
        <f>+GETPIVOTDATA("XXB4",'xabang (2016)'!$A$3,"MA_HT","LUN","MA_QH","DGT")</f>
        <v>0</v>
      </c>
      <c r="AC10" s="74">
        <f>+GETPIVOTDATA("XXB4",'xabang (2016)'!$A$3,"MA_HT","LUN","MA_QH","DTL")</f>
        <v>0</v>
      </c>
      <c r="AD10" s="74">
        <f>+GETPIVOTDATA("XXB4",'xabang (2016)'!$A$3,"MA_HT","LUN","MA_QH","DNL")</f>
        <v>0</v>
      </c>
      <c r="AE10" s="74">
        <f>+GETPIVOTDATA("XXB4",'xabang (2016)'!$A$3,"MA_HT","LUN","MA_QH","DBV")</f>
        <v>0</v>
      </c>
      <c r="AF10" s="74">
        <f>+GETPIVOTDATA("XXB4",'xabang (2016)'!$A$3,"MA_HT","LUN","MA_QH","DVH")</f>
        <v>0</v>
      </c>
      <c r="AG10" s="74">
        <f>+GETPIVOTDATA("XXB4",'xabang (2016)'!$A$3,"MA_HT","LUN","MA_QH","DYT")</f>
        <v>0</v>
      </c>
      <c r="AH10" s="74">
        <f>+GETPIVOTDATA("XXB4",'xabang (2016)'!$A$3,"MA_HT","LUN","MA_QH","DGD")</f>
        <v>0</v>
      </c>
      <c r="AI10" s="74">
        <f>+GETPIVOTDATA("XXB4",'xabang (2016)'!$A$3,"MA_HT","LUN","MA_QH","DTT")</f>
        <v>0</v>
      </c>
      <c r="AJ10" s="74">
        <f>+GETPIVOTDATA("XXB4",'xabang (2016)'!$A$3,"MA_HT","LUN","MA_QH","NCK")</f>
        <v>0</v>
      </c>
      <c r="AK10" s="74">
        <f>+GETPIVOTDATA("XXB4",'xabang (2016)'!$A$3,"MA_HT","LUN","MA_QH","DXH")</f>
        <v>0</v>
      </c>
      <c r="AL10" s="74">
        <f>+GETPIVOTDATA("XXB4",'xabang (2016)'!$A$3,"MA_HT","LUN","MA_QH","DCH")</f>
        <v>0</v>
      </c>
      <c r="AM10" s="74">
        <f>+GETPIVOTDATA("XXB4",'xabang (2016)'!$A$3,"MA_HT","LUN","MA_QH","DKG")</f>
        <v>0</v>
      </c>
      <c r="AN10" s="74">
        <f>+GETPIVOTDATA("XXB4",'xabang (2016)'!$A$3,"MA_HT","LUN","MA_QH","DDT")</f>
        <v>0</v>
      </c>
      <c r="AO10" s="74">
        <f>+GETPIVOTDATA("XXB4",'xabang (2016)'!$A$3,"MA_HT","LUN","MA_QH","DDL")</f>
        <v>0</v>
      </c>
      <c r="AP10" s="74">
        <f>+GETPIVOTDATA("XXB4",'xabang (2016)'!$A$3,"MA_HT","LUN","MA_QH","DRA")</f>
        <v>0</v>
      </c>
      <c r="AQ10" s="74">
        <f>+GETPIVOTDATA("XXB4",'xabang (2016)'!$A$3,"MA_HT","LUN","MA_QH","ONT")</f>
        <v>0</v>
      </c>
      <c r="AR10" s="74">
        <f>+GETPIVOTDATA("XXB4",'xabang (2016)'!$A$3,"MA_HT","LUN","MA_QH","ODT")</f>
        <v>0</v>
      </c>
      <c r="AS10" s="74">
        <f>+GETPIVOTDATA("XXB4",'xabang (2016)'!$A$3,"MA_HT","LUN","MA_QH","TSC")</f>
        <v>0</v>
      </c>
      <c r="AT10" s="74">
        <f>+GETPIVOTDATA("XXB4",'xabang (2016)'!$A$3,"MA_HT","LUN","MA_QH","DTS")</f>
        <v>0</v>
      </c>
      <c r="AU10" s="74">
        <f>+GETPIVOTDATA("XXB4",'xabang (2016)'!$A$3,"MA_HT","LUN","MA_QH","DNG")</f>
        <v>0</v>
      </c>
      <c r="AV10" s="74">
        <f>+GETPIVOTDATA("XXB4",'xabang (2016)'!$A$3,"MA_HT","LUN","MA_QH","TON")</f>
        <v>0</v>
      </c>
      <c r="AW10" s="74">
        <f>+GETPIVOTDATA("XXB4",'xabang (2016)'!$A$3,"MA_HT","LUN","MA_QH","NTD")</f>
        <v>0</v>
      </c>
      <c r="AX10" s="74">
        <f>+GETPIVOTDATA("XXB4",'xabang (2016)'!$A$3,"MA_HT","LUN","MA_QH","SKX")</f>
        <v>0</v>
      </c>
      <c r="AY10" s="74">
        <f>+GETPIVOTDATA("XXB4",'xabang (2016)'!$A$3,"MA_HT","LUN","MA_QH","DSH")</f>
        <v>0</v>
      </c>
      <c r="AZ10" s="74">
        <f>+GETPIVOTDATA("XXB4",'xabang (2016)'!$A$3,"MA_HT","LUN","MA_QH","DKV")</f>
        <v>0</v>
      </c>
      <c r="BA10" s="139">
        <f>+GETPIVOTDATA("XXB4",'xabang (2016)'!$A$3,"MA_HT","LUN","MA_QH","TIN")</f>
        <v>0</v>
      </c>
      <c r="BB10" s="74">
        <f>+GETPIVOTDATA("XXB4",'xabang (2016)'!$A$3,"MA_HT","LUN","MA_QH","SON")</f>
        <v>0</v>
      </c>
      <c r="BC10" s="74">
        <f>+GETPIVOTDATA("XXB4",'xabang (2016)'!$A$3,"MA_HT","LUN","MA_QH","MNC")</f>
        <v>0</v>
      </c>
      <c r="BD10" s="74">
        <f>+GETPIVOTDATA("XXB4",'xabang (2016)'!$A$3,"MA_HT","LUN","MA_QH","PNK")</f>
        <v>0</v>
      </c>
      <c r="BE10" s="102">
        <f>+GETPIVOTDATA("XXB4",'xabang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+GETPIVOTDATA("XXB4",'xabang (2016)'!$A$3,"MA_HT","HNK","MA_QH","LUC")</f>
        <v>0</v>
      </c>
      <c r="H11" s="35">
        <f>+GETPIVOTDATA("XXB4",'xabang (2016)'!$A$3,"MA_HT","HNK","MA_QH","LUK")</f>
        <v>0</v>
      </c>
      <c r="I11" s="35">
        <f>+GETPIVOTDATA("XXB4",'xabang (2016)'!$A$3,"MA_HT","HNK","MA_QH","LUN")</f>
        <v>0</v>
      </c>
      <c r="J11" s="99" t="e">
        <f>$D11-$BF11</f>
        <v>#REF!</v>
      </c>
      <c r="K11" s="35">
        <f>+GETPIVOTDATA("XXB4",'xabang (2016)'!$A$3,"MA_HT","HNK","MA_QH","CLN")</f>
        <v>0</v>
      </c>
      <c r="L11" s="35">
        <f>+GETPIVOTDATA("XXB4",'xabang (2016)'!$A$3,"MA_HT","HNK","MA_QH","RSX")</f>
        <v>0</v>
      </c>
      <c r="M11" s="35">
        <f>+GETPIVOTDATA("XXB4",'xabang (2016)'!$A$3,"MA_HT","HNK","MA_QH","RPH")</f>
        <v>0</v>
      </c>
      <c r="N11" s="35">
        <f>+GETPIVOTDATA("XXB4",'xabang (2016)'!$A$3,"MA_HT","HNK","MA_QH","RDD")</f>
        <v>0</v>
      </c>
      <c r="O11" s="35">
        <f>+GETPIVOTDATA("XXB4",'xabang (2016)'!$A$3,"MA_HT","HNK","MA_QH","NTS")</f>
        <v>0</v>
      </c>
      <c r="P11" s="35">
        <f>+GETPIVOTDATA("XXB4",'xabang (2016)'!$A$3,"MA_HT","HNK","MA_QH","LMU")</f>
        <v>0</v>
      </c>
      <c r="Q11" s="35">
        <f>+GETPIVOTDATA("XXB4",'xabang (2016)'!$A$3,"MA_HT","HNK","MA_QH","NKH")</f>
        <v>0</v>
      </c>
      <c r="R11" s="63">
        <f t="shared" si="2"/>
        <v>0</v>
      </c>
      <c r="S11" s="35">
        <f>+GETPIVOTDATA("XXB4",'xabang (2016)'!$A$3,"MA_HT","HNK","MA_QH","CQP")</f>
        <v>0</v>
      </c>
      <c r="T11" s="35">
        <f>+GETPIVOTDATA("XXB4",'xabang (2016)'!$A$3,"MA_HT","HNK","MA_QH","CAN")</f>
        <v>0</v>
      </c>
      <c r="U11" s="35">
        <f>+GETPIVOTDATA("XXB4",'xabang (2016)'!$A$3,"MA_HT","HNK","MA_QH","SKK")</f>
        <v>0</v>
      </c>
      <c r="V11" s="35">
        <f>+GETPIVOTDATA("XXB4",'xabang (2016)'!$A$3,"MA_HT","HNK","MA_QH","SKT")</f>
        <v>0</v>
      </c>
      <c r="W11" s="35">
        <f>+GETPIVOTDATA("XXB4",'xabang (2016)'!$A$3,"MA_HT","HNK","MA_QH","SKN")</f>
        <v>0</v>
      </c>
      <c r="X11" s="35">
        <f>+GETPIVOTDATA("XXB4",'xabang (2016)'!$A$3,"MA_HT","HNK","MA_QH","TMD")</f>
        <v>0</v>
      </c>
      <c r="Y11" s="35">
        <f>+GETPIVOTDATA("XXB4",'xabang (2016)'!$A$3,"MA_HT","HNK","MA_QH","SKC")</f>
        <v>0</v>
      </c>
      <c r="Z11" s="35">
        <f>+GETPIVOTDATA("XXB4",'xabang (2016)'!$A$3,"MA_HT","HNK","MA_QH","SKS")</f>
        <v>0</v>
      </c>
      <c r="AA11" s="64">
        <f t="shared" si="4"/>
        <v>0</v>
      </c>
      <c r="AB11" s="35">
        <f>+GETPIVOTDATA("XXB4",'xabang (2016)'!$A$3,"MA_HT","HNK","MA_QH","DGT")</f>
        <v>0</v>
      </c>
      <c r="AC11" s="35">
        <f>+GETPIVOTDATA("XXB4",'xabang (2016)'!$A$3,"MA_HT","HNK","MA_QH","DTL")</f>
        <v>0</v>
      </c>
      <c r="AD11" s="35">
        <f>+GETPIVOTDATA("XXB4",'xabang (2016)'!$A$3,"MA_HT","HNK","MA_QH","DNL")</f>
        <v>0</v>
      </c>
      <c r="AE11" s="35">
        <f>+GETPIVOTDATA("XXB4",'xabang (2016)'!$A$3,"MA_HT","HNK","MA_QH","DBV")</f>
        <v>0</v>
      </c>
      <c r="AF11" s="35">
        <f>+GETPIVOTDATA("XXB4",'xabang (2016)'!$A$3,"MA_HT","HNK","MA_QH","DVH")</f>
        <v>0</v>
      </c>
      <c r="AG11" s="35">
        <f>+GETPIVOTDATA("XXB4",'xabang (2016)'!$A$3,"MA_HT","HNK","MA_QH","DYT")</f>
        <v>0</v>
      </c>
      <c r="AH11" s="35">
        <f>+GETPIVOTDATA("XXB4",'xabang (2016)'!$A$3,"MA_HT","HNK","MA_QH","DGD")</f>
        <v>0</v>
      </c>
      <c r="AI11" s="35">
        <f>+GETPIVOTDATA("XXB4",'xabang (2016)'!$A$3,"MA_HT","HNK","MA_QH","DTT")</f>
        <v>0</v>
      </c>
      <c r="AJ11" s="35">
        <f>+GETPIVOTDATA("XXB4",'xabang (2016)'!$A$3,"MA_HT","HNK","MA_QH","NCK")</f>
        <v>0</v>
      </c>
      <c r="AK11" s="35">
        <f>+GETPIVOTDATA("XXB4",'xabang (2016)'!$A$3,"MA_HT","HNK","MA_QH","DXH")</f>
        <v>0</v>
      </c>
      <c r="AL11" s="35">
        <f>+GETPIVOTDATA("XXB4",'xabang (2016)'!$A$3,"MA_HT","HNK","MA_QH","DCH")</f>
        <v>0</v>
      </c>
      <c r="AM11" s="35">
        <f>+GETPIVOTDATA("XXB4",'xabang (2016)'!$A$3,"MA_HT","HNK","MA_QH","DKG")</f>
        <v>0</v>
      </c>
      <c r="AN11" s="35">
        <f>+GETPIVOTDATA("XXB4",'xabang (2016)'!$A$3,"MA_HT","HNK","MA_QH","DDT")</f>
        <v>0</v>
      </c>
      <c r="AO11" s="35">
        <f>+GETPIVOTDATA("XXB4",'xabang (2016)'!$A$3,"MA_HT","HNK","MA_QH","DDL")</f>
        <v>0</v>
      </c>
      <c r="AP11" s="35">
        <f>+GETPIVOTDATA("XXB4",'xabang (2016)'!$A$3,"MA_HT","HNK","MA_QH","DRA")</f>
        <v>0</v>
      </c>
      <c r="AQ11" s="35">
        <f>+GETPIVOTDATA("XXB4",'xabang (2016)'!$A$3,"MA_HT","HNK","MA_QH","ONT")</f>
        <v>0</v>
      </c>
      <c r="AR11" s="35">
        <f>+GETPIVOTDATA("XXB4",'xabang (2016)'!$A$3,"MA_HT","HNK","MA_QH","ODT")</f>
        <v>0</v>
      </c>
      <c r="AS11" s="35">
        <f>+GETPIVOTDATA("XXB4",'xabang (2016)'!$A$3,"MA_HT","HNK","MA_QH","TSC")</f>
        <v>0</v>
      </c>
      <c r="AT11" s="35">
        <f>+GETPIVOTDATA("XXB4",'xabang (2016)'!$A$3,"MA_HT","HNK","MA_QH","DTS")</f>
        <v>0</v>
      </c>
      <c r="AU11" s="35">
        <f>+GETPIVOTDATA("XXB4",'xabang (2016)'!$A$3,"MA_HT","HNK","MA_QH","DNG")</f>
        <v>0</v>
      </c>
      <c r="AV11" s="35">
        <f>+GETPIVOTDATA("XXB4",'xabang (2016)'!$A$3,"MA_HT","HNK","MA_QH","TON")</f>
        <v>0</v>
      </c>
      <c r="AW11" s="35">
        <f>+GETPIVOTDATA("XXB4",'xabang (2016)'!$A$3,"MA_HT","HNK","MA_QH","NTD")</f>
        <v>0</v>
      </c>
      <c r="AX11" s="35">
        <f>+GETPIVOTDATA("XXB4",'xabang (2016)'!$A$3,"MA_HT","HNK","MA_QH","SKX")</f>
        <v>0</v>
      </c>
      <c r="AY11" s="35">
        <f>+GETPIVOTDATA("XXB4",'xabang (2016)'!$A$3,"MA_HT","HNK","MA_QH","DSH")</f>
        <v>0</v>
      </c>
      <c r="AZ11" s="35">
        <f>+GETPIVOTDATA("XXB4",'xabang (2016)'!$A$3,"MA_HT","HNK","MA_QH","DKV")</f>
        <v>0</v>
      </c>
      <c r="BA11" s="140">
        <f>+GETPIVOTDATA("XXB4",'xabang (2016)'!$A$3,"MA_HT","HNK","MA_QH","TIN")</f>
        <v>0</v>
      </c>
      <c r="BB11" s="74">
        <f>+GETPIVOTDATA("XXB4",'xabang (2016)'!$A$3,"MA_HT","HNK","MA_QH","SON")</f>
        <v>0</v>
      </c>
      <c r="BC11" s="74">
        <f>+GETPIVOTDATA("XXB4",'xabang (2016)'!$A$3,"MA_HT","HNK","MA_QH","MNC")</f>
        <v>0</v>
      </c>
      <c r="BD11" s="35">
        <f>+GETPIVOTDATA("XXB4",'xabang (2016)'!$A$3,"MA_HT","HNK","MA_QH","PNK")</f>
        <v>0</v>
      </c>
      <c r="BE11" s="58">
        <f>+GETPIVOTDATA("XXB4",'xabang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+GETPIVOTDATA("XXB4",'xabang (2016)'!$A$3,"MA_HT","CLN","MA_QH","LUC")</f>
        <v>0</v>
      </c>
      <c r="H12" s="35">
        <f>+GETPIVOTDATA("XXB4",'xabang (2016)'!$A$3,"MA_HT","CLN","MA_QH","LUK")</f>
        <v>0</v>
      </c>
      <c r="I12" s="35">
        <f>+GETPIVOTDATA("XXB4",'xabang (2016)'!$A$3,"MA_HT","CLN","MA_QH","LUN")</f>
        <v>0</v>
      </c>
      <c r="J12" s="35">
        <f>+GETPIVOTDATA("XXB4",'xabang (2016)'!$A$3,"MA_HT","CLN","MA_QH","HNK")</f>
        <v>0</v>
      </c>
      <c r="K12" s="99" t="e">
        <f>$D12-$BF12</f>
        <v>#REF!</v>
      </c>
      <c r="L12" s="35">
        <f>+GETPIVOTDATA("XXB4",'xabang (2016)'!$A$3,"MA_HT","CLN","MA_QH","RSX")</f>
        <v>0</v>
      </c>
      <c r="M12" s="35">
        <f>+GETPIVOTDATA("XXB4",'xabang (2016)'!$A$3,"MA_HT","CLN","MA_QH","RPH")</f>
        <v>0</v>
      </c>
      <c r="N12" s="35">
        <f>+GETPIVOTDATA("XXB4",'xabang (2016)'!$A$3,"MA_HT","CLN","MA_QH","RDD")</f>
        <v>0</v>
      </c>
      <c r="O12" s="35">
        <f>+GETPIVOTDATA("XXB4",'xabang (2016)'!$A$3,"MA_HT","CLN","MA_QH","NTS")</f>
        <v>0</v>
      </c>
      <c r="P12" s="35">
        <f>+GETPIVOTDATA("XXB4",'xabang (2016)'!$A$3,"MA_HT","CLN","MA_QH","LMU")</f>
        <v>0</v>
      </c>
      <c r="Q12" s="35">
        <f>+GETPIVOTDATA("XXB4",'xabang (2016)'!$A$3,"MA_HT","CLN","MA_QH","NKH")</f>
        <v>0</v>
      </c>
      <c r="R12" s="63">
        <f t="shared" si="2"/>
        <v>0</v>
      </c>
      <c r="S12" s="35">
        <f>+GETPIVOTDATA("XXB4",'xabang (2016)'!$A$3,"MA_HT","CLN","MA_QH","CQP")</f>
        <v>0</v>
      </c>
      <c r="T12" s="35">
        <f>+GETPIVOTDATA("XXB4",'xabang (2016)'!$A$3,"MA_HT","CLN","MA_QH","CAN")</f>
        <v>0</v>
      </c>
      <c r="U12" s="35">
        <f>+GETPIVOTDATA("XXB4",'xabang (2016)'!$A$3,"MA_HT","CLN","MA_QH","SKK")</f>
        <v>0</v>
      </c>
      <c r="V12" s="35">
        <f>+GETPIVOTDATA("XXB4",'xabang (2016)'!$A$3,"MA_HT","CLN","MA_QH","SKT")</f>
        <v>0</v>
      </c>
      <c r="W12" s="35">
        <f>+GETPIVOTDATA("XXB4",'xabang (2016)'!$A$3,"MA_HT","CLN","MA_QH","SKN")</f>
        <v>0</v>
      </c>
      <c r="X12" s="35">
        <f>+GETPIVOTDATA("XXB4",'xabang (2016)'!$A$3,"MA_HT","CLN","MA_QH","TMD")</f>
        <v>0</v>
      </c>
      <c r="Y12" s="35">
        <f>+GETPIVOTDATA("XXB4",'xabang (2016)'!$A$3,"MA_HT","CLN","MA_QH","SKC")</f>
        <v>0</v>
      </c>
      <c r="Z12" s="35">
        <f>+GETPIVOTDATA("XXB4",'xabang (2016)'!$A$3,"MA_HT","CLN","MA_QH","SKS")</f>
        <v>0</v>
      </c>
      <c r="AA12" s="64">
        <f t="shared" si="4"/>
        <v>0</v>
      </c>
      <c r="AB12" s="35">
        <f>+GETPIVOTDATA("XXB4",'xabang (2016)'!$A$3,"MA_HT","CLN","MA_QH","DGT")</f>
        <v>0</v>
      </c>
      <c r="AC12" s="35">
        <f>+GETPIVOTDATA("XXB4",'xabang (2016)'!$A$3,"MA_HT","CLN","MA_QH","DTL")</f>
        <v>0</v>
      </c>
      <c r="AD12" s="35">
        <f>+GETPIVOTDATA("XXB4",'xabang (2016)'!$A$3,"MA_HT","CLN","MA_QH","DNL")</f>
        <v>0</v>
      </c>
      <c r="AE12" s="35">
        <f>+GETPIVOTDATA("XXB4",'xabang (2016)'!$A$3,"MA_HT","CLN","MA_QH","DBV")</f>
        <v>0</v>
      </c>
      <c r="AF12" s="35">
        <f>+GETPIVOTDATA("XXB4",'xabang (2016)'!$A$3,"MA_HT","CLN","MA_QH","DVH")</f>
        <v>0</v>
      </c>
      <c r="AG12" s="35">
        <f>+GETPIVOTDATA("XXB4",'xabang (2016)'!$A$3,"MA_HT","CLN","MA_QH","DYT")</f>
        <v>0</v>
      </c>
      <c r="AH12" s="35">
        <f>+GETPIVOTDATA("XXB4",'xabang (2016)'!$A$3,"MA_HT","CLN","MA_QH","DGD")</f>
        <v>0</v>
      </c>
      <c r="AI12" s="35">
        <f>+GETPIVOTDATA("XXB4",'xabang (2016)'!$A$3,"MA_HT","CLN","MA_QH","DTT")</f>
        <v>0</v>
      </c>
      <c r="AJ12" s="35">
        <f>+GETPIVOTDATA("XXB4",'xabang (2016)'!$A$3,"MA_HT","CLN","MA_QH","NCK")</f>
        <v>0</v>
      </c>
      <c r="AK12" s="35">
        <f>+GETPIVOTDATA("XXB4",'xabang (2016)'!$A$3,"MA_HT","CLN","MA_QH","DXH")</f>
        <v>0</v>
      </c>
      <c r="AL12" s="35">
        <f>+GETPIVOTDATA("XXB4",'xabang (2016)'!$A$3,"MA_HT","CLN","MA_QH","DCH")</f>
        <v>0</v>
      </c>
      <c r="AM12" s="35">
        <f>+GETPIVOTDATA("XXB4",'xabang (2016)'!$A$3,"MA_HT","CLN","MA_QH","DKG")</f>
        <v>0</v>
      </c>
      <c r="AN12" s="35">
        <f>+GETPIVOTDATA("XXB4",'xabang (2016)'!$A$3,"MA_HT","CLN","MA_QH","DDT")</f>
        <v>0</v>
      </c>
      <c r="AO12" s="35">
        <f>+GETPIVOTDATA("XXB4",'xabang (2016)'!$A$3,"MA_HT","CLN","MA_QH","DDL")</f>
        <v>0</v>
      </c>
      <c r="AP12" s="35">
        <f>+GETPIVOTDATA("XXB4",'xabang (2016)'!$A$3,"MA_HT","CLN","MA_QH","DRA")</f>
        <v>0</v>
      </c>
      <c r="AQ12" s="35">
        <f>+GETPIVOTDATA("XXB4",'xabang (2016)'!$A$3,"MA_HT","CLN","MA_QH","ONT")</f>
        <v>0</v>
      </c>
      <c r="AR12" s="35">
        <f>+GETPIVOTDATA("XXB4",'xabang (2016)'!$A$3,"MA_HT","CLN","MA_QH","ODT")</f>
        <v>0</v>
      </c>
      <c r="AS12" s="35">
        <f>+GETPIVOTDATA("XXB4",'xabang (2016)'!$A$3,"MA_HT","CLN","MA_QH","TSC")</f>
        <v>0</v>
      </c>
      <c r="AT12" s="35">
        <f>+GETPIVOTDATA("XXB4",'xabang (2016)'!$A$3,"MA_HT","CLN","MA_QH","DTS")</f>
        <v>0</v>
      </c>
      <c r="AU12" s="35">
        <f>+GETPIVOTDATA("XXB4",'xabang (2016)'!$A$3,"MA_HT","CLN","MA_QH","DNG")</f>
        <v>0</v>
      </c>
      <c r="AV12" s="35">
        <f>+GETPIVOTDATA("XXB4",'xabang (2016)'!$A$3,"MA_HT","CLN","MA_QH","TON")</f>
        <v>0</v>
      </c>
      <c r="AW12" s="35">
        <f>+GETPIVOTDATA("XXB4",'xabang (2016)'!$A$3,"MA_HT","CLN","MA_QH","NTD")</f>
        <v>0</v>
      </c>
      <c r="AX12" s="35">
        <f>+GETPIVOTDATA("XXB4",'xabang (2016)'!$A$3,"MA_HT","CLN","MA_QH","SKX")</f>
        <v>0</v>
      </c>
      <c r="AY12" s="35">
        <f>+GETPIVOTDATA("XXB4",'xabang (2016)'!$A$3,"MA_HT","CLN","MA_QH","DSH")</f>
        <v>0</v>
      </c>
      <c r="AZ12" s="35">
        <f>+GETPIVOTDATA("XXB4",'xabang (2016)'!$A$3,"MA_HT","CLN","MA_QH","DKV")</f>
        <v>0</v>
      </c>
      <c r="BA12" s="140">
        <f>+GETPIVOTDATA("XXB4",'xabang (2016)'!$A$3,"MA_HT","CLN","MA_QH","TIN")</f>
        <v>0</v>
      </c>
      <c r="BB12" s="74">
        <f>+GETPIVOTDATA("XXB4",'xabang (2016)'!$A$3,"MA_HT","CLN","MA_QH","SON")</f>
        <v>0</v>
      </c>
      <c r="BC12" s="74">
        <f>+GETPIVOTDATA("XXB4",'xabang (2016)'!$A$3,"MA_HT","CLN","MA_QH","MNC")</f>
        <v>0</v>
      </c>
      <c r="BD12" s="35">
        <f>+GETPIVOTDATA("XXB4",'xabang (2016)'!$A$3,"MA_HT","CLN","MA_QH","PNK")</f>
        <v>0</v>
      </c>
      <c r="BE12" s="58">
        <f>+GETPIVOTDATA("XXB4",'xabang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+GETPIVOTDATA("XXB4",'xabang (2016)'!$A$3,"MA_HT","RSX","MA_QH","LUC")</f>
        <v>0</v>
      </c>
      <c r="H13" s="35">
        <f>+GETPIVOTDATA("XXB4",'xabang (2016)'!$A$3,"MA_HT","RSX","MA_QH","LUK")</f>
        <v>0</v>
      </c>
      <c r="I13" s="35">
        <f>+GETPIVOTDATA("XXB4",'xabang (2016)'!$A$3,"MA_HT","RSX","MA_QH","LUN")</f>
        <v>0</v>
      </c>
      <c r="J13" s="35">
        <f>+GETPIVOTDATA("XXB4",'xabang (2016)'!$A$3,"MA_HT","RSX","MA_QH","HNK")</f>
        <v>0</v>
      </c>
      <c r="K13" s="35">
        <f>+GETPIVOTDATA("XXB4",'xabang (2016)'!$A$3,"MA_HT","RSX","MA_QH","CLN")</f>
        <v>0</v>
      </c>
      <c r="L13" s="99" t="e">
        <f>$D13-$BF13</f>
        <v>#REF!</v>
      </c>
      <c r="M13" s="35">
        <f>+GETPIVOTDATA("XXB4",'xabang (2016)'!$A$3,"MA_HT","RSX","MA_QH","RPH")</f>
        <v>0</v>
      </c>
      <c r="N13" s="35">
        <f>+GETPIVOTDATA("XXB4",'xabang (2016)'!$A$3,"MA_HT","RSX","MA_QH","RDD")</f>
        <v>0</v>
      </c>
      <c r="O13" s="35">
        <f>+GETPIVOTDATA("XXB4",'xabang (2016)'!$A$3,"MA_HT","RSX","MA_QH","NTS")</f>
        <v>0</v>
      </c>
      <c r="P13" s="35">
        <f>+GETPIVOTDATA("XXB4",'xabang (2016)'!$A$3,"MA_HT","RSX","MA_QH","LMU")</f>
        <v>0</v>
      </c>
      <c r="Q13" s="35">
        <f>+GETPIVOTDATA("XXB4",'xabang (2016)'!$A$3,"MA_HT","RSX","MA_QH","NKH")</f>
        <v>0</v>
      </c>
      <c r="R13" s="63">
        <f t="shared" si="2"/>
        <v>0</v>
      </c>
      <c r="S13" s="35">
        <f>+GETPIVOTDATA("XXB4",'xabang (2016)'!$A$3,"MA_HT","RSX","MA_QH","CQP")</f>
        <v>0</v>
      </c>
      <c r="T13" s="35">
        <f>+GETPIVOTDATA("XXB4",'xabang (2016)'!$A$3,"MA_HT","RSX","MA_QH","CAN")</f>
        <v>0</v>
      </c>
      <c r="U13" s="35">
        <f>+GETPIVOTDATA("XXB4",'xabang (2016)'!$A$3,"MA_HT","RSX","MA_QH","SKK")</f>
        <v>0</v>
      </c>
      <c r="V13" s="35">
        <f>+GETPIVOTDATA("XXB4",'xabang (2016)'!$A$3,"MA_HT","RSX","MA_QH","SKT")</f>
        <v>0</v>
      </c>
      <c r="W13" s="35">
        <f>+GETPIVOTDATA("XXB4",'xabang (2016)'!$A$3,"MA_HT","RSX","MA_QH","SKN")</f>
        <v>0</v>
      </c>
      <c r="X13" s="35">
        <f>+GETPIVOTDATA("XXB4",'xabang (2016)'!$A$3,"MA_HT","RSX","MA_QH","TMD")</f>
        <v>0</v>
      </c>
      <c r="Y13" s="35">
        <f>+GETPIVOTDATA("XXB4",'xabang (2016)'!$A$3,"MA_HT","RSX","MA_QH","SKC")</f>
        <v>0</v>
      </c>
      <c r="Z13" s="35">
        <f>+GETPIVOTDATA("XXB4",'xabang (2016)'!$A$3,"MA_HT","RSX","MA_QH","SKS")</f>
        <v>0</v>
      </c>
      <c r="AA13" s="64">
        <f t="shared" si="4"/>
        <v>0</v>
      </c>
      <c r="AB13" s="35">
        <f>+GETPIVOTDATA("XXB4",'xabang (2016)'!$A$3,"MA_HT","RSX","MA_QH","DGT")</f>
        <v>0</v>
      </c>
      <c r="AC13" s="35">
        <f>+GETPIVOTDATA("XXB4",'xabang (2016)'!$A$3,"MA_HT","RSX","MA_QH","DTL")</f>
        <v>0</v>
      </c>
      <c r="AD13" s="35">
        <f>+GETPIVOTDATA("XXB4",'xabang (2016)'!$A$3,"MA_HT","RSX","MA_QH","DNL")</f>
        <v>0</v>
      </c>
      <c r="AE13" s="35">
        <f>+GETPIVOTDATA("XXB4",'xabang (2016)'!$A$3,"MA_HT","RSX","MA_QH","DBV")</f>
        <v>0</v>
      </c>
      <c r="AF13" s="35">
        <f>+GETPIVOTDATA("XXB4",'xabang (2016)'!$A$3,"MA_HT","RSX","MA_QH","DVH")</f>
        <v>0</v>
      </c>
      <c r="AG13" s="35">
        <f>+GETPIVOTDATA("XXB4",'xabang (2016)'!$A$3,"MA_HT","RSX","MA_QH","DYT")</f>
        <v>0</v>
      </c>
      <c r="AH13" s="35">
        <f>+GETPIVOTDATA("XXB4",'xabang (2016)'!$A$3,"MA_HT","RSX","MA_QH","DGD")</f>
        <v>0</v>
      </c>
      <c r="AI13" s="35">
        <f>+GETPIVOTDATA("XXB4",'xabang (2016)'!$A$3,"MA_HT","RSX","MA_QH","DTT")</f>
        <v>0</v>
      </c>
      <c r="AJ13" s="35">
        <f>+GETPIVOTDATA("XXB4",'xabang (2016)'!$A$3,"MA_HT","RSX","MA_QH","NCK")</f>
        <v>0</v>
      </c>
      <c r="AK13" s="35">
        <f>+GETPIVOTDATA("XXB4",'xabang (2016)'!$A$3,"MA_HT","RSX","MA_QH","DXH")</f>
        <v>0</v>
      </c>
      <c r="AL13" s="35">
        <f>+GETPIVOTDATA("XXB4",'xabang (2016)'!$A$3,"MA_HT","RSX","MA_QH","DCH")</f>
        <v>0</v>
      </c>
      <c r="AM13" s="35">
        <f>+GETPIVOTDATA("XXB4",'xabang (2016)'!$A$3,"MA_HT","RSX","MA_QH","DKG")</f>
        <v>0</v>
      </c>
      <c r="AN13" s="35">
        <f>+GETPIVOTDATA("XXB4",'xabang (2016)'!$A$3,"MA_HT","RSX","MA_QH","DDT")</f>
        <v>0</v>
      </c>
      <c r="AO13" s="35">
        <f>+GETPIVOTDATA("XXB4",'xabang (2016)'!$A$3,"MA_HT","RSX","MA_QH","DDL")</f>
        <v>0</v>
      </c>
      <c r="AP13" s="35">
        <f>+GETPIVOTDATA("XXB4",'xabang (2016)'!$A$3,"MA_HT","RSX","MA_QH","DRA")</f>
        <v>0</v>
      </c>
      <c r="AQ13" s="35">
        <f>+GETPIVOTDATA("XXB4",'xabang (2016)'!$A$3,"MA_HT","RSX","MA_QH","ONT")</f>
        <v>0</v>
      </c>
      <c r="AR13" s="35">
        <f>+GETPIVOTDATA("XXB4",'xabang (2016)'!$A$3,"MA_HT","RSX","MA_QH","ODT")</f>
        <v>0</v>
      </c>
      <c r="AS13" s="35">
        <f>+GETPIVOTDATA("XXB4",'xabang (2016)'!$A$3,"MA_HT","RSX","MA_QH","TSC")</f>
        <v>0</v>
      </c>
      <c r="AT13" s="35">
        <f>+GETPIVOTDATA("XXB4",'xabang (2016)'!$A$3,"MA_HT","RSX","MA_QH","DTS")</f>
        <v>0</v>
      </c>
      <c r="AU13" s="35">
        <f>+GETPIVOTDATA("XXB4",'xabang (2016)'!$A$3,"MA_HT","RSX","MA_QH","DNG")</f>
        <v>0</v>
      </c>
      <c r="AV13" s="35">
        <f>+GETPIVOTDATA("XXB4",'xabang (2016)'!$A$3,"MA_HT","RSX","MA_QH","TON")</f>
        <v>0</v>
      </c>
      <c r="AW13" s="35">
        <f>+GETPIVOTDATA("XXB4",'xabang (2016)'!$A$3,"MA_HT","RSX","MA_QH","NTD")</f>
        <v>0</v>
      </c>
      <c r="AX13" s="35">
        <f>+GETPIVOTDATA("XXB4",'xabang (2016)'!$A$3,"MA_HT","RSX","MA_QH","SKX")</f>
        <v>0</v>
      </c>
      <c r="AY13" s="35">
        <f>+GETPIVOTDATA("XXB4",'xabang (2016)'!$A$3,"MA_HT","RSX","MA_QH","DSH")</f>
        <v>0</v>
      </c>
      <c r="AZ13" s="35">
        <f>+GETPIVOTDATA("XXB4",'xabang (2016)'!$A$3,"MA_HT","RSX","MA_QH","DKV")</f>
        <v>0</v>
      </c>
      <c r="BA13" s="140">
        <f>+GETPIVOTDATA("XXB4",'xabang (2016)'!$A$3,"MA_HT","RSX","MA_QH","TIN")</f>
        <v>0</v>
      </c>
      <c r="BB13" s="74">
        <f>+GETPIVOTDATA("XXB4",'xabang (2016)'!$A$3,"MA_HT","RSX","MA_QH","SON")</f>
        <v>0</v>
      </c>
      <c r="BC13" s="74">
        <f>+GETPIVOTDATA("XXB4",'xabang (2016)'!$A$3,"MA_HT","RSX","MA_QH","MNC")</f>
        <v>0</v>
      </c>
      <c r="BD13" s="35">
        <f>+GETPIVOTDATA("XXB4",'xabang (2016)'!$A$3,"MA_HT","RSX","MA_QH","PNK")</f>
        <v>0</v>
      </c>
      <c r="BE13" s="58">
        <f>+GETPIVOTDATA("XXB4",'xabang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+GETPIVOTDATA("XXB4",'xabang (2016)'!$A$3,"MA_HT","RPH","MA_QH","LUC")</f>
        <v>0</v>
      </c>
      <c r="H14" s="35">
        <f>+GETPIVOTDATA("XXB4",'xabang (2016)'!$A$3,"MA_HT","RPH","MA_QH","LUK")</f>
        <v>0</v>
      </c>
      <c r="I14" s="35">
        <f>+GETPIVOTDATA("XXB4",'xabang (2016)'!$A$3,"MA_HT","RPH","MA_QH","LUN")</f>
        <v>0</v>
      </c>
      <c r="J14" s="35">
        <f>+GETPIVOTDATA("XXB4",'xabang (2016)'!$A$3,"MA_HT","RPH","MA_QH","HNK")</f>
        <v>0</v>
      </c>
      <c r="K14" s="35">
        <f>+GETPIVOTDATA("XXB4",'xabang (2016)'!$A$3,"MA_HT","RPH","MA_QH","CLN")</f>
        <v>0</v>
      </c>
      <c r="L14" s="35">
        <f>+GETPIVOTDATA("XXB4",'xabang (2016)'!$A$3,"MA_HT","RPH","MA_QH","RSX")</f>
        <v>0</v>
      </c>
      <c r="M14" s="99" t="e">
        <f>$D14-$BF14</f>
        <v>#REF!</v>
      </c>
      <c r="N14" s="35">
        <f>+GETPIVOTDATA("XXB4",'xabang (2016)'!$A$3,"MA_HT","RPH","MA_QH","RDD")</f>
        <v>0</v>
      </c>
      <c r="O14" s="35">
        <f>+GETPIVOTDATA("XXB4",'xabang (2016)'!$A$3,"MA_HT","RPH","MA_QH","NTS")</f>
        <v>0</v>
      </c>
      <c r="P14" s="35">
        <f>+GETPIVOTDATA("XXB4",'xabang (2016)'!$A$3,"MA_HT","RPH","MA_QH","LMU")</f>
        <v>0</v>
      </c>
      <c r="Q14" s="35">
        <f>+GETPIVOTDATA("XXB4",'xabang (2016)'!$A$3,"MA_HT","RPH","MA_QH","NKH")</f>
        <v>0</v>
      </c>
      <c r="R14" s="63">
        <f t="shared" si="2"/>
        <v>0</v>
      </c>
      <c r="S14" s="35">
        <f>+GETPIVOTDATA("XXB4",'xabang (2016)'!$A$3,"MA_HT","RPH","MA_QH","CQP")</f>
        <v>0</v>
      </c>
      <c r="T14" s="35">
        <f>+GETPIVOTDATA("XXB4",'xabang (2016)'!$A$3,"MA_HT","RPH","MA_QH","CAN")</f>
        <v>0</v>
      </c>
      <c r="U14" s="35">
        <f>+GETPIVOTDATA("XXB4",'xabang (2016)'!$A$3,"MA_HT","RPH","MA_QH","SKK")</f>
        <v>0</v>
      </c>
      <c r="V14" s="35">
        <f>+GETPIVOTDATA("XXB4",'xabang (2016)'!$A$3,"MA_HT","RPH","MA_QH","SKT")</f>
        <v>0</v>
      </c>
      <c r="W14" s="35">
        <f>+GETPIVOTDATA("XXB4",'xabang (2016)'!$A$3,"MA_HT","RPH","MA_QH","SKN")</f>
        <v>0</v>
      </c>
      <c r="X14" s="35">
        <f>+GETPIVOTDATA("XXB4",'xabang (2016)'!$A$3,"MA_HT","RPH","MA_QH","TMD")</f>
        <v>0</v>
      </c>
      <c r="Y14" s="35">
        <f>+GETPIVOTDATA("XXB4",'xabang (2016)'!$A$3,"MA_HT","RPH","MA_QH","SKC")</f>
        <v>0</v>
      </c>
      <c r="Z14" s="35">
        <f>+GETPIVOTDATA("XXB4",'xabang (2016)'!$A$3,"MA_HT","RPH","MA_QH","SKS")</f>
        <v>0</v>
      </c>
      <c r="AA14" s="64">
        <f t="shared" si="4"/>
        <v>0</v>
      </c>
      <c r="AB14" s="35">
        <f>+GETPIVOTDATA("XXB4",'xabang (2016)'!$A$3,"MA_HT","RPH","MA_QH","DGT")</f>
        <v>0</v>
      </c>
      <c r="AC14" s="35">
        <f>+GETPIVOTDATA("XXB4",'xabang (2016)'!$A$3,"MA_HT","RPH","MA_QH","DTL")</f>
        <v>0</v>
      </c>
      <c r="AD14" s="35">
        <f>+GETPIVOTDATA("XXB4",'xabang (2016)'!$A$3,"MA_HT","RPH","MA_QH","DNL")</f>
        <v>0</v>
      </c>
      <c r="AE14" s="35">
        <f>+GETPIVOTDATA("XXB4",'xabang (2016)'!$A$3,"MA_HT","RPH","MA_QH","DBV")</f>
        <v>0</v>
      </c>
      <c r="AF14" s="35">
        <f>+GETPIVOTDATA("XXB4",'xabang (2016)'!$A$3,"MA_HT","RPH","MA_QH","DVH")</f>
        <v>0</v>
      </c>
      <c r="AG14" s="35">
        <f>+GETPIVOTDATA("XXB4",'xabang (2016)'!$A$3,"MA_HT","RPH","MA_QH","DYT")</f>
        <v>0</v>
      </c>
      <c r="AH14" s="35">
        <f>+GETPIVOTDATA("XXB4",'xabang (2016)'!$A$3,"MA_HT","RPH","MA_QH","DGD")</f>
        <v>0</v>
      </c>
      <c r="AI14" s="35">
        <f>+GETPIVOTDATA("XXB4",'xabang (2016)'!$A$3,"MA_HT","RPH","MA_QH","DTT")</f>
        <v>0</v>
      </c>
      <c r="AJ14" s="35">
        <f>+GETPIVOTDATA("XXB4",'xabang (2016)'!$A$3,"MA_HT","RPH","MA_QH","NCK")</f>
        <v>0</v>
      </c>
      <c r="AK14" s="35">
        <f>+GETPIVOTDATA("XXB4",'xabang (2016)'!$A$3,"MA_HT","RPH","MA_QH","DXH")</f>
        <v>0</v>
      </c>
      <c r="AL14" s="35">
        <f>+GETPIVOTDATA("XXB4",'xabang (2016)'!$A$3,"MA_HT","RPH","MA_QH","DCH")</f>
        <v>0</v>
      </c>
      <c r="AM14" s="35">
        <f>+GETPIVOTDATA("XXB4",'xabang (2016)'!$A$3,"MA_HT","RPH","MA_QH","DKG")</f>
        <v>0</v>
      </c>
      <c r="AN14" s="35">
        <f>+GETPIVOTDATA("XXB4",'xabang (2016)'!$A$3,"MA_HT","RPH","MA_QH","DDT")</f>
        <v>0</v>
      </c>
      <c r="AO14" s="35">
        <f>+GETPIVOTDATA("XXB4",'xabang (2016)'!$A$3,"MA_HT","RPH","MA_QH","DDL")</f>
        <v>0</v>
      </c>
      <c r="AP14" s="35">
        <f>+GETPIVOTDATA("XXB4",'xabang (2016)'!$A$3,"MA_HT","RPH","MA_QH","DRA")</f>
        <v>0</v>
      </c>
      <c r="AQ14" s="35">
        <f>+GETPIVOTDATA("XXB4",'xabang (2016)'!$A$3,"MA_HT","RPH","MA_QH","ONT")</f>
        <v>0</v>
      </c>
      <c r="AR14" s="35">
        <f>+GETPIVOTDATA("XXB4",'xabang (2016)'!$A$3,"MA_HT","RPH","MA_QH","ODT")</f>
        <v>0</v>
      </c>
      <c r="AS14" s="35">
        <f>+GETPIVOTDATA("XXB4",'xabang (2016)'!$A$3,"MA_HT","RPH","MA_QH","TSC")</f>
        <v>0</v>
      </c>
      <c r="AT14" s="35">
        <f>+GETPIVOTDATA("XXB4",'xabang (2016)'!$A$3,"MA_HT","RPH","MA_QH","DTS")</f>
        <v>0</v>
      </c>
      <c r="AU14" s="35">
        <f>+GETPIVOTDATA("XXB4",'xabang (2016)'!$A$3,"MA_HT","RPH","MA_QH","DNG")</f>
        <v>0</v>
      </c>
      <c r="AV14" s="35">
        <f>+GETPIVOTDATA("XXB4",'xabang (2016)'!$A$3,"MA_HT","RPH","MA_QH","TON")</f>
        <v>0</v>
      </c>
      <c r="AW14" s="35">
        <f>+GETPIVOTDATA("XXB4",'xabang (2016)'!$A$3,"MA_HT","RPH","MA_QH","NTD")</f>
        <v>0</v>
      </c>
      <c r="AX14" s="35">
        <f>+GETPIVOTDATA("XXB4",'xabang (2016)'!$A$3,"MA_HT","RPH","MA_QH","SKX")</f>
        <v>0</v>
      </c>
      <c r="AY14" s="35">
        <f>+GETPIVOTDATA("XXB4",'xabang (2016)'!$A$3,"MA_HT","RPH","MA_QH","DSH")</f>
        <v>0</v>
      </c>
      <c r="AZ14" s="35">
        <f>+GETPIVOTDATA("XXB4",'xabang (2016)'!$A$3,"MA_HT","RPH","MA_QH","DKV")</f>
        <v>0</v>
      </c>
      <c r="BA14" s="140">
        <f>+GETPIVOTDATA("XXB4",'xabang (2016)'!$A$3,"MA_HT","RPH","MA_QH","TIN")</f>
        <v>0</v>
      </c>
      <c r="BB14" s="74">
        <f>+GETPIVOTDATA("XXB4",'xabang (2016)'!$A$3,"MA_HT","RPH","MA_QH","SON")</f>
        <v>0</v>
      </c>
      <c r="BC14" s="74">
        <f>+GETPIVOTDATA("XXB4",'xabang (2016)'!$A$3,"MA_HT","RPH","MA_QH","MNC")</f>
        <v>0</v>
      </c>
      <c r="BD14" s="35">
        <f>+GETPIVOTDATA("XXB4",'xabang (2016)'!$A$3,"MA_HT","RPH","MA_QH","PNK")</f>
        <v>0</v>
      </c>
      <c r="BE14" s="58">
        <f>+GETPIVOTDATA("XXB4",'xabang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+GETPIVOTDATA("XXB4",'xabang (2016)'!$A$3,"MA_HT","RDD","MA_QH","LUC")</f>
        <v>0</v>
      </c>
      <c r="H15" s="35">
        <f>+GETPIVOTDATA("XXB4",'xabang (2016)'!$A$3,"MA_HT","RDD","MA_QH","LUK")</f>
        <v>0</v>
      </c>
      <c r="I15" s="35">
        <f>+GETPIVOTDATA("XXB4",'xabang (2016)'!$A$3,"MA_HT","RDD","MA_QH","LUN")</f>
        <v>0</v>
      </c>
      <c r="J15" s="35">
        <f>+GETPIVOTDATA("XXB4",'xabang (2016)'!$A$3,"MA_HT","RDD","MA_QH","HNK")</f>
        <v>0</v>
      </c>
      <c r="K15" s="35">
        <f>+GETPIVOTDATA("XXB4",'xabang (2016)'!$A$3,"MA_HT","RDD","MA_QH","CLN")</f>
        <v>0</v>
      </c>
      <c r="L15" s="35">
        <f>+GETPIVOTDATA("XXB4",'xabang (2016)'!$A$3,"MA_HT","RDD","MA_QH","RSX")</f>
        <v>0</v>
      </c>
      <c r="M15" s="35">
        <f>+GETPIVOTDATA("XXB4",'xabang (2016)'!$A$3,"MA_HT","RDD","MA_QH","RPH")</f>
        <v>0</v>
      </c>
      <c r="N15" s="99" t="e">
        <f>$D15-$BF15</f>
        <v>#REF!</v>
      </c>
      <c r="O15" s="35">
        <f>+GETPIVOTDATA("XXB4",'xabang (2016)'!$A$3,"MA_HT","RDD","MA_QH","NTS")</f>
        <v>0</v>
      </c>
      <c r="P15" s="35">
        <f>+GETPIVOTDATA("XXB4",'xabang (2016)'!$A$3,"MA_HT","RDD","MA_QH","LMU")</f>
        <v>0</v>
      </c>
      <c r="Q15" s="35">
        <f>+GETPIVOTDATA("XXB4",'xabang (2016)'!$A$3,"MA_HT","RDD","MA_QH","NKH")</f>
        <v>0</v>
      </c>
      <c r="R15" s="63">
        <f t="shared" si="2"/>
        <v>0</v>
      </c>
      <c r="S15" s="35">
        <f>+GETPIVOTDATA("XXB4",'xabang (2016)'!$A$3,"MA_HT","RDD","MA_QH","CQP")</f>
        <v>0</v>
      </c>
      <c r="T15" s="35">
        <f>+GETPIVOTDATA("XXB4",'xabang (2016)'!$A$3,"MA_HT","RDD","MA_QH","CAN")</f>
        <v>0</v>
      </c>
      <c r="U15" s="35">
        <f>+GETPIVOTDATA("XXB4",'xabang (2016)'!$A$3,"MA_HT","RDD","MA_QH","SKK")</f>
        <v>0</v>
      </c>
      <c r="V15" s="35">
        <f>+GETPIVOTDATA("XXB4",'xabang (2016)'!$A$3,"MA_HT","RDD","MA_QH","SKT")</f>
        <v>0</v>
      </c>
      <c r="W15" s="35">
        <f>+GETPIVOTDATA("XXB4",'xabang (2016)'!$A$3,"MA_HT","RDD","MA_QH","SKN")</f>
        <v>0</v>
      </c>
      <c r="X15" s="35">
        <f>+GETPIVOTDATA("XXB4",'xabang (2016)'!$A$3,"MA_HT","RDD","MA_QH","TMD")</f>
        <v>0</v>
      </c>
      <c r="Y15" s="35">
        <f>+GETPIVOTDATA("XXB4",'xabang (2016)'!$A$3,"MA_HT","RDD","MA_QH","SKC")</f>
        <v>0</v>
      </c>
      <c r="Z15" s="35">
        <f>+GETPIVOTDATA("XXB4",'xabang (2016)'!$A$3,"MA_HT","RDD","MA_QH","SKS")</f>
        <v>0</v>
      </c>
      <c r="AA15" s="64">
        <f t="shared" si="4"/>
        <v>0</v>
      </c>
      <c r="AB15" s="35">
        <f>+GETPIVOTDATA("XXB4",'xabang (2016)'!$A$3,"MA_HT","RDD","MA_QH","DGT")</f>
        <v>0</v>
      </c>
      <c r="AC15" s="35">
        <f>+GETPIVOTDATA("XXB4",'xabang (2016)'!$A$3,"MA_HT","RDD","MA_QH","DTL")</f>
        <v>0</v>
      </c>
      <c r="AD15" s="35">
        <f>+GETPIVOTDATA("XXB4",'xabang (2016)'!$A$3,"MA_HT","RDD","MA_QH","DNL")</f>
        <v>0</v>
      </c>
      <c r="AE15" s="35">
        <f>+GETPIVOTDATA("XXB4",'xabang (2016)'!$A$3,"MA_HT","RDD","MA_QH","DBV")</f>
        <v>0</v>
      </c>
      <c r="AF15" s="35">
        <f>+GETPIVOTDATA("XXB4",'xabang (2016)'!$A$3,"MA_HT","RDD","MA_QH","DVH")</f>
        <v>0</v>
      </c>
      <c r="AG15" s="35">
        <f>+GETPIVOTDATA("XXB4",'xabang (2016)'!$A$3,"MA_HT","RDD","MA_QH","DYT")</f>
        <v>0</v>
      </c>
      <c r="AH15" s="35">
        <f>+GETPIVOTDATA("XXB4",'xabang (2016)'!$A$3,"MA_HT","RDD","MA_QH","DGD")</f>
        <v>0</v>
      </c>
      <c r="AI15" s="35">
        <f>+GETPIVOTDATA("XXB4",'xabang (2016)'!$A$3,"MA_HT","RDD","MA_QH","DTT")</f>
        <v>0</v>
      </c>
      <c r="AJ15" s="35">
        <f>+GETPIVOTDATA("XXB4",'xabang (2016)'!$A$3,"MA_HT","RDD","MA_QH","NCK")</f>
        <v>0</v>
      </c>
      <c r="AK15" s="35">
        <f>+GETPIVOTDATA("XXB4",'xabang (2016)'!$A$3,"MA_HT","RDD","MA_QH","DXH")</f>
        <v>0</v>
      </c>
      <c r="AL15" s="35">
        <f>+GETPIVOTDATA("XXB4",'xabang (2016)'!$A$3,"MA_HT","RDD","MA_QH","DCH")</f>
        <v>0</v>
      </c>
      <c r="AM15" s="35">
        <f>+GETPIVOTDATA("XXB4",'xabang (2016)'!$A$3,"MA_HT","RDD","MA_QH","DKG")</f>
        <v>0</v>
      </c>
      <c r="AN15" s="35">
        <f>+GETPIVOTDATA("XXB4",'xabang (2016)'!$A$3,"MA_HT","RDD","MA_QH","DDT")</f>
        <v>0</v>
      </c>
      <c r="AO15" s="35">
        <f>+GETPIVOTDATA("XXB4",'xabang (2016)'!$A$3,"MA_HT","RDD","MA_QH","DDL")</f>
        <v>0</v>
      </c>
      <c r="AP15" s="35">
        <f>+GETPIVOTDATA("XXB4",'xabang (2016)'!$A$3,"MA_HT","RDD","MA_QH","DRA")</f>
        <v>0</v>
      </c>
      <c r="AQ15" s="35">
        <f>+GETPIVOTDATA("XXB4",'xabang (2016)'!$A$3,"MA_HT","RDD","MA_QH","ONT")</f>
        <v>0</v>
      </c>
      <c r="AR15" s="35">
        <f>+GETPIVOTDATA("XXB4",'xabang (2016)'!$A$3,"MA_HT","RDD","MA_QH","ODT")</f>
        <v>0</v>
      </c>
      <c r="AS15" s="35">
        <f>+GETPIVOTDATA("XXB4",'xabang (2016)'!$A$3,"MA_HT","RDD","MA_QH","TSC")</f>
        <v>0</v>
      </c>
      <c r="AT15" s="35">
        <f>+GETPIVOTDATA("XXB4",'xabang (2016)'!$A$3,"MA_HT","RDD","MA_QH","DTS")</f>
        <v>0</v>
      </c>
      <c r="AU15" s="35">
        <f>+GETPIVOTDATA("XXB4",'xabang (2016)'!$A$3,"MA_HT","RDD","MA_QH","DNG")</f>
        <v>0</v>
      </c>
      <c r="AV15" s="35">
        <f>+GETPIVOTDATA("XXB4",'xabang (2016)'!$A$3,"MA_HT","RDD","MA_QH","TON")</f>
        <v>0</v>
      </c>
      <c r="AW15" s="35">
        <f>+GETPIVOTDATA("XXB4",'xabang (2016)'!$A$3,"MA_HT","RDD","MA_QH","NTD")</f>
        <v>0</v>
      </c>
      <c r="AX15" s="35">
        <f>+GETPIVOTDATA("XXB4",'xabang (2016)'!$A$3,"MA_HT","RDD","MA_QH","SKX")</f>
        <v>0</v>
      </c>
      <c r="AY15" s="35">
        <f>+GETPIVOTDATA("XXB4",'xabang (2016)'!$A$3,"MA_HT","RDD","MA_QH","DSH")</f>
        <v>0</v>
      </c>
      <c r="AZ15" s="35">
        <f>+GETPIVOTDATA("XXB4",'xabang (2016)'!$A$3,"MA_HT","RDD","MA_QH","DKV")</f>
        <v>0</v>
      </c>
      <c r="BA15" s="140">
        <f>+GETPIVOTDATA("XXB4",'xabang (2016)'!$A$3,"MA_HT","RDD","MA_QH","TIN")</f>
        <v>0</v>
      </c>
      <c r="BB15" s="74">
        <f>+GETPIVOTDATA("XXB4",'xabang (2016)'!$A$3,"MA_HT","RDD","MA_QH","SON")</f>
        <v>0</v>
      </c>
      <c r="BC15" s="74">
        <f>+GETPIVOTDATA("XXB4",'xabang (2016)'!$A$3,"MA_HT","RDD","MA_QH","MNC")</f>
        <v>0</v>
      </c>
      <c r="BD15" s="35">
        <f>+GETPIVOTDATA("XXB4",'xabang (2016)'!$A$3,"MA_HT","RDD","MA_QH","PNK")</f>
        <v>0</v>
      </c>
      <c r="BE15" s="58">
        <f>+GETPIVOTDATA("XXB4",'xabang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+GETPIVOTDATA("XXB4",'xabang (2016)'!$A$3,"MA_HT","NTS","MA_QH","LUC")</f>
        <v>0</v>
      </c>
      <c r="H16" s="35">
        <f>+GETPIVOTDATA("XXB4",'xabang (2016)'!$A$3,"MA_HT","NTS","MA_QH","LUK")</f>
        <v>0</v>
      </c>
      <c r="I16" s="35">
        <f>+GETPIVOTDATA("XXB4",'xabang (2016)'!$A$3,"MA_HT","NTS","MA_QH","LUN")</f>
        <v>0</v>
      </c>
      <c r="J16" s="35">
        <f>+GETPIVOTDATA("XXB4",'xabang (2016)'!$A$3,"MA_HT","NTS","MA_QH","HNK")</f>
        <v>0</v>
      </c>
      <c r="K16" s="35">
        <f>+GETPIVOTDATA("XXB4",'xabang (2016)'!$A$3,"MA_HT","NTS","MA_QH","CLN")</f>
        <v>0</v>
      </c>
      <c r="L16" s="35">
        <f>+GETPIVOTDATA("XXB4",'xabang (2016)'!$A$3,"MA_HT","NTS","MA_QH","RSX")</f>
        <v>0</v>
      </c>
      <c r="M16" s="35">
        <f>+GETPIVOTDATA("XXB4",'xabang (2016)'!$A$3,"MA_HT","NTS","MA_QH","RPH")</f>
        <v>0</v>
      </c>
      <c r="N16" s="35">
        <f>+GETPIVOTDATA("XXB4",'xabang (2016)'!$A$3,"MA_HT","NTS","MA_QH","RDD")</f>
        <v>0</v>
      </c>
      <c r="O16" s="99" t="e">
        <f>$D16-$BF16</f>
        <v>#REF!</v>
      </c>
      <c r="P16" s="35">
        <f>+GETPIVOTDATA("XXB4",'xabang (2016)'!$A$3,"MA_HT","NTS","MA_QH","LMU")</f>
        <v>0</v>
      </c>
      <c r="Q16" s="35">
        <f>+GETPIVOTDATA("XXB4",'xabang (2016)'!$A$3,"MA_HT","NTS","MA_QH","NKH")</f>
        <v>0</v>
      </c>
      <c r="R16" s="63">
        <f t="shared" si="2"/>
        <v>0</v>
      </c>
      <c r="S16" s="35">
        <f>+GETPIVOTDATA("XXB4",'xabang (2016)'!$A$3,"MA_HT","NTS","MA_QH","CQP")</f>
        <v>0</v>
      </c>
      <c r="T16" s="35">
        <f>+GETPIVOTDATA("XXB4",'xabang (2016)'!$A$3,"MA_HT","NTS","MA_QH","CAN")</f>
        <v>0</v>
      </c>
      <c r="U16" s="35">
        <f>+GETPIVOTDATA("XXB4",'xabang (2016)'!$A$3,"MA_HT","NTS","MA_QH","SKK")</f>
        <v>0</v>
      </c>
      <c r="V16" s="35">
        <f>+GETPIVOTDATA("XXB4",'xabang (2016)'!$A$3,"MA_HT","NTS","MA_QH","SKT")</f>
        <v>0</v>
      </c>
      <c r="W16" s="35">
        <f>+GETPIVOTDATA("XXB4",'xabang (2016)'!$A$3,"MA_HT","NTS","MA_QH","SKN")</f>
        <v>0</v>
      </c>
      <c r="X16" s="35">
        <f>+GETPIVOTDATA("XXB4",'xabang (2016)'!$A$3,"MA_HT","NTS","MA_QH","TMD")</f>
        <v>0</v>
      </c>
      <c r="Y16" s="35">
        <f>+GETPIVOTDATA("XXB4",'xabang (2016)'!$A$3,"MA_HT","NTS","MA_QH","SKC")</f>
        <v>0</v>
      </c>
      <c r="Z16" s="35">
        <f>+GETPIVOTDATA("XXB4",'xabang (2016)'!$A$3,"MA_HT","NTS","MA_QH","SKS")</f>
        <v>0</v>
      </c>
      <c r="AA16" s="64">
        <f t="shared" si="4"/>
        <v>0</v>
      </c>
      <c r="AB16" s="35">
        <f>+GETPIVOTDATA("XXB4",'xabang (2016)'!$A$3,"MA_HT","NTS","MA_QH","DGT")</f>
        <v>0</v>
      </c>
      <c r="AC16" s="35">
        <f>+GETPIVOTDATA("XXB4",'xabang (2016)'!$A$3,"MA_HT","NTS","MA_QH","DTL")</f>
        <v>0</v>
      </c>
      <c r="AD16" s="35">
        <f>+GETPIVOTDATA("XXB4",'xabang (2016)'!$A$3,"MA_HT","NTS","MA_QH","DNL")</f>
        <v>0</v>
      </c>
      <c r="AE16" s="35">
        <f>+GETPIVOTDATA("XXB4",'xabang (2016)'!$A$3,"MA_HT","NTS","MA_QH","DBV")</f>
        <v>0</v>
      </c>
      <c r="AF16" s="35">
        <f>+GETPIVOTDATA("XXB4",'xabang (2016)'!$A$3,"MA_HT","NTS","MA_QH","DVH")</f>
        <v>0</v>
      </c>
      <c r="AG16" s="35">
        <f>+GETPIVOTDATA("XXB4",'xabang (2016)'!$A$3,"MA_HT","NTS","MA_QH","DYT")</f>
        <v>0</v>
      </c>
      <c r="AH16" s="35">
        <f>+GETPIVOTDATA("XXB4",'xabang (2016)'!$A$3,"MA_HT","NTS","MA_QH","DGD")</f>
        <v>0</v>
      </c>
      <c r="AI16" s="35">
        <f>+GETPIVOTDATA("XXB4",'xabang (2016)'!$A$3,"MA_HT","NTS","MA_QH","DTT")</f>
        <v>0</v>
      </c>
      <c r="AJ16" s="35">
        <f>+GETPIVOTDATA("XXB4",'xabang (2016)'!$A$3,"MA_HT","NTS","MA_QH","NCK")</f>
        <v>0</v>
      </c>
      <c r="AK16" s="35">
        <f>+GETPIVOTDATA("XXB4",'xabang (2016)'!$A$3,"MA_HT","NTS","MA_QH","DXH")</f>
        <v>0</v>
      </c>
      <c r="AL16" s="35">
        <f>+GETPIVOTDATA("XXB4",'xabang (2016)'!$A$3,"MA_HT","NTS","MA_QH","DCH")</f>
        <v>0</v>
      </c>
      <c r="AM16" s="35">
        <f>+GETPIVOTDATA("XXB4",'xabang (2016)'!$A$3,"MA_HT","NTS","MA_QH","DKG")</f>
        <v>0</v>
      </c>
      <c r="AN16" s="35">
        <f>+GETPIVOTDATA("XXB4",'xabang (2016)'!$A$3,"MA_HT","NTS","MA_QH","DDT")</f>
        <v>0</v>
      </c>
      <c r="AO16" s="35">
        <f>+GETPIVOTDATA("XXB4",'xabang (2016)'!$A$3,"MA_HT","NTS","MA_QH","DDL")</f>
        <v>0</v>
      </c>
      <c r="AP16" s="35">
        <f>+GETPIVOTDATA("XXB4",'xabang (2016)'!$A$3,"MA_HT","NTS","MA_QH","DRA")</f>
        <v>0</v>
      </c>
      <c r="AQ16" s="35">
        <f>+GETPIVOTDATA("XXB4",'xabang (2016)'!$A$3,"MA_HT","NTS","MA_QH","ONT")</f>
        <v>0</v>
      </c>
      <c r="AR16" s="35">
        <f>+GETPIVOTDATA("XXB4",'xabang (2016)'!$A$3,"MA_HT","NTS","MA_QH","ODT")</f>
        <v>0</v>
      </c>
      <c r="AS16" s="35">
        <f>+GETPIVOTDATA("XXB4",'xabang (2016)'!$A$3,"MA_HT","NTS","MA_QH","TSC")</f>
        <v>0</v>
      </c>
      <c r="AT16" s="35">
        <f>+GETPIVOTDATA("XXB4",'xabang (2016)'!$A$3,"MA_HT","NTS","MA_QH","DTS")</f>
        <v>0</v>
      </c>
      <c r="AU16" s="35">
        <f>+GETPIVOTDATA("XXB4",'xabang (2016)'!$A$3,"MA_HT","NTS","MA_QH","DNG")</f>
        <v>0</v>
      </c>
      <c r="AV16" s="35">
        <f>+GETPIVOTDATA("XXB4",'xabang (2016)'!$A$3,"MA_HT","NTS","MA_QH","TON")</f>
        <v>0</v>
      </c>
      <c r="AW16" s="35">
        <f>+GETPIVOTDATA("XXB4",'xabang (2016)'!$A$3,"MA_HT","NTS","MA_QH","NTD")</f>
        <v>0</v>
      </c>
      <c r="AX16" s="35">
        <f>+GETPIVOTDATA("XXB4",'xabang (2016)'!$A$3,"MA_HT","NTS","MA_QH","SKX")</f>
        <v>0</v>
      </c>
      <c r="AY16" s="35">
        <f>+GETPIVOTDATA("XXB4",'xabang (2016)'!$A$3,"MA_HT","NTS","MA_QH","DSH")</f>
        <v>0</v>
      </c>
      <c r="AZ16" s="35">
        <f>+GETPIVOTDATA("XXB4",'xabang (2016)'!$A$3,"MA_HT","NTS","MA_QH","DKV")</f>
        <v>0</v>
      </c>
      <c r="BA16" s="140">
        <f>+GETPIVOTDATA("XXB4",'xabang (2016)'!$A$3,"MA_HT","NTS","MA_QH","TIN")</f>
        <v>0</v>
      </c>
      <c r="BB16" s="74">
        <f>+GETPIVOTDATA("XXB4",'xabang (2016)'!$A$3,"MA_HT","NTS","MA_QH","SON")</f>
        <v>0</v>
      </c>
      <c r="BC16" s="74">
        <f>+GETPIVOTDATA("XXB4",'xabang (2016)'!$A$3,"MA_HT","NTS","MA_QH","MNC")</f>
        <v>0</v>
      </c>
      <c r="BD16" s="35">
        <f>+GETPIVOTDATA("XXB4",'xabang (2016)'!$A$3,"MA_HT","NTS","MA_QH","PNK")</f>
        <v>0</v>
      </c>
      <c r="BE16" s="58">
        <f>+GETPIVOTDATA("XXB4",'xabang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+GETPIVOTDATA("XXB4",'xabang (2016)'!$A$3,"MA_HT","LMU","MA_QH","LUC")</f>
        <v>0</v>
      </c>
      <c r="H17" s="35">
        <f>+GETPIVOTDATA("XXB4",'xabang (2016)'!$A$3,"MA_HT","LMU","MA_QH","LUK")</f>
        <v>0</v>
      </c>
      <c r="I17" s="35">
        <f>+GETPIVOTDATA("XXB4",'xabang (2016)'!$A$3,"MA_HT","LMU","MA_QH","LUN")</f>
        <v>0</v>
      </c>
      <c r="J17" s="35">
        <f>+GETPIVOTDATA("XXB4",'xabang (2016)'!$A$3,"MA_HT","LMU","MA_QH","HNK")</f>
        <v>0</v>
      </c>
      <c r="K17" s="35">
        <f>+GETPIVOTDATA("XXB4",'xabang (2016)'!$A$3,"MA_HT","LMU","MA_QH","CLN")</f>
        <v>0</v>
      </c>
      <c r="L17" s="35">
        <f>+GETPIVOTDATA("XXB4",'xabang (2016)'!$A$3,"MA_HT","LMU","MA_QH","RSX")</f>
        <v>0</v>
      </c>
      <c r="M17" s="35">
        <f>+GETPIVOTDATA("XXB4",'xabang (2016)'!$A$3,"MA_HT","LMU","MA_QH","RPH")</f>
        <v>0</v>
      </c>
      <c r="N17" s="35">
        <f>+GETPIVOTDATA("XXB4",'xabang (2016)'!$A$3,"MA_HT","LMU","MA_QH","RDD")</f>
        <v>0</v>
      </c>
      <c r="O17" s="35">
        <f>+GETPIVOTDATA("XXB4",'xabang (2016)'!$A$3,"MA_HT","LMU","MA_QH","NTS")</f>
        <v>0</v>
      </c>
      <c r="P17" s="99" t="e">
        <f>$D17-$BF17</f>
        <v>#REF!</v>
      </c>
      <c r="Q17" s="35">
        <f>+GETPIVOTDATA("XXB4",'xabang (2016)'!$A$3,"MA_HT","LMU","MA_QH","NKH")</f>
        <v>0</v>
      </c>
      <c r="R17" s="63">
        <f t="shared" si="2"/>
        <v>0</v>
      </c>
      <c r="S17" s="35">
        <f>+GETPIVOTDATA("XXB4",'xabang (2016)'!$A$3,"MA_HT","LMU","MA_QH","CQP")</f>
        <v>0</v>
      </c>
      <c r="T17" s="35">
        <f>+GETPIVOTDATA("XXB4",'xabang (2016)'!$A$3,"MA_HT","LMU","MA_QH","CAN")</f>
        <v>0</v>
      </c>
      <c r="U17" s="35">
        <f>+GETPIVOTDATA("XXB4",'xabang (2016)'!$A$3,"MA_HT","LMU","MA_QH","SKK")</f>
        <v>0</v>
      </c>
      <c r="V17" s="35">
        <f>+GETPIVOTDATA("XXB4",'xabang (2016)'!$A$3,"MA_HT","LMU","MA_QH","SKT")</f>
        <v>0</v>
      </c>
      <c r="W17" s="35">
        <f>+GETPIVOTDATA("XXB4",'xabang (2016)'!$A$3,"MA_HT","LMU","MA_QH","SKN")</f>
        <v>0</v>
      </c>
      <c r="X17" s="35">
        <f>+GETPIVOTDATA("XXB4",'xabang (2016)'!$A$3,"MA_HT","LMU","MA_QH","TMD")</f>
        <v>0</v>
      </c>
      <c r="Y17" s="35">
        <f>+GETPIVOTDATA("XXB4",'xabang (2016)'!$A$3,"MA_HT","LMU","MA_QH","SKC")</f>
        <v>0</v>
      </c>
      <c r="Z17" s="35">
        <f>+GETPIVOTDATA("XXB4",'xabang (2016)'!$A$3,"MA_HT","LMU","MA_QH","SKS")</f>
        <v>0</v>
      </c>
      <c r="AA17" s="64">
        <f t="shared" si="4"/>
        <v>0</v>
      </c>
      <c r="AB17" s="35">
        <f>+GETPIVOTDATA("XXB4",'xabang (2016)'!$A$3,"MA_HT","LMU","MA_QH","DGT")</f>
        <v>0</v>
      </c>
      <c r="AC17" s="35">
        <f>+GETPIVOTDATA("XXB4",'xabang (2016)'!$A$3,"MA_HT","LMU","MA_QH","DTL")</f>
        <v>0</v>
      </c>
      <c r="AD17" s="35">
        <f>+GETPIVOTDATA("XXB4",'xabang (2016)'!$A$3,"MA_HT","LMU","MA_QH","DNL")</f>
        <v>0</v>
      </c>
      <c r="AE17" s="35">
        <f>+GETPIVOTDATA("XXB4",'xabang (2016)'!$A$3,"MA_HT","LMU","MA_QH","DBV")</f>
        <v>0</v>
      </c>
      <c r="AF17" s="35">
        <f>+GETPIVOTDATA("XXB4",'xabang (2016)'!$A$3,"MA_HT","LMU","MA_QH","DVH")</f>
        <v>0</v>
      </c>
      <c r="AG17" s="35">
        <f>+GETPIVOTDATA("XXB4",'xabang (2016)'!$A$3,"MA_HT","LMU","MA_QH","DYT")</f>
        <v>0</v>
      </c>
      <c r="AH17" s="35">
        <f>+GETPIVOTDATA("XXB4",'xabang (2016)'!$A$3,"MA_HT","LMU","MA_QH","DGD")</f>
        <v>0</v>
      </c>
      <c r="AI17" s="35">
        <f>+GETPIVOTDATA("XXB4",'xabang (2016)'!$A$3,"MA_HT","LMU","MA_QH","DTT")</f>
        <v>0</v>
      </c>
      <c r="AJ17" s="35">
        <f>+GETPIVOTDATA("XXB4",'xabang (2016)'!$A$3,"MA_HT","LMU","MA_QH","NCK")</f>
        <v>0</v>
      </c>
      <c r="AK17" s="35">
        <f>+GETPIVOTDATA("XXB4",'xabang (2016)'!$A$3,"MA_HT","LMU","MA_QH","DXH")</f>
        <v>0</v>
      </c>
      <c r="AL17" s="35">
        <f>+GETPIVOTDATA("XXB4",'xabang (2016)'!$A$3,"MA_HT","LMU","MA_QH","DCH")</f>
        <v>0</v>
      </c>
      <c r="AM17" s="35">
        <f>+GETPIVOTDATA("XXB4",'xabang (2016)'!$A$3,"MA_HT","LMU","MA_QH","DKG")</f>
        <v>0</v>
      </c>
      <c r="AN17" s="35">
        <f>+GETPIVOTDATA("XXB4",'xabang (2016)'!$A$3,"MA_HT","LMU","MA_QH","DDT")</f>
        <v>0</v>
      </c>
      <c r="AO17" s="35">
        <f>+GETPIVOTDATA("XXB4",'xabang (2016)'!$A$3,"MA_HT","LMU","MA_QH","DDL")</f>
        <v>0</v>
      </c>
      <c r="AP17" s="35">
        <f>+GETPIVOTDATA("XXB4",'xabang (2016)'!$A$3,"MA_HT","LMU","MA_QH","DRA")</f>
        <v>0</v>
      </c>
      <c r="AQ17" s="35">
        <f>+GETPIVOTDATA("XXB4",'xabang (2016)'!$A$3,"MA_HT","LMU","MA_QH","ONT")</f>
        <v>0</v>
      </c>
      <c r="AR17" s="35">
        <f>+GETPIVOTDATA("XXB4",'xabang (2016)'!$A$3,"MA_HT","LMU","MA_QH","ODT")</f>
        <v>0</v>
      </c>
      <c r="AS17" s="35">
        <f>+GETPIVOTDATA("XXB4",'xabang (2016)'!$A$3,"MA_HT","LMU","MA_QH","TSC")</f>
        <v>0</v>
      </c>
      <c r="AT17" s="35">
        <f>+GETPIVOTDATA("XXB4",'xabang (2016)'!$A$3,"MA_HT","LMU","MA_QH","DTS")</f>
        <v>0</v>
      </c>
      <c r="AU17" s="35">
        <f>+GETPIVOTDATA("XXB4",'xabang (2016)'!$A$3,"MA_HT","LMU","MA_QH","DNG")</f>
        <v>0</v>
      </c>
      <c r="AV17" s="35">
        <f>+GETPIVOTDATA("XXB4",'xabang (2016)'!$A$3,"MA_HT","LMU","MA_QH","TON")</f>
        <v>0</v>
      </c>
      <c r="AW17" s="35">
        <f>+GETPIVOTDATA("XXB4",'xabang (2016)'!$A$3,"MA_HT","LMU","MA_QH","NTD")</f>
        <v>0</v>
      </c>
      <c r="AX17" s="35">
        <f>+GETPIVOTDATA("XXB4",'xabang (2016)'!$A$3,"MA_HT","LMU","MA_QH","SKX")</f>
        <v>0</v>
      </c>
      <c r="AY17" s="35">
        <f>+GETPIVOTDATA("XXB4",'xabang (2016)'!$A$3,"MA_HT","LMU","MA_QH","DSH")</f>
        <v>0</v>
      </c>
      <c r="AZ17" s="35">
        <f>+GETPIVOTDATA("XXB4",'xabang (2016)'!$A$3,"MA_HT","LMU","MA_QH","DKV")</f>
        <v>0</v>
      </c>
      <c r="BA17" s="140">
        <f>+GETPIVOTDATA("XXB4",'xabang (2016)'!$A$3,"MA_HT","LMU","MA_QH","TIN")</f>
        <v>0</v>
      </c>
      <c r="BB17" s="74">
        <f>+GETPIVOTDATA("XXB4",'xabang (2016)'!$A$3,"MA_HT","LMU","MA_QH","SON")</f>
        <v>0</v>
      </c>
      <c r="BC17" s="74">
        <f>+GETPIVOTDATA("XXB4",'xabang (2016)'!$A$3,"MA_HT","LMU","MA_QH","MNC")</f>
        <v>0</v>
      </c>
      <c r="BD17" s="35">
        <f>+GETPIVOTDATA("XXB4",'xabang (2016)'!$A$3,"MA_HT","LMU","MA_QH","PNK")</f>
        <v>0</v>
      </c>
      <c r="BE17" s="58">
        <f>+GETPIVOTDATA("XXB4",'xabang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+GETPIVOTDATA("XXB4",'xabang (2016)'!$A$3,"MA_HT","NKH","MA_QH","LUC")</f>
        <v>0</v>
      </c>
      <c r="H18" s="35">
        <f>+GETPIVOTDATA("XXB4",'xabang (2016)'!$A$3,"MA_HT","NKH","MA_QH","LUK")</f>
        <v>0</v>
      </c>
      <c r="I18" s="35">
        <f>+GETPIVOTDATA("XXB4",'xabang (2016)'!$A$3,"MA_HT","NKH","MA_QH","LUN")</f>
        <v>0</v>
      </c>
      <c r="J18" s="35">
        <f>+GETPIVOTDATA("XXB4",'xabang (2016)'!$A$3,"MA_HT","NKH","MA_QH","HNK")</f>
        <v>0</v>
      </c>
      <c r="K18" s="35">
        <f>+GETPIVOTDATA("XXB4",'xabang (2016)'!$A$3,"MA_HT","NKH","MA_QH","CLN")</f>
        <v>0</v>
      </c>
      <c r="L18" s="35">
        <f>+GETPIVOTDATA("XXB4",'xabang (2016)'!$A$3,"MA_HT","NKH","MA_QH","RSX")</f>
        <v>0</v>
      </c>
      <c r="M18" s="35">
        <f>+GETPIVOTDATA("XXB4",'xabang (2016)'!$A$3,"MA_HT","NKH","MA_QH","RPH")</f>
        <v>0</v>
      </c>
      <c r="N18" s="35">
        <f>+GETPIVOTDATA("XXB4",'xabang (2016)'!$A$3,"MA_HT","NKH","MA_QH","RDD")</f>
        <v>0</v>
      </c>
      <c r="O18" s="35">
        <f>+GETPIVOTDATA("XXB4",'xabang (2016)'!$A$3,"MA_HT","NKH","MA_QH","NTS")</f>
        <v>0</v>
      </c>
      <c r="P18" s="35">
        <f>+GETPIVOTDATA("XXB4",'xabang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+GETPIVOTDATA("XXB4",'xabang (2016)'!$A$3,"MA_HT","NKH","MA_QH","CQP")</f>
        <v>0</v>
      </c>
      <c r="T18" s="35">
        <f>+GETPIVOTDATA("XXB4",'xabang (2016)'!$A$3,"MA_HT","NKH","MA_QH","CAN")</f>
        <v>0</v>
      </c>
      <c r="U18" s="35">
        <f>+GETPIVOTDATA("XXB4",'xabang (2016)'!$A$3,"MA_HT","NKH","MA_QH","SKK")</f>
        <v>0</v>
      </c>
      <c r="V18" s="35">
        <f>+GETPIVOTDATA("XXB4",'xabang (2016)'!$A$3,"MA_HT","NKH","MA_QH","SKT")</f>
        <v>0</v>
      </c>
      <c r="W18" s="35">
        <f>+GETPIVOTDATA("XXB4",'xabang (2016)'!$A$3,"MA_HT","NKH","MA_QH","SKN")</f>
        <v>0</v>
      </c>
      <c r="X18" s="35">
        <f>+GETPIVOTDATA("XXB4",'xabang (2016)'!$A$3,"MA_HT","NKH","MA_QH","TMD")</f>
        <v>0</v>
      </c>
      <c r="Y18" s="35">
        <f>+GETPIVOTDATA("XXB4",'xabang (2016)'!$A$3,"MA_HT","NKH","MA_QH","SKC")</f>
        <v>0</v>
      </c>
      <c r="Z18" s="35">
        <f>+GETPIVOTDATA("XXB4",'xabang (2016)'!$A$3,"MA_HT","NKH","MA_QH","SKS")</f>
        <v>0</v>
      </c>
      <c r="AA18" s="64">
        <f t="shared" si="4"/>
        <v>0</v>
      </c>
      <c r="AB18" s="35">
        <f>+GETPIVOTDATA("XXB4",'xabang (2016)'!$A$3,"MA_HT","NKH","MA_QH","DGT")</f>
        <v>0</v>
      </c>
      <c r="AC18" s="35">
        <f>+GETPIVOTDATA("XXB4",'xabang (2016)'!$A$3,"MA_HT","NKH","MA_QH","DTL")</f>
        <v>0</v>
      </c>
      <c r="AD18" s="35">
        <f>+GETPIVOTDATA("XXB4",'xabang (2016)'!$A$3,"MA_HT","NKH","MA_QH","DNL")</f>
        <v>0</v>
      </c>
      <c r="AE18" s="35">
        <f>+GETPIVOTDATA("XXB4",'xabang (2016)'!$A$3,"MA_HT","NKH","MA_QH","DBV")</f>
        <v>0</v>
      </c>
      <c r="AF18" s="35">
        <f>+GETPIVOTDATA("XXB4",'xabang (2016)'!$A$3,"MA_HT","NKH","MA_QH","DVH")</f>
        <v>0</v>
      </c>
      <c r="AG18" s="35">
        <f>+GETPIVOTDATA("XXB4",'xabang (2016)'!$A$3,"MA_HT","NKH","MA_QH","DYT")</f>
        <v>0</v>
      </c>
      <c r="AH18" s="35">
        <f>+GETPIVOTDATA("XXB4",'xabang (2016)'!$A$3,"MA_HT","NKH","MA_QH","DGD")</f>
        <v>0</v>
      </c>
      <c r="AI18" s="35">
        <f>+GETPIVOTDATA("XXB4",'xabang (2016)'!$A$3,"MA_HT","NKH","MA_QH","DTT")</f>
        <v>0</v>
      </c>
      <c r="AJ18" s="35">
        <f>+GETPIVOTDATA("XXB4",'xabang (2016)'!$A$3,"MA_HT","NKH","MA_QH","NCK")</f>
        <v>0</v>
      </c>
      <c r="AK18" s="35">
        <f>+GETPIVOTDATA("XXB4",'xabang (2016)'!$A$3,"MA_HT","NKH","MA_QH","DXH")</f>
        <v>0</v>
      </c>
      <c r="AL18" s="35">
        <f>+GETPIVOTDATA("XXB4",'xabang (2016)'!$A$3,"MA_HT","NKH","MA_QH","DCH")</f>
        <v>0</v>
      </c>
      <c r="AM18" s="35">
        <f>+GETPIVOTDATA("XXB4",'xabang (2016)'!$A$3,"MA_HT","NKH","MA_QH","DKG")</f>
        <v>0</v>
      </c>
      <c r="AN18" s="35">
        <f>+GETPIVOTDATA("XXB4",'xabang (2016)'!$A$3,"MA_HT","NKH","MA_QH","DDT")</f>
        <v>0</v>
      </c>
      <c r="AO18" s="35">
        <f>+GETPIVOTDATA("XXB4",'xabang (2016)'!$A$3,"MA_HT","NKH","MA_QH","DDL")</f>
        <v>0</v>
      </c>
      <c r="AP18" s="35">
        <f>+GETPIVOTDATA("XXB4",'xabang (2016)'!$A$3,"MA_HT","NKH","MA_QH","DRA")</f>
        <v>0</v>
      </c>
      <c r="AQ18" s="35">
        <f>+GETPIVOTDATA("XXB4",'xabang (2016)'!$A$3,"MA_HT","NKH","MA_QH","ONT")</f>
        <v>0</v>
      </c>
      <c r="AR18" s="35">
        <f>+GETPIVOTDATA("XXB4",'xabang (2016)'!$A$3,"MA_HT","NKH","MA_QH","ODT")</f>
        <v>0</v>
      </c>
      <c r="AS18" s="35">
        <f>+GETPIVOTDATA("XXB4",'xabang (2016)'!$A$3,"MA_HT","NKH","MA_QH","TSC")</f>
        <v>0</v>
      </c>
      <c r="AT18" s="35">
        <f>+GETPIVOTDATA("XXB4",'xabang (2016)'!$A$3,"MA_HT","NKH","MA_QH","DTS")</f>
        <v>0</v>
      </c>
      <c r="AU18" s="35">
        <f>+GETPIVOTDATA("XXB4",'xabang (2016)'!$A$3,"MA_HT","NKH","MA_QH","DNG")</f>
        <v>0</v>
      </c>
      <c r="AV18" s="35">
        <f>+GETPIVOTDATA("XXB4",'xabang (2016)'!$A$3,"MA_HT","NKH","MA_QH","TON")</f>
        <v>0</v>
      </c>
      <c r="AW18" s="35">
        <f>+GETPIVOTDATA("XXB4",'xabang (2016)'!$A$3,"MA_HT","NKH","MA_QH","NTD")</f>
        <v>0</v>
      </c>
      <c r="AX18" s="35">
        <f>+GETPIVOTDATA("XXB4",'xabang (2016)'!$A$3,"MA_HT","NKH","MA_QH","SKX")</f>
        <v>0</v>
      </c>
      <c r="AY18" s="35">
        <f>+GETPIVOTDATA("XXB4",'xabang (2016)'!$A$3,"MA_HT","NKH","MA_QH","DSH")</f>
        <v>0</v>
      </c>
      <c r="AZ18" s="35">
        <f>+GETPIVOTDATA("XXB4",'xabang (2016)'!$A$3,"MA_HT","NKH","MA_QH","DKV")</f>
        <v>0</v>
      </c>
      <c r="BA18" s="140">
        <f>+GETPIVOTDATA("XXB4",'xabang (2016)'!$A$3,"MA_HT","NKH","MA_QH","TIN")</f>
        <v>0</v>
      </c>
      <c r="BB18" s="74">
        <f>+GETPIVOTDATA("XXB4",'xabang (2016)'!$A$3,"MA_HT","NKH","MA_QH","SON")</f>
        <v>0</v>
      </c>
      <c r="BC18" s="74">
        <f>+GETPIVOTDATA("XXB4",'xabang (2016)'!$A$3,"MA_HT","NKH","MA_QH","MNC")</f>
        <v>0</v>
      </c>
      <c r="BD18" s="35">
        <f>+GETPIVOTDATA("XXB4",'xabang (2016)'!$A$3,"MA_HT","NKH","MA_QH","PNK")</f>
        <v>0</v>
      </c>
      <c r="BE18" s="58">
        <f>+GETPIVOTDATA("XXB4",'xabang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+GETPIVOTDATA("XXB4",'xabang (2016)'!$A$3,"MA_HT","CQP","MA_QH","LUC")</f>
        <v>0</v>
      </c>
      <c r="H20" s="35">
        <f>+GETPIVOTDATA("XXB4",'xabang (2016)'!$A$3,"MA_HT","CQP","MA_QH","LUK")</f>
        <v>0</v>
      </c>
      <c r="I20" s="35">
        <f>+GETPIVOTDATA("XXB4",'xabang (2016)'!$A$3,"MA_HT","CQP","MA_QH","LUN")</f>
        <v>0</v>
      </c>
      <c r="J20" s="35">
        <f>+GETPIVOTDATA("XXB4",'xabang (2016)'!$A$3,"MA_HT","CQP","MA_QH","HNK")</f>
        <v>0</v>
      </c>
      <c r="K20" s="35">
        <f>+GETPIVOTDATA("XXB4",'xabang (2016)'!$A$3,"MA_HT","CQP","MA_QH","CLN")</f>
        <v>0</v>
      </c>
      <c r="L20" s="35">
        <f>+GETPIVOTDATA("XXB4",'xabang (2016)'!$A$3,"MA_HT","CQP","MA_QH","RSX")</f>
        <v>0</v>
      </c>
      <c r="M20" s="35">
        <f>+GETPIVOTDATA("XXB4",'xabang (2016)'!$A$3,"MA_HT","CQP","MA_QH","RPH")</f>
        <v>0</v>
      </c>
      <c r="N20" s="35">
        <f>+GETPIVOTDATA("XXB4",'xabang (2016)'!$A$3,"MA_HT","CQP","MA_QH","RDD")</f>
        <v>0</v>
      </c>
      <c r="O20" s="35">
        <f>+GETPIVOTDATA("XXB4",'xabang (2016)'!$A$3,"MA_HT","CQP","MA_QH","NTS")</f>
        <v>0</v>
      </c>
      <c r="P20" s="35">
        <f>+GETPIVOTDATA("XXB4",'xabang (2016)'!$A$3,"MA_HT","CQP","MA_QH","LMU")</f>
        <v>0</v>
      </c>
      <c r="Q20" s="35">
        <f>+GETPIVOTDATA("XXB4",'xabang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+GETPIVOTDATA("XXB4",'xabang (2016)'!$A$3,"MA_HT","CQP","MA_QH","CAN")</f>
        <v>0</v>
      </c>
      <c r="U20" s="35">
        <f>+GETPIVOTDATA("XXB4",'xabang (2016)'!$A$3,"MA_HT","CQP","MA_QH","SKK")</f>
        <v>0</v>
      </c>
      <c r="V20" s="35">
        <f>+GETPIVOTDATA("XXB4",'xabang (2016)'!$A$3,"MA_HT","CQP","MA_QH","SKT")</f>
        <v>0</v>
      </c>
      <c r="W20" s="35">
        <f>+GETPIVOTDATA("XXB4",'xabang (2016)'!$A$3,"MA_HT","CQP","MA_QH","SKN")</f>
        <v>0</v>
      </c>
      <c r="X20" s="35">
        <f>+GETPIVOTDATA("XXB4",'xabang (2016)'!$A$3,"MA_HT","CQP","MA_QH","TMD")</f>
        <v>0</v>
      </c>
      <c r="Y20" s="35">
        <f>+GETPIVOTDATA("XXB4",'xabang (2016)'!$A$3,"MA_HT","CQP","MA_QH","SKC")</f>
        <v>0</v>
      </c>
      <c r="Z20" s="35">
        <f>+GETPIVOTDATA("XXB4",'xabang (2016)'!$A$3,"MA_HT","CQP","MA_QH","SKS")</f>
        <v>0</v>
      </c>
      <c r="AA20" s="64">
        <f t="shared" ref="AA20:AA27" si="12">+SUM(AB20:AM20)</f>
        <v>0</v>
      </c>
      <c r="AB20" s="35">
        <f>+GETPIVOTDATA("XXB4",'xabang (2016)'!$A$3,"MA_HT","CQP","MA_QH","DGT")</f>
        <v>0</v>
      </c>
      <c r="AC20" s="35">
        <f>+GETPIVOTDATA("XXB4",'xabang (2016)'!$A$3,"MA_HT","CQP","MA_QH","DTL")</f>
        <v>0</v>
      </c>
      <c r="AD20" s="35">
        <f>+GETPIVOTDATA("XXB4",'xabang (2016)'!$A$3,"MA_HT","CQP","MA_QH","DNL")</f>
        <v>0</v>
      </c>
      <c r="AE20" s="35">
        <f>+GETPIVOTDATA("XXB4",'xabang (2016)'!$A$3,"MA_HT","CQP","MA_QH","DBV")</f>
        <v>0</v>
      </c>
      <c r="AF20" s="35">
        <f>+GETPIVOTDATA("XXB4",'xabang (2016)'!$A$3,"MA_HT","CQP","MA_QH","DVH")</f>
        <v>0</v>
      </c>
      <c r="AG20" s="35">
        <f>+GETPIVOTDATA("XXB4",'xabang (2016)'!$A$3,"MA_HT","CQP","MA_QH","DYT")</f>
        <v>0</v>
      </c>
      <c r="AH20" s="35">
        <f>+GETPIVOTDATA("XXB4",'xabang (2016)'!$A$3,"MA_HT","CQP","MA_QH","DGD")</f>
        <v>0</v>
      </c>
      <c r="AI20" s="35">
        <f>+GETPIVOTDATA("XXB4",'xabang (2016)'!$A$3,"MA_HT","CQP","MA_QH","DTT")</f>
        <v>0</v>
      </c>
      <c r="AJ20" s="35">
        <f>+GETPIVOTDATA("XXB4",'xabang (2016)'!$A$3,"MA_HT","CQP","MA_QH","NCK")</f>
        <v>0</v>
      </c>
      <c r="AK20" s="35">
        <f>+GETPIVOTDATA("XXB4",'xabang (2016)'!$A$3,"MA_HT","CQP","MA_QH","DXH")</f>
        <v>0</v>
      </c>
      <c r="AL20" s="35">
        <f>+GETPIVOTDATA("XXB4",'xabang (2016)'!$A$3,"MA_HT","CQP","MA_QH","DCH")</f>
        <v>0</v>
      </c>
      <c r="AM20" s="35">
        <f>+GETPIVOTDATA("XXB4",'xabang (2016)'!$A$3,"MA_HT","CQP","MA_QH","DKG")</f>
        <v>0</v>
      </c>
      <c r="AN20" s="35">
        <f>+GETPIVOTDATA("XXB4",'xabang (2016)'!$A$3,"MA_HT","CQP","MA_QH","DDT")</f>
        <v>0</v>
      </c>
      <c r="AO20" s="35">
        <f>+GETPIVOTDATA("XXB4",'xabang (2016)'!$A$3,"MA_HT","CQP","MA_QH","DDL")</f>
        <v>0</v>
      </c>
      <c r="AP20" s="35">
        <f>+GETPIVOTDATA("XXB4",'xabang (2016)'!$A$3,"MA_HT","CQP","MA_QH","DRA")</f>
        <v>0</v>
      </c>
      <c r="AQ20" s="35">
        <f>+GETPIVOTDATA("XXB4",'xabang (2016)'!$A$3,"MA_HT","CQP","MA_QH","ONT")</f>
        <v>0</v>
      </c>
      <c r="AR20" s="35">
        <f>+GETPIVOTDATA("XXB4",'xabang (2016)'!$A$3,"MA_HT","CQP","MA_QH","ODT")</f>
        <v>0</v>
      </c>
      <c r="AS20" s="35">
        <f>+GETPIVOTDATA("XXB4",'xabang (2016)'!$A$3,"MA_HT","CQP","MA_QH","TSC")</f>
        <v>0</v>
      </c>
      <c r="AT20" s="35">
        <f>+GETPIVOTDATA("XXB4",'xabang (2016)'!$A$3,"MA_HT","CQP","MA_QH","DTS")</f>
        <v>0</v>
      </c>
      <c r="AU20" s="35">
        <f>+GETPIVOTDATA("XXB4",'xabang (2016)'!$A$3,"MA_HT","CQP","MA_QH","DNG")</f>
        <v>0</v>
      </c>
      <c r="AV20" s="35">
        <f>+GETPIVOTDATA("XXB4",'xabang (2016)'!$A$3,"MA_HT","CQP","MA_QH","TON")</f>
        <v>0</v>
      </c>
      <c r="AW20" s="35">
        <f>+GETPIVOTDATA("XXB4",'xabang (2016)'!$A$3,"MA_HT","CQP","MA_QH","NTD")</f>
        <v>0</v>
      </c>
      <c r="AX20" s="35">
        <f>+GETPIVOTDATA("XXB4",'xabang (2016)'!$A$3,"MA_HT","CQP","MA_QH","SKX")</f>
        <v>0</v>
      </c>
      <c r="AY20" s="35">
        <f>+GETPIVOTDATA("XXB4",'xabang (2016)'!$A$3,"MA_HT","CQP","MA_QH","DSH")</f>
        <v>0</v>
      </c>
      <c r="AZ20" s="35">
        <f>+GETPIVOTDATA("XXB4",'xabang (2016)'!$A$3,"MA_HT","CQP","MA_QH","DKV")</f>
        <v>0</v>
      </c>
      <c r="BA20" s="140">
        <f>+GETPIVOTDATA("XXB4",'xabang (2016)'!$A$3,"MA_HT","CQP","MA_QH","TIN")</f>
        <v>0</v>
      </c>
      <c r="BB20" s="74">
        <f>+GETPIVOTDATA("XXB4",'xabang (2016)'!$A$3,"MA_HT","CQP","MA_QH","SON")</f>
        <v>0</v>
      </c>
      <c r="BC20" s="74">
        <f>+GETPIVOTDATA("XXB4",'xabang (2016)'!$A$3,"MA_HT","CQP","MA_QH","MNC")</f>
        <v>0</v>
      </c>
      <c r="BD20" s="35">
        <f>+GETPIVOTDATA("XXB4",'xabang (2016)'!$A$3,"MA_HT","CQP","MA_QH","PNK")</f>
        <v>0</v>
      </c>
      <c r="BE20" s="58">
        <f>+GETPIVOTDATA("XXB4",'xabang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+GETPIVOTDATA("XXB4",'xabang (2016)'!$A$3,"MA_HT","CAN","MA_QH","LUC")</f>
        <v>0</v>
      </c>
      <c r="H21" s="35">
        <f>+GETPIVOTDATA("XXB4",'xabang (2016)'!$A$3,"MA_HT","CAN","MA_QH","LUK")</f>
        <v>0</v>
      </c>
      <c r="I21" s="35">
        <f>+GETPIVOTDATA("XXB4",'xabang (2016)'!$A$3,"MA_HT","CAN","MA_QH","LUN")</f>
        <v>0</v>
      </c>
      <c r="J21" s="35">
        <f>+GETPIVOTDATA("XXB4",'xabang (2016)'!$A$3,"MA_HT","CAN","MA_QH","HNK")</f>
        <v>0</v>
      </c>
      <c r="K21" s="35">
        <f>+GETPIVOTDATA("XXB4",'xabang (2016)'!$A$3,"MA_HT","CAN","MA_QH","CLN")</f>
        <v>0</v>
      </c>
      <c r="L21" s="35">
        <f>+GETPIVOTDATA("XXB4",'xabang (2016)'!$A$3,"MA_HT","CAN","MA_QH","RSX")</f>
        <v>0</v>
      </c>
      <c r="M21" s="35">
        <f>+GETPIVOTDATA("XXB4",'xabang (2016)'!$A$3,"MA_HT","CAN","MA_QH","RPH")</f>
        <v>0</v>
      </c>
      <c r="N21" s="35">
        <f>+GETPIVOTDATA("XXB4",'xabang (2016)'!$A$3,"MA_HT","CAN","MA_QH","RDD")</f>
        <v>0</v>
      </c>
      <c r="O21" s="35">
        <f>+GETPIVOTDATA("XXB4",'xabang (2016)'!$A$3,"MA_HT","CAN","MA_QH","NTS")</f>
        <v>0</v>
      </c>
      <c r="P21" s="35">
        <f>+GETPIVOTDATA("XXB4",'xabang (2016)'!$A$3,"MA_HT","CAN","MA_QH","LMU")</f>
        <v>0</v>
      </c>
      <c r="Q21" s="35">
        <f>+GETPIVOTDATA("XXB4",'xabang (2016)'!$A$3,"MA_HT","CAN","MA_QH","NKH")</f>
        <v>0</v>
      </c>
      <c r="R21" s="63">
        <f>SUM(S21,U21:AA21,AN21:BD21)</f>
        <v>0</v>
      </c>
      <c r="S21" s="35">
        <f>+GETPIVOTDATA("XXB4",'xabang (2016)'!$A$3,"MA_HT","CAN","MA_QH","CQP")</f>
        <v>0</v>
      </c>
      <c r="T21" s="99" t="e">
        <f>$D21-$BF21</f>
        <v>#REF!</v>
      </c>
      <c r="U21" s="35">
        <f>+GETPIVOTDATA("XXB4",'xabang (2016)'!$A$3,"MA_HT","CAN","MA_QH","SKK")</f>
        <v>0</v>
      </c>
      <c r="V21" s="35">
        <f>+GETPIVOTDATA("XXB4",'xabang (2016)'!$A$3,"MA_HT","CAN","MA_QH","SKT")</f>
        <v>0</v>
      </c>
      <c r="W21" s="35">
        <f>+GETPIVOTDATA("XXB4",'xabang (2016)'!$A$3,"MA_HT","CAN","MA_QH","SKN")</f>
        <v>0</v>
      </c>
      <c r="X21" s="35">
        <f>+GETPIVOTDATA("XXB4",'xabang (2016)'!$A$3,"MA_HT","CAN","MA_QH","TMD")</f>
        <v>0</v>
      </c>
      <c r="Y21" s="35">
        <f>+GETPIVOTDATA("XXB4",'xabang (2016)'!$A$3,"MA_HT","CAN","MA_QH","SKC")</f>
        <v>0</v>
      </c>
      <c r="Z21" s="35">
        <f>+GETPIVOTDATA("XXB4",'xabang (2016)'!$A$3,"MA_HT","CAN","MA_QH","SKS")</f>
        <v>0</v>
      </c>
      <c r="AA21" s="64">
        <f t="shared" si="12"/>
        <v>0</v>
      </c>
      <c r="AB21" s="35">
        <f>+GETPIVOTDATA("XXB4",'xabang (2016)'!$A$3,"MA_HT","CAN","MA_QH","DGT")</f>
        <v>0</v>
      </c>
      <c r="AC21" s="35">
        <f>+GETPIVOTDATA("XXB4",'xabang (2016)'!$A$3,"MA_HT","CAN","MA_QH","DTL")</f>
        <v>0</v>
      </c>
      <c r="AD21" s="35">
        <f>+GETPIVOTDATA("XXB4",'xabang (2016)'!$A$3,"MA_HT","CAN","MA_QH","DNL")</f>
        <v>0</v>
      </c>
      <c r="AE21" s="35">
        <f>+GETPIVOTDATA("XXB4",'xabang (2016)'!$A$3,"MA_HT","CAN","MA_QH","DBV")</f>
        <v>0</v>
      </c>
      <c r="AF21" s="35">
        <f>+GETPIVOTDATA("XXB4",'xabang (2016)'!$A$3,"MA_HT","CAN","MA_QH","DVH")</f>
        <v>0</v>
      </c>
      <c r="AG21" s="35">
        <f>+GETPIVOTDATA("XXB4",'xabang (2016)'!$A$3,"MA_HT","CAN","MA_QH","DYT")</f>
        <v>0</v>
      </c>
      <c r="AH21" s="35">
        <f>+GETPIVOTDATA("XXB4",'xabang (2016)'!$A$3,"MA_HT","CAN","MA_QH","DGD")</f>
        <v>0</v>
      </c>
      <c r="AI21" s="35">
        <f>+GETPIVOTDATA("XXB4",'xabang (2016)'!$A$3,"MA_HT","CAN","MA_QH","DTT")</f>
        <v>0</v>
      </c>
      <c r="AJ21" s="35">
        <f>+GETPIVOTDATA("XXB4",'xabang (2016)'!$A$3,"MA_HT","CAN","MA_QH","NCK")</f>
        <v>0</v>
      </c>
      <c r="AK21" s="35">
        <f>+GETPIVOTDATA("XXB4",'xabang (2016)'!$A$3,"MA_HT","CAN","MA_QH","DXH")</f>
        <v>0</v>
      </c>
      <c r="AL21" s="35">
        <f>+GETPIVOTDATA("XXB4",'xabang (2016)'!$A$3,"MA_HT","CAN","MA_QH","DCH")</f>
        <v>0</v>
      </c>
      <c r="AM21" s="35">
        <f>+GETPIVOTDATA("XXB4",'xabang (2016)'!$A$3,"MA_HT","CAN","MA_QH","DKG")</f>
        <v>0</v>
      </c>
      <c r="AN21" s="35">
        <f>+GETPIVOTDATA("XXB4",'xabang (2016)'!$A$3,"MA_HT","CAN","MA_QH","DDT")</f>
        <v>0</v>
      </c>
      <c r="AO21" s="35">
        <f>+GETPIVOTDATA("XXB4",'xabang (2016)'!$A$3,"MA_HT","CAN","MA_QH","DDL")</f>
        <v>0</v>
      </c>
      <c r="AP21" s="35">
        <f>+GETPIVOTDATA("XXB4",'xabang (2016)'!$A$3,"MA_HT","CAN","MA_QH","DRA")</f>
        <v>0</v>
      </c>
      <c r="AQ21" s="35">
        <f>+GETPIVOTDATA("XXB4",'xabang (2016)'!$A$3,"MA_HT","CAN","MA_QH","ONT")</f>
        <v>0</v>
      </c>
      <c r="AR21" s="35">
        <f>+GETPIVOTDATA("XXB4",'xabang (2016)'!$A$3,"MA_HT","CAN","MA_QH","ODT")</f>
        <v>0</v>
      </c>
      <c r="AS21" s="35">
        <f>+GETPIVOTDATA("XXB4",'xabang (2016)'!$A$3,"MA_HT","CAN","MA_QH","TSC")</f>
        <v>0</v>
      </c>
      <c r="AT21" s="35">
        <f>+GETPIVOTDATA("XXB4",'xabang (2016)'!$A$3,"MA_HT","CAN","MA_QH","DTS")</f>
        <v>0</v>
      </c>
      <c r="AU21" s="35">
        <f>+GETPIVOTDATA("XXB4",'xabang (2016)'!$A$3,"MA_HT","CAN","MA_QH","DNG")</f>
        <v>0</v>
      </c>
      <c r="AV21" s="35">
        <f>+GETPIVOTDATA("XXB4",'xabang (2016)'!$A$3,"MA_HT","CAN","MA_QH","TON")</f>
        <v>0</v>
      </c>
      <c r="AW21" s="35">
        <f>+GETPIVOTDATA("XXB4",'xabang (2016)'!$A$3,"MA_HT","CAN","MA_QH","NTD")</f>
        <v>0</v>
      </c>
      <c r="AX21" s="35">
        <f>+GETPIVOTDATA("XXB4",'xabang (2016)'!$A$3,"MA_HT","CAN","MA_QH","SKX")</f>
        <v>0</v>
      </c>
      <c r="AY21" s="35">
        <f>+GETPIVOTDATA("XXB4",'xabang (2016)'!$A$3,"MA_HT","CAN","MA_QH","DSH")</f>
        <v>0</v>
      </c>
      <c r="AZ21" s="35">
        <f>+GETPIVOTDATA("XXB4",'xabang (2016)'!$A$3,"MA_HT","CAN","MA_QH","DKV")</f>
        <v>0</v>
      </c>
      <c r="BA21" s="140">
        <f>+GETPIVOTDATA("XXB4",'xabang (2016)'!$A$3,"MA_HT","CAN","MA_QH","TIN")</f>
        <v>0</v>
      </c>
      <c r="BB21" s="74">
        <f>+GETPIVOTDATA("XXB4",'xabang (2016)'!$A$3,"MA_HT","CAN","MA_QH","SON")</f>
        <v>0</v>
      </c>
      <c r="BC21" s="74">
        <f>+GETPIVOTDATA("XXB4",'xabang (2016)'!$A$3,"MA_HT","CAN","MA_QH","MNC")</f>
        <v>0</v>
      </c>
      <c r="BD21" s="35">
        <f>+GETPIVOTDATA("XXB4",'xabang (2016)'!$A$3,"MA_HT","CAN","MA_QH","PNK")</f>
        <v>0</v>
      </c>
      <c r="BE21" s="58">
        <f>+GETPIVOTDATA("XXB4",'xabang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+GETPIVOTDATA("XXB4",'xabang (2016)'!$A$3,"MA_HT","SKK","MA_QH","LUC")</f>
        <v>0</v>
      </c>
      <c r="H22" s="35">
        <f>+GETPIVOTDATA("XXB4",'xabang (2016)'!$A$3,"MA_HT","SKK","MA_QH","LUK")</f>
        <v>0</v>
      </c>
      <c r="I22" s="35">
        <f>+GETPIVOTDATA("XXB4",'xabang (2016)'!$A$3,"MA_HT","SKK","MA_QH","LUN")</f>
        <v>0</v>
      </c>
      <c r="J22" s="35">
        <f>+GETPIVOTDATA("XXB4",'xabang (2016)'!$A$3,"MA_HT","SKK","MA_QH","HNK")</f>
        <v>0</v>
      </c>
      <c r="K22" s="35">
        <f>+GETPIVOTDATA("XXB4",'xabang (2016)'!$A$3,"MA_HT","SKK","MA_QH","CLN")</f>
        <v>0</v>
      </c>
      <c r="L22" s="35">
        <f>+GETPIVOTDATA("XXB4",'xabang (2016)'!$A$3,"MA_HT","SKK","MA_QH","RSX")</f>
        <v>0</v>
      </c>
      <c r="M22" s="35">
        <f>+GETPIVOTDATA("XXB4",'xabang (2016)'!$A$3,"MA_HT","SKK","MA_QH","RPH")</f>
        <v>0</v>
      </c>
      <c r="N22" s="35">
        <f>+GETPIVOTDATA("XXB4",'xabang (2016)'!$A$3,"MA_HT","SKK","MA_QH","RDD")</f>
        <v>0</v>
      </c>
      <c r="O22" s="35">
        <f>+GETPIVOTDATA("XXB4",'xabang (2016)'!$A$3,"MA_HT","SKK","MA_QH","NTS")</f>
        <v>0</v>
      </c>
      <c r="P22" s="35">
        <f>+GETPIVOTDATA("XXB4",'xabang (2016)'!$A$3,"MA_HT","SKK","MA_QH","LMU")</f>
        <v>0</v>
      </c>
      <c r="Q22" s="35">
        <f>+GETPIVOTDATA("XXB4",'xabang (2016)'!$A$3,"MA_HT","SKK","MA_QH","NKH")</f>
        <v>0</v>
      </c>
      <c r="R22" s="63">
        <f>SUM(S22:T22,V22:AA22,AN22:BD22)</f>
        <v>0</v>
      </c>
      <c r="S22" s="35">
        <f>+GETPIVOTDATA("XXB4",'xabang (2016)'!$A$3,"MA_HT","SKK","MA_QH","CQP")</f>
        <v>0</v>
      </c>
      <c r="T22" s="35">
        <f>+GETPIVOTDATA("XXB4",'xabang (2016)'!$A$3,"MA_HT","SKK","MA_QH","CAN")</f>
        <v>0</v>
      </c>
      <c r="U22" s="99" t="e">
        <f>$D22-$BF22</f>
        <v>#REF!</v>
      </c>
      <c r="V22" s="35">
        <f>+GETPIVOTDATA("XXB4",'xabang (2016)'!$A$3,"MA_HT","SKK","MA_QH","SKT")</f>
        <v>0</v>
      </c>
      <c r="W22" s="35">
        <f>+GETPIVOTDATA("XXB4",'xabang (2016)'!$A$3,"MA_HT","SKK","MA_QH","SKN")</f>
        <v>0</v>
      </c>
      <c r="X22" s="35">
        <f>+GETPIVOTDATA("XXB4",'xabang (2016)'!$A$3,"MA_HT","SKK","MA_QH","TMD")</f>
        <v>0</v>
      </c>
      <c r="Y22" s="35">
        <f>+GETPIVOTDATA("XXB4",'xabang (2016)'!$A$3,"MA_HT","SKK","MA_QH","SKC")</f>
        <v>0</v>
      </c>
      <c r="Z22" s="35">
        <f>+GETPIVOTDATA("XXB4",'xabang (2016)'!$A$3,"MA_HT","SKK","MA_QH","SKS")</f>
        <v>0</v>
      </c>
      <c r="AA22" s="64">
        <f t="shared" si="12"/>
        <v>0</v>
      </c>
      <c r="AB22" s="35">
        <f>+GETPIVOTDATA("XXB4",'xabang (2016)'!$A$3,"MA_HT","SKK","MA_QH","DGT")</f>
        <v>0</v>
      </c>
      <c r="AC22" s="35">
        <f>+GETPIVOTDATA("XXB4",'xabang (2016)'!$A$3,"MA_HT","SKK","MA_QH","DTL")</f>
        <v>0</v>
      </c>
      <c r="AD22" s="35">
        <f>+GETPIVOTDATA("XXB4",'xabang (2016)'!$A$3,"MA_HT","SKK","MA_QH","DNL")</f>
        <v>0</v>
      </c>
      <c r="AE22" s="35">
        <f>+GETPIVOTDATA("XXB4",'xabang (2016)'!$A$3,"MA_HT","SKK","MA_QH","DBV")</f>
        <v>0</v>
      </c>
      <c r="AF22" s="35">
        <f>+GETPIVOTDATA("XXB4",'xabang (2016)'!$A$3,"MA_HT","SKK","MA_QH","DVH")</f>
        <v>0</v>
      </c>
      <c r="AG22" s="35">
        <f>+GETPIVOTDATA("XXB4",'xabang (2016)'!$A$3,"MA_HT","SKK","MA_QH","DYT")</f>
        <v>0</v>
      </c>
      <c r="AH22" s="35">
        <f>+GETPIVOTDATA("XXB4",'xabang (2016)'!$A$3,"MA_HT","SKK","MA_QH","DGD")</f>
        <v>0</v>
      </c>
      <c r="AI22" s="35">
        <f>+GETPIVOTDATA("XXB4",'xabang (2016)'!$A$3,"MA_HT","SKK","MA_QH","DTT")</f>
        <v>0</v>
      </c>
      <c r="AJ22" s="35">
        <f>+GETPIVOTDATA("XXB4",'xabang (2016)'!$A$3,"MA_HT","SKK","MA_QH","NCK")</f>
        <v>0</v>
      </c>
      <c r="AK22" s="35">
        <f>+GETPIVOTDATA("XXB4",'xabang (2016)'!$A$3,"MA_HT","SKK","MA_QH","DXH")</f>
        <v>0</v>
      </c>
      <c r="AL22" s="35">
        <f>+GETPIVOTDATA("XXB4",'xabang (2016)'!$A$3,"MA_HT","SKK","MA_QH","DCH")</f>
        <v>0</v>
      </c>
      <c r="AM22" s="35">
        <f>+GETPIVOTDATA("XXB4",'xabang (2016)'!$A$3,"MA_HT","SKK","MA_QH","DKG")</f>
        <v>0</v>
      </c>
      <c r="AN22" s="35">
        <f>+GETPIVOTDATA("XXB4",'xabang (2016)'!$A$3,"MA_HT","SKK","MA_QH","DDT")</f>
        <v>0</v>
      </c>
      <c r="AO22" s="35">
        <f>+GETPIVOTDATA("XXB4",'xabang (2016)'!$A$3,"MA_HT","SKK","MA_QH","DDL")</f>
        <v>0</v>
      </c>
      <c r="AP22" s="35">
        <f>+GETPIVOTDATA("XXB4",'xabang (2016)'!$A$3,"MA_HT","SKK","MA_QH","DRA")</f>
        <v>0</v>
      </c>
      <c r="AQ22" s="35">
        <f>+GETPIVOTDATA("XXB4",'xabang (2016)'!$A$3,"MA_HT","SKK","MA_QH","ONT")</f>
        <v>0</v>
      </c>
      <c r="AR22" s="35">
        <f>+GETPIVOTDATA("XXB4",'xabang (2016)'!$A$3,"MA_HT","SKK","MA_QH","ODT")</f>
        <v>0</v>
      </c>
      <c r="AS22" s="35">
        <f>+GETPIVOTDATA("XXB4",'xabang (2016)'!$A$3,"MA_HT","SKK","MA_QH","TSC")</f>
        <v>0</v>
      </c>
      <c r="AT22" s="35">
        <f>+GETPIVOTDATA("XXB4",'xabang (2016)'!$A$3,"MA_HT","SKK","MA_QH","DTS")</f>
        <v>0</v>
      </c>
      <c r="AU22" s="35">
        <f>+GETPIVOTDATA("XXB4",'xabang (2016)'!$A$3,"MA_HT","SKK","MA_QH","DNG")</f>
        <v>0</v>
      </c>
      <c r="AV22" s="35">
        <f>+GETPIVOTDATA("XXB4",'xabang (2016)'!$A$3,"MA_HT","SKK","MA_QH","TON")</f>
        <v>0</v>
      </c>
      <c r="AW22" s="35">
        <f>+GETPIVOTDATA("XXB4",'xabang (2016)'!$A$3,"MA_HT","SKK","MA_QH","NTD")</f>
        <v>0</v>
      </c>
      <c r="AX22" s="35">
        <f>+GETPIVOTDATA("XXB4",'xabang (2016)'!$A$3,"MA_HT","SKK","MA_QH","SKX")</f>
        <v>0</v>
      </c>
      <c r="AY22" s="35">
        <f>+GETPIVOTDATA("XXB4",'xabang (2016)'!$A$3,"MA_HT","SKK","MA_QH","DSH")</f>
        <v>0</v>
      </c>
      <c r="AZ22" s="35">
        <f>+GETPIVOTDATA("XXB4",'xabang (2016)'!$A$3,"MA_HT","SKK","MA_QH","DKV")</f>
        <v>0</v>
      </c>
      <c r="BA22" s="140">
        <f>+GETPIVOTDATA("XXB4",'xabang (2016)'!$A$3,"MA_HT","SKK","MA_QH","TIN")</f>
        <v>0</v>
      </c>
      <c r="BB22" s="74">
        <f>+GETPIVOTDATA("XXB4",'xabang (2016)'!$A$3,"MA_HT","SKK","MA_QH","SON")</f>
        <v>0</v>
      </c>
      <c r="BC22" s="74">
        <f>+GETPIVOTDATA("XXB4",'xabang (2016)'!$A$3,"MA_HT","SKK","MA_QH","MNC")</f>
        <v>0</v>
      </c>
      <c r="BD22" s="35">
        <f>+GETPIVOTDATA("XXB4",'xabang (2016)'!$A$3,"MA_HT","SKK","MA_QH","PNK")</f>
        <v>0</v>
      </c>
      <c r="BE22" s="58">
        <f>+GETPIVOTDATA("XXB4",'xabang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+GETPIVOTDATA("XXB4",'xabang (2016)'!$A$3,"MA_HT","SKT","MA_QH","LUC")</f>
        <v>0</v>
      </c>
      <c r="H23" s="35">
        <f>+GETPIVOTDATA("XXB4",'xabang (2016)'!$A$3,"MA_HT","SKT","MA_QH","LUK")</f>
        <v>0</v>
      </c>
      <c r="I23" s="35">
        <f>+GETPIVOTDATA("XXB4",'xabang (2016)'!$A$3,"MA_HT","SKT","MA_QH","LUN")</f>
        <v>0</v>
      </c>
      <c r="J23" s="35">
        <f>+GETPIVOTDATA("XXB4",'xabang (2016)'!$A$3,"MA_HT","SKT","MA_QH","HNK")</f>
        <v>0</v>
      </c>
      <c r="K23" s="35">
        <f>+GETPIVOTDATA("XXB4",'xabang (2016)'!$A$3,"MA_HT","SKT","MA_QH","CLN")</f>
        <v>0</v>
      </c>
      <c r="L23" s="35">
        <f>+GETPIVOTDATA("XXB4",'xabang (2016)'!$A$3,"MA_HT","SKT","MA_QH","RSX")</f>
        <v>0</v>
      </c>
      <c r="M23" s="35">
        <f>+GETPIVOTDATA("XXB4",'xabang (2016)'!$A$3,"MA_HT","SKT","MA_QH","RPH")</f>
        <v>0</v>
      </c>
      <c r="N23" s="35">
        <f>+GETPIVOTDATA("XXB4",'xabang (2016)'!$A$3,"MA_HT","SKT","MA_QH","RDD")</f>
        <v>0</v>
      </c>
      <c r="O23" s="35">
        <f>+GETPIVOTDATA("XXB4",'xabang (2016)'!$A$3,"MA_HT","SKT","MA_QH","NTS")</f>
        <v>0</v>
      </c>
      <c r="P23" s="35">
        <f>+GETPIVOTDATA("XXB4",'xabang (2016)'!$A$3,"MA_HT","SKT","MA_QH","LMU")</f>
        <v>0</v>
      </c>
      <c r="Q23" s="35">
        <f>+GETPIVOTDATA("XXB4",'xabang (2016)'!$A$3,"MA_HT","SKT","MA_QH","NKH")</f>
        <v>0</v>
      </c>
      <c r="R23" s="63">
        <f>SUM(S23:U23,W23:AA23,AN23:BD23)</f>
        <v>0</v>
      </c>
      <c r="S23" s="35">
        <f>+GETPIVOTDATA("XXB4",'xabang (2016)'!$A$3,"MA_HT","SKT","MA_QH","CQP")</f>
        <v>0</v>
      </c>
      <c r="T23" s="35">
        <f>+GETPIVOTDATA("XXB4",'xabang (2016)'!$A$3,"MA_HT","SKT","MA_QH","CAN")</f>
        <v>0</v>
      </c>
      <c r="U23" s="35">
        <f>+GETPIVOTDATA("XXB4",'xabang (2016)'!$A$3,"MA_HT","SKT","MA_QH","SKK")</f>
        <v>0</v>
      </c>
      <c r="V23" s="99" t="e">
        <f>$D23-$BF23</f>
        <v>#REF!</v>
      </c>
      <c r="W23" s="35">
        <f>+GETPIVOTDATA("XXB4",'xabang (2016)'!$A$3,"MA_HT","SKT","MA_QH","SKN")</f>
        <v>0</v>
      </c>
      <c r="X23" s="35">
        <f>+GETPIVOTDATA("XXB4",'xabang (2016)'!$A$3,"MA_HT","SKT","MA_QH","TMD")</f>
        <v>0</v>
      </c>
      <c r="Y23" s="35">
        <f>+GETPIVOTDATA("XXB4",'xabang (2016)'!$A$3,"MA_HT","SKT","MA_QH","SKC")</f>
        <v>0</v>
      </c>
      <c r="Z23" s="35">
        <f>+GETPIVOTDATA("XXB4",'xabang (2016)'!$A$3,"MA_HT","SKT","MA_QH","SKS")</f>
        <v>0</v>
      </c>
      <c r="AA23" s="64">
        <f t="shared" si="12"/>
        <v>0</v>
      </c>
      <c r="AB23" s="35">
        <f>+GETPIVOTDATA("XXB4",'xabang (2016)'!$A$3,"MA_HT","SKT","MA_QH","DGT")</f>
        <v>0</v>
      </c>
      <c r="AC23" s="35">
        <f>+GETPIVOTDATA("XXB4",'xabang (2016)'!$A$3,"MA_HT","SKT","MA_QH","DTL")</f>
        <v>0</v>
      </c>
      <c r="AD23" s="35">
        <f>+GETPIVOTDATA("XXB4",'xabang (2016)'!$A$3,"MA_HT","SKT","MA_QH","DNL")</f>
        <v>0</v>
      </c>
      <c r="AE23" s="35">
        <f>+GETPIVOTDATA("XXB4",'xabang (2016)'!$A$3,"MA_HT","SKT","MA_QH","DBV")</f>
        <v>0</v>
      </c>
      <c r="AF23" s="35">
        <f>+GETPIVOTDATA("XXB4",'xabang (2016)'!$A$3,"MA_HT","SKT","MA_QH","DVH")</f>
        <v>0</v>
      </c>
      <c r="AG23" s="35">
        <f>+GETPIVOTDATA("XXB4",'xabang (2016)'!$A$3,"MA_HT","SKT","MA_QH","DYT")</f>
        <v>0</v>
      </c>
      <c r="AH23" s="35">
        <f>+GETPIVOTDATA("XXB4",'xabang (2016)'!$A$3,"MA_HT","SKT","MA_QH","DGD")</f>
        <v>0</v>
      </c>
      <c r="AI23" s="35">
        <f>+GETPIVOTDATA("XXB4",'xabang (2016)'!$A$3,"MA_HT","SKT","MA_QH","DTT")</f>
        <v>0</v>
      </c>
      <c r="AJ23" s="35">
        <f>+GETPIVOTDATA("XXB4",'xabang (2016)'!$A$3,"MA_HT","SKT","MA_QH","NCK")</f>
        <v>0</v>
      </c>
      <c r="AK23" s="35">
        <f>+GETPIVOTDATA("XXB4",'xabang (2016)'!$A$3,"MA_HT","SKT","MA_QH","DXH")</f>
        <v>0</v>
      </c>
      <c r="AL23" s="35">
        <f>+GETPIVOTDATA("XXB4",'xabang (2016)'!$A$3,"MA_HT","SKT","MA_QH","DCH")</f>
        <v>0</v>
      </c>
      <c r="AM23" s="35">
        <f>+GETPIVOTDATA("XXB4",'xabang (2016)'!$A$3,"MA_HT","SKT","MA_QH","DKG")</f>
        <v>0</v>
      </c>
      <c r="AN23" s="35">
        <f>+GETPIVOTDATA("XXB4",'xabang (2016)'!$A$3,"MA_HT","SKT","MA_QH","DDT")</f>
        <v>0</v>
      </c>
      <c r="AO23" s="35">
        <f>+GETPIVOTDATA("XXB4",'xabang (2016)'!$A$3,"MA_HT","SKT","MA_QH","DDL")</f>
        <v>0</v>
      </c>
      <c r="AP23" s="35">
        <f>+GETPIVOTDATA("XXB4",'xabang (2016)'!$A$3,"MA_HT","SKT","MA_QH","DRA")</f>
        <v>0</v>
      </c>
      <c r="AQ23" s="35">
        <f>+GETPIVOTDATA("XXB4",'xabang (2016)'!$A$3,"MA_HT","SKT","MA_QH","ONT")</f>
        <v>0</v>
      </c>
      <c r="AR23" s="35">
        <f>+GETPIVOTDATA("XXB4",'xabang (2016)'!$A$3,"MA_HT","SKT","MA_QH","ODT")</f>
        <v>0</v>
      </c>
      <c r="AS23" s="35">
        <f>+GETPIVOTDATA("XXB4",'xabang (2016)'!$A$3,"MA_HT","SKT","MA_QH","TSC")</f>
        <v>0</v>
      </c>
      <c r="AT23" s="35">
        <f>+GETPIVOTDATA("XXB4",'xabang (2016)'!$A$3,"MA_HT","SKT","MA_QH","DTS")</f>
        <v>0</v>
      </c>
      <c r="AU23" s="35">
        <f>+GETPIVOTDATA("XXB4",'xabang (2016)'!$A$3,"MA_HT","SKT","MA_QH","DNG")</f>
        <v>0</v>
      </c>
      <c r="AV23" s="35">
        <f>+GETPIVOTDATA("XXB4",'xabang (2016)'!$A$3,"MA_HT","SKT","MA_QH","TON")</f>
        <v>0</v>
      </c>
      <c r="AW23" s="35">
        <f>+GETPIVOTDATA("XXB4",'xabang (2016)'!$A$3,"MA_HT","SKT","MA_QH","NTD")</f>
        <v>0</v>
      </c>
      <c r="AX23" s="35">
        <f>+GETPIVOTDATA("XXB4",'xabang (2016)'!$A$3,"MA_HT","SKT","MA_QH","SKX")</f>
        <v>0</v>
      </c>
      <c r="AY23" s="35">
        <f>+GETPIVOTDATA("XXB4",'xabang (2016)'!$A$3,"MA_HT","SKT","MA_QH","DSH")</f>
        <v>0</v>
      </c>
      <c r="AZ23" s="35">
        <f>+GETPIVOTDATA("XXB4",'xabang (2016)'!$A$3,"MA_HT","SKT","MA_QH","DKV")</f>
        <v>0</v>
      </c>
      <c r="BA23" s="140">
        <f>+GETPIVOTDATA("XXB4",'xabang (2016)'!$A$3,"MA_HT","SKT","MA_QH","TIN")</f>
        <v>0</v>
      </c>
      <c r="BB23" s="74">
        <f>+GETPIVOTDATA("XXB4",'xabang (2016)'!$A$3,"MA_HT","SKT","MA_QH","SON")</f>
        <v>0</v>
      </c>
      <c r="BC23" s="74">
        <f>+GETPIVOTDATA("XXB4",'xabang (2016)'!$A$3,"MA_HT","SKT","MA_QH","MNC")</f>
        <v>0</v>
      </c>
      <c r="BD23" s="35">
        <f>+GETPIVOTDATA("XXB4",'xabang (2016)'!$A$3,"MA_HT","SKT","MA_QH","PNK")</f>
        <v>0</v>
      </c>
      <c r="BE23" s="58">
        <f>+GETPIVOTDATA("XXB4",'xabang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+GETPIVOTDATA("XXB4",'xabang (2016)'!$A$3,"MA_HT","SKN","MA_QH","LUC")</f>
        <v>0</v>
      </c>
      <c r="H24" s="35">
        <f>+GETPIVOTDATA("XXB4",'xabang (2016)'!$A$3,"MA_HT","SKN","MA_QH","LUK")</f>
        <v>0</v>
      </c>
      <c r="I24" s="35">
        <f>+GETPIVOTDATA("XXB4",'xabang (2016)'!$A$3,"MA_HT","SKN","MA_QH","LUN")</f>
        <v>0</v>
      </c>
      <c r="J24" s="35">
        <f>+GETPIVOTDATA("XXB4",'xabang (2016)'!$A$3,"MA_HT","SKN","MA_QH","HNK")</f>
        <v>0</v>
      </c>
      <c r="K24" s="35">
        <f>+GETPIVOTDATA("XXB4",'xabang (2016)'!$A$3,"MA_HT","SKN","MA_QH","CLN")</f>
        <v>0</v>
      </c>
      <c r="L24" s="35">
        <f>+GETPIVOTDATA("XXB4",'xabang (2016)'!$A$3,"MA_HT","SKN","MA_QH","RSX")</f>
        <v>0</v>
      </c>
      <c r="M24" s="35">
        <f>+GETPIVOTDATA("XXB4",'xabang (2016)'!$A$3,"MA_HT","SKN","MA_QH","RPH")</f>
        <v>0</v>
      </c>
      <c r="N24" s="35">
        <f>+GETPIVOTDATA("XXB4",'xabang (2016)'!$A$3,"MA_HT","SKN","MA_QH","RDD")</f>
        <v>0</v>
      </c>
      <c r="O24" s="35">
        <f>+GETPIVOTDATA("XXB4",'xabang (2016)'!$A$3,"MA_HT","SKN","MA_QH","NTS")</f>
        <v>0</v>
      </c>
      <c r="P24" s="35">
        <f>+GETPIVOTDATA("XXB4",'xabang (2016)'!$A$3,"MA_HT","SKN","MA_QH","LMU")</f>
        <v>0</v>
      </c>
      <c r="Q24" s="35">
        <f>+GETPIVOTDATA("XXB4",'xabang (2016)'!$A$3,"MA_HT","SKN","MA_QH","NKH")</f>
        <v>0</v>
      </c>
      <c r="R24" s="63">
        <f>SUM(S24:V24,X24:AA24,AN24:BD24)</f>
        <v>0</v>
      </c>
      <c r="S24" s="35">
        <f>+GETPIVOTDATA("XXB4",'xabang (2016)'!$A$3,"MA_HT","SKN","MA_QH","CQP")</f>
        <v>0</v>
      </c>
      <c r="T24" s="35">
        <f>+GETPIVOTDATA("XXB4",'xabang (2016)'!$A$3,"MA_HT","SKN","MA_QH","CAN")</f>
        <v>0</v>
      </c>
      <c r="U24" s="35">
        <f>+GETPIVOTDATA("XXB4",'xabang (2016)'!$A$3,"MA_HT","SKN","MA_QH","SKK")</f>
        <v>0</v>
      </c>
      <c r="V24" s="35">
        <f>+GETPIVOTDATA("XXB4",'xabang (2016)'!$A$3,"MA_HT","SKN","MA_QH","SKT")</f>
        <v>0</v>
      </c>
      <c r="W24" s="99" t="e">
        <f>$D24-$BF24</f>
        <v>#REF!</v>
      </c>
      <c r="X24" s="35">
        <f>+GETPIVOTDATA("XXB4",'xabang (2016)'!$A$3,"MA_HT","SKN","MA_QH","TMD")</f>
        <v>0</v>
      </c>
      <c r="Y24" s="35">
        <f>+GETPIVOTDATA("XXB4",'xabang (2016)'!$A$3,"MA_HT","SKN","MA_QH","SKC")</f>
        <v>0</v>
      </c>
      <c r="Z24" s="35">
        <f>+GETPIVOTDATA("XXB4",'xabang (2016)'!$A$3,"MA_HT","SKN","MA_QH","SKS")</f>
        <v>0</v>
      </c>
      <c r="AA24" s="64">
        <f t="shared" si="12"/>
        <v>0</v>
      </c>
      <c r="AB24" s="35">
        <f>+GETPIVOTDATA("XXB4",'xabang (2016)'!$A$3,"MA_HT","SKN","MA_QH","DGT")</f>
        <v>0</v>
      </c>
      <c r="AC24" s="35">
        <f>+GETPIVOTDATA("XXB4",'xabang (2016)'!$A$3,"MA_HT","SKN","MA_QH","DTL")</f>
        <v>0</v>
      </c>
      <c r="AD24" s="35">
        <f>+GETPIVOTDATA("XXB4",'xabang (2016)'!$A$3,"MA_HT","SKN","MA_QH","DNL")</f>
        <v>0</v>
      </c>
      <c r="AE24" s="35">
        <f>+GETPIVOTDATA("XXB4",'xabang (2016)'!$A$3,"MA_HT","SKN","MA_QH","DBV")</f>
        <v>0</v>
      </c>
      <c r="AF24" s="35">
        <f>+GETPIVOTDATA("XXB4",'xabang (2016)'!$A$3,"MA_HT","SKN","MA_QH","DVH")</f>
        <v>0</v>
      </c>
      <c r="AG24" s="35">
        <f>+GETPIVOTDATA("XXB4",'xabang (2016)'!$A$3,"MA_HT","SKN","MA_QH","DYT")</f>
        <v>0</v>
      </c>
      <c r="AH24" s="35">
        <f>+GETPIVOTDATA("XXB4",'xabang (2016)'!$A$3,"MA_HT","SKN","MA_QH","DGD")</f>
        <v>0</v>
      </c>
      <c r="AI24" s="35">
        <f>+GETPIVOTDATA("XXB4",'xabang (2016)'!$A$3,"MA_HT","SKN","MA_QH","DTT")</f>
        <v>0</v>
      </c>
      <c r="AJ24" s="35">
        <f>+GETPIVOTDATA("XXB4",'xabang (2016)'!$A$3,"MA_HT","SKN","MA_QH","NCK")</f>
        <v>0</v>
      </c>
      <c r="AK24" s="35">
        <f>+GETPIVOTDATA("XXB4",'xabang (2016)'!$A$3,"MA_HT","SKN","MA_QH","DXH")</f>
        <v>0</v>
      </c>
      <c r="AL24" s="35">
        <f>+GETPIVOTDATA("XXB4",'xabang (2016)'!$A$3,"MA_HT","SKN","MA_QH","DCH")</f>
        <v>0</v>
      </c>
      <c r="AM24" s="35">
        <f>+GETPIVOTDATA("XXB4",'xabang (2016)'!$A$3,"MA_HT","SKN","MA_QH","DKG")</f>
        <v>0</v>
      </c>
      <c r="AN24" s="35">
        <f>+GETPIVOTDATA("XXB4",'xabang (2016)'!$A$3,"MA_HT","SKN","MA_QH","DDT")</f>
        <v>0</v>
      </c>
      <c r="AO24" s="35">
        <f>+GETPIVOTDATA("XXB4",'xabang (2016)'!$A$3,"MA_HT","SKN","MA_QH","DDL")</f>
        <v>0</v>
      </c>
      <c r="AP24" s="35">
        <f>+GETPIVOTDATA("XXB4",'xabang (2016)'!$A$3,"MA_HT","SKN","MA_QH","DRA")</f>
        <v>0</v>
      </c>
      <c r="AQ24" s="35">
        <f>+GETPIVOTDATA("XXB4",'xabang (2016)'!$A$3,"MA_HT","SKN","MA_QH","ONT")</f>
        <v>0</v>
      </c>
      <c r="AR24" s="35">
        <f>+GETPIVOTDATA("XXB4",'xabang (2016)'!$A$3,"MA_HT","SKN","MA_QH","ODT")</f>
        <v>0</v>
      </c>
      <c r="AS24" s="35">
        <f>+GETPIVOTDATA("XXB4",'xabang (2016)'!$A$3,"MA_HT","SKN","MA_QH","TSC")</f>
        <v>0</v>
      </c>
      <c r="AT24" s="35">
        <f>+GETPIVOTDATA("XXB4",'xabang (2016)'!$A$3,"MA_HT","SKN","MA_QH","DTS")</f>
        <v>0</v>
      </c>
      <c r="AU24" s="35">
        <f>+GETPIVOTDATA("XXB4",'xabang (2016)'!$A$3,"MA_HT","SKN","MA_QH","DNG")</f>
        <v>0</v>
      </c>
      <c r="AV24" s="35">
        <f>+GETPIVOTDATA("XXB4",'xabang (2016)'!$A$3,"MA_HT","SKN","MA_QH","TON")</f>
        <v>0</v>
      </c>
      <c r="AW24" s="35">
        <f>+GETPIVOTDATA("XXB4",'xabang (2016)'!$A$3,"MA_HT","SKN","MA_QH","NTD")</f>
        <v>0</v>
      </c>
      <c r="AX24" s="35">
        <f>+GETPIVOTDATA("XXB4",'xabang (2016)'!$A$3,"MA_HT","SKN","MA_QH","SKX")</f>
        <v>0</v>
      </c>
      <c r="AY24" s="35">
        <f>+GETPIVOTDATA("XXB4",'xabang (2016)'!$A$3,"MA_HT","SKN","MA_QH","DSH")</f>
        <v>0</v>
      </c>
      <c r="AZ24" s="35">
        <f>+GETPIVOTDATA("XXB4",'xabang (2016)'!$A$3,"MA_HT","SKN","MA_QH","DKV")</f>
        <v>0</v>
      </c>
      <c r="BA24" s="140">
        <f>+GETPIVOTDATA("XXB4",'xabang (2016)'!$A$3,"MA_HT","SKN","MA_QH","TIN")</f>
        <v>0</v>
      </c>
      <c r="BB24" s="74">
        <f>+GETPIVOTDATA("XXB4",'xabang (2016)'!$A$3,"MA_HT","SKN","MA_QH","SON")</f>
        <v>0</v>
      </c>
      <c r="BC24" s="74">
        <f>+GETPIVOTDATA("XXB4",'xabang (2016)'!$A$3,"MA_HT","SKN","MA_QH","MNC")</f>
        <v>0</v>
      </c>
      <c r="BD24" s="35">
        <f>+GETPIVOTDATA("XXB4",'xabang (2016)'!$A$3,"MA_HT","SKN","MA_QH","PNK")</f>
        <v>0</v>
      </c>
      <c r="BE24" s="58">
        <f>+GETPIVOTDATA("XXB4",'xabang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+GETPIVOTDATA("XXB4",'xabang (2016)'!$A$3,"MA_HT","TMD","MA_QH","LUC")</f>
        <v>0</v>
      </c>
      <c r="H25" s="35">
        <f>+GETPIVOTDATA("XXB4",'xabang (2016)'!$A$3,"MA_HT","TMD","MA_QH","LUK")</f>
        <v>0</v>
      </c>
      <c r="I25" s="35">
        <f>+GETPIVOTDATA("XXB4",'xabang (2016)'!$A$3,"MA_HT","TMD","MA_QH","LUN")</f>
        <v>0</v>
      </c>
      <c r="J25" s="35">
        <f>+GETPIVOTDATA("XXB4",'xabang (2016)'!$A$3,"MA_HT","TMD","MA_QH","HNK")</f>
        <v>0</v>
      </c>
      <c r="K25" s="35">
        <f>+GETPIVOTDATA("XXB4",'xabang (2016)'!$A$3,"MA_HT","TMD","MA_QH","CLN")</f>
        <v>0</v>
      </c>
      <c r="L25" s="35">
        <f>+GETPIVOTDATA("XXB4",'xabang (2016)'!$A$3,"MA_HT","TMD","MA_QH","RSX")</f>
        <v>0</v>
      </c>
      <c r="M25" s="35">
        <f>+GETPIVOTDATA("XXB4",'xabang (2016)'!$A$3,"MA_HT","TMD","MA_QH","RPH")</f>
        <v>0</v>
      </c>
      <c r="N25" s="35">
        <f>+GETPIVOTDATA("XXB4",'xabang (2016)'!$A$3,"MA_HT","TMD","MA_QH","RDD")</f>
        <v>0</v>
      </c>
      <c r="O25" s="35">
        <f>+GETPIVOTDATA("XXB4",'xabang (2016)'!$A$3,"MA_HT","TMD","MA_QH","NTS")</f>
        <v>0</v>
      </c>
      <c r="P25" s="35">
        <f>+GETPIVOTDATA("XXB4",'xabang (2016)'!$A$3,"MA_HT","TMD","MA_QH","LMU")</f>
        <v>0</v>
      </c>
      <c r="Q25" s="35">
        <f>+GETPIVOTDATA("XXB4",'xabang (2016)'!$A$3,"MA_HT","TMD","MA_QH","NKH")</f>
        <v>0</v>
      </c>
      <c r="R25" s="63">
        <f>SUM(S25:W25,Y25:AA25,AN25:BD25)</f>
        <v>0</v>
      </c>
      <c r="S25" s="35">
        <f>+GETPIVOTDATA("XXB4",'xabang (2016)'!$A$3,"MA_HT","TMD","MA_QH","CQP")</f>
        <v>0</v>
      </c>
      <c r="T25" s="35">
        <f>+GETPIVOTDATA("XXB4",'xabang (2016)'!$A$3,"MA_HT","TMD","MA_QH","CAN")</f>
        <v>0</v>
      </c>
      <c r="U25" s="35">
        <f>+GETPIVOTDATA("XXB4",'xabang (2016)'!$A$3,"MA_HT","TMD","MA_QH","SKK")</f>
        <v>0</v>
      </c>
      <c r="V25" s="35">
        <f>+GETPIVOTDATA("XXB4",'xabang (2016)'!$A$3,"MA_HT","TMD","MA_QH","SKT")</f>
        <v>0</v>
      </c>
      <c r="W25" s="35">
        <f>+GETPIVOTDATA("XXB4",'xabang (2016)'!$A$3,"MA_HT","TMD","MA_QH","SKN")</f>
        <v>0</v>
      </c>
      <c r="X25" s="99" t="e">
        <f>$D25-$BF25</f>
        <v>#REF!</v>
      </c>
      <c r="Y25" s="35">
        <f>+GETPIVOTDATA("XXB4",'xabang (2016)'!$A$3,"MA_HT","TMD","MA_QH","SKC")</f>
        <v>0</v>
      </c>
      <c r="Z25" s="35">
        <f>+GETPIVOTDATA("XXB4",'xabang (2016)'!$A$3,"MA_HT","TMD","MA_QH","SKS")</f>
        <v>0</v>
      </c>
      <c r="AA25" s="64">
        <f t="shared" si="12"/>
        <v>0</v>
      </c>
      <c r="AB25" s="35">
        <f>+GETPIVOTDATA("XXB4",'xabang (2016)'!$A$3,"MA_HT","TMD","MA_QH","DGT")</f>
        <v>0</v>
      </c>
      <c r="AC25" s="35">
        <f>+GETPIVOTDATA("XXB4",'xabang (2016)'!$A$3,"MA_HT","TMD","MA_QH","DTL")</f>
        <v>0</v>
      </c>
      <c r="AD25" s="35">
        <f>+GETPIVOTDATA("XXB4",'xabang (2016)'!$A$3,"MA_HT","TMD","MA_QH","DNL")</f>
        <v>0</v>
      </c>
      <c r="AE25" s="35">
        <f>+GETPIVOTDATA("XXB4",'xabang (2016)'!$A$3,"MA_HT","TMD","MA_QH","DBV")</f>
        <v>0</v>
      </c>
      <c r="AF25" s="35">
        <f>+GETPIVOTDATA("XXB4",'xabang (2016)'!$A$3,"MA_HT","TMD","MA_QH","DVH")</f>
        <v>0</v>
      </c>
      <c r="AG25" s="35">
        <f>+GETPIVOTDATA("XXB4",'xabang (2016)'!$A$3,"MA_HT","TMD","MA_QH","DYT")</f>
        <v>0</v>
      </c>
      <c r="AH25" s="35">
        <f>+GETPIVOTDATA("XXB4",'xabang (2016)'!$A$3,"MA_HT","TMD","MA_QH","DGD")</f>
        <v>0</v>
      </c>
      <c r="AI25" s="35">
        <f>+GETPIVOTDATA("XXB4",'xabang (2016)'!$A$3,"MA_HT","TMD","MA_QH","DTT")</f>
        <v>0</v>
      </c>
      <c r="AJ25" s="35">
        <f>+GETPIVOTDATA("XXB4",'xabang (2016)'!$A$3,"MA_HT","TMD","MA_QH","NCK")</f>
        <v>0</v>
      </c>
      <c r="AK25" s="35">
        <f>+GETPIVOTDATA("XXB4",'xabang (2016)'!$A$3,"MA_HT","TMD","MA_QH","DXH")</f>
        <v>0</v>
      </c>
      <c r="AL25" s="35">
        <f>+GETPIVOTDATA("XXB4",'xabang (2016)'!$A$3,"MA_HT","TMD","MA_QH","DCH")</f>
        <v>0</v>
      </c>
      <c r="AM25" s="35">
        <f>+GETPIVOTDATA("XXB4",'xabang (2016)'!$A$3,"MA_HT","TMD","MA_QH","DKG")</f>
        <v>0</v>
      </c>
      <c r="AN25" s="35">
        <f>+GETPIVOTDATA("XXB4",'xabang (2016)'!$A$3,"MA_HT","TMD","MA_QH","DDT")</f>
        <v>0</v>
      </c>
      <c r="AO25" s="35">
        <f>+GETPIVOTDATA("XXB4",'xabang (2016)'!$A$3,"MA_HT","TMD","MA_QH","DDL")</f>
        <v>0</v>
      </c>
      <c r="AP25" s="35">
        <f>+GETPIVOTDATA("XXB4",'xabang (2016)'!$A$3,"MA_HT","TMD","MA_QH","DRA")</f>
        <v>0</v>
      </c>
      <c r="AQ25" s="35">
        <f>+GETPIVOTDATA("XXB4",'xabang (2016)'!$A$3,"MA_HT","TMD","MA_QH","ONT")</f>
        <v>0</v>
      </c>
      <c r="AR25" s="35">
        <f>+GETPIVOTDATA("XXB4",'xabang (2016)'!$A$3,"MA_HT","TMD","MA_QH","ODT")</f>
        <v>0</v>
      </c>
      <c r="AS25" s="35">
        <f>+GETPIVOTDATA("XXB4",'xabang (2016)'!$A$3,"MA_HT","TMD","MA_QH","TSC")</f>
        <v>0</v>
      </c>
      <c r="AT25" s="35">
        <f>+GETPIVOTDATA("XXB4",'xabang (2016)'!$A$3,"MA_HT","TMD","MA_QH","DTS")</f>
        <v>0</v>
      </c>
      <c r="AU25" s="35">
        <f>+GETPIVOTDATA("XXB4",'xabang (2016)'!$A$3,"MA_HT","TMD","MA_QH","DNG")</f>
        <v>0</v>
      </c>
      <c r="AV25" s="35">
        <f>+GETPIVOTDATA("XXB4",'xabang (2016)'!$A$3,"MA_HT","TMD","MA_QH","TON")</f>
        <v>0</v>
      </c>
      <c r="AW25" s="35">
        <f>+GETPIVOTDATA("XXB4",'xabang (2016)'!$A$3,"MA_HT","TMD","MA_QH","NTD")</f>
        <v>0</v>
      </c>
      <c r="AX25" s="35">
        <f>+GETPIVOTDATA("XXB4",'xabang (2016)'!$A$3,"MA_HT","TMD","MA_QH","SKX")</f>
        <v>0</v>
      </c>
      <c r="AY25" s="35">
        <f>+GETPIVOTDATA("XXB4",'xabang (2016)'!$A$3,"MA_HT","TMD","MA_QH","DSH")</f>
        <v>0</v>
      </c>
      <c r="AZ25" s="35">
        <f>+GETPIVOTDATA("XXB4",'xabang (2016)'!$A$3,"MA_HT","TMD","MA_QH","DKV")</f>
        <v>0</v>
      </c>
      <c r="BA25" s="140">
        <f>+GETPIVOTDATA("XXB4",'xabang (2016)'!$A$3,"MA_HT","TMD","MA_QH","TIN")</f>
        <v>0</v>
      </c>
      <c r="BB25" s="74">
        <f>+GETPIVOTDATA("XXB4",'xabang (2016)'!$A$3,"MA_HT","TMD","MA_QH","SON")</f>
        <v>0</v>
      </c>
      <c r="BC25" s="74">
        <f>+GETPIVOTDATA("XXB4",'xabang (2016)'!$A$3,"MA_HT","TMD","MA_QH","MNC")</f>
        <v>0</v>
      </c>
      <c r="BD25" s="35">
        <f>+GETPIVOTDATA("XXB4",'xabang (2016)'!$A$3,"MA_HT","TMD","MA_QH","PNK")</f>
        <v>0</v>
      </c>
      <c r="BE25" s="58">
        <f>+GETPIVOTDATA("XXB4",'xabang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+GETPIVOTDATA("XXB4",'xabang (2016)'!$A$3,"MA_HT","SKC","MA_QH","LUC")</f>
        <v>0</v>
      </c>
      <c r="H26" s="35">
        <f>+GETPIVOTDATA("XXB4",'xabang (2016)'!$A$3,"MA_HT","SKC","MA_QH","LUK")</f>
        <v>0</v>
      </c>
      <c r="I26" s="35">
        <f>+GETPIVOTDATA("XXB4",'xabang (2016)'!$A$3,"MA_HT","SKC","MA_QH","LUN")</f>
        <v>0</v>
      </c>
      <c r="J26" s="35">
        <f>+GETPIVOTDATA("XXB4",'xabang (2016)'!$A$3,"MA_HT","SKC","MA_QH","HNK")</f>
        <v>0</v>
      </c>
      <c r="K26" s="35">
        <f>+GETPIVOTDATA("XXB4",'xabang (2016)'!$A$3,"MA_HT","SKC","MA_QH","CLN")</f>
        <v>0</v>
      </c>
      <c r="L26" s="35">
        <f>+GETPIVOTDATA("XXB4",'xabang (2016)'!$A$3,"MA_HT","SKC","MA_QH","RSX")</f>
        <v>0</v>
      </c>
      <c r="M26" s="35">
        <f>+GETPIVOTDATA("XXB4",'xabang (2016)'!$A$3,"MA_HT","SKC","MA_QH","RPH")</f>
        <v>0</v>
      </c>
      <c r="N26" s="35">
        <f>+GETPIVOTDATA("XXB4",'xabang (2016)'!$A$3,"MA_HT","SKC","MA_QH","RDD")</f>
        <v>0</v>
      </c>
      <c r="O26" s="35">
        <f>+GETPIVOTDATA("XXB4",'xabang (2016)'!$A$3,"MA_HT","SKC","MA_QH","NTS")</f>
        <v>0</v>
      </c>
      <c r="P26" s="35">
        <f>+GETPIVOTDATA("XXB4",'xabang (2016)'!$A$3,"MA_HT","SKC","MA_QH","LMU")</f>
        <v>0</v>
      </c>
      <c r="Q26" s="35">
        <f>+GETPIVOTDATA("XXB4",'xabang (2016)'!$A$3,"MA_HT","SKC","MA_QH","NKH")</f>
        <v>0</v>
      </c>
      <c r="R26" s="63">
        <f>SUM(S26:X26,Z26,AN26:BD26)</f>
        <v>0</v>
      </c>
      <c r="S26" s="35">
        <f>+GETPIVOTDATA("XXB4",'xabang (2016)'!$A$3,"MA_HT","SKC","MA_QH","CQP")</f>
        <v>0</v>
      </c>
      <c r="T26" s="35">
        <f>+GETPIVOTDATA("XXB4",'xabang (2016)'!$A$3,"MA_HT","SKC","MA_QH","CAN")</f>
        <v>0</v>
      </c>
      <c r="U26" s="35">
        <f>+GETPIVOTDATA("XXB4",'xabang (2016)'!$A$3,"MA_HT","SKC","MA_QH","SKK")</f>
        <v>0</v>
      </c>
      <c r="V26" s="35">
        <f>+GETPIVOTDATA("XXB4",'xabang (2016)'!$A$3,"MA_HT","SKC","MA_QH","SKT")</f>
        <v>0</v>
      </c>
      <c r="W26" s="35">
        <f>+GETPIVOTDATA("XXB4",'xabang (2016)'!$A$3,"MA_HT","SKC","MA_QH","SKN")</f>
        <v>0</v>
      </c>
      <c r="X26" s="35">
        <f>+GETPIVOTDATA("XXB4",'xabang (2016)'!$A$3,"MA_HT","SKC","MA_QH","TMD")</f>
        <v>0</v>
      </c>
      <c r="Y26" s="99" t="e">
        <f>$D26-$BF26</f>
        <v>#REF!</v>
      </c>
      <c r="Z26" s="35">
        <f>+GETPIVOTDATA("XXB4",'xabang (2016)'!$A$3,"MA_HT","SKC","MA_QH","SKS")</f>
        <v>0</v>
      </c>
      <c r="AA26" s="64">
        <f t="shared" si="12"/>
        <v>0</v>
      </c>
      <c r="AB26" s="35">
        <f>+GETPIVOTDATA("XXB4",'xabang (2016)'!$A$3,"MA_HT","SKC","MA_QH","DGT")</f>
        <v>0</v>
      </c>
      <c r="AC26" s="35">
        <f>+GETPIVOTDATA("XXB4",'xabang (2016)'!$A$3,"MA_HT","SKC","MA_QH","DTL")</f>
        <v>0</v>
      </c>
      <c r="AD26" s="35">
        <f>+GETPIVOTDATA("XXB4",'xabang (2016)'!$A$3,"MA_HT","SKC","MA_QH","DNL")</f>
        <v>0</v>
      </c>
      <c r="AE26" s="35">
        <f>+GETPIVOTDATA("XXB4",'xabang (2016)'!$A$3,"MA_HT","SKC","MA_QH","DBV")</f>
        <v>0</v>
      </c>
      <c r="AF26" s="35">
        <f>+GETPIVOTDATA("XXB4",'xabang (2016)'!$A$3,"MA_HT","SKC","MA_QH","DVH")</f>
        <v>0</v>
      </c>
      <c r="AG26" s="35">
        <f>+GETPIVOTDATA("XXB4",'xabang (2016)'!$A$3,"MA_HT","SKC","MA_QH","DYT")</f>
        <v>0</v>
      </c>
      <c r="AH26" s="35">
        <f>+GETPIVOTDATA("XXB4",'xabang (2016)'!$A$3,"MA_HT","SKC","MA_QH","DGD")</f>
        <v>0</v>
      </c>
      <c r="AI26" s="35">
        <f>+GETPIVOTDATA("XXB4",'xabang (2016)'!$A$3,"MA_HT","SKC","MA_QH","DTT")</f>
        <v>0</v>
      </c>
      <c r="AJ26" s="35">
        <f>+GETPIVOTDATA("XXB4",'xabang (2016)'!$A$3,"MA_HT","SKC","MA_QH","NCK")</f>
        <v>0</v>
      </c>
      <c r="AK26" s="35">
        <f>+GETPIVOTDATA("XXB4",'xabang (2016)'!$A$3,"MA_HT","SKC","MA_QH","DXH")</f>
        <v>0</v>
      </c>
      <c r="AL26" s="35">
        <f>+GETPIVOTDATA("XXB4",'xabang (2016)'!$A$3,"MA_HT","SKC","MA_QH","DCH")</f>
        <v>0</v>
      </c>
      <c r="AM26" s="35">
        <f>+GETPIVOTDATA("XXB4",'xabang (2016)'!$A$3,"MA_HT","SKC","MA_QH","DKG")</f>
        <v>0</v>
      </c>
      <c r="AN26" s="35">
        <f>+GETPIVOTDATA("XXB4",'xabang (2016)'!$A$3,"MA_HT","SKC","MA_QH","DDT")</f>
        <v>0</v>
      </c>
      <c r="AO26" s="35">
        <f>+GETPIVOTDATA("XXB4",'xabang (2016)'!$A$3,"MA_HT","SKC","MA_QH","DDL")</f>
        <v>0</v>
      </c>
      <c r="AP26" s="35">
        <f>+GETPIVOTDATA("XXB4",'xabang (2016)'!$A$3,"MA_HT","SKC","MA_QH","DRA")</f>
        <v>0</v>
      </c>
      <c r="AQ26" s="35">
        <f>+GETPIVOTDATA("XXB4",'xabang (2016)'!$A$3,"MA_HT","SKC","MA_QH","ONT")</f>
        <v>0</v>
      </c>
      <c r="AR26" s="35">
        <f>+GETPIVOTDATA("XXB4",'xabang (2016)'!$A$3,"MA_HT","SKC","MA_QH","ODT")</f>
        <v>0</v>
      </c>
      <c r="AS26" s="35">
        <f>+GETPIVOTDATA("XXB4",'xabang (2016)'!$A$3,"MA_HT","SKC","MA_QH","TSC")</f>
        <v>0</v>
      </c>
      <c r="AT26" s="35">
        <f>+GETPIVOTDATA("XXB4",'xabang (2016)'!$A$3,"MA_HT","SKC","MA_QH","DTS")</f>
        <v>0</v>
      </c>
      <c r="AU26" s="35">
        <f>+GETPIVOTDATA("XXB4",'xabang (2016)'!$A$3,"MA_HT","SKC","MA_QH","DNG")</f>
        <v>0</v>
      </c>
      <c r="AV26" s="35">
        <f>+GETPIVOTDATA("XXB4",'xabang (2016)'!$A$3,"MA_HT","SKC","MA_QH","TON")</f>
        <v>0</v>
      </c>
      <c r="AW26" s="35">
        <f>+GETPIVOTDATA("XXB4",'xabang (2016)'!$A$3,"MA_HT","SKC","MA_QH","NTD")</f>
        <v>0</v>
      </c>
      <c r="AX26" s="35">
        <f>+GETPIVOTDATA("XXB4",'xabang (2016)'!$A$3,"MA_HT","SKC","MA_QH","SKX")</f>
        <v>0</v>
      </c>
      <c r="AY26" s="35">
        <f>+GETPIVOTDATA("XXB4",'xabang (2016)'!$A$3,"MA_HT","SKC","MA_QH","DSH")</f>
        <v>0</v>
      </c>
      <c r="AZ26" s="35">
        <f>+GETPIVOTDATA("XXB4",'xabang (2016)'!$A$3,"MA_HT","SKC","MA_QH","DKV")</f>
        <v>0</v>
      </c>
      <c r="BA26" s="140">
        <f>+GETPIVOTDATA("XXB4",'xabang (2016)'!$A$3,"MA_HT","SKC","MA_QH","TIN")</f>
        <v>0</v>
      </c>
      <c r="BB26" s="74">
        <f>+GETPIVOTDATA("XXB4",'xabang (2016)'!$A$3,"MA_HT","SKC","MA_QH","SON")</f>
        <v>0</v>
      </c>
      <c r="BC26" s="74">
        <f>+GETPIVOTDATA("XXB4",'xabang (2016)'!$A$3,"MA_HT","SKC","MA_QH","MNC")</f>
        <v>0</v>
      </c>
      <c r="BD26" s="35">
        <f>+GETPIVOTDATA("XXB4",'xabang (2016)'!$A$3,"MA_HT","SKC","MA_QH","PNK")</f>
        <v>0</v>
      </c>
      <c r="BE26" s="58">
        <f>+GETPIVOTDATA("XXB4",'xabang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+GETPIVOTDATA("XXB4",'xabang (2016)'!$A$3,"MA_HT","SKS","MA_QH","LUC")</f>
        <v>0</v>
      </c>
      <c r="H27" s="35">
        <f>+GETPIVOTDATA("XXB4",'xabang (2016)'!$A$3,"MA_HT","SKS","MA_QH","LUK")</f>
        <v>0</v>
      </c>
      <c r="I27" s="35">
        <f>+GETPIVOTDATA("XXB4",'xabang (2016)'!$A$3,"MA_HT","SKS","MA_QH","LUN")</f>
        <v>0</v>
      </c>
      <c r="J27" s="35">
        <f>+GETPIVOTDATA("XXB4",'xabang (2016)'!$A$3,"MA_HT","SKS","MA_QH","HNK")</f>
        <v>0</v>
      </c>
      <c r="K27" s="35">
        <f>+GETPIVOTDATA("XXB4",'xabang (2016)'!$A$3,"MA_HT","SKS","MA_QH","CLN")</f>
        <v>0</v>
      </c>
      <c r="L27" s="35">
        <f>+GETPIVOTDATA("XXB4",'xabang (2016)'!$A$3,"MA_HT","SKS","MA_QH","RSX")</f>
        <v>0</v>
      </c>
      <c r="M27" s="35">
        <f>+GETPIVOTDATA("XXB4",'xabang (2016)'!$A$3,"MA_HT","SKS","MA_QH","RPH")</f>
        <v>0</v>
      </c>
      <c r="N27" s="35">
        <f>+GETPIVOTDATA("XXB4",'xabang (2016)'!$A$3,"MA_HT","SKS","MA_QH","RDD")</f>
        <v>0</v>
      </c>
      <c r="O27" s="35">
        <f>+GETPIVOTDATA("XXB4",'xabang (2016)'!$A$3,"MA_HT","SKS","MA_QH","NTS")</f>
        <v>0</v>
      </c>
      <c r="P27" s="35">
        <f>+GETPIVOTDATA("XXB4",'xabang (2016)'!$A$3,"MA_HT","SKS","MA_QH","LMU")</f>
        <v>0</v>
      </c>
      <c r="Q27" s="35">
        <f>+GETPIVOTDATA("XXB4",'xabang (2016)'!$A$3,"MA_HT","SKS","MA_QH","NKH")</f>
        <v>0</v>
      </c>
      <c r="R27" s="63">
        <f>SUM(S27:Y27,AA27,AN27:BD27)</f>
        <v>0</v>
      </c>
      <c r="S27" s="35">
        <f>+GETPIVOTDATA("XXB4",'xabang (2016)'!$A$3,"MA_HT","SKS","MA_QH","CQP")</f>
        <v>0</v>
      </c>
      <c r="T27" s="35">
        <f>+GETPIVOTDATA("XXB4",'xabang (2016)'!$A$3,"MA_HT","SKS","MA_QH","CAN")</f>
        <v>0</v>
      </c>
      <c r="U27" s="35">
        <f>+GETPIVOTDATA("XXB4",'xabang (2016)'!$A$3,"MA_HT","SKS","MA_QH","SKK")</f>
        <v>0</v>
      </c>
      <c r="V27" s="35">
        <f>+GETPIVOTDATA("XXB4",'xabang (2016)'!$A$3,"MA_HT","SKS","MA_QH","SKT")</f>
        <v>0</v>
      </c>
      <c r="W27" s="35">
        <f>+GETPIVOTDATA("XXB4",'xabang (2016)'!$A$3,"MA_HT","SKS","MA_QH","SKN")</f>
        <v>0</v>
      </c>
      <c r="X27" s="35">
        <f>+GETPIVOTDATA("XXB4",'xabang (2016)'!$A$3,"MA_HT","SKS","MA_QH","TMD")</f>
        <v>0</v>
      </c>
      <c r="Y27" s="35">
        <f>+GETPIVOTDATA("XXB4",'xabang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+GETPIVOTDATA("XXB4",'xabang (2016)'!$A$3,"MA_HT","SKS","MA_QH","DGT")</f>
        <v>0</v>
      </c>
      <c r="AC27" s="35">
        <f>+GETPIVOTDATA("XXB4",'xabang (2016)'!$A$3,"MA_HT","SKS","MA_QH","DTL")</f>
        <v>0</v>
      </c>
      <c r="AD27" s="35">
        <f>+GETPIVOTDATA("XXB4",'xabang (2016)'!$A$3,"MA_HT","SKS","MA_QH","DNL")</f>
        <v>0</v>
      </c>
      <c r="AE27" s="35">
        <f>+GETPIVOTDATA("XXB4",'xabang (2016)'!$A$3,"MA_HT","SKS","MA_QH","DBV")</f>
        <v>0</v>
      </c>
      <c r="AF27" s="35">
        <f>+GETPIVOTDATA("XXB4",'xabang (2016)'!$A$3,"MA_HT","SKS","MA_QH","DVH")</f>
        <v>0</v>
      </c>
      <c r="AG27" s="35">
        <f>+GETPIVOTDATA("XXB4",'xabang (2016)'!$A$3,"MA_HT","SKS","MA_QH","DYT")</f>
        <v>0</v>
      </c>
      <c r="AH27" s="35">
        <f>+GETPIVOTDATA("XXB4",'xabang (2016)'!$A$3,"MA_HT","SKS","MA_QH","DGD")</f>
        <v>0</v>
      </c>
      <c r="AI27" s="35">
        <f>+GETPIVOTDATA("XXB4",'xabang (2016)'!$A$3,"MA_HT","SKS","MA_QH","DTT")</f>
        <v>0</v>
      </c>
      <c r="AJ27" s="35">
        <f>+GETPIVOTDATA("XXB4",'xabang (2016)'!$A$3,"MA_HT","SKS","MA_QH","NCK")</f>
        <v>0</v>
      </c>
      <c r="AK27" s="35">
        <f>+GETPIVOTDATA("XXB4",'xabang (2016)'!$A$3,"MA_HT","SKS","MA_QH","DXH")</f>
        <v>0</v>
      </c>
      <c r="AL27" s="35">
        <f>+GETPIVOTDATA("XXB4",'xabang (2016)'!$A$3,"MA_HT","SKS","MA_QH","DCH")</f>
        <v>0</v>
      </c>
      <c r="AM27" s="35">
        <f>+GETPIVOTDATA("XXB4",'xabang (2016)'!$A$3,"MA_HT","SKS","MA_QH","DKG")</f>
        <v>0</v>
      </c>
      <c r="AN27" s="35">
        <f>+GETPIVOTDATA("XXB4",'xabang (2016)'!$A$3,"MA_HT","SKS","MA_QH","DDT")</f>
        <v>0</v>
      </c>
      <c r="AO27" s="35">
        <f>+GETPIVOTDATA("XXB4",'xabang (2016)'!$A$3,"MA_HT","SKS","MA_QH","DDL")</f>
        <v>0</v>
      </c>
      <c r="AP27" s="35">
        <f>+GETPIVOTDATA("XXB4",'xabang (2016)'!$A$3,"MA_HT","SKS","MA_QH","DRA")</f>
        <v>0</v>
      </c>
      <c r="AQ27" s="35">
        <f>+GETPIVOTDATA("XXB4",'xabang (2016)'!$A$3,"MA_HT","SKS","MA_QH","ONT")</f>
        <v>0</v>
      </c>
      <c r="AR27" s="35">
        <f>+GETPIVOTDATA("XXB4",'xabang (2016)'!$A$3,"MA_HT","SKS","MA_QH","ODT")</f>
        <v>0</v>
      </c>
      <c r="AS27" s="35">
        <f>+GETPIVOTDATA("XXB4",'xabang (2016)'!$A$3,"MA_HT","SKS","MA_QH","TSC")</f>
        <v>0</v>
      </c>
      <c r="AT27" s="35">
        <f>+GETPIVOTDATA("XXB4",'xabang (2016)'!$A$3,"MA_HT","SKS","MA_QH","DTS")</f>
        <v>0</v>
      </c>
      <c r="AU27" s="35">
        <f>+GETPIVOTDATA("XXB4",'xabang (2016)'!$A$3,"MA_HT","SKS","MA_QH","DNG")</f>
        <v>0</v>
      </c>
      <c r="AV27" s="35">
        <f>+GETPIVOTDATA("XXB4",'xabang (2016)'!$A$3,"MA_HT","SKS","MA_QH","TON")</f>
        <v>0</v>
      </c>
      <c r="AW27" s="35">
        <f>+GETPIVOTDATA("XXB4",'xabang (2016)'!$A$3,"MA_HT","SKS","MA_QH","NTD")</f>
        <v>0</v>
      </c>
      <c r="AX27" s="35">
        <f>+GETPIVOTDATA("XXB4",'xabang (2016)'!$A$3,"MA_HT","SKS","MA_QH","SKX")</f>
        <v>0</v>
      </c>
      <c r="AY27" s="35">
        <f>+GETPIVOTDATA("XXB4",'xabang (2016)'!$A$3,"MA_HT","SKS","MA_QH","DSH")</f>
        <v>0</v>
      </c>
      <c r="AZ27" s="35">
        <f>+GETPIVOTDATA("XXB4",'xabang (2016)'!$A$3,"MA_HT","SKS","MA_QH","DKV")</f>
        <v>0</v>
      </c>
      <c r="BA27" s="140">
        <f>+GETPIVOTDATA("XXB4",'xabang (2016)'!$A$3,"MA_HT","SKS","MA_QH","TIN")</f>
        <v>0</v>
      </c>
      <c r="BB27" s="74">
        <f>+GETPIVOTDATA("XXB4",'xabang (2016)'!$A$3,"MA_HT","SKS","MA_QH","SON")</f>
        <v>0</v>
      </c>
      <c r="BC27" s="74">
        <f>+GETPIVOTDATA("XXB4",'xabang (2016)'!$A$3,"MA_HT","SKS","MA_QH","MNC")</f>
        <v>0</v>
      </c>
      <c r="BD27" s="35">
        <f>+GETPIVOTDATA("XXB4",'xabang (2016)'!$A$3,"MA_HT","SKS","MA_QH","PNK")</f>
        <v>0</v>
      </c>
      <c r="BE27" s="58">
        <f>+GETPIVOTDATA("XXB4",'xabang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+GETPIVOTDATA("XXB4",'xabang (2016)'!$A$3,"MA_HT","DGT","MA_QH","LUC")</f>
        <v>0</v>
      </c>
      <c r="H29" s="74">
        <f>+GETPIVOTDATA("XXB4",'xabang (2016)'!$A$3,"MA_HT","DGT","MA_QH","LUK")</f>
        <v>0</v>
      </c>
      <c r="I29" s="74">
        <f>+GETPIVOTDATA("XXB4",'xabang (2016)'!$A$3,"MA_HT","DGT","MA_QH","LUN")</f>
        <v>0</v>
      </c>
      <c r="J29" s="74">
        <f>+GETPIVOTDATA("XXB4",'xabang (2016)'!$A$3,"MA_HT","DGT","MA_QH","HNK")</f>
        <v>0</v>
      </c>
      <c r="K29" s="74">
        <f>+GETPIVOTDATA("XXB4",'xabang (2016)'!$A$3,"MA_HT","DGT","MA_QH","CLN")</f>
        <v>0</v>
      </c>
      <c r="L29" s="74">
        <f>+GETPIVOTDATA("XXB4",'xabang (2016)'!$A$3,"MA_HT","DGT","MA_QH","RSX")</f>
        <v>0</v>
      </c>
      <c r="M29" s="74">
        <f>+GETPIVOTDATA("XXB4",'xabang (2016)'!$A$3,"MA_HT","DGT","MA_QH","RPH")</f>
        <v>0</v>
      </c>
      <c r="N29" s="74">
        <f>+GETPIVOTDATA("XXB4",'xabang (2016)'!$A$3,"MA_HT","DGT","MA_QH","RDD")</f>
        <v>0</v>
      </c>
      <c r="O29" s="74">
        <f>+GETPIVOTDATA("XXB4",'xabang (2016)'!$A$3,"MA_HT","DGT","MA_QH","NTS")</f>
        <v>0</v>
      </c>
      <c r="P29" s="74">
        <f>+GETPIVOTDATA("XXB4",'xabang (2016)'!$A$3,"MA_HT","DGT","MA_QH","LMU")</f>
        <v>0</v>
      </c>
      <c r="Q29" s="74">
        <f>+GETPIVOTDATA("XXB4",'xabang (2016)'!$A$3,"MA_HT","DGT","MA_QH","NKH")</f>
        <v>0</v>
      </c>
      <c r="R29" s="72">
        <f>SUM(S29:AA29,AN29:BD29)</f>
        <v>0</v>
      </c>
      <c r="S29" s="74">
        <f>+GETPIVOTDATA("XXB4",'xabang (2016)'!$A$3,"MA_HT","DGT","MA_QH","CQP")</f>
        <v>0</v>
      </c>
      <c r="T29" s="74">
        <f>+GETPIVOTDATA("XXB4",'xabang (2016)'!$A$3,"MA_HT","DGT","MA_QH","CAN")</f>
        <v>0</v>
      </c>
      <c r="U29" s="74">
        <f>+GETPIVOTDATA("XXB4",'xabang (2016)'!$A$3,"MA_HT","DGT","MA_QH","SKK")</f>
        <v>0</v>
      </c>
      <c r="V29" s="74">
        <f>+GETPIVOTDATA("XXB4",'xabang (2016)'!$A$3,"MA_HT","DGT","MA_QH","SKT")</f>
        <v>0</v>
      </c>
      <c r="W29" s="74">
        <f>+GETPIVOTDATA("XXB4",'xabang (2016)'!$A$3,"MA_HT","DGT","MA_QH","SKN")</f>
        <v>0</v>
      </c>
      <c r="X29" s="74">
        <f>+GETPIVOTDATA("XXB4",'xabang (2016)'!$A$3,"MA_HT","DGT","MA_QH","TMD")</f>
        <v>0</v>
      </c>
      <c r="Y29" s="74">
        <f>+GETPIVOTDATA("XXB4",'xabang (2016)'!$A$3,"MA_HT","DGT","MA_QH","SKC")</f>
        <v>0</v>
      </c>
      <c r="Z29" s="74">
        <f>+GETPIVOTDATA("XXB4",'xabang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+GETPIVOTDATA("XXB4",'xabang (2016)'!$A$3,"MA_HT","DGT","MA_QH","DTL")</f>
        <v>0</v>
      </c>
      <c r="AD29" s="74">
        <f>+GETPIVOTDATA("XXB4",'xabang (2016)'!$A$3,"MA_HT","DGT","MA_QH","DNL")</f>
        <v>0</v>
      </c>
      <c r="AE29" s="74">
        <f>+GETPIVOTDATA("XXB4",'xabang (2016)'!$A$3,"MA_HT","DGT","MA_QH","DBV")</f>
        <v>0</v>
      </c>
      <c r="AF29" s="74">
        <f>+GETPIVOTDATA("XXB4",'xabang (2016)'!$A$3,"MA_HT","DGT","MA_QH","DVH")</f>
        <v>0</v>
      </c>
      <c r="AG29" s="74">
        <f>+GETPIVOTDATA("XXB4",'xabang (2016)'!$A$3,"MA_HT","DGT","MA_QH","DYT")</f>
        <v>0</v>
      </c>
      <c r="AH29" s="74">
        <f>+GETPIVOTDATA("XXB4",'xabang (2016)'!$A$3,"MA_HT","DGT","MA_QH","DGD")</f>
        <v>0</v>
      </c>
      <c r="AI29" s="74">
        <f>+GETPIVOTDATA("XXB4",'xabang (2016)'!$A$3,"MA_HT","DGT","MA_QH","DTT")</f>
        <v>0</v>
      </c>
      <c r="AJ29" s="74">
        <f>+GETPIVOTDATA("XXB4",'xabang (2016)'!$A$3,"MA_HT","DGT","MA_QH","NCK")</f>
        <v>0</v>
      </c>
      <c r="AK29" s="74">
        <f>+GETPIVOTDATA("XXB4",'xabang (2016)'!$A$3,"MA_HT","DGT","MA_QH","DXH")</f>
        <v>0</v>
      </c>
      <c r="AL29" s="74">
        <f>+GETPIVOTDATA("XXB4",'xabang (2016)'!$A$3,"MA_HT","DGT","MA_QH","DCH")</f>
        <v>0</v>
      </c>
      <c r="AM29" s="74">
        <f>+GETPIVOTDATA("XXB4",'xabang (2016)'!$A$3,"MA_HT","DGT","MA_QH","DKG")</f>
        <v>0</v>
      </c>
      <c r="AN29" s="74">
        <f>+GETPIVOTDATA("XXB4",'xabang (2016)'!$A$3,"MA_HT","DGT","MA_QH","DDT")</f>
        <v>0</v>
      </c>
      <c r="AO29" s="74">
        <f>+GETPIVOTDATA("XXB4",'xabang (2016)'!$A$3,"MA_HT","DGT","MA_QH","DDL")</f>
        <v>0</v>
      </c>
      <c r="AP29" s="74">
        <f>+GETPIVOTDATA("XXB4",'xabang (2016)'!$A$3,"MA_HT","DGT","MA_QH","DRA")</f>
        <v>0</v>
      </c>
      <c r="AQ29" s="74">
        <f>+GETPIVOTDATA("XXB4",'xabang (2016)'!$A$3,"MA_HT","DGT","MA_QH","ONT")</f>
        <v>0</v>
      </c>
      <c r="AR29" s="74">
        <f>+GETPIVOTDATA("XXB4",'xabang (2016)'!$A$3,"MA_HT","DGT","MA_QH","ODT")</f>
        <v>0</v>
      </c>
      <c r="AS29" s="74">
        <f>+GETPIVOTDATA("XXB4",'xabang (2016)'!$A$3,"MA_HT","DGT","MA_QH","TSC")</f>
        <v>0</v>
      </c>
      <c r="AT29" s="74">
        <f>+GETPIVOTDATA("XXB4",'xabang (2016)'!$A$3,"MA_HT","DGT","MA_QH","DTS")</f>
        <v>0</v>
      </c>
      <c r="AU29" s="74">
        <f>+GETPIVOTDATA("XXB4",'xabang (2016)'!$A$3,"MA_HT","DGT","MA_QH","DNG")</f>
        <v>0</v>
      </c>
      <c r="AV29" s="74">
        <f>+GETPIVOTDATA("XXB4",'xabang (2016)'!$A$3,"MA_HT","DGT","MA_QH","TON")</f>
        <v>0</v>
      </c>
      <c r="AW29" s="74">
        <f>+GETPIVOTDATA("XXB4",'xabang (2016)'!$A$3,"MA_HT","DGT","MA_QH","NTD")</f>
        <v>0</v>
      </c>
      <c r="AX29" s="74">
        <f>+GETPIVOTDATA("XXB4",'xabang (2016)'!$A$3,"MA_HT","DGT","MA_QH","SKX")</f>
        <v>0</v>
      </c>
      <c r="AY29" s="74">
        <f>+GETPIVOTDATA("XXB4",'xabang (2016)'!$A$3,"MA_HT","DGT","MA_QH","DSH")</f>
        <v>0</v>
      </c>
      <c r="AZ29" s="74">
        <f>+GETPIVOTDATA("XXB4",'xabang (2016)'!$A$3,"MA_HT","DGT","MA_QH","DKV")</f>
        <v>0</v>
      </c>
      <c r="BA29" s="139">
        <f>+GETPIVOTDATA("XXB4",'xabang (2016)'!$A$3,"MA_HT","DGT","MA_QH","TIN")</f>
        <v>0</v>
      </c>
      <c r="BB29" s="74">
        <f>+GETPIVOTDATA("XXB4",'xabang (2016)'!$A$3,"MA_HT","DGT","MA_QH","SON")</f>
        <v>0</v>
      </c>
      <c r="BC29" s="74">
        <f>+GETPIVOTDATA("XXB4",'xabang (2016)'!$A$3,"MA_HT","DGT","MA_QH","MNC")</f>
        <v>0</v>
      </c>
      <c r="BD29" s="74">
        <f>+GETPIVOTDATA("XXB4",'xabang (2016)'!$A$3,"MA_HT","DGT","MA_QH","PNK")</f>
        <v>0</v>
      </c>
      <c r="BE29" s="102">
        <f>+GETPIVOTDATA("XXB4",'xabang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+GETPIVOTDATA("XXB4",'xabang (2016)'!$A$3,"MA_HT","DTL","MA_QH","LUC")</f>
        <v>0</v>
      </c>
      <c r="H30" s="74">
        <f>+GETPIVOTDATA("XXB4",'xabang (2016)'!$A$3,"MA_HT","DTL","MA_QH","LUK")</f>
        <v>0</v>
      </c>
      <c r="I30" s="74">
        <f>+GETPIVOTDATA("XXB4",'xabang (2016)'!$A$3,"MA_HT","DTL","MA_QH","LUN")</f>
        <v>0</v>
      </c>
      <c r="J30" s="74">
        <f>+GETPIVOTDATA("XXB4",'xabang (2016)'!$A$3,"MA_HT","DTL","MA_QH","HNK")</f>
        <v>0</v>
      </c>
      <c r="K30" s="74">
        <f>+GETPIVOTDATA("XXB4",'xabang (2016)'!$A$3,"MA_HT","DTL","MA_QH","CLN")</f>
        <v>0</v>
      </c>
      <c r="L30" s="74">
        <f>+GETPIVOTDATA("XXB4",'xabang (2016)'!$A$3,"MA_HT","DTL","MA_QH","RSX")</f>
        <v>0</v>
      </c>
      <c r="M30" s="74">
        <f>+GETPIVOTDATA("XXB4",'xabang (2016)'!$A$3,"MA_HT","DTL","MA_QH","RPH")</f>
        <v>0</v>
      </c>
      <c r="N30" s="74">
        <f>+GETPIVOTDATA("XXB4",'xabang (2016)'!$A$3,"MA_HT","DTL","MA_QH","RDD")</f>
        <v>0</v>
      </c>
      <c r="O30" s="74">
        <f>+GETPIVOTDATA("XXB4",'xabang (2016)'!$A$3,"MA_HT","DTL","MA_QH","NTS")</f>
        <v>0</v>
      </c>
      <c r="P30" s="74">
        <f>+GETPIVOTDATA("XXB4",'xabang (2016)'!$A$3,"MA_HT","DTL","MA_QH","LMU")</f>
        <v>0</v>
      </c>
      <c r="Q30" s="74">
        <f>+GETPIVOTDATA("XXB4",'xabang (2016)'!$A$3,"MA_HT","DTL","MA_QH","NKH")</f>
        <v>0</v>
      </c>
      <c r="R30" s="72">
        <f t="shared" ref="R30:R39" si="20">SUM(S30:AA30,AN30:BD30)</f>
        <v>0</v>
      </c>
      <c r="S30" s="74">
        <f>+GETPIVOTDATA("XXB4",'xabang (2016)'!$A$3,"MA_HT","DTL","MA_QH","CQP")</f>
        <v>0</v>
      </c>
      <c r="T30" s="74">
        <f>+GETPIVOTDATA("XXB4",'xabang (2016)'!$A$3,"MA_HT","DTL","MA_QH","CAN")</f>
        <v>0</v>
      </c>
      <c r="U30" s="74">
        <f>+GETPIVOTDATA("XXB4",'xabang (2016)'!$A$3,"MA_HT","DTL","MA_QH","SKK")</f>
        <v>0</v>
      </c>
      <c r="V30" s="74">
        <f>+GETPIVOTDATA("XXB4",'xabang (2016)'!$A$3,"MA_HT","DTL","MA_QH","SKT")</f>
        <v>0</v>
      </c>
      <c r="W30" s="74">
        <f>+GETPIVOTDATA("XXB4",'xabang (2016)'!$A$3,"MA_HT","DTL","MA_QH","SKN")</f>
        <v>0</v>
      </c>
      <c r="X30" s="74">
        <f>+GETPIVOTDATA("XXB4",'xabang (2016)'!$A$3,"MA_HT","DTL","MA_QH","TMD")</f>
        <v>0</v>
      </c>
      <c r="Y30" s="74">
        <f>+GETPIVOTDATA("XXB4",'xabang (2016)'!$A$3,"MA_HT","DTL","MA_QH","SKC")</f>
        <v>0</v>
      </c>
      <c r="Z30" s="74">
        <f>+GETPIVOTDATA("XXB4",'xabang (2016)'!$A$3,"MA_HT","DTL","MA_QH","SKS")</f>
        <v>0</v>
      </c>
      <c r="AA30" s="64">
        <f>+SUM(AB30,AD30:AM30)</f>
        <v>0</v>
      </c>
      <c r="AB30" s="74">
        <f>+GETPIVOTDATA("XXB4",'xabang (2016)'!$A$3,"MA_HT","DTL","MA_QH","DGT")</f>
        <v>0</v>
      </c>
      <c r="AC30" s="100" t="e">
        <f>$D30-$BF30</f>
        <v>#REF!</v>
      </c>
      <c r="AD30" s="74">
        <f>+GETPIVOTDATA("XXB4",'xabang (2016)'!$A$3,"MA_HT","DTL","MA_QH","DNL")</f>
        <v>0</v>
      </c>
      <c r="AE30" s="74">
        <f>+GETPIVOTDATA("XXB4",'xabang (2016)'!$A$3,"MA_HT","DTL","MA_QH","DBV")</f>
        <v>0</v>
      </c>
      <c r="AF30" s="74">
        <f>+GETPIVOTDATA("XXB4",'xabang (2016)'!$A$3,"MA_HT","DTL","MA_QH","DVH")</f>
        <v>0</v>
      </c>
      <c r="AG30" s="74">
        <f>+GETPIVOTDATA("XXB4",'xabang (2016)'!$A$3,"MA_HT","DTL","MA_QH","DYT")</f>
        <v>0</v>
      </c>
      <c r="AH30" s="74">
        <f>+GETPIVOTDATA("XXB4",'xabang (2016)'!$A$3,"MA_HT","DTL","MA_QH","DGD")</f>
        <v>0</v>
      </c>
      <c r="AI30" s="74">
        <f>+GETPIVOTDATA("XXB4",'xabang (2016)'!$A$3,"MA_HT","DTL","MA_QH","DTT")</f>
        <v>0</v>
      </c>
      <c r="AJ30" s="74">
        <f>+GETPIVOTDATA("XXB4",'xabang (2016)'!$A$3,"MA_HT","DTL","MA_QH","NCK")</f>
        <v>0</v>
      </c>
      <c r="AK30" s="74">
        <f>+GETPIVOTDATA("XXB4",'xabang (2016)'!$A$3,"MA_HT","DTL","MA_QH","DXH")</f>
        <v>0</v>
      </c>
      <c r="AL30" s="74">
        <f>+GETPIVOTDATA("XXB4",'xabang (2016)'!$A$3,"MA_HT","DTL","MA_QH","DCH")</f>
        <v>0</v>
      </c>
      <c r="AM30" s="74">
        <f>+GETPIVOTDATA("XXB4",'xabang (2016)'!$A$3,"MA_HT","DTL","MA_QH","DKG")</f>
        <v>0</v>
      </c>
      <c r="AN30" s="74">
        <f>+GETPIVOTDATA("XXB4",'xabang (2016)'!$A$3,"MA_HT","DTL","MA_QH","DDT")</f>
        <v>0</v>
      </c>
      <c r="AO30" s="74">
        <f>+GETPIVOTDATA("XXB4",'xabang (2016)'!$A$3,"MA_HT","DTL","MA_QH","DDL")</f>
        <v>0</v>
      </c>
      <c r="AP30" s="74">
        <f>+GETPIVOTDATA("XXB4",'xabang (2016)'!$A$3,"MA_HT","DTL","MA_QH","DRA")</f>
        <v>0</v>
      </c>
      <c r="AQ30" s="74">
        <f>+GETPIVOTDATA("XXB4",'xabang (2016)'!$A$3,"MA_HT","DTL","MA_QH","ONT")</f>
        <v>0</v>
      </c>
      <c r="AR30" s="74">
        <f>+GETPIVOTDATA("XXB4",'xabang (2016)'!$A$3,"MA_HT","DTL","MA_QH","ODT")</f>
        <v>0</v>
      </c>
      <c r="AS30" s="74">
        <f>+GETPIVOTDATA("XXB4",'xabang (2016)'!$A$3,"MA_HT","DTL","MA_QH","TSC")</f>
        <v>0</v>
      </c>
      <c r="AT30" s="74">
        <f>+GETPIVOTDATA("XXB4",'xabang (2016)'!$A$3,"MA_HT","DTL","MA_QH","DTS")</f>
        <v>0</v>
      </c>
      <c r="AU30" s="74">
        <f>+GETPIVOTDATA("XXB4",'xabang (2016)'!$A$3,"MA_HT","DTL","MA_QH","DNG")</f>
        <v>0</v>
      </c>
      <c r="AV30" s="74">
        <f>+GETPIVOTDATA("XXB4",'xabang (2016)'!$A$3,"MA_HT","DTL","MA_QH","TON")</f>
        <v>0</v>
      </c>
      <c r="AW30" s="74">
        <f>+GETPIVOTDATA("XXB4",'xabang (2016)'!$A$3,"MA_HT","DTL","MA_QH","NTD")</f>
        <v>0</v>
      </c>
      <c r="AX30" s="74">
        <f>+GETPIVOTDATA("XXB4",'xabang (2016)'!$A$3,"MA_HT","DTL","MA_QH","SKX")</f>
        <v>0</v>
      </c>
      <c r="AY30" s="74">
        <f>+GETPIVOTDATA("XXB4",'xabang (2016)'!$A$3,"MA_HT","DTL","MA_QH","DSH")</f>
        <v>0</v>
      </c>
      <c r="AZ30" s="74">
        <f>+GETPIVOTDATA("XXB4",'xabang (2016)'!$A$3,"MA_HT","DTL","MA_QH","DKV")</f>
        <v>0</v>
      </c>
      <c r="BA30" s="139">
        <f>+GETPIVOTDATA("XXB4",'xabang (2016)'!$A$3,"MA_HT","DTL","MA_QH","TIN")</f>
        <v>0</v>
      </c>
      <c r="BB30" s="74">
        <f>+GETPIVOTDATA("XXB4",'xabang (2016)'!$A$3,"MA_HT","DTL","MA_QH","SON")</f>
        <v>0</v>
      </c>
      <c r="BC30" s="74">
        <f>+GETPIVOTDATA("XXB4",'xabang (2016)'!$A$3,"MA_HT","DTL","MA_QH","MNC")</f>
        <v>0</v>
      </c>
      <c r="BD30" s="74">
        <f>+GETPIVOTDATA("XXB4",'xabang (2016)'!$A$3,"MA_HT","DTL","MA_QH","PNK")</f>
        <v>0</v>
      </c>
      <c r="BE30" s="102">
        <f>+GETPIVOTDATA("XXB4",'xabang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+GETPIVOTDATA("XXB4",'xabang (2016)'!$A$3,"MA_HT","DNL","MA_QH","LUC")</f>
        <v>0</v>
      </c>
      <c r="H31" s="74">
        <f>+GETPIVOTDATA("XXB4",'xabang (2016)'!$A$3,"MA_HT","DNL","MA_QH","LUK")</f>
        <v>0</v>
      </c>
      <c r="I31" s="74">
        <f>+GETPIVOTDATA("XXB4",'xabang (2016)'!$A$3,"MA_HT","DNL","MA_QH","LUN")</f>
        <v>0</v>
      </c>
      <c r="J31" s="74">
        <f>+GETPIVOTDATA("XXB4",'xabang (2016)'!$A$3,"MA_HT","DNL","MA_QH","HNK")</f>
        <v>0</v>
      </c>
      <c r="K31" s="74">
        <f>+GETPIVOTDATA("XXB4",'xabang (2016)'!$A$3,"MA_HT","DNL","MA_QH","CLN")</f>
        <v>0</v>
      </c>
      <c r="L31" s="74">
        <f>+GETPIVOTDATA("XXB4",'xabang (2016)'!$A$3,"MA_HT","DNL","MA_QH","RSX")</f>
        <v>0</v>
      </c>
      <c r="M31" s="74">
        <f>+GETPIVOTDATA("XXB4",'xabang (2016)'!$A$3,"MA_HT","DNL","MA_QH","RPH")</f>
        <v>0</v>
      </c>
      <c r="N31" s="74">
        <f>+GETPIVOTDATA("XXB4",'xabang (2016)'!$A$3,"MA_HT","DNL","MA_QH","RDD")</f>
        <v>0</v>
      </c>
      <c r="O31" s="74">
        <f>+GETPIVOTDATA("XXB4",'xabang (2016)'!$A$3,"MA_HT","DNL","MA_QH","NTS")</f>
        <v>0</v>
      </c>
      <c r="P31" s="74">
        <f>+GETPIVOTDATA("XXB4",'xabang (2016)'!$A$3,"MA_HT","DNL","MA_QH","LMU")</f>
        <v>0</v>
      </c>
      <c r="Q31" s="74">
        <f>+GETPIVOTDATA("XXB4",'xabang (2016)'!$A$3,"MA_HT","DNL","MA_QH","NKH")</f>
        <v>0</v>
      </c>
      <c r="R31" s="72">
        <f t="shared" si="20"/>
        <v>0</v>
      </c>
      <c r="S31" s="74">
        <f>+GETPIVOTDATA("XXB4",'xabang (2016)'!$A$3,"MA_HT","DNL","MA_QH","CQP")</f>
        <v>0</v>
      </c>
      <c r="T31" s="74">
        <f>+GETPIVOTDATA("XXB4",'xabang (2016)'!$A$3,"MA_HT","DNL","MA_QH","CAN")</f>
        <v>0</v>
      </c>
      <c r="U31" s="74">
        <f>+GETPIVOTDATA("XXB4",'xabang (2016)'!$A$3,"MA_HT","DNL","MA_QH","SKK")</f>
        <v>0</v>
      </c>
      <c r="V31" s="74">
        <f>+GETPIVOTDATA("XXB4",'xabang (2016)'!$A$3,"MA_HT","DNL","MA_QH","SKT")</f>
        <v>0</v>
      </c>
      <c r="W31" s="74">
        <f>+GETPIVOTDATA("XXB4",'xabang (2016)'!$A$3,"MA_HT","DNL","MA_QH","SKN")</f>
        <v>0</v>
      </c>
      <c r="X31" s="74">
        <f>+GETPIVOTDATA("XXB4",'xabang (2016)'!$A$3,"MA_HT","DNL","MA_QH","TMD")</f>
        <v>0</v>
      </c>
      <c r="Y31" s="74">
        <f>+GETPIVOTDATA("XXB4",'xabang (2016)'!$A$3,"MA_HT","DNL","MA_QH","SKC")</f>
        <v>0</v>
      </c>
      <c r="Z31" s="74">
        <f>+GETPIVOTDATA("XXB4",'xabang (2016)'!$A$3,"MA_HT","DNL","MA_QH","SKS")</f>
        <v>0</v>
      </c>
      <c r="AA31" s="64">
        <f>+SUM(AB31:AC31,AE31:AM31)</f>
        <v>0</v>
      </c>
      <c r="AB31" s="74">
        <f>+GETPIVOTDATA("XXB4",'xabang (2016)'!$A$3,"MA_HT","DNL","MA_QH","DGT")</f>
        <v>0</v>
      </c>
      <c r="AC31" s="74">
        <f>+GETPIVOTDATA("XXB4",'xabang (2016)'!$A$3,"MA_HT","DNL","MA_QH","DTL")</f>
        <v>0</v>
      </c>
      <c r="AD31" s="100" t="e">
        <f>$D31-$BF31</f>
        <v>#REF!</v>
      </c>
      <c r="AE31" s="74">
        <f>+GETPIVOTDATA("XXB4",'xabang (2016)'!$A$3,"MA_HT","DNL","MA_QH","DBV")</f>
        <v>0</v>
      </c>
      <c r="AF31" s="74">
        <f>+GETPIVOTDATA("XXB4",'xabang (2016)'!$A$3,"MA_HT","DNL","MA_QH","DVH")</f>
        <v>0</v>
      </c>
      <c r="AG31" s="74">
        <f>+GETPIVOTDATA("XXB4",'xabang (2016)'!$A$3,"MA_HT","DNL","MA_QH","DYT")</f>
        <v>0</v>
      </c>
      <c r="AH31" s="74">
        <f>+GETPIVOTDATA("XXB4",'xabang (2016)'!$A$3,"MA_HT","DNL","MA_QH","DGD")</f>
        <v>0</v>
      </c>
      <c r="AI31" s="74">
        <f>+GETPIVOTDATA("XXB4",'xabang (2016)'!$A$3,"MA_HT","DNL","MA_QH","DTT")</f>
        <v>0</v>
      </c>
      <c r="AJ31" s="74">
        <f>+GETPIVOTDATA("XXB4",'xabang (2016)'!$A$3,"MA_HT","DNL","MA_QH","NCK")</f>
        <v>0</v>
      </c>
      <c r="AK31" s="74">
        <f>+GETPIVOTDATA("XXB4",'xabang (2016)'!$A$3,"MA_HT","DNL","MA_QH","DXH")</f>
        <v>0</v>
      </c>
      <c r="AL31" s="74">
        <f>+GETPIVOTDATA("XXB4",'xabang (2016)'!$A$3,"MA_HT","DNL","MA_QH","DCH")</f>
        <v>0</v>
      </c>
      <c r="AM31" s="74">
        <f>+GETPIVOTDATA("XXB4",'xabang (2016)'!$A$3,"MA_HT","DNL","MA_QH","DKG")</f>
        <v>0</v>
      </c>
      <c r="AN31" s="74">
        <f>+GETPIVOTDATA("XXB4",'xabang (2016)'!$A$3,"MA_HT","DNL","MA_QH","DDT")</f>
        <v>0</v>
      </c>
      <c r="AO31" s="74">
        <f>+GETPIVOTDATA("XXB4",'xabang (2016)'!$A$3,"MA_HT","DNL","MA_QH","DDL")</f>
        <v>0</v>
      </c>
      <c r="AP31" s="74">
        <f>+GETPIVOTDATA("XXB4",'xabang (2016)'!$A$3,"MA_HT","DNL","MA_QH","DRA")</f>
        <v>0</v>
      </c>
      <c r="AQ31" s="74">
        <f>+GETPIVOTDATA("XXB4",'xabang (2016)'!$A$3,"MA_HT","DNL","MA_QH","ONT")</f>
        <v>0</v>
      </c>
      <c r="AR31" s="74">
        <f>+GETPIVOTDATA("XXB4",'xabang (2016)'!$A$3,"MA_HT","DNL","MA_QH","ODT")</f>
        <v>0</v>
      </c>
      <c r="AS31" s="74">
        <f>+GETPIVOTDATA("XXB4",'xabang (2016)'!$A$3,"MA_HT","DNL","MA_QH","TSC")</f>
        <v>0</v>
      </c>
      <c r="AT31" s="74">
        <f>+GETPIVOTDATA("XXB4",'xabang (2016)'!$A$3,"MA_HT","DNL","MA_QH","DTS")</f>
        <v>0</v>
      </c>
      <c r="AU31" s="74">
        <f>+GETPIVOTDATA("XXB4",'xabang (2016)'!$A$3,"MA_HT","DNL","MA_QH","DNG")</f>
        <v>0</v>
      </c>
      <c r="AV31" s="74">
        <f>+GETPIVOTDATA("XXB4",'xabang (2016)'!$A$3,"MA_HT","DNL","MA_QH","TON")</f>
        <v>0</v>
      </c>
      <c r="AW31" s="74">
        <f>+GETPIVOTDATA("XXB4",'xabang (2016)'!$A$3,"MA_HT","DNL","MA_QH","NTD")</f>
        <v>0</v>
      </c>
      <c r="AX31" s="74">
        <f>+GETPIVOTDATA("XXB4",'xabang (2016)'!$A$3,"MA_HT","DNL","MA_QH","SKX")</f>
        <v>0</v>
      </c>
      <c r="AY31" s="74">
        <f>+GETPIVOTDATA("XXB4",'xabang (2016)'!$A$3,"MA_HT","DNL","MA_QH","DSH")</f>
        <v>0</v>
      </c>
      <c r="AZ31" s="74">
        <f>+GETPIVOTDATA("XXB4",'xabang (2016)'!$A$3,"MA_HT","DNL","MA_QH","DKV")</f>
        <v>0</v>
      </c>
      <c r="BA31" s="139">
        <f>+GETPIVOTDATA("XXB4",'xabang (2016)'!$A$3,"MA_HT","DNL","MA_QH","TIN")</f>
        <v>0</v>
      </c>
      <c r="BB31" s="74">
        <f>+GETPIVOTDATA("XXB4",'xabang (2016)'!$A$3,"MA_HT","DNL","MA_QH","SON")</f>
        <v>0</v>
      </c>
      <c r="BC31" s="74">
        <f>+GETPIVOTDATA("XXB4",'xabang (2016)'!$A$3,"MA_HT","DNL","MA_QH","MNC")</f>
        <v>0</v>
      </c>
      <c r="BD31" s="74">
        <f>+GETPIVOTDATA("XXB4",'xabang (2016)'!$A$3,"MA_HT","DNL","MA_QH","PNK")</f>
        <v>0</v>
      </c>
      <c r="BE31" s="102">
        <f>+GETPIVOTDATA("XXB4",'xabang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+GETPIVOTDATA("XXB4",'xabang (2016)'!$A$3,"MA_HT","DBV","MA_QH","LUC")</f>
        <v>0</v>
      </c>
      <c r="H32" s="74">
        <f>+GETPIVOTDATA("XXB4",'xabang (2016)'!$A$3,"MA_HT","DBV","MA_QH","LUK")</f>
        <v>0</v>
      </c>
      <c r="I32" s="74">
        <f>+GETPIVOTDATA("XXB4",'xabang (2016)'!$A$3,"MA_HT","DBV","MA_QH","LUN")</f>
        <v>0</v>
      </c>
      <c r="J32" s="74">
        <f>+GETPIVOTDATA("XXB4",'xabang (2016)'!$A$3,"MA_HT","DBV","MA_QH","HNK")</f>
        <v>0</v>
      </c>
      <c r="K32" s="74">
        <f>+GETPIVOTDATA("XXB4",'xabang (2016)'!$A$3,"MA_HT","DBV","MA_QH","CLN")</f>
        <v>0</v>
      </c>
      <c r="L32" s="74">
        <f>+GETPIVOTDATA("XXB4",'xabang (2016)'!$A$3,"MA_HT","DBV","MA_QH","RSX")</f>
        <v>0</v>
      </c>
      <c r="M32" s="74">
        <f>+GETPIVOTDATA("XXB4",'xabang (2016)'!$A$3,"MA_HT","DBV","MA_QH","RPH")</f>
        <v>0</v>
      </c>
      <c r="N32" s="74">
        <f>+GETPIVOTDATA("XXB4",'xabang (2016)'!$A$3,"MA_HT","DBV","MA_QH","RDD")</f>
        <v>0</v>
      </c>
      <c r="O32" s="74">
        <f>+GETPIVOTDATA("XXB4",'xabang (2016)'!$A$3,"MA_HT","DBV","MA_QH","NTS")</f>
        <v>0</v>
      </c>
      <c r="P32" s="74">
        <f>+GETPIVOTDATA("XXB4",'xabang (2016)'!$A$3,"MA_HT","DBV","MA_QH","LMU")</f>
        <v>0</v>
      </c>
      <c r="Q32" s="74">
        <f>+GETPIVOTDATA("XXB4",'xabang (2016)'!$A$3,"MA_HT","DBV","MA_QH","NKH")</f>
        <v>0</v>
      </c>
      <c r="R32" s="72">
        <f t="shared" si="20"/>
        <v>0</v>
      </c>
      <c r="S32" s="74">
        <f>+GETPIVOTDATA("XXB4",'xabang (2016)'!$A$3,"MA_HT","DBV","MA_QH","CQP")</f>
        <v>0</v>
      </c>
      <c r="T32" s="74">
        <f>+GETPIVOTDATA("XXB4",'xabang (2016)'!$A$3,"MA_HT","DBV","MA_QH","CAN")</f>
        <v>0</v>
      </c>
      <c r="U32" s="74">
        <f>+GETPIVOTDATA("XXB4",'xabang (2016)'!$A$3,"MA_HT","DBV","MA_QH","SKK")</f>
        <v>0</v>
      </c>
      <c r="V32" s="74">
        <f>+GETPIVOTDATA("XXB4",'xabang (2016)'!$A$3,"MA_HT","DBV","MA_QH","SKT")</f>
        <v>0</v>
      </c>
      <c r="W32" s="74">
        <f>+GETPIVOTDATA("XXB4",'xabang (2016)'!$A$3,"MA_HT","DBV","MA_QH","SKN")</f>
        <v>0</v>
      </c>
      <c r="X32" s="74">
        <f>+GETPIVOTDATA("XXB4",'xabang (2016)'!$A$3,"MA_HT","DBV","MA_QH","TMD")</f>
        <v>0</v>
      </c>
      <c r="Y32" s="74">
        <f>+GETPIVOTDATA("XXB4",'xabang (2016)'!$A$3,"MA_HT","DBV","MA_QH","SKC")</f>
        <v>0</v>
      </c>
      <c r="Z32" s="74">
        <f>+GETPIVOTDATA("XXB4",'xabang (2016)'!$A$3,"MA_HT","DBV","MA_QH","SKS")</f>
        <v>0</v>
      </c>
      <c r="AA32" s="64">
        <f>+SUM(AB32:AD32,AF32:AM32)</f>
        <v>0</v>
      </c>
      <c r="AB32" s="74">
        <f>+GETPIVOTDATA("XXB4",'xabang (2016)'!$A$3,"MA_HT","DBV","MA_QH","DGT")</f>
        <v>0</v>
      </c>
      <c r="AC32" s="74">
        <f>+GETPIVOTDATA("XXB4",'xabang (2016)'!$A$3,"MA_HT","DBV","MA_QH","DTL")</f>
        <v>0</v>
      </c>
      <c r="AD32" s="74">
        <f>+GETPIVOTDATA("XXB4",'xabang (2016)'!$A$3,"MA_HT","DBV","MA_QH","DNL")</f>
        <v>0</v>
      </c>
      <c r="AE32" s="100" t="e">
        <f>$D32-$BF32</f>
        <v>#REF!</v>
      </c>
      <c r="AF32" s="74">
        <f>+GETPIVOTDATA("XXB4",'xabang (2016)'!$A$3,"MA_HT","DBV","MA_QH","DVH")</f>
        <v>0</v>
      </c>
      <c r="AG32" s="74">
        <f>+GETPIVOTDATA("XXB4",'xabang (2016)'!$A$3,"MA_HT","DBV","MA_QH","DYT")</f>
        <v>0</v>
      </c>
      <c r="AH32" s="74">
        <f>+GETPIVOTDATA("XXB4",'xabang (2016)'!$A$3,"MA_HT","DBV","MA_QH","DGD")</f>
        <v>0</v>
      </c>
      <c r="AI32" s="74">
        <f>+GETPIVOTDATA("XXB4",'xabang (2016)'!$A$3,"MA_HT","DBV","MA_QH","DTT")</f>
        <v>0</v>
      </c>
      <c r="AJ32" s="74">
        <f>+GETPIVOTDATA("XXB4",'xabang (2016)'!$A$3,"MA_HT","DBV","MA_QH","NCK")</f>
        <v>0</v>
      </c>
      <c r="AK32" s="74">
        <f>+GETPIVOTDATA("XXB4",'xabang (2016)'!$A$3,"MA_HT","DBV","MA_QH","DXH")</f>
        <v>0</v>
      </c>
      <c r="AL32" s="74">
        <f>+GETPIVOTDATA("XXB4",'xabang (2016)'!$A$3,"MA_HT","DBV","MA_QH","DCH")</f>
        <v>0</v>
      </c>
      <c r="AM32" s="74">
        <f>+GETPIVOTDATA("XXB4",'xabang (2016)'!$A$3,"MA_HT","DBV","MA_QH","DKG")</f>
        <v>0</v>
      </c>
      <c r="AN32" s="74">
        <f>+GETPIVOTDATA("XXB4",'xabang (2016)'!$A$3,"MA_HT","DBV","MA_QH","DDT")</f>
        <v>0</v>
      </c>
      <c r="AO32" s="74">
        <f>+GETPIVOTDATA("XXB4",'xabang (2016)'!$A$3,"MA_HT","DBV","MA_QH","DDL")</f>
        <v>0</v>
      </c>
      <c r="AP32" s="74">
        <f>+GETPIVOTDATA("XXB4",'xabang (2016)'!$A$3,"MA_HT","DBV","MA_QH","DRA")</f>
        <v>0</v>
      </c>
      <c r="AQ32" s="74">
        <f>+GETPIVOTDATA("XXB4",'xabang (2016)'!$A$3,"MA_HT","DBV","MA_QH","ONT")</f>
        <v>0</v>
      </c>
      <c r="AR32" s="74">
        <f>+GETPIVOTDATA("XXB4",'xabang (2016)'!$A$3,"MA_HT","DBV","MA_QH","ODT")</f>
        <v>0</v>
      </c>
      <c r="AS32" s="74">
        <f>+GETPIVOTDATA("XXB4",'xabang (2016)'!$A$3,"MA_HT","DBV","MA_QH","TSC")</f>
        <v>0</v>
      </c>
      <c r="AT32" s="74">
        <f>+GETPIVOTDATA("XXB4",'xabang (2016)'!$A$3,"MA_HT","DBV","MA_QH","DTS")</f>
        <v>0</v>
      </c>
      <c r="AU32" s="74">
        <f>+GETPIVOTDATA("XXB4",'xabang (2016)'!$A$3,"MA_HT","DBV","MA_QH","DNG")</f>
        <v>0</v>
      </c>
      <c r="AV32" s="74">
        <f>+GETPIVOTDATA("XXB4",'xabang (2016)'!$A$3,"MA_HT","DBV","MA_QH","TON")</f>
        <v>0</v>
      </c>
      <c r="AW32" s="74">
        <f>+GETPIVOTDATA("XXB4",'xabang (2016)'!$A$3,"MA_HT","DBV","MA_QH","NTD")</f>
        <v>0</v>
      </c>
      <c r="AX32" s="74">
        <f>+GETPIVOTDATA("XXB4",'xabang (2016)'!$A$3,"MA_HT","DBV","MA_QH","SKX")</f>
        <v>0</v>
      </c>
      <c r="AY32" s="74">
        <f>+GETPIVOTDATA("XXB4",'xabang (2016)'!$A$3,"MA_HT","DBV","MA_QH","DSH")</f>
        <v>0</v>
      </c>
      <c r="AZ32" s="74">
        <f>+GETPIVOTDATA("XXB4",'xabang (2016)'!$A$3,"MA_HT","DBV","MA_QH","DKV")</f>
        <v>0</v>
      </c>
      <c r="BA32" s="139">
        <f>+GETPIVOTDATA("XXB4",'xabang (2016)'!$A$3,"MA_HT","DBV","MA_QH","TIN")</f>
        <v>0</v>
      </c>
      <c r="BB32" s="74">
        <f>+GETPIVOTDATA("XXB4",'xabang (2016)'!$A$3,"MA_HT","DBV","MA_QH","SON")</f>
        <v>0</v>
      </c>
      <c r="BC32" s="74">
        <f>+GETPIVOTDATA("XXB4",'xabang (2016)'!$A$3,"MA_HT","DBV","MA_QH","MNC")</f>
        <v>0</v>
      </c>
      <c r="BD32" s="74">
        <f>+GETPIVOTDATA("XXB4",'xabang (2016)'!$A$3,"MA_HT","DBV","MA_QH","PNK")</f>
        <v>0</v>
      </c>
      <c r="BE32" s="102">
        <f>+GETPIVOTDATA("XXB4",'xabang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+GETPIVOTDATA("XXB4",'xabang (2016)'!$A$3,"MA_HT","DVH","MA_QH","LUC")</f>
        <v>0</v>
      </c>
      <c r="H33" s="74">
        <f>+GETPIVOTDATA("XXB4",'xabang (2016)'!$A$3,"MA_HT","DVH","MA_QH","LUK")</f>
        <v>0</v>
      </c>
      <c r="I33" s="74">
        <f>+GETPIVOTDATA("XXB4",'xabang (2016)'!$A$3,"MA_HT","DVH","MA_QH","LUN")</f>
        <v>0</v>
      </c>
      <c r="J33" s="74">
        <f>+GETPIVOTDATA("XXB4",'xabang (2016)'!$A$3,"MA_HT","DVH","MA_QH","HNK")</f>
        <v>0</v>
      </c>
      <c r="K33" s="74">
        <f>+GETPIVOTDATA("XXB4",'xabang (2016)'!$A$3,"MA_HT","DVH","MA_QH","CLN")</f>
        <v>0</v>
      </c>
      <c r="L33" s="74">
        <f>+GETPIVOTDATA("XXB4",'xabang (2016)'!$A$3,"MA_HT","DVH","MA_QH","RSX")</f>
        <v>0</v>
      </c>
      <c r="M33" s="74">
        <f>+GETPIVOTDATA("XXB4",'xabang (2016)'!$A$3,"MA_HT","DVH","MA_QH","RPH")</f>
        <v>0</v>
      </c>
      <c r="N33" s="74">
        <f>+GETPIVOTDATA("XXB4",'xabang (2016)'!$A$3,"MA_HT","DVH","MA_QH","RDD")</f>
        <v>0</v>
      </c>
      <c r="O33" s="74">
        <f>+GETPIVOTDATA("XXB4",'xabang (2016)'!$A$3,"MA_HT","DVH","MA_QH","NTS")</f>
        <v>0</v>
      </c>
      <c r="P33" s="74">
        <f>+GETPIVOTDATA("XXB4",'xabang (2016)'!$A$3,"MA_HT","DVH","MA_QH","LMU")</f>
        <v>0</v>
      </c>
      <c r="Q33" s="74">
        <f>+GETPIVOTDATA("XXB4",'xabang (2016)'!$A$3,"MA_HT","DVH","MA_QH","NKH")</f>
        <v>0</v>
      </c>
      <c r="R33" s="72">
        <f t="shared" si="20"/>
        <v>0</v>
      </c>
      <c r="S33" s="74">
        <f>+GETPIVOTDATA("XXB4",'xabang (2016)'!$A$3,"MA_HT","DVH","MA_QH","CQP")</f>
        <v>0</v>
      </c>
      <c r="T33" s="74">
        <f>+GETPIVOTDATA("XXB4",'xabang (2016)'!$A$3,"MA_HT","DVH","MA_QH","CAN")</f>
        <v>0</v>
      </c>
      <c r="U33" s="74">
        <f>+GETPIVOTDATA("XXB4",'xabang (2016)'!$A$3,"MA_HT","DVH","MA_QH","SKK")</f>
        <v>0</v>
      </c>
      <c r="V33" s="74">
        <f>+GETPIVOTDATA("XXB4",'xabang (2016)'!$A$3,"MA_HT","DVH","MA_QH","SKT")</f>
        <v>0</v>
      </c>
      <c r="W33" s="74">
        <f>+GETPIVOTDATA("XXB4",'xabang (2016)'!$A$3,"MA_HT","DVH","MA_QH","SKN")</f>
        <v>0</v>
      </c>
      <c r="X33" s="74">
        <f>+GETPIVOTDATA("XXB4",'xabang (2016)'!$A$3,"MA_HT","DVH","MA_QH","TMD")</f>
        <v>0</v>
      </c>
      <c r="Y33" s="74">
        <f>+GETPIVOTDATA("XXB4",'xabang (2016)'!$A$3,"MA_HT","DVH","MA_QH","SKC")</f>
        <v>0</v>
      </c>
      <c r="Z33" s="74">
        <f>+GETPIVOTDATA("XXB4",'xabang (2016)'!$A$3,"MA_HT","DVH","MA_QH","SKS")</f>
        <v>0</v>
      </c>
      <c r="AA33" s="64">
        <f>+SUM(AB33:AE33,AG33:AM33)</f>
        <v>0</v>
      </c>
      <c r="AB33" s="74">
        <f>+GETPIVOTDATA("XXB4",'xabang (2016)'!$A$3,"MA_HT","DVH","MA_QH","DGT")</f>
        <v>0</v>
      </c>
      <c r="AC33" s="74">
        <f>+GETPIVOTDATA("XXB4",'xabang (2016)'!$A$3,"MA_HT","DVH","MA_QH","DTL")</f>
        <v>0</v>
      </c>
      <c r="AD33" s="74">
        <f>+GETPIVOTDATA("XXB4",'xabang (2016)'!$A$3,"MA_HT","DVH","MA_QH","DNL")</f>
        <v>0</v>
      </c>
      <c r="AE33" s="74">
        <f>+GETPIVOTDATA("XXB4",'xabang (2016)'!$A$3,"MA_HT","DVH","MA_QH","DBV")</f>
        <v>0</v>
      </c>
      <c r="AF33" s="100" t="e">
        <f>$D33-$BF33</f>
        <v>#REF!</v>
      </c>
      <c r="AG33" s="74">
        <f>+GETPIVOTDATA("XXB4",'xabang (2016)'!$A$3,"MA_HT","DVH","MA_QH","DYT")</f>
        <v>0</v>
      </c>
      <c r="AH33" s="74">
        <f>+GETPIVOTDATA("XXB4",'xabang (2016)'!$A$3,"MA_HT","DVH","MA_QH","DGD")</f>
        <v>0</v>
      </c>
      <c r="AI33" s="74">
        <f>+GETPIVOTDATA("XXB4",'xabang (2016)'!$A$3,"MA_HT","DVH","MA_QH","DTT")</f>
        <v>0</v>
      </c>
      <c r="AJ33" s="74">
        <f>+GETPIVOTDATA("XXB4",'xabang (2016)'!$A$3,"MA_HT","DVH","MA_QH","NCK")</f>
        <v>0</v>
      </c>
      <c r="AK33" s="74">
        <f>+GETPIVOTDATA("XXB4",'xabang (2016)'!$A$3,"MA_HT","DVH","MA_QH","DXH")</f>
        <v>0</v>
      </c>
      <c r="AL33" s="74">
        <f>+GETPIVOTDATA("XXB4",'xabang (2016)'!$A$3,"MA_HT","DVH","MA_QH","DCH")</f>
        <v>0</v>
      </c>
      <c r="AM33" s="74">
        <f>+GETPIVOTDATA("XXB4",'xabang (2016)'!$A$3,"MA_HT","DVH","MA_QH","DKG")</f>
        <v>0</v>
      </c>
      <c r="AN33" s="74">
        <f>+GETPIVOTDATA("XXB4",'xabang (2016)'!$A$3,"MA_HT","DVH","MA_QH","DDT")</f>
        <v>0</v>
      </c>
      <c r="AO33" s="74">
        <f>+GETPIVOTDATA("XXB4",'xabang (2016)'!$A$3,"MA_HT","DVH","MA_QH","DDL")</f>
        <v>0</v>
      </c>
      <c r="AP33" s="74">
        <f>+GETPIVOTDATA("XXB4",'xabang (2016)'!$A$3,"MA_HT","DVH","MA_QH","DRA")</f>
        <v>0</v>
      </c>
      <c r="AQ33" s="74">
        <f>+GETPIVOTDATA("XXB4",'xabang (2016)'!$A$3,"MA_HT","DVH","MA_QH","ONT")</f>
        <v>0</v>
      </c>
      <c r="AR33" s="74">
        <f>+GETPIVOTDATA("XXB4",'xabang (2016)'!$A$3,"MA_HT","DVH","MA_QH","ODT")</f>
        <v>0</v>
      </c>
      <c r="AS33" s="74">
        <f>+GETPIVOTDATA("XXB4",'xabang (2016)'!$A$3,"MA_HT","DVH","MA_QH","TSC")</f>
        <v>0</v>
      </c>
      <c r="AT33" s="74">
        <f>+GETPIVOTDATA("XXB4",'xabang (2016)'!$A$3,"MA_HT","DVH","MA_QH","DTS")</f>
        <v>0</v>
      </c>
      <c r="AU33" s="74">
        <f>+GETPIVOTDATA("XXB4",'xabang (2016)'!$A$3,"MA_HT","DVH","MA_QH","DNG")</f>
        <v>0</v>
      </c>
      <c r="AV33" s="74">
        <f>+GETPIVOTDATA("XXB4",'xabang (2016)'!$A$3,"MA_HT","DVH","MA_QH","TON")</f>
        <v>0</v>
      </c>
      <c r="AW33" s="74">
        <f>+GETPIVOTDATA("XXB4",'xabang (2016)'!$A$3,"MA_HT","DVH","MA_QH","NTD")</f>
        <v>0</v>
      </c>
      <c r="AX33" s="74">
        <f>+GETPIVOTDATA("XXB4",'xabang (2016)'!$A$3,"MA_HT","DVH","MA_QH","SKX")</f>
        <v>0</v>
      </c>
      <c r="AY33" s="74">
        <f>+GETPIVOTDATA("XXB4",'xabang (2016)'!$A$3,"MA_HT","DVH","MA_QH","DSH")</f>
        <v>0</v>
      </c>
      <c r="AZ33" s="74">
        <f>+GETPIVOTDATA("XXB4",'xabang (2016)'!$A$3,"MA_HT","DVH","MA_QH","DKV")</f>
        <v>0</v>
      </c>
      <c r="BA33" s="139">
        <f>+GETPIVOTDATA("XXB4",'xabang (2016)'!$A$3,"MA_HT","DVH","MA_QH","TIN")</f>
        <v>0</v>
      </c>
      <c r="BB33" s="74">
        <f>+GETPIVOTDATA("XXB4",'xabang (2016)'!$A$3,"MA_HT","DVH","MA_QH","SON")</f>
        <v>0</v>
      </c>
      <c r="BC33" s="74">
        <f>+GETPIVOTDATA("XXB4",'xabang (2016)'!$A$3,"MA_HT","DVH","MA_QH","MNC")</f>
        <v>0</v>
      </c>
      <c r="BD33" s="74">
        <f>+GETPIVOTDATA("XXB4",'xabang (2016)'!$A$3,"MA_HT","DVH","MA_QH","PNK")</f>
        <v>0</v>
      </c>
      <c r="BE33" s="102">
        <f>+GETPIVOTDATA("XXB4",'xabang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+GETPIVOTDATA("XXB4",'xabang (2016)'!$A$3,"MA_HT","DYT","MA_QH","LUC")</f>
        <v>0</v>
      </c>
      <c r="H34" s="74">
        <f>+GETPIVOTDATA("XXB4",'xabang (2016)'!$A$3,"MA_HT","DYT","MA_QH","LUK")</f>
        <v>0</v>
      </c>
      <c r="I34" s="74">
        <f>+GETPIVOTDATA("XXB4",'xabang (2016)'!$A$3,"MA_HT","DYT","MA_QH","LUN")</f>
        <v>0</v>
      </c>
      <c r="J34" s="74">
        <f>+GETPIVOTDATA("XXB4",'xabang (2016)'!$A$3,"MA_HT","DYT","MA_QH","HNK")</f>
        <v>0</v>
      </c>
      <c r="K34" s="74">
        <f>+GETPIVOTDATA("XXB4",'xabang (2016)'!$A$3,"MA_HT","DYT","MA_QH","CLN")</f>
        <v>0</v>
      </c>
      <c r="L34" s="74">
        <f>+GETPIVOTDATA("XXB4",'xabang (2016)'!$A$3,"MA_HT","DYT","MA_QH","RSX")</f>
        <v>0</v>
      </c>
      <c r="M34" s="74">
        <f>+GETPIVOTDATA("XXB4",'xabang (2016)'!$A$3,"MA_HT","DYT","MA_QH","RPH")</f>
        <v>0</v>
      </c>
      <c r="N34" s="74">
        <f>+GETPIVOTDATA("XXB4",'xabang (2016)'!$A$3,"MA_HT","DYT","MA_QH","RDD")</f>
        <v>0</v>
      </c>
      <c r="O34" s="74">
        <f>+GETPIVOTDATA("XXB4",'xabang (2016)'!$A$3,"MA_HT","DYT","MA_QH","NTS")</f>
        <v>0</v>
      </c>
      <c r="P34" s="74">
        <f>+GETPIVOTDATA("XXB4",'xabang (2016)'!$A$3,"MA_HT","DYT","MA_QH","LMU")</f>
        <v>0</v>
      </c>
      <c r="Q34" s="74">
        <f>+GETPIVOTDATA("XXB4",'xabang (2016)'!$A$3,"MA_HT","DYT","MA_QH","NKH")</f>
        <v>0</v>
      </c>
      <c r="R34" s="72">
        <f t="shared" si="20"/>
        <v>0</v>
      </c>
      <c r="S34" s="74">
        <f>+GETPIVOTDATA("XXB4",'xabang (2016)'!$A$3,"MA_HT","DYT","MA_QH","CQP")</f>
        <v>0</v>
      </c>
      <c r="T34" s="74">
        <f>+GETPIVOTDATA("XXB4",'xabang (2016)'!$A$3,"MA_HT","DYT","MA_QH","CAN")</f>
        <v>0</v>
      </c>
      <c r="U34" s="74">
        <f>+GETPIVOTDATA("XXB4",'xabang (2016)'!$A$3,"MA_HT","DYT","MA_QH","SKK")</f>
        <v>0</v>
      </c>
      <c r="V34" s="74">
        <f>+GETPIVOTDATA("XXB4",'xabang (2016)'!$A$3,"MA_HT","DYT","MA_QH","SKT")</f>
        <v>0</v>
      </c>
      <c r="W34" s="74">
        <f>+GETPIVOTDATA("XXB4",'xabang (2016)'!$A$3,"MA_HT","DYT","MA_QH","SKN")</f>
        <v>0</v>
      </c>
      <c r="X34" s="74">
        <f>+GETPIVOTDATA("XXB4",'xabang (2016)'!$A$3,"MA_HT","DYT","MA_QH","TMD")</f>
        <v>0</v>
      </c>
      <c r="Y34" s="74">
        <f>+GETPIVOTDATA("XXB4",'xabang (2016)'!$A$3,"MA_HT","DYT","MA_QH","SKC")</f>
        <v>0</v>
      </c>
      <c r="Z34" s="74">
        <f>+GETPIVOTDATA("XXB4",'xabang (2016)'!$A$3,"MA_HT","DYT","MA_QH","SKS")</f>
        <v>0</v>
      </c>
      <c r="AA34" s="64">
        <f>+SUM(AB34:AF34,AH34:AM34)</f>
        <v>0</v>
      </c>
      <c r="AB34" s="74">
        <f>+GETPIVOTDATA("XXB4",'xabang (2016)'!$A$3,"MA_HT","DYT","MA_QH","DGT")</f>
        <v>0</v>
      </c>
      <c r="AC34" s="74">
        <f>+GETPIVOTDATA("XXB4",'xabang (2016)'!$A$3,"MA_HT","DYT","MA_QH","DTL")</f>
        <v>0</v>
      </c>
      <c r="AD34" s="74">
        <f>+GETPIVOTDATA("XXB4",'xabang (2016)'!$A$3,"MA_HT","DYT","MA_QH","DNL")</f>
        <v>0</v>
      </c>
      <c r="AE34" s="74">
        <f>+GETPIVOTDATA("XXB4",'xabang (2016)'!$A$3,"MA_HT","DYT","MA_QH","DBV")</f>
        <v>0</v>
      </c>
      <c r="AF34" s="74">
        <f>+GETPIVOTDATA("XXB4",'xabang (2016)'!$A$3,"MA_HT","DYT","MA_QH","DVH")</f>
        <v>0</v>
      </c>
      <c r="AG34" s="100" t="e">
        <f>$D34-$BF34</f>
        <v>#REF!</v>
      </c>
      <c r="AH34" s="74">
        <f>+GETPIVOTDATA("XXB4",'xabang (2016)'!$A$3,"MA_HT","DYT","MA_QH","DGD")</f>
        <v>0</v>
      </c>
      <c r="AI34" s="74">
        <f>+GETPIVOTDATA("XXB4",'xabang (2016)'!$A$3,"MA_HT","DYT","MA_QH","DTT")</f>
        <v>0</v>
      </c>
      <c r="AJ34" s="74">
        <f>+GETPIVOTDATA("XXB4",'xabang (2016)'!$A$3,"MA_HT","DYT","MA_QH","NCK")</f>
        <v>0</v>
      </c>
      <c r="AK34" s="74">
        <f>+GETPIVOTDATA("XXB4",'xabang (2016)'!$A$3,"MA_HT","DYT","MA_QH","DXH")</f>
        <v>0</v>
      </c>
      <c r="AL34" s="74">
        <f>+GETPIVOTDATA("XXB4",'xabang (2016)'!$A$3,"MA_HT","DYT","MA_QH","DCH")</f>
        <v>0</v>
      </c>
      <c r="AM34" s="74">
        <f>+GETPIVOTDATA("XXB4",'xabang (2016)'!$A$3,"MA_HT","DYT","MA_QH","DKG")</f>
        <v>0</v>
      </c>
      <c r="AN34" s="74">
        <f>+GETPIVOTDATA("XXB4",'xabang (2016)'!$A$3,"MA_HT","DYT","MA_QH","DDT")</f>
        <v>0</v>
      </c>
      <c r="AO34" s="74">
        <f>+GETPIVOTDATA("XXB4",'xabang (2016)'!$A$3,"MA_HT","DYT","MA_QH","DDL")</f>
        <v>0</v>
      </c>
      <c r="AP34" s="74">
        <f>+GETPIVOTDATA("XXB4",'xabang (2016)'!$A$3,"MA_HT","DYT","MA_QH","DRA")</f>
        <v>0</v>
      </c>
      <c r="AQ34" s="74">
        <f>+GETPIVOTDATA("XXB4",'xabang (2016)'!$A$3,"MA_HT","DYT","MA_QH","ONT")</f>
        <v>0</v>
      </c>
      <c r="AR34" s="74">
        <f>+GETPIVOTDATA("XXB4",'xabang (2016)'!$A$3,"MA_HT","DYT","MA_QH","ODT")</f>
        <v>0</v>
      </c>
      <c r="AS34" s="74">
        <f>+GETPIVOTDATA("XXB4",'xabang (2016)'!$A$3,"MA_HT","DYT","MA_QH","TSC")</f>
        <v>0</v>
      </c>
      <c r="AT34" s="74">
        <f>+GETPIVOTDATA("XXB4",'xabang (2016)'!$A$3,"MA_HT","DYT","MA_QH","DTS")</f>
        <v>0</v>
      </c>
      <c r="AU34" s="74">
        <f>+GETPIVOTDATA("XXB4",'xabang (2016)'!$A$3,"MA_HT","DYT","MA_QH","DNG")</f>
        <v>0</v>
      </c>
      <c r="AV34" s="74">
        <f>+GETPIVOTDATA("XXB4",'xabang (2016)'!$A$3,"MA_HT","DYT","MA_QH","TON")</f>
        <v>0</v>
      </c>
      <c r="AW34" s="74">
        <f>+GETPIVOTDATA("XXB4",'xabang (2016)'!$A$3,"MA_HT","DYT","MA_QH","NTD")</f>
        <v>0</v>
      </c>
      <c r="AX34" s="74">
        <f>+GETPIVOTDATA("XXB4",'xabang (2016)'!$A$3,"MA_HT","DYT","MA_QH","SKX")</f>
        <v>0</v>
      </c>
      <c r="AY34" s="74">
        <f>+GETPIVOTDATA("XXB4",'xabang (2016)'!$A$3,"MA_HT","DYT","MA_QH","DSH")</f>
        <v>0</v>
      </c>
      <c r="AZ34" s="74">
        <f>+GETPIVOTDATA("XXB4",'xabang (2016)'!$A$3,"MA_HT","DYT","MA_QH","DKV")</f>
        <v>0</v>
      </c>
      <c r="BA34" s="139">
        <f>+GETPIVOTDATA("XXB4",'xabang (2016)'!$A$3,"MA_HT","DYT","MA_QH","TIN")</f>
        <v>0</v>
      </c>
      <c r="BB34" s="74">
        <f>+GETPIVOTDATA("XXB4",'xabang (2016)'!$A$3,"MA_HT","DYT","MA_QH","SON")</f>
        <v>0</v>
      </c>
      <c r="BC34" s="74">
        <f>+GETPIVOTDATA("XXB4",'xabang (2016)'!$A$3,"MA_HT","DYT","MA_QH","MNC")</f>
        <v>0</v>
      </c>
      <c r="BD34" s="74">
        <f>+GETPIVOTDATA("XXB4",'xabang (2016)'!$A$3,"MA_HT","DYT","MA_QH","PNK")</f>
        <v>0</v>
      </c>
      <c r="BE34" s="102">
        <f>+GETPIVOTDATA("XXB4",'xabang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+GETPIVOTDATA("XXB4",'xabang (2016)'!$A$3,"MA_HT","DGD","MA_QH","LUC")</f>
        <v>0</v>
      </c>
      <c r="H35" s="74">
        <f>+GETPIVOTDATA("XXB4",'xabang (2016)'!$A$3,"MA_HT","DGD","MA_QH","LUK")</f>
        <v>0</v>
      </c>
      <c r="I35" s="74">
        <f>+GETPIVOTDATA("XXB4",'xabang (2016)'!$A$3,"MA_HT","DGD","MA_QH","LUN")</f>
        <v>0</v>
      </c>
      <c r="J35" s="74">
        <f>+GETPIVOTDATA("XXB4",'xabang (2016)'!$A$3,"MA_HT","DGD","MA_QH","HNK")</f>
        <v>0</v>
      </c>
      <c r="K35" s="74">
        <f>+GETPIVOTDATA("XXB4",'xabang (2016)'!$A$3,"MA_HT","DGD","MA_QH","CLN")</f>
        <v>0</v>
      </c>
      <c r="L35" s="74">
        <f>+GETPIVOTDATA("XXB4",'xabang (2016)'!$A$3,"MA_HT","DGD","MA_QH","RSX")</f>
        <v>0</v>
      </c>
      <c r="M35" s="74">
        <f>+GETPIVOTDATA("XXB4",'xabang (2016)'!$A$3,"MA_HT","DGD","MA_QH","RPH")</f>
        <v>0</v>
      </c>
      <c r="N35" s="74">
        <f>+GETPIVOTDATA("XXB4",'xabang (2016)'!$A$3,"MA_HT","DGD","MA_QH","RDD")</f>
        <v>0</v>
      </c>
      <c r="O35" s="74">
        <f>+GETPIVOTDATA("XXB4",'xabang (2016)'!$A$3,"MA_HT","DGD","MA_QH","NTS")</f>
        <v>0</v>
      </c>
      <c r="P35" s="74">
        <f>+GETPIVOTDATA("XXB4",'xabang (2016)'!$A$3,"MA_HT","DGD","MA_QH","LMU")</f>
        <v>0</v>
      </c>
      <c r="Q35" s="74">
        <f>+GETPIVOTDATA("XXB4",'xabang (2016)'!$A$3,"MA_HT","DGD","MA_QH","NKH")</f>
        <v>0</v>
      </c>
      <c r="R35" s="72">
        <f t="shared" si="20"/>
        <v>0</v>
      </c>
      <c r="S35" s="74">
        <f>+GETPIVOTDATA("XXB4",'xabang (2016)'!$A$3,"MA_HT","DGD","MA_QH","CQP")</f>
        <v>0</v>
      </c>
      <c r="T35" s="74">
        <f>+GETPIVOTDATA("XXB4",'xabang (2016)'!$A$3,"MA_HT","DGD","MA_QH","CAN")</f>
        <v>0</v>
      </c>
      <c r="U35" s="74">
        <f>+GETPIVOTDATA("XXB4",'xabang (2016)'!$A$3,"MA_HT","DGD","MA_QH","SKK")</f>
        <v>0</v>
      </c>
      <c r="V35" s="74">
        <f>+GETPIVOTDATA("XXB4",'xabang (2016)'!$A$3,"MA_HT","DGD","MA_QH","SKT")</f>
        <v>0</v>
      </c>
      <c r="W35" s="74">
        <f>+GETPIVOTDATA("XXB4",'xabang (2016)'!$A$3,"MA_HT","DGD","MA_QH","SKN")</f>
        <v>0</v>
      </c>
      <c r="X35" s="74">
        <f>+GETPIVOTDATA("XXB4",'xabang (2016)'!$A$3,"MA_HT","DGD","MA_QH","TMD")</f>
        <v>0</v>
      </c>
      <c r="Y35" s="74">
        <f>+GETPIVOTDATA("XXB4",'xabang (2016)'!$A$3,"MA_HT","DGD","MA_QH","SKC")</f>
        <v>0</v>
      </c>
      <c r="Z35" s="74">
        <f>+GETPIVOTDATA("XXB4",'xabang (2016)'!$A$3,"MA_HT","DGD","MA_QH","SKS")</f>
        <v>0</v>
      </c>
      <c r="AA35" s="64">
        <f>+SUM(AB35:AG35,AI35:AM35)</f>
        <v>0</v>
      </c>
      <c r="AB35" s="74">
        <f>+GETPIVOTDATA("XXB4",'xabang (2016)'!$A$3,"MA_HT","DGD","MA_QH","DGT")</f>
        <v>0</v>
      </c>
      <c r="AC35" s="74">
        <f>+GETPIVOTDATA("XXB4",'xabang (2016)'!$A$3,"MA_HT","DGD","MA_QH","DTL")</f>
        <v>0</v>
      </c>
      <c r="AD35" s="74">
        <f>+GETPIVOTDATA("XXB4",'xabang (2016)'!$A$3,"MA_HT","DGD","MA_QH","DNL")</f>
        <v>0</v>
      </c>
      <c r="AE35" s="74">
        <f>+GETPIVOTDATA("XXB4",'xabang (2016)'!$A$3,"MA_HT","DGD","MA_QH","DBV")</f>
        <v>0</v>
      </c>
      <c r="AF35" s="74">
        <f>+GETPIVOTDATA("XXB4",'xabang (2016)'!$A$3,"MA_HT","DGD","MA_QH","DVH")</f>
        <v>0</v>
      </c>
      <c r="AG35" s="74">
        <f>+GETPIVOTDATA("XXB4",'xabang (2016)'!$A$3,"MA_HT","DGD","MA_QH","DYT")</f>
        <v>0</v>
      </c>
      <c r="AH35" s="100" t="e">
        <f>$D35-$BF35</f>
        <v>#REF!</v>
      </c>
      <c r="AI35" s="74">
        <f>+GETPIVOTDATA("XXB4",'xabang (2016)'!$A$3,"MA_HT","DGD","MA_QH","DTT")</f>
        <v>0</v>
      </c>
      <c r="AJ35" s="74">
        <f>+GETPIVOTDATA("XXB4",'xabang (2016)'!$A$3,"MA_HT","DGD","MA_QH","NCK")</f>
        <v>0</v>
      </c>
      <c r="AK35" s="74">
        <f>+GETPIVOTDATA("XXB4",'xabang (2016)'!$A$3,"MA_HT","DGD","MA_QH","DXH")</f>
        <v>0</v>
      </c>
      <c r="AL35" s="74">
        <f>+GETPIVOTDATA("XXB4",'xabang (2016)'!$A$3,"MA_HT","DGD","MA_QH","DCH")</f>
        <v>0</v>
      </c>
      <c r="AM35" s="74">
        <f>+GETPIVOTDATA("XXB4",'xabang (2016)'!$A$3,"MA_HT","DGD","MA_QH","DKG")</f>
        <v>0</v>
      </c>
      <c r="AN35" s="74">
        <f>+GETPIVOTDATA("XXB4",'xabang (2016)'!$A$3,"MA_HT","DGD","MA_QH","DDT")</f>
        <v>0</v>
      </c>
      <c r="AO35" s="74">
        <f>+GETPIVOTDATA("XXB4",'xabang (2016)'!$A$3,"MA_HT","DGD","MA_QH","DDL")</f>
        <v>0</v>
      </c>
      <c r="AP35" s="74">
        <f>+GETPIVOTDATA("XXB4",'xabang (2016)'!$A$3,"MA_HT","DGD","MA_QH","DRA")</f>
        <v>0</v>
      </c>
      <c r="AQ35" s="74">
        <f>+GETPIVOTDATA("XXB4",'xabang (2016)'!$A$3,"MA_HT","DGD","MA_QH","ONT")</f>
        <v>0</v>
      </c>
      <c r="AR35" s="74">
        <f>+GETPIVOTDATA("XXB4",'xabang (2016)'!$A$3,"MA_HT","DGD","MA_QH","ODT")</f>
        <v>0</v>
      </c>
      <c r="AS35" s="74">
        <f>+GETPIVOTDATA("XXB4",'xabang (2016)'!$A$3,"MA_HT","DGD","MA_QH","TSC")</f>
        <v>0</v>
      </c>
      <c r="AT35" s="74">
        <f>+GETPIVOTDATA("XXB4",'xabang (2016)'!$A$3,"MA_HT","DGD","MA_QH","DTS")</f>
        <v>0</v>
      </c>
      <c r="AU35" s="74">
        <f>+GETPIVOTDATA("XXB4",'xabang (2016)'!$A$3,"MA_HT","DGD","MA_QH","DNG")</f>
        <v>0</v>
      </c>
      <c r="AV35" s="74">
        <f>+GETPIVOTDATA("XXB4",'xabang (2016)'!$A$3,"MA_HT","DGD","MA_QH","TON")</f>
        <v>0</v>
      </c>
      <c r="AW35" s="74">
        <f>+GETPIVOTDATA("XXB4",'xabang (2016)'!$A$3,"MA_HT","DGD","MA_QH","NTD")</f>
        <v>0</v>
      </c>
      <c r="AX35" s="74">
        <f>+GETPIVOTDATA("XXB4",'xabang (2016)'!$A$3,"MA_HT","DGD","MA_QH","SKX")</f>
        <v>0</v>
      </c>
      <c r="AY35" s="74">
        <f>+GETPIVOTDATA("XXB4",'xabang (2016)'!$A$3,"MA_HT","DGD","MA_QH","DSH")</f>
        <v>0</v>
      </c>
      <c r="AZ35" s="74">
        <f>+GETPIVOTDATA("XXB4",'xabang (2016)'!$A$3,"MA_HT","DGD","MA_QH","DKV")</f>
        <v>0</v>
      </c>
      <c r="BA35" s="139">
        <f>+GETPIVOTDATA("XXB4",'xabang (2016)'!$A$3,"MA_HT","DGD","MA_QH","TIN")</f>
        <v>0</v>
      </c>
      <c r="BB35" s="74">
        <f>+GETPIVOTDATA("XXB4",'xabang (2016)'!$A$3,"MA_HT","DGD","MA_QH","SON")</f>
        <v>0</v>
      </c>
      <c r="BC35" s="74">
        <f>+GETPIVOTDATA("XXB4",'xabang (2016)'!$A$3,"MA_HT","DGD","MA_QH","MNC")</f>
        <v>0</v>
      </c>
      <c r="BD35" s="74">
        <f>+GETPIVOTDATA("XXB4",'xabang (2016)'!$A$3,"MA_HT","DGD","MA_QH","PNK")</f>
        <v>0</v>
      </c>
      <c r="BE35" s="102">
        <f>+GETPIVOTDATA("XXB4",'xabang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+GETPIVOTDATA("XXB4",'xabang (2016)'!$A$3,"MA_HT","DTT","MA_QH","LUC")</f>
        <v>0</v>
      </c>
      <c r="H36" s="74">
        <f>+GETPIVOTDATA("XXB4",'xabang (2016)'!$A$3,"MA_HT","DTT","MA_QH","LUK")</f>
        <v>0</v>
      </c>
      <c r="I36" s="74">
        <f>+GETPIVOTDATA("XXB4",'xabang (2016)'!$A$3,"MA_HT","DTT","MA_QH","LUN")</f>
        <v>0</v>
      </c>
      <c r="J36" s="74">
        <f>+GETPIVOTDATA("XXB4",'xabang (2016)'!$A$3,"MA_HT","DTT","MA_QH","HNK")</f>
        <v>0</v>
      </c>
      <c r="K36" s="74">
        <f>+GETPIVOTDATA("XXB4",'xabang (2016)'!$A$3,"MA_HT","DTT","MA_QH","CLN")</f>
        <v>0</v>
      </c>
      <c r="L36" s="74">
        <f>+GETPIVOTDATA("XXB4",'xabang (2016)'!$A$3,"MA_HT","DTT","MA_QH","RSX")</f>
        <v>0</v>
      </c>
      <c r="M36" s="74">
        <f>+GETPIVOTDATA("XXB4",'xabang (2016)'!$A$3,"MA_HT","DTT","MA_QH","RPH")</f>
        <v>0</v>
      </c>
      <c r="N36" s="74">
        <f>+GETPIVOTDATA("XXB4",'xabang (2016)'!$A$3,"MA_HT","DTT","MA_QH","RDD")</f>
        <v>0</v>
      </c>
      <c r="O36" s="74">
        <f>+GETPIVOTDATA("XXB4",'xabang (2016)'!$A$3,"MA_HT","DTT","MA_QH","NTS")</f>
        <v>0</v>
      </c>
      <c r="P36" s="74">
        <f>+GETPIVOTDATA("XXB4",'xabang (2016)'!$A$3,"MA_HT","DTT","MA_QH","LMU")</f>
        <v>0</v>
      </c>
      <c r="Q36" s="74">
        <f>+GETPIVOTDATA("XXB4",'xabang (2016)'!$A$3,"MA_HT","DTT","MA_QH","NKH")</f>
        <v>0</v>
      </c>
      <c r="R36" s="72">
        <f>SUM(S36:AA36,AN36:BD36)</f>
        <v>0</v>
      </c>
      <c r="S36" s="74">
        <f>+GETPIVOTDATA("XXB4",'xabang (2016)'!$A$3,"MA_HT","DTT","MA_QH","CQP")</f>
        <v>0</v>
      </c>
      <c r="T36" s="74">
        <f>+GETPIVOTDATA("XXB4",'xabang (2016)'!$A$3,"MA_HT","DTT","MA_QH","CAN")</f>
        <v>0</v>
      </c>
      <c r="U36" s="74">
        <f>+GETPIVOTDATA("XXB4",'xabang (2016)'!$A$3,"MA_HT","DTT","MA_QH","SKK")</f>
        <v>0</v>
      </c>
      <c r="V36" s="74">
        <f>+GETPIVOTDATA("XXB4",'xabang (2016)'!$A$3,"MA_HT","DTT","MA_QH","SKT")</f>
        <v>0</v>
      </c>
      <c r="W36" s="74">
        <f>+GETPIVOTDATA("XXB4",'xabang (2016)'!$A$3,"MA_HT","DTT","MA_QH","SKN")</f>
        <v>0</v>
      </c>
      <c r="X36" s="74">
        <f>+GETPIVOTDATA("XXB4",'xabang (2016)'!$A$3,"MA_HT","DTT","MA_QH","TMD")</f>
        <v>0</v>
      </c>
      <c r="Y36" s="74">
        <f>+GETPIVOTDATA("XXB4",'xabang (2016)'!$A$3,"MA_HT","DTT","MA_QH","SKC")</f>
        <v>0</v>
      </c>
      <c r="Z36" s="74">
        <f>+GETPIVOTDATA("XXB4",'xabang (2016)'!$A$3,"MA_HT","DTT","MA_QH","SKS")</f>
        <v>0</v>
      </c>
      <c r="AA36" s="64">
        <f>+SUM(AB36:AH36,AJ36:AM36)</f>
        <v>0</v>
      </c>
      <c r="AB36" s="74">
        <f>+GETPIVOTDATA("XXB4",'xabang (2016)'!$A$3,"MA_HT","DTT","MA_QH","DGT")</f>
        <v>0</v>
      </c>
      <c r="AC36" s="74">
        <f>+GETPIVOTDATA("XXB4",'xabang (2016)'!$A$3,"MA_HT","DTT","MA_QH","DTL")</f>
        <v>0</v>
      </c>
      <c r="AD36" s="74">
        <f>+GETPIVOTDATA("XXB4",'xabang (2016)'!$A$3,"MA_HT","DTT","MA_QH","DNL")</f>
        <v>0</v>
      </c>
      <c r="AE36" s="74">
        <f>+GETPIVOTDATA("XXB4",'xabang (2016)'!$A$3,"MA_HT","DTT","MA_QH","DBV")</f>
        <v>0</v>
      </c>
      <c r="AF36" s="74">
        <f>+GETPIVOTDATA("XXB4",'xabang (2016)'!$A$3,"MA_HT","DTT","MA_QH","DVH")</f>
        <v>0</v>
      </c>
      <c r="AG36" s="74">
        <f>+GETPIVOTDATA("XXB4",'xabang (2016)'!$A$3,"MA_HT","DTT","MA_QH","DYT")</f>
        <v>0</v>
      </c>
      <c r="AH36" s="74">
        <f>+GETPIVOTDATA("XXB4",'xabang (2016)'!$A$3,"MA_HT","DTT","MA_QH","DGD")</f>
        <v>0</v>
      </c>
      <c r="AI36" s="100" t="e">
        <f>$D36-$BF36</f>
        <v>#REF!</v>
      </c>
      <c r="AJ36" s="74">
        <f>+GETPIVOTDATA("XXB4",'xabang (2016)'!$A$3,"MA_HT","DTT","MA_QH","NCK")</f>
        <v>0</v>
      </c>
      <c r="AK36" s="74">
        <f>+GETPIVOTDATA("XXB4",'xabang (2016)'!$A$3,"MA_HT","DTT","MA_QH","DXH")</f>
        <v>0</v>
      </c>
      <c r="AL36" s="74">
        <f>+GETPIVOTDATA("XXB4",'xabang (2016)'!$A$3,"MA_HT","DTT","MA_QH","DCH")</f>
        <v>0</v>
      </c>
      <c r="AM36" s="74">
        <f>+GETPIVOTDATA("XXB4",'xabang (2016)'!$A$3,"MA_HT","DTT","MA_QH","DKG")</f>
        <v>0</v>
      </c>
      <c r="AN36" s="74">
        <f>+GETPIVOTDATA("XXB4",'xabang (2016)'!$A$3,"MA_HT","DTT","MA_QH","DDT")</f>
        <v>0</v>
      </c>
      <c r="AO36" s="74">
        <f>+GETPIVOTDATA("XXB4",'xabang (2016)'!$A$3,"MA_HT","DTT","MA_QH","DDL")</f>
        <v>0</v>
      </c>
      <c r="AP36" s="74">
        <f>+GETPIVOTDATA("XXB4",'xabang (2016)'!$A$3,"MA_HT","DTT","MA_QH","DRA")</f>
        <v>0</v>
      </c>
      <c r="AQ36" s="74">
        <f>+GETPIVOTDATA("XXB4",'xabang (2016)'!$A$3,"MA_HT","DTT","MA_QH","ONT")</f>
        <v>0</v>
      </c>
      <c r="AR36" s="74">
        <f>+GETPIVOTDATA("XXB4",'xabang (2016)'!$A$3,"MA_HT","DTT","MA_QH","ODT")</f>
        <v>0</v>
      </c>
      <c r="AS36" s="74">
        <f>+GETPIVOTDATA("XXB4",'xabang (2016)'!$A$3,"MA_HT","DTT","MA_QH","TSC")</f>
        <v>0</v>
      </c>
      <c r="AT36" s="74">
        <f>+GETPIVOTDATA("XXB4",'xabang (2016)'!$A$3,"MA_HT","DTT","MA_QH","DTS")</f>
        <v>0</v>
      </c>
      <c r="AU36" s="74">
        <f>+GETPIVOTDATA("XXB4",'xabang (2016)'!$A$3,"MA_HT","DTT","MA_QH","DNG")</f>
        <v>0</v>
      </c>
      <c r="AV36" s="74">
        <f>+GETPIVOTDATA("XXB4",'xabang (2016)'!$A$3,"MA_HT","DTT","MA_QH","TON")</f>
        <v>0</v>
      </c>
      <c r="AW36" s="74">
        <f>+GETPIVOTDATA("XXB4",'xabang (2016)'!$A$3,"MA_HT","DTT","MA_QH","NTD")</f>
        <v>0</v>
      </c>
      <c r="AX36" s="74">
        <f>+GETPIVOTDATA("XXB4",'xabang (2016)'!$A$3,"MA_HT","DTT","MA_QH","SKX")</f>
        <v>0</v>
      </c>
      <c r="AY36" s="74">
        <f>+GETPIVOTDATA("XXB4",'xabang (2016)'!$A$3,"MA_HT","DTT","MA_QH","DSH")</f>
        <v>0</v>
      </c>
      <c r="AZ36" s="74">
        <f>+GETPIVOTDATA("XXB4",'xabang (2016)'!$A$3,"MA_HT","DTT","MA_QH","DKV")</f>
        <v>0</v>
      </c>
      <c r="BA36" s="139">
        <f>+GETPIVOTDATA("XXB4",'xabang (2016)'!$A$3,"MA_HT","DTT","MA_QH","TIN")</f>
        <v>0</v>
      </c>
      <c r="BB36" s="74">
        <f>+GETPIVOTDATA("XXB4",'xabang (2016)'!$A$3,"MA_HT","DTT","MA_QH","SON")</f>
        <v>0</v>
      </c>
      <c r="BC36" s="74">
        <f>+GETPIVOTDATA("XXB4",'xabang (2016)'!$A$3,"MA_HT","DTT","MA_QH","MNC")</f>
        <v>0</v>
      </c>
      <c r="BD36" s="74">
        <f>+GETPIVOTDATA("XXB4",'xabang (2016)'!$A$3,"MA_HT","DTT","MA_QH","PNK")</f>
        <v>0</v>
      </c>
      <c r="BE36" s="102">
        <f>+GETPIVOTDATA("XXB4",'xabang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+GETPIVOTDATA("XXB4",'xabang (2016)'!$A$3,"MA_HT","NCK","MA_QH","LUC")</f>
        <v>0</v>
      </c>
      <c r="H37" s="74">
        <f>+GETPIVOTDATA("XXB4",'xabang (2016)'!$A$3,"MA_HT","NCK","MA_QH","LUK")</f>
        <v>0</v>
      </c>
      <c r="I37" s="74">
        <f>+GETPIVOTDATA("XXB4",'xabang (2016)'!$A$3,"MA_HT","NCK","MA_QH","LUN")</f>
        <v>0</v>
      </c>
      <c r="J37" s="74">
        <f>+GETPIVOTDATA("XXB4",'xabang (2016)'!$A$3,"MA_HT","NCK","MA_QH","HNK")</f>
        <v>0</v>
      </c>
      <c r="K37" s="74">
        <f>+GETPIVOTDATA("XXB4",'xabang (2016)'!$A$3,"MA_HT","NCK","MA_QH","CLN")</f>
        <v>0</v>
      </c>
      <c r="L37" s="74">
        <f>+GETPIVOTDATA("XXB4",'xabang (2016)'!$A$3,"MA_HT","NCK","MA_QH","RSX")</f>
        <v>0</v>
      </c>
      <c r="M37" s="74">
        <f>+GETPIVOTDATA("XXB4",'xabang (2016)'!$A$3,"MA_HT","NCK","MA_QH","RPH")</f>
        <v>0</v>
      </c>
      <c r="N37" s="74">
        <f>+GETPIVOTDATA("XXB4",'xabang (2016)'!$A$3,"MA_HT","NCK","MA_QH","RDD")</f>
        <v>0</v>
      </c>
      <c r="O37" s="74">
        <f>+GETPIVOTDATA("XXB4",'xabang (2016)'!$A$3,"MA_HT","NCK","MA_QH","NTS")</f>
        <v>0</v>
      </c>
      <c r="P37" s="74">
        <f>+GETPIVOTDATA("XXB4",'xabang (2016)'!$A$3,"MA_HT","NCK","MA_QH","LMU")</f>
        <v>0</v>
      </c>
      <c r="Q37" s="74">
        <f>+GETPIVOTDATA("XXB4",'xabang (2016)'!$A$3,"MA_HT","NCK","MA_QH","NKH")</f>
        <v>0</v>
      </c>
      <c r="R37" s="72">
        <f t="shared" si="20"/>
        <v>0</v>
      </c>
      <c r="S37" s="74">
        <f>+GETPIVOTDATA("XXB4",'xabang (2016)'!$A$3,"MA_HT","NCK","MA_QH","CQP")</f>
        <v>0</v>
      </c>
      <c r="T37" s="74">
        <f>+GETPIVOTDATA("XXB4",'xabang (2016)'!$A$3,"MA_HT","NCK","MA_QH","CAN")</f>
        <v>0</v>
      </c>
      <c r="U37" s="74">
        <f>+GETPIVOTDATA("XXB4",'xabang (2016)'!$A$3,"MA_HT","NCK","MA_QH","SKK")</f>
        <v>0</v>
      </c>
      <c r="V37" s="74">
        <f>+GETPIVOTDATA("XXB4",'xabang (2016)'!$A$3,"MA_HT","NCK","MA_QH","SKT")</f>
        <v>0</v>
      </c>
      <c r="W37" s="74">
        <f>+GETPIVOTDATA("XXB4",'xabang (2016)'!$A$3,"MA_HT","NCK","MA_QH","SKN")</f>
        <v>0</v>
      </c>
      <c r="X37" s="74">
        <f>+GETPIVOTDATA("XXB4",'xabang (2016)'!$A$3,"MA_HT","NCK","MA_QH","TMD")</f>
        <v>0</v>
      </c>
      <c r="Y37" s="74">
        <f>+GETPIVOTDATA("XXB4",'xabang (2016)'!$A$3,"MA_HT","NCK","MA_QH","SKC")</f>
        <v>0</v>
      </c>
      <c r="Z37" s="74">
        <f>+GETPIVOTDATA("XXB4",'xabang (2016)'!$A$3,"MA_HT","NCK","MA_QH","SKS")</f>
        <v>0</v>
      </c>
      <c r="AA37" s="64">
        <f>+SUM(AB37:AI37,AK37:AM37)</f>
        <v>0</v>
      </c>
      <c r="AB37" s="74">
        <f>+GETPIVOTDATA("XXB4",'xabang (2016)'!$A$3,"MA_HT","NCK","MA_QH","DGT")</f>
        <v>0</v>
      </c>
      <c r="AC37" s="74">
        <f>+GETPIVOTDATA("XXB4",'xabang (2016)'!$A$3,"MA_HT","NCK","MA_QH","DTL")</f>
        <v>0</v>
      </c>
      <c r="AD37" s="74">
        <f>+GETPIVOTDATA("XXB4",'xabang (2016)'!$A$3,"MA_HT","NCK","MA_QH","DNL")</f>
        <v>0</v>
      </c>
      <c r="AE37" s="74">
        <f>+GETPIVOTDATA("XXB4",'xabang (2016)'!$A$3,"MA_HT","NCK","MA_QH","DBV")</f>
        <v>0</v>
      </c>
      <c r="AF37" s="74">
        <f>+GETPIVOTDATA("XXB4",'xabang (2016)'!$A$3,"MA_HT","NCK","MA_QH","DVH")</f>
        <v>0</v>
      </c>
      <c r="AG37" s="74">
        <f>+GETPIVOTDATA("XXB4",'xabang (2016)'!$A$3,"MA_HT","NCK","MA_QH","DYT")</f>
        <v>0</v>
      </c>
      <c r="AH37" s="74">
        <f>+GETPIVOTDATA("XXB4",'xabang (2016)'!$A$3,"MA_HT","NCK","MA_QH","DGD")</f>
        <v>0</v>
      </c>
      <c r="AI37" s="74">
        <f>+GETPIVOTDATA("XXB4",'xabang (2016)'!$A$3,"MA_HT","NCK","MA_QH","DTT")</f>
        <v>0</v>
      </c>
      <c r="AJ37" s="100" t="e">
        <f>$D37-$BF37</f>
        <v>#REF!</v>
      </c>
      <c r="AK37" s="74">
        <f>+GETPIVOTDATA("XXB4",'xabang (2016)'!$A$3,"MA_HT","NCK","MA_QH","DXH")</f>
        <v>0</v>
      </c>
      <c r="AL37" s="74">
        <f>+GETPIVOTDATA("XXB4",'xabang (2016)'!$A$3,"MA_HT","NCK","MA_QH","DCH")</f>
        <v>0</v>
      </c>
      <c r="AM37" s="74">
        <f>+GETPIVOTDATA("XXB4",'xabang (2016)'!$A$3,"MA_HT","NCK","MA_QH","DKG")</f>
        <v>0</v>
      </c>
      <c r="AN37" s="74">
        <f>+GETPIVOTDATA("XXB4",'xabang (2016)'!$A$3,"MA_HT","NCK","MA_QH","DDT")</f>
        <v>0</v>
      </c>
      <c r="AO37" s="74">
        <f>+GETPIVOTDATA("XXB4",'xabang (2016)'!$A$3,"MA_HT","NCK","MA_QH","DDL")</f>
        <v>0</v>
      </c>
      <c r="AP37" s="74">
        <f>+GETPIVOTDATA("XXB4",'xabang (2016)'!$A$3,"MA_HT","NCK","MA_QH","DRA")</f>
        <v>0</v>
      </c>
      <c r="AQ37" s="74">
        <f>+GETPIVOTDATA("XXB4",'xabang (2016)'!$A$3,"MA_HT","NCK","MA_QH","ONT")</f>
        <v>0</v>
      </c>
      <c r="AR37" s="74">
        <f>+GETPIVOTDATA("XXB4",'xabang (2016)'!$A$3,"MA_HT","NCK","MA_QH","ODT")</f>
        <v>0</v>
      </c>
      <c r="AS37" s="74">
        <f>+GETPIVOTDATA("XXB4",'xabang (2016)'!$A$3,"MA_HT","NCK","MA_QH","TSC")</f>
        <v>0</v>
      </c>
      <c r="AT37" s="74">
        <f>+GETPIVOTDATA("XXB4",'xabang (2016)'!$A$3,"MA_HT","NCK","MA_QH","DTS")</f>
        <v>0</v>
      </c>
      <c r="AU37" s="74">
        <f>+GETPIVOTDATA("XXB4",'xabang (2016)'!$A$3,"MA_HT","NCK","MA_QH","DNG")</f>
        <v>0</v>
      </c>
      <c r="AV37" s="74">
        <f>+GETPIVOTDATA("XXB4",'xabang (2016)'!$A$3,"MA_HT","NCK","MA_QH","TON")</f>
        <v>0</v>
      </c>
      <c r="AW37" s="74">
        <f>+GETPIVOTDATA("XXB4",'xabang (2016)'!$A$3,"MA_HT","NCK","MA_QH","NTD")</f>
        <v>0</v>
      </c>
      <c r="AX37" s="74">
        <f>+GETPIVOTDATA("XXB4",'xabang (2016)'!$A$3,"MA_HT","NCK","MA_QH","SKX")</f>
        <v>0</v>
      </c>
      <c r="AY37" s="74">
        <f>+GETPIVOTDATA("XXB4",'xabang (2016)'!$A$3,"MA_HT","NCK","MA_QH","DSH")</f>
        <v>0</v>
      </c>
      <c r="AZ37" s="74">
        <f>+GETPIVOTDATA("XXB4",'xabang (2016)'!$A$3,"MA_HT","NCK","MA_QH","DKV")</f>
        <v>0</v>
      </c>
      <c r="BA37" s="139">
        <f>+GETPIVOTDATA("XXB4",'xabang (2016)'!$A$3,"MA_HT","NCK","MA_QH","TIN")</f>
        <v>0</v>
      </c>
      <c r="BB37" s="74">
        <f>+GETPIVOTDATA("XXB4",'xabang (2016)'!$A$3,"MA_HT","NCK","MA_QH","SON")</f>
        <v>0</v>
      </c>
      <c r="BC37" s="74">
        <f>+GETPIVOTDATA("XXB4",'xabang (2016)'!$A$3,"MA_HT","NCK","MA_QH","MNC")</f>
        <v>0</v>
      </c>
      <c r="BD37" s="74">
        <f>+GETPIVOTDATA("XXB4",'xabang (2016)'!$A$3,"MA_HT","NCK","MA_QH","PNK")</f>
        <v>0</v>
      </c>
      <c r="BE37" s="102">
        <f>+GETPIVOTDATA("XXB4",'xabang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+GETPIVOTDATA("XXB4",'xabang (2016)'!$A$3,"MA_HT","DXH","MA_QH","LUC")</f>
        <v>0</v>
      </c>
      <c r="H38" s="74">
        <f>+GETPIVOTDATA("XXB4",'xabang (2016)'!$A$3,"MA_HT","DXH","MA_QH","LUK")</f>
        <v>0</v>
      </c>
      <c r="I38" s="74">
        <f>+GETPIVOTDATA("XXB4",'xabang (2016)'!$A$3,"MA_HT","DXH","MA_QH","LUN")</f>
        <v>0</v>
      </c>
      <c r="J38" s="74">
        <f>+GETPIVOTDATA("XXB4",'xabang (2016)'!$A$3,"MA_HT","DXH","MA_QH","HNK")</f>
        <v>0</v>
      </c>
      <c r="K38" s="74">
        <f>+GETPIVOTDATA("XXB4",'xabang (2016)'!$A$3,"MA_HT","DXH","MA_QH","CLN")</f>
        <v>0</v>
      </c>
      <c r="L38" s="74">
        <f>+GETPIVOTDATA("XXB4",'xabang (2016)'!$A$3,"MA_HT","DXH","MA_QH","RSX")</f>
        <v>0</v>
      </c>
      <c r="M38" s="74">
        <f>+GETPIVOTDATA("XXB4",'xabang (2016)'!$A$3,"MA_HT","DXH","MA_QH","RPH")</f>
        <v>0</v>
      </c>
      <c r="N38" s="74">
        <f>+GETPIVOTDATA("XXB4",'xabang (2016)'!$A$3,"MA_HT","DXH","MA_QH","RDD")</f>
        <v>0</v>
      </c>
      <c r="O38" s="74">
        <f>+GETPIVOTDATA("XXB4",'xabang (2016)'!$A$3,"MA_HT","DXH","MA_QH","NTS")</f>
        <v>0</v>
      </c>
      <c r="P38" s="74">
        <f>+GETPIVOTDATA("XXB4",'xabang (2016)'!$A$3,"MA_HT","DXH","MA_QH","LMU")</f>
        <v>0</v>
      </c>
      <c r="Q38" s="74">
        <f>+GETPIVOTDATA("XXB4",'xabang (2016)'!$A$3,"MA_HT","DXH","MA_QH","NKH")</f>
        <v>0</v>
      </c>
      <c r="R38" s="72">
        <f t="shared" si="20"/>
        <v>0</v>
      </c>
      <c r="S38" s="74">
        <f>+GETPIVOTDATA("XXB4",'xabang (2016)'!$A$3,"MA_HT","DXH","MA_QH","CQP")</f>
        <v>0</v>
      </c>
      <c r="T38" s="74">
        <f>+GETPIVOTDATA("XXB4",'xabang (2016)'!$A$3,"MA_HT","DXH","MA_QH","CAN")</f>
        <v>0</v>
      </c>
      <c r="U38" s="74">
        <f>+GETPIVOTDATA("XXB4",'xabang (2016)'!$A$3,"MA_HT","DXH","MA_QH","SKK")</f>
        <v>0</v>
      </c>
      <c r="V38" s="74">
        <f>+GETPIVOTDATA("XXB4",'xabang (2016)'!$A$3,"MA_HT","DXH","MA_QH","SKT")</f>
        <v>0</v>
      </c>
      <c r="W38" s="74">
        <f>+GETPIVOTDATA("XXB4",'xabang (2016)'!$A$3,"MA_HT","DXH","MA_QH","SKN")</f>
        <v>0</v>
      </c>
      <c r="X38" s="74">
        <f>+GETPIVOTDATA("XXB4",'xabang (2016)'!$A$3,"MA_HT","DXH","MA_QH","TMD")</f>
        <v>0</v>
      </c>
      <c r="Y38" s="74">
        <f>+GETPIVOTDATA("XXB4",'xabang (2016)'!$A$3,"MA_HT","DXH","MA_QH","SKC")</f>
        <v>0</v>
      </c>
      <c r="Z38" s="74">
        <f>+GETPIVOTDATA("XXB4",'xabang (2016)'!$A$3,"MA_HT","DXH","MA_QH","SKS")</f>
        <v>0</v>
      </c>
      <c r="AA38" s="64">
        <f>+SUM(AB38:AJ38,AL38:AM38)</f>
        <v>0</v>
      </c>
      <c r="AB38" s="74">
        <f>+GETPIVOTDATA("XXB4",'xabang (2016)'!$A$3,"MA_HT","DXH","MA_QH","DGT")</f>
        <v>0</v>
      </c>
      <c r="AC38" s="74">
        <f>+GETPIVOTDATA("XXB4",'xabang (2016)'!$A$3,"MA_HT","DXH","MA_QH","DTL")</f>
        <v>0</v>
      </c>
      <c r="AD38" s="74">
        <f>+GETPIVOTDATA("XXB4",'xabang (2016)'!$A$3,"MA_HT","DXH","MA_QH","DNL")</f>
        <v>0</v>
      </c>
      <c r="AE38" s="74">
        <f>+GETPIVOTDATA("XXB4",'xabang (2016)'!$A$3,"MA_HT","DXH","MA_QH","DBV")</f>
        <v>0</v>
      </c>
      <c r="AF38" s="74">
        <f>+GETPIVOTDATA("XXB4",'xabang (2016)'!$A$3,"MA_HT","DXH","MA_QH","DVH")</f>
        <v>0</v>
      </c>
      <c r="AG38" s="74">
        <f>+GETPIVOTDATA("XXB4",'xabang (2016)'!$A$3,"MA_HT","DXH","MA_QH","DYT")</f>
        <v>0</v>
      </c>
      <c r="AH38" s="74">
        <f>+GETPIVOTDATA("XXB4",'xabang (2016)'!$A$3,"MA_HT","DXH","MA_QH","DGD")</f>
        <v>0</v>
      </c>
      <c r="AI38" s="74">
        <f>+GETPIVOTDATA("XXB4",'xabang (2016)'!$A$3,"MA_HT","DXH","MA_QH","DTT")</f>
        <v>0</v>
      </c>
      <c r="AJ38" s="74">
        <f>+GETPIVOTDATA("XXB4",'xabang (2016)'!$A$3,"MA_HT","DXH","MA_QH","NCK")</f>
        <v>0</v>
      </c>
      <c r="AK38" s="100" t="e">
        <f>$D38-$BF38</f>
        <v>#REF!</v>
      </c>
      <c r="AL38" s="74">
        <f>+GETPIVOTDATA("XXB4",'xabang (2016)'!$A$3,"MA_HT","DXH","MA_QH","DCH")</f>
        <v>0</v>
      </c>
      <c r="AM38" s="74">
        <f>+GETPIVOTDATA("XXB4",'xabang (2016)'!$A$3,"MA_HT","DXH","MA_QH","DKG")</f>
        <v>0</v>
      </c>
      <c r="AN38" s="74">
        <f>+GETPIVOTDATA("XXB4",'xabang (2016)'!$A$3,"MA_HT","DXH","MA_QH","DDT")</f>
        <v>0</v>
      </c>
      <c r="AO38" s="74">
        <f>+GETPIVOTDATA("XXB4",'xabang (2016)'!$A$3,"MA_HT","DXH","MA_QH","DDL")</f>
        <v>0</v>
      </c>
      <c r="AP38" s="74">
        <f>+GETPIVOTDATA("XXB4",'xabang (2016)'!$A$3,"MA_HT","DXH","MA_QH","DRA")</f>
        <v>0</v>
      </c>
      <c r="AQ38" s="74">
        <f>+GETPIVOTDATA("XXB4",'xabang (2016)'!$A$3,"MA_HT","DXH","MA_QH","ONT")</f>
        <v>0</v>
      </c>
      <c r="AR38" s="74">
        <f>+GETPIVOTDATA("XXB4",'xabang (2016)'!$A$3,"MA_HT","DXH","MA_QH","ODT")</f>
        <v>0</v>
      </c>
      <c r="AS38" s="74">
        <f>+GETPIVOTDATA("XXB4",'xabang (2016)'!$A$3,"MA_HT","DXH","MA_QH","TSC")</f>
        <v>0</v>
      </c>
      <c r="AT38" s="74">
        <f>+GETPIVOTDATA("XXB4",'xabang (2016)'!$A$3,"MA_HT","DXH","MA_QH","DTS")</f>
        <v>0</v>
      </c>
      <c r="AU38" s="74">
        <f>+GETPIVOTDATA("XXB4",'xabang (2016)'!$A$3,"MA_HT","DXH","MA_QH","DNG")</f>
        <v>0</v>
      </c>
      <c r="AV38" s="74">
        <f>+GETPIVOTDATA("XXB4",'xabang (2016)'!$A$3,"MA_HT","DXH","MA_QH","TON")</f>
        <v>0</v>
      </c>
      <c r="AW38" s="74">
        <f>+GETPIVOTDATA("XXB4",'xabang (2016)'!$A$3,"MA_HT","DXH","MA_QH","NTD")</f>
        <v>0</v>
      </c>
      <c r="AX38" s="74">
        <f>+GETPIVOTDATA("XXB4",'xabang (2016)'!$A$3,"MA_HT","DXH","MA_QH","SKX")</f>
        <v>0</v>
      </c>
      <c r="AY38" s="74">
        <f>+GETPIVOTDATA("XXB4",'xabang (2016)'!$A$3,"MA_HT","DXH","MA_QH","DSH")</f>
        <v>0</v>
      </c>
      <c r="AZ38" s="74">
        <f>+GETPIVOTDATA("XXB4",'xabang (2016)'!$A$3,"MA_HT","DXH","MA_QH","DKV")</f>
        <v>0</v>
      </c>
      <c r="BA38" s="139">
        <f>+GETPIVOTDATA("XXB4",'xabang (2016)'!$A$3,"MA_HT","DXH","MA_QH","TIN")</f>
        <v>0</v>
      </c>
      <c r="BB38" s="74">
        <f>+GETPIVOTDATA("XXB4",'xabang (2016)'!$A$3,"MA_HT","DXH","MA_QH","SON")</f>
        <v>0</v>
      </c>
      <c r="BC38" s="74">
        <f>+GETPIVOTDATA("XXB4",'xabang (2016)'!$A$3,"MA_HT","DXH","MA_QH","MNC")</f>
        <v>0</v>
      </c>
      <c r="BD38" s="74">
        <f>+GETPIVOTDATA("XXB4",'xabang (2016)'!$A$3,"MA_HT","DXH","MA_QH","PNK")</f>
        <v>0</v>
      </c>
      <c r="BE38" s="102">
        <f>+GETPIVOTDATA("XXB4",'xabang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+GETPIVOTDATA("XXB4",'xabang (2016)'!$A$3,"MA_HT","DCH","MA_QH","LUC")</f>
        <v>0</v>
      </c>
      <c r="H39" s="74">
        <f>+GETPIVOTDATA("XXB4",'xabang (2016)'!$A$3,"MA_HT","DCH","MA_QH","LUK")</f>
        <v>0</v>
      </c>
      <c r="I39" s="74">
        <f>+GETPIVOTDATA("XXB4",'xabang (2016)'!$A$3,"MA_HT","DCH","MA_QH","LUN")</f>
        <v>0</v>
      </c>
      <c r="J39" s="74">
        <f>+GETPIVOTDATA("XXB4",'xabang (2016)'!$A$3,"MA_HT","DCH","MA_QH","HNK")</f>
        <v>0</v>
      </c>
      <c r="K39" s="74">
        <f>+GETPIVOTDATA("XXB4",'xabang (2016)'!$A$3,"MA_HT","DCH","MA_QH","CLN")</f>
        <v>0</v>
      </c>
      <c r="L39" s="74">
        <f>+GETPIVOTDATA("XXB4",'xabang (2016)'!$A$3,"MA_HT","DCH","MA_QH","RSX")</f>
        <v>0</v>
      </c>
      <c r="M39" s="74">
        <f>+GETPIVOTDATA("XXB4",'xabang (2016)'!$A$3,"MA_HT","DCH","MA_QH","RPH")</f>
        <v>0</v>
      </c>
      <c r="N39" s="74">
        <f>+GETPIVOTDATA("XXB4",'xabang (2016)'!$A$3,"MA_HT","DCH","MA_QH","RDD")</f>
        <v>0</v>
      </c>
      <c r="O39" s="74">
        <f>+GETPIVOTDATA("XXB4",'xabang (2016)'!$A$3,"MA_HT","DCH","MA_QH","NTS")</f>
        <v>0</v>
      </c>
      <c r="P39" s="74">
        <f>+GETPIVOTDATA("XXB4",'xabang (2016)'!$A$3,"MA_HT","DCH","MA_QH","LMU")</f>
        <v>0</v>
      </c>
      <c r="Q39" s="74">
        <f>+GETPIVOTDATA("XXB4",'xabang (2016)'!$A$3,"MA_HT","DCH","MA_QH","NKH")</f>
        <v>0</v>
      </c>
      <c r="R39" s="72">
        <f t="shared" si="20"/>
        <v>0</v>
      </c>
      <c r="S39" s="74">
        <f>+GETPIVOTDATA("XXB4",'xabang (2016)'!$A$3,"MA_HT","DCH","MA_QH","CQP")</f>
        <v>0</v>
      </c>
      <c r="T39" s="74">
        <f>+GETPIVOTDATA("XXB4",'xabang (2016)'!$A$3,"MA_HT","DCH","MA_QH","CAN")</f>
        <v>0</v>
      </c>
      <c r="U39" s="74">
        <f>+GETPIVOTDATA("XXB4",'xabang (2016)'!$A$3,"MA_HT","DCH","MA_QH","SKK")</f>
        <v>0</v>
      </c>
      <c r="V39" s="74">
        <f>+GETPIVOTDATA("XXB4",'xabang (2016)'!$A$3,"MA_HT","DCH","MA_QH","SKT")</f>
        <v>0</v>
      </c>
      <c r="W39" s="74">
        <f>+GETPIVOTDATA("XXB4",'xabang (2016)'!$A$3,"MA_HT","DCH","MA_QH","SKN")</f>
        <v>0</v>
      </c>
      <c r="X39" s="74">
        <f>+GETPIVOTDATA("XXB4",'xabang (2016)'!$A$3,"MA_HT","DCH","MA_QH","TMD")</f>
        <v>0</v>
      </c>
      <c r="Y39" s="74">
        <f>+GETPIVOTDATA("XXB4",'xabang (2016)'!$A$3,"MA_HT","DCH","MA_QH","SKC")</f>
        <v>0</v>
      </c>
      <c r="Z39" s="74">
        <f>+GETPIVOTDATA("XXB4",'xabang (2016)'!$A$3,"MA_HT","DCH","MA_QH","SKS")</f>
        <v>0</v>
      </c>
      <c r="AA39" s="64">
        <f>+SUM(AB39:AK39,AM39)</f>
        <v>0</v>
      </c>
      <c r="AB39" s="74">
        <f>+GETPIVOTDATA("XXB4",'xabang (2016)'!$A$3,"MA_HT","DCH","MA_QH","DGT")</f>
        <v>0</v>
      </c>
      <c r="AC39" s="74">
        <f>+GETPIVOTDATA("XXB4",'xabang (2016)'!$A$3,"MA_HT","DCH","MA_QH","DTL")</f>
        <v>0</v>
      </c>
      <c r="AD39" s="74">
        <f>+GETPIVOTDATA("XXB4",'xabang (2016)'!$A$3,"MA_HT","DCH","MA_QH","DNL")</f>
        <v>0</v>
      </c>
      <c r="AE39" s="74">
        <f>+GETPIVOTDATA("XXB4",'xabang (2016)'!$A$3,"MA_HT","DCH","MA_QH","DBV")</f>
        <v>0</v>
      </c>
      <c r="AF39" s="74">
        <f>+GETPIVOTDATA("XXB4",'xabang (2016)'!$A$3,"MA_HT","DCH","MA_QH","DVH")</f>
        <v>0</v>
      </c>
      <c r="AG39" s="74">
        <f>+GETPIVOTDATA("XXB4",'xabang (2016)'!$A$3,"MA_HT","DCH","MA_QH","DYT")</f>
        <v>0</v>
      </c>
      <c r="AH39" s="74">
        <f>+GETPIVOTDATA("XXB4",'xabang (2016)'!$A$3,"MA_HT","DCH","MA_QH","DGD")</f>
        <v>0</v>
      </c>
      <c r="AI39" s="74">
        <f>+GETPIVOTDATA("XXB4",'xabang (2016)'!$A$3,"MA_HT","DCH","MA_QH","DTT")</f>
        <v>0</v>
      </c>
      <c r="AJ39" s="74">
        <f>+GETPIVOTDATA("XXB4",'xabang (2016)'!$A$3,"MA_HT","DCH","MA_QH","NCK")</f>
        <v>0</v>
      </c>
      <c r="AK39" s="74">
        <f>+GETPIVOTDATA("XXB4",'xabang (2016)'!$A$3,"MA_HT","DCH","MA_QH","DXH")</f>
        <v>0</v>
      </c>
      <c r="AL39" s="100" t="e">
        <f>$D39-$BF39</f>
        <v>#REF!</v>
      </c>
      <c r="AM39" s="74">
        <f>+GETPIVOTDATA("XXB4",'xabang (2016)'!$A$3,"MA_HT","DXH","MA_QH","DKG")</f>
        <v>0</v>
      </c>
      <c r="AN39" s="74">
        <f>+GETPIVOTDATA("XXB4",'xabang (2016)'!$A$3,"MA_HT","DCH","MA_QH","DDT")</f>
        <v>0</v>
      </c>
      <c r="AO39" s="74">
        <f>+GETPIVOTDATA("XXB4",'xabang (2016)'!$A$3,"MA_HT","DCH","MA_QH","DDL")</f>
        <v>0</v>
      </c>
      <c r="AP39" s="74">
        <f>+GETPIVOTDATA("XXB4",'xabang (2016)'!$A$3,"MA_HT","DCH","MA_QH","DRA")</f>
        <v>0</v>
      </c>
      <c r="AQ39" s="74">
        <f>+GETPIVOTDATA("XXB4",'xabang (2016)'!$A$3,"MA_HT","DCH","MA_QH","ONT")</f>
        <v>0</v>
      </c>
      <c r="AR39" s="74">
        <f>+GETPIVOTDATA("XXB4",'xabang (2016)'!$A$3,"MA_HT","DCH","MA_QH","ODT")</f>
        <v>0</v>
      </c>
      <c r="AS39" s="74">
        <f>+GETPIVOTDATA("XXB4",'xabang (2016)'!$A$3,"MA_HT","DCH","MA_QH","TSC")</f>
        <v>0</v>
      </c>
      <c r="AT39" s="74">
        <f>+GETPIVOTDATA("XXB4",'xabang (2016)'!$A$3,"MA_HT","DCH","MA_QH","DTS")</f>
        <v>0</v>
      </c>
      <c r="AU39" s="74">
        <f>+GETPIVOTDATA("XXB4",'xabang (2016)'!$A$3,"MA_HT","DCH","MA_QH","DNG")</f>
        <v>0</v>
      </c>
      <c r="AV39" s="74">
        <f>+GETPIVOTDATA("XXB4",'xabang (2016)'!$A$3,"MA_HT","DCH","MA_QH","TON")</f>
        <v>0</v>
      </c>
      <c r="AW39" s="74">
        <f>+GETPIVOTDATA("XXB4",'xabang (2016)'!$A$3,"MA_HT","DCH","MA_QH","NTD")</f>
        <v>0</v>
      </c>
      <c r="AX39" s="74">
        <f>+GETPIVOTDATA("XXB4",'xabang (2016)'!$A$3,"MA_HT","DCH","MA_QH","SKX")</f>
        <v>0</v>
      </c>
      <c r="AY39" s="74">
        <f>+GETPIVOTDATA("XXB4",'xabang (2016)'!$A$3,"MA_HT","DCH","MA_QH","DSH")</f>
        <v>0</v>
      </c>
      <c r="AZ39" s="74">
        <f>+GETPIVOTDATA("XXB4",'xabang (2016)'!$A$3,"MA_HT","DCH","MA_QH","DKV")</f>
        <v>0</v>
      </c>
      <c r="BA39" s="139">
        <f>+GETPIVOTDATA("XXB4",'xabang (2016)'!$A$3,"MA_HT","DCH","MA_QH","TIN")</f>
        <v>0</v>
      </c>
      <c r="BB39" s="74">
        <f>+GETPIVOTDATA("XXB4",'xabang (2016)'!$A$3,"MA_HT","DCH","MA_QH","SON")</f>
        <v>0</v>
      </c>
      <c r="BC39" s="74">
        <f>+GETPIVOTDATA("XXB4",'xabang (2016)'!$A$3,"MA_HT","DCH","MA_QH","MNC")</f>
        <v>0</v>
      </c>
      <c r="BD39" s="74">
        <f>+GETPIVOTDATA("XXB4",'xabang (2016)'!$A$3,"MA_HT","DCH","MA_QH","PNK")</f>
        <v>0</v>
      </c>
      <c r="BE39" s="102">
        <f>+GETPIVOTDATA("XXB4",'xabang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+GETPIVOTDATA("XXB4",'xabang (2016)'!$A$3,"MA_HT","DKG","MA_QH","LUC")</f>
        <v>0</v>
      </c>
      <c r="H40" s="74">
        <f>+GETPIVOTDATA("XXB4",'xabang (2016)'!$A$3,"MA_HT","DKG","MA_QH","LUK")</f>
        <v>0</v>
      </c>
      <c r="I40" s="74">
        <f>+GETPIVOTDATA("XXB4",'xabang (2016)'!$A$3,"MA_HT","DKG","MA_QH","LUN")</f>
        <v>0</v>
      </c>
      <c r="J40" s="74">
        <f>+GETPIVOTDATA("XXB4",'xabang (2016)'!$A$3,"MA_HT","DKG","MA_QH","HNK")</f>
        <v>0</v>
      </c>
      <c r="K40" s="74">
        <f>+GETPIVOTDATA("XXB4",'xabang (2016)'!$A$3,"MA_HT","DKG","MA_QH","CLN")</f>
        <v>0</v>
      </c>
      <c r="L40" s="74">
        <f>+GETPIVOTDATA("XXB4",'xabang (2016)'!$A$3,"MA_HT","DKG","MA_QH","RSX")</f>
        <v>0</v>
      </c>
      <c r="M40" s="74">
        <f>+GETPIVOTDATA("XXB4",'xabang (2016)'!$A$3,"MA_HT","DKG","MA_QH","RPH")</f>
        <v>0</v>
      </c>
      <c r="N40" s="74">
        <f>+GETPIVOTDATA("XXB4",'xabang (2016)'!$A$3,"MA_HT","DKG","MA_QH","RDD")</f>
        <v>0</v>
      </c>
      <c r="O40" s="74">
        <f>+GETPIVOTDATA("XXB4",'xabang (2016)'!$A$3,"MA_HT","DKG","MA_QH","NTS")</f>
        <v>0</v>
      </c>
      <c r="P40" s="74">
        <f>+GETPIVOTDATA("XXB4",'xabang (2016)'!$A$3,"MA_HT","DKG","MA_QH","LMU")</f>
        <v>0</v>
      </c>
      <c r="Q40" s="74">
        <f>+GETPIVOTDATA("XXB4",'xabang (2016)'!$A$3,"MA_HT","DKG","MA_QH","NKH")</f>
        <v>0</v>
      </c>
      <c r="R40" s="72">
        <f>SUM(S40:AA40,AN40:BD40)</f>
        <v>0</v>
      </c>
      <c r="S40" s="74">
        <f>+GETPIVOTDATA("XXB4",'xabang (2016)'!$A$3,"MA_HT","DKG","MA_QH","CQP")</f>
        <v>0</v>
      </c>
      <c r="T40" s="74">
        <f>+GETPIVOTDATA("XXB4",'xabang (2016)'!$A$3,"MA_HT","DKG","MA_QH","CAN")</f>
        <v>0</v>
      </c>
      <c r="U40" s="74">
        <f>+GETPIVOTDATA("XXB4",'xabang (2016)'!$A$3,"MA_HT","DKG","MA_QH","SKK")</f>
        <v>0</v>
      </c>
      <c r="V40" s="74">
        <f>+GETPIVOTDATA("XXB4",'xabang (2016)'!$A$3,"MA_HT","DKG","MA_QH","SKT")</f>
        <v>0</v>
      </c>
      <c r="W40" s="74">
        <f>+GETPIVOTDATA("XXB4",'xabang (2016)'!$A$3,"MA_HT","DKG","MA_QH","SKN")</f>
        <v>0</v>
      </c>
      <c r="X40" s="74">
        <f>+GETPIVOTDATA("XXB4",'xabang (2016)'!$A$3,"MA_HT","DKG","MA_QH","TMD")</f>
        <v>0</v>
      </c>
      <c r="Y40" s="74">
        <f>+GETPIVOTDATA("XXB4",'xabang (2016)'!$A$3,"MA_HT","DKG","MA_QH","SKC")</f>
        <v>0</v>
      </c>
      <c r="Z40" s="74">
        <f>+GETPIVOTDATA("XXB4",'xabang (2016)'!$A$3,"MA_HT","DKG","MA_QH","SKS")</f>
        <v>0</v>
      </c>
      <c r="AA40" s="64">
        <f>+SUM(AB40:AL40)</f>
        <v>0</v>
      </c>
      <c r="AB40" s="74">
        <f>+GETPIVOTDATA("XXB4",'xabang (2016)'!$A$3,"MA_HT","DKG","MA_QH","DGT")</f>
        <v>0</v>
      </c>
      <c r="AC40" s="74">
        <f>+GETPIVOTDATA("XXB4",'xabang (2016)'!$A$3,"MA_HT","DKG","MA_QH","DTL")</f>
        <v>0</v>
      </c>
      <c r="AD40" s="74">
        <f>+GETPIVOTDATA("XXB4",'xabang (2016)'!$A$3,"MA_HT","DKG","MA_QH","DNL")</f>
        <v>0</v>
      </c>
      <c r="AE40" s="74">
        <f>+GETPIVOTDATA("XXB4",'xabang (2016)'!$A$3,"MA_HT","DKG","MA_QH","DBV")</f>
        <v>0</v>
      </c>
      <c r="AF40" s="74">
        <f>+GETPIVOTDATA("XXB4",'xabang (2016)'!$A$3,"MA_HT","DKG","MA_QH","DVH")</f>
        <v>0</v>
      </c>
      <c r="AG40" s="74">
        <f>+GETPIVOTDATA("XXB4",'xabang (2016)'!$A$3,"MA_HT","DKG","MA_QH","DYT")</f>
        <v>0</v>
      </c>
      <c r="AH40" s="74">
        <f>+GETPIVOTDATA("XXB4",'xabang (2016)'!$A$3,"MA_HT","DKG","MA_QH","DGD")</f>
        <v>0</v>
      </c>
      <c r="AI40" s="74">
        <f>+GETPIVOTDATA("XXB4",'xabang (2016)'!$A$3,"MA_HT","DKG","MA_QH","DTT")</f>
        <v>0</v>
      </c>
      <c r="AJ40" s="74">
        <f>+GETPIVOTDATA("XXB4",'xabang (2016)'!$A$3,"MA_HT","DKG","MA_QH","NCK")</f>
        <v>0</v>
      </c>
      <c r="AK40" s="74">
        <f>+GETPIVOTDATA("XXB4",'xabang (2016)'!$A$3,"MA_HT","DKG","MA_QH","DXH")</f>
        <v>0</v>
      </c>
      <c r="AL40" s="122">
        <f>+GETPIVOTDATA("XXB4",'xabang (2016)'!$A$3,"MA_HT","DDT","MA_QH","DKG")</f>
        <v>0</v>
      </c>
      <c r="AM40" s="100" t="e">
        <f>$D40-$BF40</f>
        <v>#REF!</v>
      </c>
      <c r="AN40" s="74">
        <f>+GETPIVOTDATA("XXB4",'xabang (2016)'!$A$3,"MA_HT","DKG","MA_QH","DDT")</f>
        <v>0</v>
      </c>
      <c r="AO40" s="74">
        <f>+GETPIVOTDATA("XXB4",'xabang (2016)'!$A$3,"MA_HT","DKG","MA_QH","DDL")</f>
        <v>0</v>
      </c>
      <c r="AP40" s="74">
        <f>+GETPIVOTDATA("XXB4",'xabang (2016)'!$A$3,"MA_HT","DKG","MA_QH","DRA")</f>
        <v>0</v>
      </c>
      <c r="AQ40" s="74">
        <f>+GETPIVOTDATA("XXB4",'xabang (2016)'!$A$3,"MA_HT","DKG","MA_QH","ONT")</f>
        <v>0</v>
      </c>
      <c r="AR40" s="74">
        <f>+GETPIVOTDATA("XXB4",'xabang (2016)'!$A$3,"MA_HT","DKG","MA_QH","ODT")</f>
        <v>0</v>
      </c>
      <c r="AS40" s="74">
        <f>+GETPIVOTDATA("XXB4",'xabang (2016)'!$A$3,"MA_HT","DKG","MA_QH","TSC")</f>
        <v>0</v>
      </c>
      <c r="AT40" s="74">
        <f>+GETPIVOTDATA("XXB4",'xabang (2016)'!$A$3,"MA_HT","DKG","MA_QH","DTS")</f>
        <v>0</v>
      </c>
      <c r="AU40" s="74">
        <f>+GETPIVOTDATA("XXB4",'xabang (2016)'!$A$3,"MA_HT","DKG","MA_QH","DNG")</f>
        <v>0</v>
      </c>
      <c r="AV40" s="74">
        <f>+GETPIVOTDATA("XXB4",'xabang (2016)'!$A$3,"MA_HT","DKG","MA_QH","TON")</f>
        <v>0</v>
      </c>
      <c r="AW40" s="74">
        <f>+GETPIVOTDATA("XXB4",'xabang (2016)'!$A$3,"MA_HT","DKG","MA_QH","NTD")</f>
        <v>0</v>
      </c>
      <c r="AX40" s="74">
        <f>+GETPIVOTDATA("XXB4",'xabang (2016)'!$A$3,"MA_HT","DKG","MA_QH","SKX")</f>
        <v>0</v>
      </c>
      <c r="AY40" s="74">
        <f>+GETPIVOTDATA("XXB4",'xabang (2016)'!$A$3,"MA_HT","DKG","MA_QH","DSH")</f>
        <v>0</v>
      </c>
      <c r="AZ40" s="74">
        <f>+GETPIVOTDATA("XXB4",'xabang (2016)'!$A$3,"MA_HT","DKG","MA_QH","DKV")</f>
        <v>0</v>
      </c>
      <c r="BA40" s="139">
        <f>+GETPIVOTDATA("XXB4",'xabang (2016)'!$A$3,"MA_HT","DKG","MA_QH","TIN")</f>
        <v>0</v>
      </c>
      <c r="BB40" s="74">
        <f>+GETPIVOTDATA("XXB4",'xabang (2016)'!$A$3,"MA_HT","DKG","MA_QH","SON")</f>
        <v>0</v>
      </c>
      <c r="BC40" s="74">
        <f>+GETPIVOTDATA("XXB4",'xabang (2016)'!$A$3,"MA_HT","DKG","MA_QH","MNC")</f>
        <v>0</v>
      </c>
      <c r="BD40" s="74">
        <f>+GETPIVOTDATA("XXB4",'xabang (2016)'!$A$3,"MA_HT","DKG","MA_QH","PNK")</f>
        <v>0</v>
      </c>
      <c r="BE40" s="102">
        <f>+GETPIVOTDATA("XXB4",'xabang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+GETPIVOTDATA("XXB4",'xabang (2016)'!$A$3,"MA_HT","DDT","MA_QH","LUC")</f>
        <v>0</v>
      </c>
      <c r="H41" s="122">
        <f>+GETPIVOTDATA("XXB4",'xabang (2016)'!$A$3,"MA_HT","DDT","MA_QH","LUK")</f>
        <v>0</v>
      </c>
      <c r="I41" s="122">
        <f>+GETPIVOTDATA("XXB4",'xabang (2016)'!$A$3,"MA_HT","DDT","MA_QH","LUN")</f>
        <v>0</v>
      </c>
      <c r="J41" s="122">
        <f>+GETPIVOTDATA("XXB4",'xabang (2016)'!$A$3,"MA_HT","DDT","MA_QH","HNK")</f>
        <v>0</v>
      </c>
      <c r="K41" s="122">
        <f>+GETPIVOTDATA("XXB4",'xabang (2016)'!$A$3,"MA_HT","DDT","MA_QH","CLN")</f>
        <v>0</v>
      </c>
      <c r="L41" s="122">
        <f>+GETPIVOTDATA("XXB4",'xabang (2016)'!$A$3,"MA_HT","DDT","MA_QH","RSX")</f>
        <v>0</v>
      </c>
      <c r="M41" s="122">
        <f>+GETPIVOTDATA("XXB4",'xabang (2016)'!$A$3,"MA_HT","DDT","MA_QH","RPH")</f>
        <v>0</v>
      </c>
      <c r="N41" s="122">
        <f>+GETPIVOTDATA("XXB4",'xabang (2016)'!$A$3,"MA_HT","DDT","MA_QH","RDD")</f>
        <v>0</v>
      </c>
      <c r="O41" s="122">
        <f>+GETPIVOTDATA("XXB4",'xabang (2016)'!$A$3,"MA_HT","DDT","MA_QH","NTS")</f>
        <v>0</v>
      </c>
      <c r="P41" s="122">
        <f>+GETPIVOTDATA("XXB4",'xabang (2016)'!$A$3,"MA_HT","DDT","MA_QH","LMU")</f>
        <v>0</v>
      </c>
      <c r="Q41" s="122">
        <f>+GETPIVOTDATA("XXB4",'xabang (2016)'!$A$3,"MA_HT","DDT","MA_QH","NKH")</f>
        <v>0</v>
      </c>
      <c r="R41" s="123">
        <f>SUM(S41:AA41,AO41:BD41)</f>
        <v>0</v>
      </c>
      <c r="S41" s="122">
        <f>+GETPIVOTDATA("XXB4",'xabang (2016)'!$A$3,"MA_HT","DDT","MA_QH","CQP")</f>
        <v>0</v>
      </c>
      <c r="T41" s="122">
        <f>+GETPIVOTDATA("XXB4",'xabang (2016)'!$A$3,"MA_HT","DDT","MA_QH","CAN")</f>
        <v>0</v>
      </c>
      <c r="U41" s="122">
        <f>+GETPIVOTDATA("XXB4",'xabang (2016)'!$A$3,"MA_HT","DDT","MA_QH","SKK")</f>
        <v>0</v>
      </c>
      <c r="V41" s="122">
        <f>+GETPIVOTDATA("XXB4",'xabang (2016)'!$A$3,"MA_HT","DDT","MA_QH","SKT")</f>
        <v>0</v>
      </c>
      <c r="W41" s="122">
        <f>+GETPIVOTDATA("XXB4",'xabang (2016)'!$A$3,"MA_HT","DDT","MA_QH","SKN")</f>
        <v>0</v>
      </c>
      <c r="X41" s="122">
        <f>+GETPIVOTDATA("XXB4",'xabang (2016)'!$A$3,"MA_HT","DDT","MA_QH","TMD")</f>
        <v>0</v>
      </c>
      <c r="Y41" s="122">
        <f>+GETPIVOTDATA("XXB4",'xabang (2016)'!$A$3,"MA_HT","DDT","MA_QH","SKC")</f>
        <v>0</v>
      </c>
      <c r="Z41" s="122">
        <f>+GETPIVOTDATA("XXB4",'xabang (2016)'!$A$3,"MA_HT","DDT","MA_QH","SKS")</f>
        <v>0</v>
      </c>
      <c r="AA41" s="121">
        <f t="shared" ref="AA41:AA58" si="21">+SUM(AB41:AM41)</f>
        <v>0</v>
      </c>
      <c r="AB41" s="122">
        <f>+GETPIVOTDATA("XXB4",'xabang (2016)'!$A$3,"MA_HT","DDT","MA_QH","DGT")</f>
        <v>0</v>
      </c>
      <c r="AC41" s="122">
        <f>+GETPIVOTDATA("XXB4",'xabang (2016)'!$A$3,"MA_HT","DDT","MA_QH","DTL")</f>
        <v>0</v>
      </c>
      <c r="AD41" s="122">
        <f>+GETPIVOTDATA("XXB4",'xabang (2016)'!$A$3,"MA_HT","DDT","MA_QH","DNL")</f>
        <v>0</v>
      </c>
      <c r="AE41" s="122">
        <f>+GETPIVOTDATA("XXB4",'xabang (2016)'!$A$3,"MA_HT","DDT","MA_QH","DBV")</f>
        <v>0</v>
      </c>
      <c r="AF41" s="122">
        <f>+GETPIVOTDATA("XXB4",'xabang (2016)'!$A$3,"MA_HT","DDT","MA_QH","DVH")</f>
        <v>0</v>
      </c>
      <c r="AG41" s="122">
        <f>+GETPIVOTDATA("XXB4",'xabang (2016)'!$A$3,"MA_HT","DDT","MA_QH","DYT")</f>
        <v>0</v>
      </c>
      <c r="AH41" s="122">
        <f>+GETPIVOTDATA("XXB4",'xabang (2016)'!$A$3,"MA_HT","DDT","MA_QH","DGD")</f>
        <v>0</v>
      </c>
      <c r="AI41" s="122">
        <f>+GETPIVOTDATA("XXB4",'xabang (2016)'!$A$3,"MA_HT","DDT","MA_QH","DTT")</f>
        <v>0</v>
      </c>
      <c r="AJ41" s="122">
        <f>+GETPIVOTDATA("XXB4",'xabang (2016)'!$A$3,"MA_HT","DDT","MA_QH","NCK")</f>
        <v>0</v>
      </c>
      <c r="AK41" s="122">
        <f>+GETPIVOTDATA("XXB4",'xabang (2016)'!$A$3,"MA_HT","DDT","MA_QH","DXH")</f>
        <v>0</v>
      </c>
      <c r="AL41" s="122">
        <f>+GETPIVOTDATA("XXB4",'xabang (2016)'!$A$3,"MA_HT","DDT","MA_QH","DCH")</f>
        <v>0</v>
      </c>
      <c r="AM41" s="122">
        <f>+GETPIVOTDATA("XXB4",'xabang (2016)'!$A$3,"MA_HT","DDT","MA_QH","DKG")</f>
        <v>0</v>
      </c>
      <c r="AN41" s="124" t="e">
        <f>$D41-$BF41</f>
        <v>#REF!</v>
      </c>
      <c r="AO41" s="122">
        <f>+GETPIVOTDATA("XXB4",'xabang (2016)'!$A$3,"MA_HT","DDT","MA_QH","DDL")</f>
        <v>0</v>
      </c>
      <c r="AP41" s="122">
        <f>+GETPIVOTDATA("XXB4",'xabang (2016)'!$A$3,"MA_HT","DDT","MA_QH","DRA")</f>
        <v>0</v>
      </c>
      <c r="AQ41" s="122">
        <f>+GETPIVOTDATA("XXB4",'xabang (2016)'!$A$3,"MA_HT","DDT","MA_QH","ONT")</f>
        <v>0</v>
      </c>
      <c r="AR41" s="122">
        <f>+GETPIVOTDATA("XXB4",'xabang (2016)'!$A$3,"MA_HT","DDT","MA_QH","ODT")</f>
        <v>0</v>
      </c>
      <c r="AS41" s="122">
        <f>+GETPIVOTDATA("XXB4",'xabang (2016)'!$A$3,"MA_HT","DDT","MA_QH","TSC")</f>
        <v>0</v>
      </c>
      <c r="AT41" s="122">
        <f>+GETPIVOTDATA("XXB4",'xabang (2016)'!$A$3,"MA_HT","DDT","MA_QH","DTS")</f>
        <v>0</v>
      </c>
      <c r="AU41" s="122">
        <f>+GETPIVOTDATA("XXB4",'xabang (2016)'!$A$3,"MA_HT","DDT","MA_QH","DNG")</f>
        <v>0</v>
      </c>
      <c r="AV41" s="122">
        <f>+GETPIVOTDATA("XXB4",'xabang (2016)'!$A$3,"MA_HT","DDT","MA_QH","TON")</f>
        <v>0</v>
      </c>
      <c r="AW41" s="122">
        <f>+GETPIVOTDATA("XXB4",'xabang (2016)'!$A$3,"MA_HT","DDT","MA_QH","NTD")</f>
        <v>0</v>
      </c>
      <c r="AX41" s="122">
        <f>+GETPIVOTDATA("XXB4",'xabang (2016)'!$A$3,"MA_HT","DDT","MA_QH","SKX")</f>
        <v>0</v>
      </c>
      <c r="AY41" s="122">
        <f>+GETPIVOTDATA("XXB4",'xabang (2016)'!$A$3,"MA_HT","DDT","MA_QH","DSH")</f>
        <v>0</v>
      </c>
      <c r="AZ41" s="122">
        <f>+GETPIVOTDATA("XXB4",'xabang (2016)'!$A$3,"MA_HT","DDT","MA_QH","DKV")</f>
        <v>0</v>
      </c>
      <c r="BA41" s="141">
        <f>+GETPIVOTDATA("XXB4",'xabang (2016)'!$A$3,"MA_HT","DDT","MA_QH","TIN")</f>
        <v>0</v>
      </c>
      <c r="BB41" s="125">
        <f>+GETPIVOTDATA("XXB4",'xabang (2016)'!$A$3,"MA_HT","DDT","MA_QH","SON")</f>
        <v>0</v>
      </c>
      <c r="BC41" s="125">
        <f>+GETPIVOTDATA("XXB4",'xabang (2016)'!$A$3,"MA_HT","DDT","MA_QH","MNC")</f>
        <v>0</v>
      </c>
      <c r="BD41" s="122">
        <f>+GETPIVOTDATA("XXB4",'xabang (2016)'!$A$3,"MA_HT","DDT","MA_QH","PNK")</f>
        <v>0</v>
      </c>
      <c r="BE41" s="126">
        <f>+GETPIVOTDATA("XXB4",'xabang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+GETPIVOTDATA("XXB4",'xabang (2016)'!$A$3,"MA_HT","DDL","MA_QH","LUC")</f>
        <v>0</v>
      </c>
      <c r="H42" s="35">
        <f>+GETPIVOTDATA("XXB4",'xabang (2016)'!$A$3,"MA_HT","DDL","MA_QH","LUK")</f>
        <v>0</v>
      </c>
      <c r="I42" s="35">
        <f>+GETPIVOTDATA("XXB4",'xabang (2016)'!$A$3,"MA_HT","DDL","MA_QH","LUN")</f>
        <v>0</v>
      </c>
      <c r="J42" s="35">
        <f>+GETPIVOTDATA("XXB4",'xabang (2016)'!$A$3,"MA_HT","DDL","MA_QH","HNK")</f>
        <v>0</v>
      </c>
      <c r="K42" s="35">
        <f>+GETPIVOTDATA("XXB4",'xabang (2016)'!$A$3,"MA_HT","DDL","MA_QH","CLN")</f>
        <v>0</v>
      </c>
      <c r="L42" s="35">
        <f>+GETPIVOTDATA("XXB4",'xabang (2016)'!$A$3,"MA_HT","DDL","MA_QH","RSX")</f>
        <v>0</v>
      </c>
      <c r="M42" s="35">
        <f>+GETPIVOTDATA("XXB4",'xabang (2016)'!$A$3,"MA_HT","DDL","MA_QH","RPH")</f>
        <v>0</v>
      </c>
      <c r="N42" s="35">
        <f>+GETPIVOTDATA("XXB4",'xabang (2016)'!$A$3,"MA_HT","DDL","MA_QH","RDD")</f>
        <v>0</v>
      </c>
      <c r="O42" s="35">
        <f>+GETPIVOTDATA("XXB4",'xabang (2016)'!$A$3,"MA_HT","DDL","MA_QH","NTS")</f>
        <v>0</v>
      </c>
      <c r="P42" s="35">
        <f>+GETPIVOTDATA("XXB4",'xabang (2016)'!$A$3,"MA_HT","DDL","MA_QH","LMU")</f>
        <v>0</v>
      </c>
      <c r="Q42" s="35">
        <f>+GETPIVOTDATA("XXB4",'xabang (2016)'!$A$3,"MA_HT","DDL","MA_QH","NKH")</f>
        <v>0</v>
      </c>
      <c r="R42" s="106">
        <f>SUM(S42:AA42,AN42,AP42:BD42)</f>
        <v>0</v>
      </c>
      <c r="S42" s="35">
        <f>+GETPIVOTDATA("XXB4",'xabang (2016)'!$A$3,"MA_HT","DDL","MA_QH","CQP")</f>
        <v>0</v>
      </c>
      <c r="T42" s="35">
        <f>+GETPIVOTDATA("XXB4",'xabang (2016)'!$A$3,"MA_HT","DDL","MA_QH","CAN")</f>
        <v>0</v>
      </c>
      <c r="U42" s="35">
        <f>+GETPIVOTDATA("XXB4",'xabang (2016)'!$A$3,"MA_HT","DDL","MA_QH","SKK")</f>
        <v>0</v>
      </c>
      <c r="V42" s="35">
        <f>+GETPIVOTDATA("XXB4",'xabang (2016)'!$A$3,"MA_HT","DDL","MA_QH","SKT")</f>
        <v>0</v>
      </c>
      <c r="W42" s="35">
        <f>+GETPIVOTDATA("XXB4",'xabang (2016)'!$A$3,"MA_HT","DDL","MA_QH","SKN")</f>
        <v>0</v>
      </c>
      <c r="X42" s="35">
        <f>+GETPIVOTDATA("XXB4",'xabang (2016)'!$A$3,"MA_HT","DDL","MA_QH","TMD")</f>
        <v>0</v>
      </c>
      <c r="Y42" s="35">
        <f>+GETPIVOTDATA("XXB4",'xabang (2016)'!$A$3,"MA_HT","DDL","MA_QH","SKC")</f>
        <v>0</v>
      </c>
      <c r="Z42" s="35">
        <f>+GETPIVOTDATA("XXB4",'xabang (2016)'!$A$3,"MA_HT","DDL","MA_QH","SKS")</f>
        <v>0</v>
      </c>
      <c r="AA42" s="64">
        <f t="shared" si="21"/>
        <v>0</v>
      </c>
      <c r="AB42" s="35">
        <f>+GETPIVOTDATA("XXB4",'xabang (2016)'!$A$3,"MA_HT","DDL","MA_QH","DGT")</f>
        <v>0</v>
      </c>
      <c r="AC42" s="35">
        <f>+GETPIVOTDATA("XXB4",'xabang (2016)'!$A$3,"MA_HT","DDL","MA_QH","DTL")</f>
        <v>0</v>
      </c>
      <c r="AD42" s="35">
        <f>+GETPIVOTDATA("XXB4",'xabang (2016)'!$A$3,"MA_HT","DDL","MA_QH","DNL")</f>
        <v>0</v>
      </c>
      <c r="AE42" s="35">
        <f>+GETPIVOTDATA("XXB4",'xabang (2016)'!$A$3,"MA_HT","DDL","MA_QH","DBV")</f>
        <v>0</v>
      </c>
      <c r="AF42" s="35">
        <f>+GETPIVOTDATA("XXB4",'xabang (2016)'!$A$3,"MA_HT","DDL","MA_QH","DVH")</f>
        <v>0</v>
      </c>
      <c r="AG42" s="35">
        <f>+GETPIVOTDATA("XXB4",'xabang (2016)'!$A$3,"MA_HT","DDL","MA_QH","DYT")</f>
        <v>0</v>
      </c>
      <c r="AH42" s="35">
        <f>+GETPIVOTDATA("XXB4",'xabang (2016)'!$A$3,"MA_HT","DDL","MA_QH","DGD")</f>
        <v>0</v>
      </c>
      <c r="AI42" s="35">
        <f>+GETPIVOTDATA("XXB4",'xabang (2016)'!$A$3,"MA_HT","DDL","MA_QH","DTT")</f>
        <v>0</v>
      </c>
      <c r="AJ42" s="35">
        <f>+GETPIVOTDATA("XXB4",'xabang (2016)'!$A$3,"MA_HT","DDL","MA_QH","NCK")</f>
        <v>0</v>
      </c>
      <c r="AK42" s="35">
        <f>+GETPIVOTDATA("XXB4",'xabang (2016)'!$A$3,"MA_HT","DDL","MA_QH","DXH")</f>
        <v>0</v>
      </c>
      <c r="AL42" s="35">
        <f>+GETPIVOTDATA("XXB4",'xabang (2016)'!$A$3,"MA_HT","DDL","MA_QH","DCH")</f>
        <v>0</v>
      </c>
      <c r="AM42" s="35">
        <f>+GETPIVOTDATA("XXB4",'xabang (2016)'!$A$3,"MA_HT","DDL","MA_QH","DKG")</f>
        <v>0</v>
      </c>
      <c r="AN42" s="35">
        <f>+GETPIVOTDATA("XXB4",'xabang (2016)'!$A$3,"MA_HT","DDL","MA_QH","DDT")</f>
        <v>0</v>
      </c>
      <c r="AO42" s="99" t="e">
        <f>$D42-$BF42</f>
        <v>#REF!</v>
      </c>
      <c r="AP42" s="35">
        <f>+GETPIVOTDATA("XXB4",'xabang (2016)'!$A$3,"MA_HT","DDL","MA_QH","DRA")</f>
        <v>0</v>
      </c>
      <c r="AQ42" s="35">
        <f>+GETPIVOTDATA("XXB4",'xabang (2016)'!$A$3,"MA_HT","DDL","MA_QH","ONT")</f>
        <v>0</v>
      </c>
      <c r="AR42" s="35">
        <f>+GETPIVOTDATA("XXB4",'xabang (2016)'!$A$3,"MA_HT","DDL","MA_QH","ODT")</f>
        <v>0</v>
      </c>
      <c r="AS42" s="35">
        <f>+GETPIVOTDATA("XXB4",'xabang (2016)'!$A$3,"MA_HT","DDL","MA_QH","TSC")</f>
        <v>0</v>
      </c>
      <c r="AT42" s="35">
        <f>+GETPIVOTDATA("XXB4",'xabang (2016)'!$A$3,"MA_HT","DDL","MA_QH","DTS")</f>
        <v>0</v>
      </c>
      <c r="AU42" s="35">
        <f>+GETPIVOTDATA("XXB4",'xabang (2016)'!$A$3,"MA_HT","DDL","MA_QH","DNG")</f>
        <v>0</v>
      </c>
      <c r="AV42" s="35">
        <f>+GETPIVOTDATA("XXB4",'xabang (2016)'!$A$3,"MA_HT","DDL","MA_QH","TON")</f>
        <v>0</v>
      </c>
      <c r="AW42" s="35">
        <f>+GETPIVOTDATA("XXB4",'xabang (2016)'!$A$3,"MA_HT","DDL","MA_QH","NTD")</f>
        <v>0</v>
      </c>
      <c r="AX42" s="35">
        <f>+GETPIVOTDATA("XXB4",'xabang (2016)'!$A$3,"MA_HT","DDL","MA_QH","SKX")</f>
        <v>0</v>
      </c>
      <c r="AY42" s="35">
        <f>+GETPIVOTDATA("XXB4",'xabang (2016)'!$A$3,"MA_HT","DDL","MA_QH","DSH")</f>
        <v>0</v>
      </c>
      <c r="AZ42" s="35">
        <f>+GETPIVOTDATA("XXB4",'xabang (2016)'!$A$3,"MA_HT","DDL","MA_QH","DKV")</f>
        <v>0</v>
      </c>
      <c r="BA42" s="140">
        <f>+GETPIVOTDATA("XXB4",'xabang (2016)'!$A$3,"MA_HT","DDL","MA_QH","TIN")</f>
        <v>0</v>
      </c>
      <c r="BB42" s="74">
        <f>+GETPIVOTDATA("XXB4",'xabang (2016)'!$A$3,"MA_HT","DDL","MA_QH","SON")</f>
        <v>0</v>
      </c>
      <c r="BC42" s="74">
        <f>+GETPIVOTDATA("XXB4",'xabang (2016)'!$A$3,"MA_HT","DDL","MA_QH","MNC")</f>
        <v>0</v>
      </c>
      <c r="BD42" s="35">
        <f>+GETPIVOTDATA("XXB4",'xabang (2016)'!$A$3,"MA_HT","DDL","MA_QH","PNK")</f>
        <v>0</v>
      </c>
      <c r="BE42" s="58">
        <f>+GETPIVOTDATA("XXB4",'xabang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+GETPIVOTDATA("XXB4",'xabang (2016)'!$A$3,"MA_HT","DRA","MA_QH","LUC")</f>
        <v>0</v>
      </c>
      <c r="H43" s="35">
        <f>+GETPIVOTDATA("XXB4",'xabang (2016)'!$A$3,"MA_HT","DRA","MA_QH","LUK")</f>
        <v>0</v>
      </c>
      <c r="I43" s="35">
        <f>+GETPIVOTDATA("XXB4",'xabang (2016)'!$A$3,"MA_HT","DRA","MA_QH","LUN")</f>
        <v>0</v>
      </c>
      <c r="J43" s="35">
        <f>+GETPIVOTDATA("XXB4",'xabang (2016)'!$A$3,"MA_HT","DRA","MA_QH","HNK")</f>
        <v>0</v>
      </c>
      <c r="K43" s="35">
        <f>+GETPIVOTDATA("XXB4",'xabang (2016)'!$A$3,"MA_HT","DRA","MA_QH","CLN")</f>
        <v>0</v>
      </c>
      <c r="L43" s="35">
        <f>+GETPIVOTDATA("XXB4",'xabang (2016)'!$A$3,"MA_HT","DRA","MA_QH","RSX")</f>
        <v>0</v>
      </c>
      <c r="M43" s="35">
        <f>+GETPIVOTDATA("XXB4",'xabang (2016)'!$A$3,"MA_HT","DRA","MA_QH","RPH")</f>
        <v>0</v>
      </c>
      <c r="N43" s="35">
        <f>+GETPIVOTDATA("XXB4",'xabang (2016)'!$A$3,"MA_HT","DRA","MA_QH","RDD")</f>
        <v>0</v>
      </c>
      <c r="O43" s="35">
        <f>+GETPIVOTDATA("XXB4",'xabang (2016)'!$A$3,"MA_HT","DRA","MA_QH","NTS")</f>
        <v>0</v>
      </c>
      <c r="P43" s="35">
        <f>+GETPIVOTDATA("XXB4",'xabang (2016)'!$A$3,"MA_HT","DRA","MA_QH","LMU")</f>
        <v>0</v>
      </c>
      <c r="Q43" s="35">
        <f>+GETPIVOTDATA("XXB4",'xabang (2016)'!$A$3,"MA_HT","DRA","MA_QH","NKH")</f>
        <v>0</v>
      </c>
      <c r="R43" s="106">
        <f>SUM(S43:AA43,AN43:AO43,AQ43:BD43)</f>
        <v>0</v>
      </c>
      <c r="S43" s="35">
        <f>+GETPIVOTDATA("XXB4",'xabang (2016)'!$A$3,"MA_HT","DRA","MA_QH","CQP")</f>
        <v>0</v>
      </c>
      <c r="T43" s="35">
        <f>+GETPIVOTDATA("XXB4",'xabang (2016)'!$A$3,"MA_HT","DRA","MA_QH","CAN")</f>
        <v>0</v>
      </c>
      <c r="U43" s="35">
        <f>+GETPIVOTDATA("XXB4",'xabang (2016)'!$A$3,"MA_HT","DRA","MA_QH","SKK")</f>
        <v>0</v>
      </c>
      <c r="V43" s="35">
        <f>+GETPIVOTDATA("XXB4",'xabang (2016)'!$A$3,"MA_HT","DRA","MA_QH","SKT")</f>
        <v>0</v>
      </c>
      <c r="W43" s="35">
        <f>+GETPIVOTDATA("XXB4",'xabang (2016)'!$A$3,"MA_HT","DRA","MA_QH","SKN")</f>
        <v>0</v>
      </c>
      <c r="X43" s="35">
        <f>+GETPIVOTDATA("XXB4",'xabang (2016)'!$A$3,"MA_HT","DRA","MA_QH","TMD")</f>
        <v>0</v>
      </c>
      <c r="Y43" s="35">
        <f>+GETPIVOTDATA("XXB4",'xabang (2016)'!$A$3,"MA_HT","DRA","MA_QH","SKC")</f>
        <v>0</v>
      </c>
      <c r="Z43" s="35">
        <f>+GETPIVOTDATA("XXB4",'xabang (2016)'!$A$3,"MA_HT","DRA","MA_QH","SKS")</f>
        <v>0</v>
      </c>
      <c r="AA43" s="64">
        <f t="shared" si="21"/>
        <v>0</v>
      </c>
      <c r="AB43" s="35">
        <f>+GETPIVOTDATA("XXB4",'xabang (2016)'!$A$3,"MA_HT","DRA","MA_QH","DGT")</f>
        <v>0</v>
      </c>
      <c r="AC43" s="35">
        <f>+GETPIVOTDATA("XXB4",'xabang (2016)'!$A$3,"MA_HT","DRA","MA_QH","DTL")</f>
        <v>0</v>
      </c>
      <c r="AD43" s="35">
        <f>+GETPIVOTDATA("XXB4",'xabang (2016)'!$A$3,"MA_HT","DRA","MA_QH","DNL")</f>
        <v>0</v>
      </c>
      <c r="AE43" s="35">
        <f>+GETPIVOTDATA("XXB4",'xabang (2016)'!$A$3,"MA_HT","DRA","MA_QH","DBV")</f>
        <v>0</v>
      </c>
      <c r="AF43" s="35">
        <f>+GETPIVOTDATA("XXB4",'xabang (2016)'!$A$3,"MA_HT","DRA","MA_QH","DVH")</f>
        <v>0</v>
      </c>
      <c r="AG43" s="35">
        <f>+GETPIVOTDATA("XXB4",'xabang (2016)'!$A$3,"MA_HT","DRA","MA_QH","DYT")</f>
        <v>0</v>
      </c>
      <c r="AH43" s="35">
        <f>+GETPIVOTDATA("XXB4",'xabang (2016)'!$A$3,"MA_HT","DRA","MA_QH","DGD")</f>
        <v>0</v>
      </c>
      <c r="AI43" s="35">
        <f>+GETPIVOTDATA("XXB4",'xabang (2016)'!$A$3,"MA_HT","DRA","MA_QH","DTT")</f>
        <v>0</v>
      </c>
      <c r="AJ43" s="35">
        <f>+GETPIVOTDATA("XXB4",'xabang (2016)'!$A$3,"MA_HT","DRA","MA_QH","NCK")</f>
        <v>0</v>
      </c>
      <c r="AK43" s="35">
        <f>+GETPIVOTDATA("XXB4",'xabang (2016)'!$A$3,"MA_HT","DRA","MA_QH","DXH")</f>
        <v>0</v>
      </c>
      <c r="AL43" s="35">
        <f>+GETPIVOTDATA("XXB4",'xabang (2016)'!$A$3,"MA_HT","DRA","MA_QH","DCH")</f>
        <v>0</v>
      </c>
      <c r="AM43" s="35">
        <f>+GETPIVOTDATA("XXB4",'xabang (2016)'!$A$3,"MA_HT","DRA","MA_QH","DKG")</f>
        <v>0</v>
      </c>
      <c r="AN43" s="35">
        <f>+GETPIVOTDATA("XXB4",'xabang (2016)'!$A$3,"MA_HT","DRA","MA_QH","DDT")</f>
        <v>0</v>
      </c>
      <c r="AO43" s="35">
        <f>+GETPIVOTDATA("XXB4",'xabang (2016)'!$A$3,"MA_HT","DRA","MA_QH","DDL")</f>
        <v>0</v>
      </c>
      <c r="AP43" s="99" t="e">
        <f>$D43-$BF43</f>
        <v>#REF!</v>
      </c>
      <c r="AQ43" s="35">
        <f>+GETPIVOTDATA("XXB4",'xabang (2016)'!$A$3,"MA_HT","DRA","MA_QH","ONT")</f>
        <v>0</v>
      </c>
      <c r="AR43" s="35">
        <f>+GETPIVOTDATA("XXB4",'xabang (2016)'!$A$3,"MA_HT","DRA","MA_QH","ODT")</f>
        <v>0</v>
      </c>
      <c r="AS43" s="35">
        <f>+GETPIVOTDATA("XXB4",'xabang (2016)'!$A$3,"MA_HT","DRA","MA_QH","TSC")</f>
        <v>0</v>
      </c>
      <c r="AT43" s="35">
        <f>+GETPIVOTDATA("XXB4",'xabang (2016)'!$A$3,"MA_HT","DRA","MA_QH","DTS")</f>
        <v>0</v>
      </c>
      <c r="AU43" s="35">
        <f>+GETPIVOTDATA("XXB4",'xabang (2016)'!$A$3,"MA_HT","DRA","MA_QH","DNG")</f>
        <v>0</v>
      </c>
      <c r="AV43" s="35">
        <f>+GETPIVOTDATA("XXB4",'xabang (2016)'!$A$3,"MA_HT","DRA","MA_QH","TON")</f>
        <v>0</v>
      </c>
      <c r="AW43" s="35">
        <f>+GETPIVOTDATA("XXB4",'xabang (2016)'!$A$3,"MA_HT","DRA","MA_QH","NTD")</f>
        <v>0</v>
      </c>
      <c r="AX43" s="35">
        <f>+GETPIVOTDATA("XXB4",'xabang (2016)'!$A$3,"MA_HT","DRA","MA_QH","SKX")</f>
        <v>0</v>
      </c>
      <c r="AY43" s="35">
        <f>+GETPIVOTDATA("XXB4",'xabang (2016)'!$A$3,"MA_HT","DRA","MA_QH","DSH")</f>
        <v>0</v>
      </c>
      <c r="AZ43" s="35">
        <f>+GETPIVOTDATA("XXB4",'xabang (2016)'!$A$3,"MA_HT","DRA","MA_QH","DKV")</f>
        <v>0</v>
      </c>
      <c r="BA43" s="140">
        <f>+GETPIVOTDATA("XXB4",'xabang (2016)'!$A$3,"MA_HT","DRA","MA_QH","TIN")</f>
        <v>0</v>
      </c>
      <c r="BB43" s="74">
        <f>+GETPIVOTDATA("XXB4",'xabang (2016)'!$A$3,"MA_HT","DRA","MA_QH","SON")</f>
        <v>0</v>
      </c>
      <c r="BC43" s="74">
        <f>+GETPIVOTDATA("XXB4",'xabang (2016)'!$A$3,"MA_HT","DRA","MA_QH","MNC")</f>
        <v>0</v>
      </c>
      <c r="BD43" s="35">
        <f>+GETPIVOTDATA("XXB4",'xabang (2016)'!$A$3,"MA_HT","DRA","MA_QH","PNK")</f>
        <v>0</v>
      </c>
      <c r="BE43" s="58">
        <f>+GETPIVOTDATA("XXB4",'xabang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+GETPIVOTDATA("XXB4",'xabang (2016)'!$A$3,"MA_HT","ONT","MA_QH","LUC")</f>
        <v>0</v>
      </c>
      <c r="H44" s="35">
        <f>+GETPIVOTDATA("XXB4",'xabang (2016)'!$A$3,"MA_HT","ONT","MA_QH","LUK")</f>
        <v>0</v>
      </c>
      <c r="I44" s="35">
        <f>+GETPIVOTDATA("XXB4",'xabang (2016)'!$A$3,"MA_HT","ONT","MA_QH","LUN")</f>
        <v>0</v>
      </c>
      <c r="J44" s="35">
        <f>+GETPIVOTDATA("XXB4",'xabang (2016)'!$A$3,"MA_HT","ONT","MA_QH","HNK")</f>
        <v>0</v>
      </c>
      <c r="K44" s="35">
        <f>+GETPIVOTDATA("XXB4",'xabang (2016)'!$A$3,"MA_HT","ONT","MA_QH","CLN")</f>
        <v>0</v>
      </c>
      <c r="L44" s="35">
        <f>+GETPIVOTDATA("XXB4",'xabang (2016)'!$A$3,"MA_HT","ONT","MA_QH","RSX")</f>
        <v>0</v>
      </c>
      <c r="M44" s="35">
        <f>+GETPIVOTDATA("XXB4",'xabang (2016)'!$A$3,"MA_HT","ONT","MA_QH","RPH")</f>
        <v>0</v>
      </c>
      <c r="N44" s="35">
        <f>+GETPIVOTDATA("XXB4",'xabang (2016)'!$A$3,"MA_HT","ONT","MA_QH","RDD")</f>
        <v>0</v>
      </c>
      <c r="O44" s="35">
        <f>+GETPIVOTDATA("XXB4",'xabang (2016)'!$A$3,"MA_HT","ONT","MA_QH","NTS")</f>
        <v>0</v>
      </c>
      <c r="P44" s="35">
        <f>+GETPIVOTDATA("XXB4",'xabang (2016)'!$A$3,"MA_HT","ONT","MA_QH","LMU")</f>
        <v>0</v>
      </c>
      <c r="Q44" s="35">
        <f>+GETPIVOTDATA("XXB4",'xabang (2016)'!$A$3,"MA_HT","ONT","MA_QH","NKH")</f>
        <v>0</v>
      </c>
      <c r="R44" s="106">
        <f>SUM(S44:AA44,AN44:AP44,AR44:BD44)</f>
        <v>0</v>
      </c>
      <c r="S44" s="35">
        <f>+GETPIVOTDATA("XXB4",'xabang (2016)'!$A$3,"MA_HT","ONT","MA_QH","CQP")</f>
        <v>0</v>
      </c>
      <c r="T44" s="35">
        <f>+GETPIVOTDATA("XXB4",'xabang (2016)'!$A$3,"MA_HT","ONT","MA_QH","CAN")</f>
        <v>0</v>
      </c>
      <c r="U44" s="35">
        <f>+GETPIVOTDATA("XXB4",'xabang (2016)'!$A$3,"MA_HT","ONT","MA_QH","SKK")</f>
        <v>0</v>
      </c>
      <c r="V44" s="35">
        <f>+GETPIVOTDATA("XXB4",'xabang (2016)'!$A$3,"MA_HT","ONT","MA_QH","SKT")</f>
        <v>0</v>
      </c>
      <c r="W44" s="35">
        <f>+GETPIVOTDATA("XXB4",'xabang (2016)'!$A$3,"MA_HT","ONT","MA_QH","SKN")</f>
        <v>0</v>
      </c>
      <c r="X44" s="35">
        <f>+GETPIVOTDATA("XXB4",'xabang (2016)'!$A$3,"MA_HT","ONT","MA_QH","TMD")</f>
        <v>0</v>
      </c>
      <c r="Y44" s="35">
        <f>+GETPIVOTDATA("XXB4",'xabang (2016)'!$A$3,"MA_HT","ONT","MA_QH","SKC")</f>
        <v>0</v>
      </c>
      <c r="Z44" s="35">
        <f>+GETPIVOTDATA("XXB4",'xabang (2016)'!$A$3,"MA_HT","ONT","MA_QH","SKS")</f>
        <v>0</v>
      </c>
      <c r="AA44" s="64">
        <f t="shared" si="21"/>
        <v>0</v>
      </c>
      <c r="AB44" s="35">
        <f>+GETPIVOTDATA("XXB4",'xabang (2016)'!$A$3,"MA_HT","ONT","MA_QH","DGT")</f>
        <v>0</v>
      </c>
      <c r="AC44" s="35">
        <f>+GETPIVOTDATA("XXB4",'xabang (2016)'!$A$3,"MA_HT","ONT","MA_QH","DTL")</f>
        <v>0</v>
      </c>
      <c r="AD44" s="35">
        <f>+GETPIVOTDATA("XXB4",'xabang (2016)'!$A$3,"MA_HT","ONT","MA_QH","DNL")</f>
        <v>0</v>
      </c>
      <c r="AE44" s="35">
        <f>+GETPIVOTDATA("XXB4",'xabang (2016)'!$A$3,"MA_HT","ONT","MA_QH","DBV")</f>
        <v>0</v>
      </c>
      <c r="AF44" s="35">
        <f>+GETPIVOTDATA("XXB4",'xabang (2016)'!$A$3,"MA_HT","ONT","MA_QH","DVH")</f>
        <v>0</v>
      </c>
      <c r="AG44" s="35">
        <f>+GETPIVOTDATA("XXB4",'xabang (2016)'!$A$3,"MA_HT","ONT","MA_QH","DYT")</f>
        <v>0</v>
      </c>
      <c r="AH44" s="35">
        <f>+GETPIVOTDATA("XXB4",'xabang (2016)'!$A$3,"MA_HT","ONT","MA_QH","DGD")</f>
        <v>0</v>
      </c>
      <c r="AI44" s="35">
        <f>+GETPIVOTDATA("XXB4",'xabang (2016)'!$A$3,"MA_HT","ONT","MA_QH","DTT")</f>
        <v>0</v>
      </c>
      <c r="AJ44" s="35">
        <f>+GETPIVOTDATA("XXB4",'xabang (2016)'!$A$3,"MA_HT","ONT","MA_QH","NCK")</f>
        <v>0</v>
      </c>
      <c r="AK44" s="35">
        <f>+GETPIVOTDATA("XXB4",'xabang (2016)'!$A$3,"MA_HT","ONT","MA_QH","DXH")</f>
        <v>0</v>
      </c>
      <c r="AL44" s="35">
        <f>+GETPIVOTDATA("XXB4",'xabang (2016)'!$A$3,"MA_HT","ONT","MA_QH","DCH")</f>
        <v>0</v>
      </c>
      <c r="AM44" s="35">
        <f>+GETPIVOTDATA("XXB4",'xabang (2016)'!$A$3,"MA_HT","ONT","MA_QH","DKG")</f>
        <v>0</v>
      </c>
      <c r="AN44" s="35">
        <f>+GETPIVOTDATA("XXB4",'xabang (2016)'!$A$3,"MA_HT","ONT","MA_QH","DDT")</f>
        <v>0</v>
      </c>
      <c r="AO44" s="35">
        <f>+GETPIVOTDATA("XXB4",'xabang (2016)'!$A$3,"MA_HT","ONT","MA_QH","DDL")</f>
        <v>0</v>
      </c>
      <c r="AP44" s="35">
        <f>+GETPIVOTDATA("XXB4",'xabang (2016)'!$A$3,"MA_HT","ONT","MA_QH","DRA")</f>
        <v>0</v>
      </c>
      <c r="AQ44" s="99" t="e">
        <f>$D44-$BF44</f>
        <v>#REF!</v>
      </c>
      <c r="AR44" s="35">
        <f>+GETPIVOTDATA("XXB4",'xabang (2016)'!$A$3,"MA_HT","ONT","MA_QH","ODT")</f>
        <v>0</v>
      </c>
      <c r="AS44" s="35">
        <f>+GETPIVOTDATA("XXB4",'xabang (2016)'!$A$3,"MA_HT","ONT","MA_QH","TSC")</f>
        <v>0</v>
      </c>
      <c r="AT44" s="35">
        <f>+GETPIVOTDATA("XXB4",'xabang (2016)'!$A$3,"MA_HT","ONT","MA_QH","DTS")</f>
        <v>0</v>
      </c>
      <c r="AU44" s="35">
        <f>+GETPIVOTDATA("XXB4",'xabang (2016)'!$A$3,"MA_HT","ONT","MA_QH","DNG")</f>
        <v>0</v>
      </c>
      <c r="AV44" s="35">
        <f>+GETPIVOTDATA("XXB4",'xabang (2016)'!$A$3,"MA_HT","ONT","MA_QH","TON")</f>
        <v>0</v>
      </c>
      <c r="AW44" s="35">
        <f>+GETPIVOTDATA("XXB4",'xabang (2016)'!$A$3,"MA_HT","ONT","MA_QH","NTD")</f>
        <v>0</v>
      </c>
      <c r="AX44" s="35">
        <f>+GETPIVOTDATA("XXB4",'xabang (2016)'!$A$3,"MA_HT","ONT","MA_QH","SKX")</f>
        <v>0</v>
      </c>
      <c r="AY44" s="35">
        <f>+GETPIVOTDATA("XXB4",'xabang (2016)'!$A$3,"MA_HT","ONT","MA_QH","DSH")</f>
        <v>0</v>
      </c>
      <c r="AZ44" s="35">
        <f>+GETPIVOTDATA("XXB4",'xabang (2016)'!$A$3,"MA_HT","ONT","MA_QH","DKV")</f>
        <v>0</v>
      </c>
      <c r="BA44" s="140">
        <f>+GETPIVOTDATA("XXB4",'xabang (2016)'!$A$3,"MA_HT","ONT","MA_QH","TIN")</f>
        <v>0</v>
      </c>
      <c r="BB44" s="74">
        <f>+GETPIVOTDATA("XXB4",'xabang (2016)'!$A$3,"MA_HT","ONT","MA_QH","SON")</f>
        <v>0</v>
      </c>
      <c r="BC44" s="74">
        <f>+GETPIVOTDATA("XXB4",'xabang (2016)'!$A$3,"MA_HT","ONT","MA_QH","MNC")</f>
        <v>0</v>
      </c>
      <c r="BD44" s="35">
        <f>+GETPIVOTDATA("XXB4",'xabang (2016)'!$A$3,"MA_HT","ONT","MA_QH","PNK")</f>
        <v>0</v>
      </c>
      <c r="BE44" s="58">
        <f>+GETPIVOTDATA("XXB4",'xabang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+GETPIVOTDATA("XXB4",'xabang (2016)'!$A$3,"MA_HT","ODT","MA_QH","LUC")</f>
        <v>0</v>
      </c>
      <c r="H45" s="111">
        <f>+GETPIVOTDATA("XXB4",'xabang (2016)'!$A$3,"MA_HT","ODT","MA_QH","LUK")</f>
        <v>0</v>
      </c>
      <c r="I45" s="111">
        <f>+GETPIVOTDATA("XXB4",'xabang (2016)'!$A$3,"MA_HT","ODT","MA_QH","LUN")</f>
        <v>0</v>
      </c>
      <c r="J45" s="111">
        <f>+GETPIVOTDATA("XXB4",'xabang (2016)'!$A$3,"MA_HT","ODT","MA_QH","HNK")</f>
        <v>0</v>
      </c>
      <c r="K45" s="111">
        <f>+GETPIVOTDATA("XXB4",'xabang (2016)'!$A$3,"MA_HT","ODT","MA_QH","CLN")</f>
        <v>0</v>
      </c>
      <c r="L45" s="111">
        <f>+GETPIVOTDATA("XXB4",'xabang (2016)'!$A$3,"MA_HT","ODT","MA_QH","RSX")</f>
        <v>0</v>
      </c>
      <c r="M45" s="111">
        <f>+GETPIVOTDATA("XXB4",'xabang (2016)'!$A$3,"MA_HT","ODT","MA_QH","RPH")</f>
        <v>0</v>
      </c>
      <c r="N45" s="111">
        <f>+GETPIVOTDATA("XXB4",'xabang (2016)'!$A$3,"MA_HT","ODT","MA_QH","RDD")</f>
        <v>0</v>
      </c>
      <c r="O45" s="111">
        <f>+GETPIVOTDATA("XXB4",'xabang (2016)'!$A$3,"MA_HT","ODT","MA_QH","NTS")</f>
        <v>0</v>
      </c>
      <c r="P45" s="111">
        <f>+GETPIVOTDATA("XXB4",'xabang (2016)'!$A$3,"MA_HT","ODT","MA_QH","LMU")</f>
        <v>0</v>
      </c>
      <c r="Q45" s="111">
        <f>+GETPIVOTDATA("XXB4",'xabang (2016)'!$A$3,"MA_HT","ODT","MA_QH","NKH")</f>
        <v>0</v>
      </c>
      <c r="R45" s="106">
        <f>SUM(S45:AA45,AN45:AQ45,AS45:BD45)</f>
        <v>0</v>
      </c>
      <c r="S45" s="111">
        <f>+GETPIVOTDATA("XXB4",'xabang (2016)'!$A$3,"MA_HT","ODT","MA_QH","CQP")</f>
        <v>0</v>
      </c>
      <c r="T45" s="111">
        <f>+GETPIVOTDATA("XXB4",'xabang (2016)'!$A$3,"MA_HT","ODT","MA_QH","CAN")</f>
        <v>0</v>
      </c>
      <c r="U45" s="111">
        <f>+GETPIVOTDATA("XXB4",'xabang (2016)'!$A$3,"MA_HT","ODT","MA_QH","SKK")</f>
        <v>0</v>
      </c>
      <c r="V45" s="111">
        <f>+GETPIVOTDATA("XXB4",'xabang (2016)'!$A$3,"MA_HT","ODT","MA_QH","SKT")</f>
        <v>0</v>
      </c>
      <c r="W45" s="111">
        <f>+GETPIVOTDATA("XXB4",'xabang (2016)'!$A$3,"MA_HT","ODT","MA_QH","SKN")</f>
        <v>0</v>
      </c>
      <c r="X45" s="111">
        <f>+GETPIVOTDATA("XXB4",'xabang (2016)'!$A$3,"MA_HT","ODT","MA_QH","TMD")</f>
        <v>0</v>
      </c>
      <c r="Y45" s="111">
        <f>+GETPIVOTDATA("XXB4",'xabang (2016)'!$A$3,"MA_HT","ODT","MA_QH","SKC")</f>
        <v>0</v>
      </c>
      <c r="Z45" s="111">
        <f>+GETPIVOTDATA("XXB4",'xabang (2016)'!$A$3,"MA_HT","ODT","MA_QH","SKS")</f>
        <v>0</v>
      </c>
      <c r="AA45" s="104">
        <f t="shared" si="21"/>
        <v>0</v>
      </c>
      <c r="AB45" s="111">
        <f>+GETPIVOTDATA("XXB4",'xabang (2016)'!$A$3,"MA_HT","ODT","MA_QH","DGT")</f>
        <v>0</v>
      </c>
      <c r="AC45" s="111">
        <f>+GETPIVOTDATA("XXB4",'xabang (2016)'!$A$3,"MA_HT","ODT","MA_QH","DTL")</f>
        <v>0</v>
      </c>
      <c r="AD45" s="111">
        <f>+GETPIVOTDATA("XXB4",'xabang (2016)'!$A$3,"MA_HT","ODT","MA_QH","DNL")</f>
        <v>0</v>
      </c>
      <c r="AE45" s="111">
        <f>+GETPIVOTDATA("XXB4",'xabang (2016)'!$A$3,"MA_HT","ODT","MA_QH","DBV")</f>
        <v>0</v>
      </c>
      <c r="AF45" s="111">
        <f>+GETPIVOTDATA("XXB4",'xabang (2016)'!$A$3,"MA_HT","ODT","MA_QH","DVH")</f>
        <v>0</v>
      </c>
      <c r="AG45" s="111">
        <f>+GETPIVOTDATA("XXB4",'xabang (2016)'!$A$3,"MA_HT","ODT","MA_QH","DYT")</f>
        <v>0</v>
      </c>
      <c r="AH45" s="111">
        <f>+GETPIVOTDATA("XXB4",'xabang (2016)'!$A$3,"MA_HT","ODT","MA_QH","DGD")</f>
        <v>0</v>
      </c>
      <c r="AI45" s="111">
        <f>+GETPIVOTDATA("XXB4",'xabang (2016)'!$A$3,"MA_HT","ODT","MA_QH","DTT")</f>
        <v>0</v>
      </c>
      <c r="AJ45" s="111">
        <f>+GETPIVOTDATA("XXB4",'xabang (2016)'!$A$3,"MA_HT","ODT","MA_QH","NCK")</f>
        <v>0</v>
      </c>
      <c r="AK45" s="111">
        <f>+GETPIVOTDATA("XXB4",'xabang (2016)'!$A$3,"MA_HT","ODT","MA_QH","DXH")</f>
        <v>0</v>
      </c>
      <c r="AL45" s="111">
        <f>+GETPIVOTDATA("XXB4",'xabang (2016)'!$A$3,"MA_HT","ODT","MA_QH","DCH")</f>
        <v>0</v>
      </c>
      <c r="AM45" s="111">
        <f>+GETPIVOTDATA("XXB4",'xabang (2016)'!$A$3,"MA_HT","ODT","MA_QH","DKG")</f>
        <v>0</v>
      </c>
      <c r="AN45" s="111">
        <f>+GETPIVOTDATA("XXB4",'xabang (2016)'!$A$3,"MA_HT","ODT","MA_QH","DDT")</f>
        <v>0</v>
      </c>
      <c r="AO45" s="111">
        <f>+GETPIVOTDATA("XXB4",'xabang (2016)'!$A$3,"MA_HT","ODT","MA_QH","DDL")</f>
        <v>0</v>
      </c>
      <c r="AP45" s="111">
        <f>+GETPIVOTDATA("XXB4",'xabang (2016)'!$A$3,"MA_HT","ODT","MA_QH","DRA")</f>
        <v>0</v>
      </c>
      <c r="AQ45" s="111">
        <f>+GETPIVOTDATA("XXB4",'xabang (2016)'!$A$3,"MA_HT","ODT","MA_QH","ONT")</f>
        <v>0</v>
      </c>
      <c r="AR45" s="112" t="e">
        <f>$D45-$BF45</f>
        <v>#REF!</v>
      </c>
      <c r="AS45" s="111">
        <f>+GETPIVOTDATA("XXB4",'xabang (2016)'!$A$3,"MA_HT","ODT","MA_QH","TSC")</f>
        <v>0</v>
      </c>
      <c r="AT45" s="111">
        <f>+GETPIVOTDATA("XXB4",'xabang (2016)'!$A$3,"MA_HT","ODT","MA_QH","DTS")</f>
        <v>0</v>
      </c>
      <c r="AU45" s="111">
        <f>+GETPIVOTDATA("XXB4",'xabang (2016)'!$A$3,"MA_HT","ODT","MA_QH","DNG")</f>
        <v>0</v>
      </c>
      <c r="AV45" s="111">
        <f>+GETPIVOTDATA("XXB4",'xabang (2016)'!$A$3,"MA_HT","ODT","MA_QH","TON")</f>
        <v>0</v>
      </c>
      <c r="AW45" s="111">
        <f>+GETPIVOTDATA("XXB4",'xabang (2016)'!$A$3,"MA_HT","ODT","MA_QH","NTD")</f>
        <v>0</v>
      </c>
      <c r="AX45" s="111">
        <f>+GETPIVOTDATA("XXB4",'xabang (2016)'!$A$3,"MA_HT","ODT","MA_QH","SKX")</f>
        <v>0</v>
      </c>
      <c r="AY45" s="111">
        <f>+GETPIVOTDATA("XXB4",'xabang (2016)'!$A$3,"MA_HT","ODT","MA_QH","DSH")</f>
        <v>0</v>
      </c>
      <c r="AZ45" s="111">
        <f>+GETPIVOTDATA("XXB4",'xabang (2016)'!$A$3,"MA_HT","ODT","MA_QH","DKV")</f>
        <v>0</v>
      </c>
      <c r="BA45" s="142">
        <f>+GETPIVOTDATA("XXB4",'xabang (2016)'!$A$3,"MA_HT","ODT","MA_QH","TIN")</f>
        <v>0</v>
      </c>
      <c r="BB45" s="105">
        <f>+GETPIVOTDATA("XXB4",'xabang (2016)'!$A$3,"MA_HT","ODT","MA_QH","SON")</f>
        <v>0</v>
      </c>
      <c r="BC45" s="105">
        <f>+GETPIVOTDATA("XXB4",'xabang (2016)'!$A$3,"MA_HT","ODT","MA_QH","MNC")</f>
        <v>0</v>
      </c>
      <c r="BD45" s="111">
        <f>+GETPIVOTDATA("XXB4",'xabang (2016)'!$A$3,"MA_HT","ODT","MA_QH","PNK")</f>
        <v>0</v>
      </c>
      <c r="BE45" s="113">
        <f>+GETPIVOTDATA("XXB4",'xabang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+GETPIVOTDATA("XXB4",'xabang (2016)'!$A$3,"MA_HT","TSC","MA_QH","LUC")</f>
        <v>0</v>
      </c>
      <c r="H46" s="35">
        <f>+GETPIVOTDATA("XXB4",'xabang (2016)'!$A$3,"MA_HT","TSC","MA_QH","LUK")</f>
        <v>0</v>
      </c>
      <c r="I46" s="35">
        <f>+GETPIVOTDATA("XXB4",'xabang (2016)'!$A$3,"MA_HT","TSC","MA_QH","LUN")</f>
        <v>0</v>
      </c>
      <c r="J46" s="35">
        <f>+GETPIVOTDATA("XXB4",'xabang (2016)'!$A$3,"MA_HT","TSC","MA_QH","HNK")</f>
        <v>0</v>
      </c>
      <c r="K46" s="35">
        <f>+GETPIVOTDATA("XXB4",'xabang (2016)'!$A$3,"MA_HT","TSC","MA_QH","CLN")</f>
        <v>0</v>
      </c>
      <c r="L46" s="35">
        <f>+GETPIVOTDATA("XXB4",'xabang (2016)'!$A$3,"MA_HT","TSC","MA_QH","RSX")</f>
        <v>0</v>
      </c>
      <c r="M46" s="35">
        <f>+GETPIVOTDATA("XXB4",'xabang (2016)'!$A$3,"MA_HT","TSC","MA_QH","RPH")</f>
        <v>0</v>
      </c>
      <c r="N46" s="35">
        <f>+GETPIVOTDATA("XXB4",'xabang (2016)'!$A$3,"MA_HT","TSC","MA_QH","RDD")</f>
        <v>0</v>
      </c>
      <c r="O46" s="35">
        <f>+GETPIVOTDATA("XXB4",'xabang (2016)'!$A$3,"MA_HT","TSC","MA_QH","NTS")</f>
        <v>0</v>
      </c>
      <c r="P46" s="35">
        <f>+GETPIVOTDATA("XXB4",'xabang (2016)'!$A$3,"MA_HT","TSC","MA_QH","LMU")</f>
        <v>0</v>
      </c>
      <c r="Q46" s="35">
        <f>+GETPIVOTDATA("XXB4",'xabang (2016)'!$A$3,"MA_HT","TSC","MA_QH","NKH")</f>
        <v>0</v>
      </c>
      <c r="R46" s="72">
        <f>SUM(S46:AA46,AN46:AR46,AT46:BD46)</f>
        <v>0</v>
      </c>
      <c r="S46" s="35">
        <f>+GETPIVOTDATA("XXB4",'xabang (2016)'!$A$3,"MA_HT","TSC","MA_QH","CQP")</f>
        <v>0</v>
      </c>
      <c r="T46" s="35">
        <f>+GETPIVOTDATA("XXB4",'xabang (2016)'!$A$3,"MA_HT","TSC","MA_QH","CAN")</f>
        <v>0</v>
      </c>
      <c r="U46" s="35">
        <f>+GETPIVOTDATA("XXB4",'xabang (2016)'!$A$3,"MA_HT","TSC","MA_QH","SKK")</f>
        <v>0</v>
      </c>
      <c r="V46" s="35">
        <f>+GETPIVOTDATA("XXB4",'xabang (2016)'!$A$3,"MA_HT","TSC","MA_QH","SKT")</f>
        <v>0</v>
      </c>
      <c r="W46" s="35">
        <f>+GETPIVOTDATA("XXB4",'xabang (2016)'!$A$3,"MA_HT","TSC","MA_QH","SKN")</f>
        <v>0</v>
      </c>
      <c r="X46" s="35">
        <f>+GETPIVOTDATA("XXB4",'xabang (2016)'!$A$3,"MA_HT","TSC","MA_QH","TMD")</f>
        <v>0</v>
      </c>
      <c r="Y46" s="35">
        <f>+GETPIVOTDATA("XXB4",'xabang (2016)'!$A$3,"MA_HT","TSC","MA_QH","SKC")</f>
        <v>0</v>
      </c>
      <c r="Z46" s="35">
        <f>+GETPIVOTDATA("XXB4",'xabang (2016)'!$A$3,"MA_HT","TSC","MA_QH","SKS")</f>
        <v>0</v>
      </c>
      <c r="AA46" s="64">
        <f t="shared" si="21"/>
        <v>0</v>
      </c>
      <c r="AB46" s="35">
        <f>+GETPIVOTDATA("XXB4",'xabang (2016)'!$A$3,"MA_HT","TSC","MA_QH","DGT")</f>
        <v>0</v>
      </c>
      <c r="AC46" s="35">
        <f>+GETPIVOTDATA("XXB4",'xabang (2016)'!$A$3,"MA_HT","TSC","MA_QH","DTL")</f>
        <v>0</v>
      </c>
      <c r="AD46" s="35">
        <f>+GETPIVOTDATA("XXB4",'xabang (2016)'!$A$3,"MA_HT","TSC","MA_QH","DNL")</f>
        <v>0</v>
      </c>
      <c r="AE46" s="35">
        <f>+GETPIVOTDATA("XXB4",'xabang (2016)'!$A$3,"MA_HT","TSC","MA_QH","DBV")</f>
        <v>0</v>
      </c>
      <c r="AF46" s="35">
        <f>+GETPIVOTDATA("XXB4",'xabang (2016)'!$A$3,"MA_HT","TSC","MA_QH","DVH")</f>
        <v>0</v>
      </c>
      <c r="AG46" s="35">
        <f>+GETPIVOTDATA("XXB4",'xabang (2016)'!$A$3,"MA_HT","TSC","MA_QH","DYT")</f>
        <v>0</v>
      </c>
      <c r="AH46" s="35">
        <f>+GETPIVOTDATA("XXB4",'xabang (2016)'!$A$3,"MA_HT","TSC","MA_QH","DGD")</f>
        <v>0</v>
      </c>
      <c r="AI46" s="35">
        <f>+GETPIVOTDATA("XXB4",'xabang (2016)'!$A$3,"MA_HT","TSC","MA_QH","DTT")</f>
        <v>0</v>
      </c>
      <c r="AJ46" s="35">
        <f>+GETPIVOTDATA("XXB4",'xabang (2016)'!$A$3,"MA_HT","TSC","MA_QH","NCK")</f>
        <v>0</v>
      </c>
      <c r="AK46" s="35">
        <f>+GETPIVOTDATA("XXB4",'xabang (2016)'!$A$3,"MA_HT","TSC","MA_QH","DXH")</f>
        <v>0</v>
      </c>
      <c r="AL46" s="35">
        <f>+GETPIVOTDATA("XXB4",'xabang (2016)'!$A$3,"MA_HT","TSC","MA_QH","DCH")</f>
        <v>0</v>
      </c>
      <c r="AM46" s="35">
        <f>+GETPIVOTDATA("XXB4",'xabang (2016)'!$A$3,"MA_HT","TSC","MA_QH","DKG")</f>
        <v>0</v>
      </c>
      <c r="AN46" s="35">
        <f>+GETPIVOTDATA("XXB4",'xabang (2016)'!$A$3,"MA_HT","TSC","MA_QH","DDT")</f>
        <v>0</v>
      </c>
      <c r="AO46" s="35">
        <f>+GETPIVOTDATA("XXB4",'xabang (2016)'!$A$3,"MA_HT","TSC","MA_QH","DDL")</f>
        <v>0</v>
      </c>
      <c r="AP46" s="35">
        <f>+GETPIVOTDATA("XXB4",'xabang (2016)'!$A$3,"MA_HT","TSC","MA_QH","DRA")</f>
        <v>0</v>
      </c>
      <c r="AQ46" s="35">
        <f>+GETPIVOTDATA("XXB4",'xabang (2016)'!$A$3,"MA_HT","TSC","MA_QH","ONT")</f>
        <v>0</v>
      </c>
      <c r="AR46" s="35">
        <f>+GETPIVOTDATA("XXB4",'xabang (2016)'!$A$3,"MA_HT","TSC","MA_QH","ODT")</f>
        <v>0</v>
      </c>
      <c r="AS46" s="99" t="e">
        <f>$D46-$BF46</f>
        <v>#REF!</v>
      </c>
      <c r="AT46" s="35">
        <f>+GETPIVOTDATA("XXB4",'xabang (2016)'!$A$3,"MA_HT","TSC","MA_QH","DTS")</f>
        <v>0</v>
      </c>
      <c r="AU46" s="35">
        <f>+GETPIVOTDATA("XXB4",'xabang (2016)'!$A$3,"MA_HT","TSC","MA_QH","DNG")</f>
        <v>0</v>
      </c>
      <c r="AV46" s="35">
        <f>+GETPIVOTDATA("XXB4",'xabang (2016)'!$A$3,"MA_HT","TSC","MA_QH","TON")</f>
        <v>0</v>
      </c>
      <c r="AW46" s="35">
        <f>+GETPIVOTDATA("XXB4",'xabang (2016)'!$A$3,"MA_HT","TSC","MA_QH","NTD")</f>
        <v>0</v>
      </c>
      <c r="AX46" s="35">
        <f>+GETPIVOTDATA("XXB4",'xabang (2016)'!$A$3,"MA_HT","TSC","MA_QH","SKX")</f>
        <v>0</v>
      </c>
      <c r="AY46" s="35">
        <f>+GETPIVOTDATA("XXB4",'xabang (2016)'!$A$3,"MA_HT","TSC","MA_QH","DSH")</f>
        <v>0</v>
      </c>
      <c r="AZ46" s="35">
        <f>+GETPIVOTDATA("XXB4",'xabang (2016)'!$A$3,"MA_HT","TSC","MA_QH","DKV")</f>
        <v>0</v>
      </c>
      <c r="BA46" s="140">
        <f>+GETPIVOTDATA("XXB4",'xabang (2016)'!$A$3,"MA_HT","TSC","MA_QH","TIN")</f>
        <v>0</v>
      </c>
      <c r="BB46" s="74">
        <f>+GETPIVOTDATA("XXB4",'xabang (2016)'!$A$3,"MA_HT","TSC","MA_QH","SON")</f>
        <v>0</v>
      </c>
      <c r="BC46" s="74">
        <f>+GETPIVOTDATA("XXB4",'xabang (2016)'!$A$3,"MA_HT","TSC","MA_QH","MNC")</f>
        <v>0</v>
      </c>
      <c r="BD46" s="35">
        <f>+GETPIVOTDATA("XXB4",'xabang (2016)'!$A$3,"MA_HT","TSC","MA_QH","PNK")</f>
        <v>0</v>
      </c>
      <c r="BE46" s="58">
        <f>+GETPIVOTDATA("XXB4",'xabang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+GETPIVOTDATA("XXB4",'xabang (2016)'!$A$3,"MA_HT","DTS","MA_QH","LUC")</f>
        <v>0</v>
      </c>
      <c r="H47" s="122">
        <f>+GETPIVOTDATA("XXB4",'xabang (2016)'!$A$3,"MA_HT","DTS","MA_QH","LUK")</f>
        <v>0</v>
      </c>
      <c r="I47" s="122">
        <f>+GETPIVOTDATA("XXB4",'xabang (2016)'!$A$3,"MA_HT","DTS","MA_QH","LUN")</f>
        <v>0</v>
      </c>
      <c r="J47" s="122">
        <f>+GETPIVOTDATA("XXB4",'xabang (2016)'!$A$3,"MA_HT","DTS","MA_QH","HNK")</f>
        <v>0</v>
      </c>
      <c r="K47" s="122">
        <f>+GETPIVOTDATA("XXB4",'xabang (2016)'!$A$3,"MA_HT","DTS","MA_QH","CLN")</f>
        <v>0</v>
      </c>
      <c r="L47" s="122">
        <f>+GETPIVOTDATA("XXB4",'xabang (2016)'!$A$3,"MA_HT","DTS","MA_QH","RSX")</f>
        <v>0</v>
      </c>
      <c r="M47" s="122">
        <f>+GETPIVOTDATA("XXB4",'xabang (2016)'!$A$3,"MA_HT","DTS","MA_QH","RPH")</f>
        <v>0</v>
      </c>
      <c r="N47" s="122">
        <f>+GETPIVOTDATA("XXB4",'xabang (2016)'!$A$3,"MA_HT","DTS","MA_QH","RDD")</f>
        <v>0</v>
      </c>
      <c r="O47" s="122">
        <f>+GETPIVOTDATA("XXB4",'xabang (2016)'!$A$3,"MA_HT","DTS","MA_QH","NTS")</f>
        <v>0</v>
      </c>
      <c r="P47" s="122">
        <f>+GETPIVOTDATA("XXB4",'xabang (2016)'!$A$3,"MA_HT","DTS","MA_QH","LMU")</f>
        <v>0</v>
      </c>
      <c r="Q47" s="122">
        <f>+GETPIVOTDATA("XXB4",'xabang (2016)'!$A$3,"MA_HT","DTS","MA_QH","NKH")</f>
        <v>0</v>
      </c>
      <c r="R47" s="123">
        <f>SUM(S47:AA47,AN47:AS47,AU47:BD47)</f>
        <v>0</v>
      </c>
      <c r="S47" s="122">
        <f>+GETPIVOTDATA("XXB4",'xabang (2016)'!$A$3,"MA_HT","DTS","MA_QH","CQP")</f>
        <v>0</v>
      </c>
      <c r="T47" s="122">
        <f>+GETPIVOTDATA("XXB4",'xabang (2016)'!$A$3,"MA_HT","DTS","MA_QH","CAN")</f>
        <v>0</v>
      </c>
      <c r="U47" s="122">
        <f>+GETPIVOTDATA("XXB4",'xabang (2016)'!$A$3,"MA_HT","DTS","MA_QH","SKK")</f>
        <v>0</v>
      </c>
      <c r="V47" s="122">
        <f>+GETPIVOTDATA("XXB4",'xabang (2016)'!$A$3,"MA_HT","DTS","MA_QH","SKT")</f>
        <v>0</v>
      </c>
      <c r="W47" s="122">
        <f>+GETPIVOTDATA("XXB4",'xabang (2016)'!$A$3,"MA_HT","DTS","MA_QH","SKN")</f>
        <v>0</v>
      </c>
      <c r="X47" s="122">
        <f>+GETPIVOTDATA("XXB4",'xabang (2016)'!$A$3,"MA_HT","DTS","MA_QH","TMD")</f>
        <v>0</v>
      </c>
      <c r="Y47" s="122">
        <f>+GETPIVOTDATA("XXB4",'xabang (2016)'!$A$3,"MA_HT","DTS","MA_QH","SKC")</f>
        <v>0</v>
      </c>
      <c r="Z47" s="122">
        <f>+GETPIVOTDATA("XXB4",'xabang (2016)'!$A$3,"MA_HT","DTS","MA_QH","SKS")</f>
        <v>0</v>
      </c>
      <c r="AA47" s="121">
        <f t="shared" si="21"/>
        <v>0</v>
      </c>
      <c r="AB47" s="122">
        <f>+GETPIVOTDATA("XXB4",'xabang (2016)'!$A$3,"MA_HT","DTS","MA_QH","DGT")</f>
        <v>0</v>
      </c>
      <c r="AC47" s="122">
        <f>+GETPIVOTDATA("XXB4",'xabang (2016)'!$A$3,"MA_HT","DTS","MA_QH","DTL")</f>
        <v>0</v>
      </c>
      <c r="AD47" s="122">
        <f>+GETPIVOTDATA("XXB4",'xabang (2016)'!$A$3,"MA_HT","DTS","MA_QH","DNL")</f>
        <v>0</v>
      </c>
      <c r="AE47" s="122">
        <f>+GETPIVOTDATA("XXB4",'xabang (2016)'!$A$3,"MA_HT","DTS","MA_QH","DBV")</f>
        <v>0</v>
      </c>
      <c r="AF47" s="122">
        <f>+GETPIVOTDATA("XXB4",'xabang (2016)'!$A$3,"MA_HT","DTS","MA_QH","DVH")</f>
        <v>0</v>
      </c>
      <c r="AG47" s="122">
        <f>+GETPIVOTDATA("XXB4",'xabang (2016)'!$A$3,"MA_HT","DTS","MA_QH","DYT")</f>
        <v>0</v>
      </c>
      <c r="AH47" s="122">
        <f>+GETPIVOTDATA("XXB4",'xabang (2016)'!$A$3,"MA_HT","DTS","MA_QH","DGD")</f>
        <v>0</v>
      </c>
      <c r="AI47" s="122">
        <f>+GETPIVOTDATA("XXB4",'xabang (2016)'!$A$3,"MA_HT","DTS","MA_QH","DTT")</f>
        <v>0</v>
      </c>
      <c r="AJ47" s="122">
        <f>+GETPIVOTDATA("XXB4",'xabang (2016)'!$A$3,"MA_HT","DTS","MA_QH","NCK")</f>
        <v>0</v>
      </c>
      <c r="AK47" s="122">
        <f>+GETPIVOTDATA("XXB4",'xabang (2016)'!$A$3,"MA_HT","DTS","MA_QH","DXH")</f>
        <v>0</v>
      </c>
      <c r="AL47" s="122">
        <f>+GETPIVOTDATA("XXB4",'xabang (2016)'!$A$3,"MA_HT","DTS","MA_QH","DCH")</f>
        <v>0</v>
      </c>
      <c r="AM47" s="122">
        <f>+GETPIVOTDATA("XXB4",'xabang (2016)'!$A$3,"MA_HT","DTS","MA_QH","DKG")</f>
        <v>0</v>
      </c>
      <c r="AN47" s="122">
        <f>+GETPIVOTDATA("XXB4",'xabang (2016)'!$A$3,"MA_HT","DTS","MA_QH","DDT")</f>
        <v>0</v>
      </c>
      <c r="AO47" s="122">
        <f>+GETPIVOTDATA("XXB4",'xabang (2016)'!$A$3,"MA_HT","DTS","MA_QH","DDL")</f>
        <v>0</v>
      </c>
      <c r="AP47" s="122">
        <f>+GETPIVOTDATA("XXB4",'xabang (2016)'!$A$3,"MA_HT","DTS","MA_QH","DRA")</f>
        <v>0</v>
      </c>
      <c r="AQ47" s="122">
        <f>+GETPIVOTDATA("XXB4",'xabang (2016)'!$A$3,"MA_HT","DTS","MA_QH","ONT")</f>
        <v>0</v>
      </c>
      <c r="AR47" s="122">
        <f>+GETPIVOTDATA("XXB4",'xabang (2016)'!$A$3,"MA_HT","DTS","MA_QH","ODT")</f>
        <v>0</v>
      </c>
      <c r="AS47" s="122">
        <f>+GETPIVOTDATA("XXB4",'xabang (2016)'!$A$3,"MA_HT","DTS","MA_QH","TSC")</f>
        <v>0</v>
      </c>
      <c r="AT47" s="124" t="e">
        <f>$D47-$BF47</f>
        <v>#REF!</v>
      </c>
      <c r="AU47" s="122">
        <f>+GETPIVOTDATA("XXB4",'xabang (2016)'!$A$3,"MA_HT","DTS","MA_QH","DNG")</f>
        <v>0</v>
      </c>
      <c r="AV47" s="122">
        <f>+GETPIVOTDATA("XXB4",'xabang (2016)'!$A$3,"MA_HT","DTS","MA_QH","TON")</f>
        <v>0</v>
      </c>
      <c r="AW47" s="122">
        <f>+GETPIVOTDATA("XXB4",'xabang (2016)'!$A$3,"MA_HT","DTS","MA_QH","NTD")</f>
        <v>0</v>
      </c>
      <c r="AX47" s="122">
        <f>+GETPIVOTDATA("XXB4",'xabang (2016)'!$A$3,"MA_HT","DTS","MA_QH","SKX")</f>
        <v>0</v>
      </c>
      <c r="AY47" s="122">
        <f>+GETPIVOTDATA("XXB4",'xabang (2016)'!$A$3,"MA_HT","DTS","MA_QH","DSH")</f>
        <v>0</v>
      </c>
      <c r="AZ47" s="122">
        <f>+GETPIVOTDATA("XXB4",'xabang (2016)'!$A$3,"MA_HT","DTS","MA_QH","DKV")</f>
        <v>0</v>
      </c>
      <c r="BA47" s="141">
        <f>+GETPIVOTDATA("XXB4",'xabang (2016)'!$A$3,"MA_HT","DTS","MA_QH","TIN")</f>
        <v>0</v>
      </c>
      <c r="BB47" s="125">
        <f>+GETPIVOTDATA("XXB4",'xabang (2016)'!$A$3,"MA_HT","DTS","MA_QH","SON")</f>
        <v>0</v>
      </c>
      <c r="BC47" s="125">
        <f>+GETPIVOTDATA("XXB4",'xabang (2016)'!$A$3,"MA_HT","DTS","MA_QH","MNC")</f>
        <v>0</v>
      </c>
      <c r="BD47" s="122">
        <f>+GETPIVOTDATA("XXB4",'xabang (2016)'!$A$3,"MA_HT","DTS","MA_QH","PNK")</f>
        <v>0</v>
      </c>
      <c r="BE47" s="126">
        <f>+GETPIVOTDATA("XXB4",'xabang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+GETPIVOTDATA("XXB4",'xabang (2016)'!$A$3,"MA_HT","DNG","MA_QH","LUC")</f>
        <v>0</v>
      </c>
      <c r="H48" s="35">
        <f>+GETPIVOTDATA("XXB4",'xabang (2016)'!$A$3,"MA_HT","DNG","MA_QH","LUK")</f>
        <v>0</v>
      </c>
      <c r="I48" s="35">
        <f>+GETPIVOTDATA("XXB4",'xabang (2016)'!$A$3,"MA_HT","DNG","MA_QH","LUN")</f>
        <v>0</v>
      </c>
      <c r="J48" s="35">
        <f>+GETPIVOTDATA("XXB4",'xabang (2016)'!$A$3,"MA_HT","DNG","MA_QH","HNK")</f>
        <v>0</v>
      </c>
      <c r="K48" s="35">
        <f>+GETPIVOTDATA("XXB4",'xabang (2016)'!$A$3,"MA_HT","DNG","MA_QH","CLN")</f>
        <v>0</v>
      </c>
      <c r="L48" s="35">
        <f>+GETPIVOTDATA("XXB4",'xabang (2016)'!$A$3,"MA_HT","DNG","MA_QH","RSX")</f>
        <v>0</v>
      </c>
      <c r="M48" s="35">
        <f>+GETPIVOTDATA("XXB4",'xabang (2016)'!$A$3,"MA_HT","DNG","MA_QH","RPH")</f>
        <v>0</v>
      </c>
      <c r="N48" s="35">
        <f>+GETPIVOTDATA("XXB4",'xabang (2016)'!$A$3,"MA_HT","DNG","MA_QH","RDD")</f>
        <v>0</v>
      </c>
      <c r="O48" s="35">
        <f>+GETPIVOTDATA("XXB4",'xabang (2016)'!$A$3,"MA_HT","DNG","MA_QH","NTS")</f>
        <v>0</v>
      </c>
      <c r="P48" s="35">
        <f>+GETPIVOTDATA("XXB4",'xabang (2016)'!$A$3,"MA_HT","DNG","MA_QH","LMU")</f>
        <v>0</v>
      </c>
      <c r="Q48" s="35">
        <f>+GETPIVOTDATA("XXB4",'xabang (2016)'!$A$3,"MA_HT","DNG","MA_QH","NKH")</f>
        <v>0</v>
      </c>
      <c r="R48" s="106">
        <f>SUM(S48:AA48,AN48:AT48,AV48:BD48)</f>
        <v>0</v>
      </c>
      <c r="S48" s="35">
        <f>+GETPIVOTDATA("XXB4",'xabang (2016)'!$A$3,"MA_HT","DNG","MA_QH","CQP")</f>
        <v>0</v>
      </c>
      <c r="T48" s="35">
        <f>+GETPIVOTDATA("XXB4",'xabang (2016)'!$A$3,"MA_HT","DNG","MA_QH","CAN")</f>
        <v>0</v>
      </c>
      <c r="U48" s="35">
        <f>+GETPIVOTDATA("XXB4",'xabang (2016)'!$A$3,"MA_HT","DNG","MA_QH","SKK")</f>
        <v>0</v>
      </c>
      <c r="V48" s="35">
        <f>+GETPIVOTDATA("XXB4",'xabang (2016)'!$A$3,"MA_HT","DNG","MA_QH","SKT")</f>
        <v>0</v>
      </c>
      <c r="W48" s="35">
        <f>+GETPIVOTDATA("XXB4",'xabang (2016)'!$A$3,"MA_HT","DNG","MA_QH","SKN")</f>
        <v>0</v>
      </c>
      <c r="X48" s="35">
        <f>+GETPIVOTDATA("XXB4",'xabang (2016)'!$A$3,"MA_HT","DNG","MA_QH","TMD")</f>
        <v>0</v>
      </c>
      <c r="Y48" s="35">
        <f>+GETPIVOTDATA("XXB4",'xabang (2016)'!$A$3,"MA_HT","DNG","MA_QH","SKC")</f>
        <v>0</v>
      </c>
      <c r="Z48" s="35">
        <f>+GETPIVOTDATA("XXB4",'xabang (2016)'!$A$3,"MA_HT","DNG","MA_QH","SKS")</f>
        <v>0</v>
      </c>
      <c r="AA48" s="64">
        <f t="shared" si="21"/>
        <v>0</v>
      </c>
      <c r="AB48" s="35">
        <f>+GETPIVOTDATA("XXB4",'xabang (2016)'!$A$3,"MA_HT","DNG","MA_QH","DGT")</f>
        <v>0</v>
      </c>
      <c r="AC48" s="35">
        <f>+GETPIVOTDATA("XXB4",'xabang (2016)'!$A$3,"MA_HT","DNG","MA_QH","DTL")</f>
        <v>0</v>
      </c>
      <c r="AD48" s="35">
        <f>+GETPIVOTDATA("XXB4",'xabang (2016)'!$A$3,"MA_HT","DNG","MA_QH","DNL")</f>
        <v>0</v>
      </c>
      <c r="AE48" s="35">
        <f>+GETPIVOTDATA("XXB4",'xabang (2016)'!$A$3,"MA_HT","DNG","MA_QH","DBV")</f>
        <v>0</v>
      </c>
      <c r="AF48" s="35">
        <f>+GETPIVOTDATA("XXB4",'xabang (2016)'!$A$3,"MA_HT","DNG","MA_QH","DVH")</f>
        <v>0</v>
      </c>
      <c r="AG48" s="35">
        <f>+GETPIVOTDATA("XXB4",'xabang (2016)'!$A$3,"MA_HT","DNG","MA_QH","DYT")</f>
        <v>0</v>
      </c>
      <c r="AH48" s="35">
        <f>+GETPIVOTDATA("XXB4",'xabang (2016)'!$A$3,"MA_HT","DNG","MA_QH","DGD")</f>
        <v>0</v>
      </c>
      <c r="AI48" s="35">
        <f>+GETPIVOTDATA("XXB4",'xabang (2016)'!$A$3,"MA_HT","DNG","MA_QH","DTT")</f>
        <v>0</v>
      </c>
      <c r="AJ48" s="35">
        <f>+GETPIVOTDATA("XXB4",'xabang (2016)'!$A$3,"MA_HT","DNG","MA_QH","NCK")</f>
        <v>0</v>
      </c>
      <c r="AK48" s="35">
        <f>+GETPIVOTDATA("XXB4",'xabang (2016)'!$A$3,"MA_HT","DNG","MA_QH","DXH")</f>
        <v>0</v>
      </c>
      <c r="AL48" s="35">
        <f>+GETPIVOTDATA("XXB4",'xabang (2016)'!$A$3,"MA_HT","DNG","MA_QH","DCH")</f>
        <v>0</v>
      </c>
      <c r="AM48" s="35">
        <f>+GETPIVOTDATA("XXB4",'xabang (2016)'!$A$3,"MA_HT","DNG","MA_QH","DKG")</f>
        <v>0</v>
      </c>
      <c r="AN48" s="35">
        <f>+GETPIVOTDATA("XXB4",'xabang (2016)'!$A$3,"MA_HT","DNG","MA_QH","DDT")</f>
        <v>0</v>
      </c>
      <c r="AO48" s="35">
        <f>+GETPIVOTDATA("XXB4",'xabang (2016)'!$A$3,"MA_HT","DNG","MA_QH","DDL")</f>
        <v>0</v>
      </c>
      <c r="AP48" s="35">
        <f>+GETPIVOTDATA("XXB4",'xabang (2016)'!$A$3,"MA_HT","DNG","MA_QH","DRA")</f>
        <v>0</v>
      </c>
      <c r="AQ48" s="35">
        <f>+GETPIVOTDATA("XXB4",'xabang (2016)'!$A$3,"MA_HT","DNG","MA_QH","ONT")</f>
        <v>0</v>
      </c>
      <c r="AR48" s="35">
        <f>+GETPIVOTDATA("XXB4",'xabang (2016)'!$A$3,"MA_HT","DNG","MA_QH","ODT")</f>
        <v>0</v>
      </c>
      <c r="AS48" s="35">
        <f>+GETPIVOTDATA("XXB4",'xabang (2016)'!$A$3,"MA_HT","DNG","MA_QH","TSC")</f>
        <v>0</v>
      </c>
      <c r="AT48" s="35">
        <f>+GETPIVOTDATA("XXB4",'xabang (2016)'!$A$3,"MA_HT","DNG","MA_QH","DTS")</f>
        <v>0</v>
      </c>
      <c r="AU48" s="99" t="e">
        <f>$D48-$BF48</f>
        <v>#REF!</v>
      </c>
      <c r="AV48" s="35">
        <f>+GETPIVOTDATA("XXB4",'xabang (2016)'!$A$3,"MA_HT","DNG","MA_QH","TON")</f>
        <v>0</v>
      </c>
      <c r="AW48" s="35">
        <f>+GETPIVOTDATA("XXB4",'xabang (2016)'!$A$3,"MA_HT","DNG","MA_QH","NTD")</f>
        <v>0</v>
      </c>
      <c r="AX48" s="35">
        <f>+GETPIVOTDATA("XXB4",'xabang (2016)'!$A$3,"MA_HT","DNG","MA_QH","SKX")</f>
        <v>0</v>
      </c>
      <c r="AY48" s="35">
        <f>+GETPIVOTDATA("XXB4",'xabang (2016)'!$A$3,"MA_HT","DNG","MA_QH","DSH")</f>
        <v>0</v>
      </c>
      <c r="AZ48" s="35">
        <f>+GETPIVOTDATA("XXB4",'xabang (2016)'!$A$3,"MA_HT","DNG","MA_QH","DKV")</f>
        <v>0</v>
      </c>
      <c r="BA48" s="140">
        <f>+GETPIVOTDATA("XXB4",'xabang (2016)'!$A$3,"MA_HT","DNG","MA_QH","TIN")</f>
        <v>0</v>
      </c>
      <c r="BB48" s="74">
        <f>+GETPIVOTDATA("XXB4",'xabang (2016)'!$A$3,"MA_HT","DNG","MA_QH","SON")</f>
        <v>0</v>
      </c>
      <c r="BC48" s="74">
        <f>+GETPIVOTDATA("XXB4",'xabang (2016)'!$A$3,"MA_HT","DNG","MA_QH","MNC")</f>
        <v>0</v>
      </c>
      <c r="BD48" s="35">
        <f>+GETPIVOTDATA("XXB4",'xabang (2016)'!$A$3,"MA_HT","DNG","MA_QH","PNK")</f>
        <v>0</v>
      </c>
      <c r="BE48" s="58">
        <f>+GETPIVOTDATA("XXB4",'xabang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+GETPIVOTDATA("XXB4",'xabang (2016)'!$A$3,"MA_HT","TON","MA_QH","LUC")</f>
        <v>0</v>
      </c>
      <c r="H49" s="35">
        <f>+GETPIVOTDATA("XXB4",'xabang (2016)'!$A$3,"MA_HT","TON","MA_QH","LUK")</f>
        <v>0</v>
      </c>
      <c r="I49" s="35">
        <f>+GETPIVOTDATA("XXB4",'xabang (2016)'!$A$3,"MA_HT","TON","MA_QH","LUN")</f>
        <v>0</v>
      </c>
      <c r="J49" s="35">
        <f>+GETPIVOTDATA("XXB4",'xabang (2016)'!$A$3,"MA_HT","TON","MA_QH","HNK")</f>
        <v>0</v>
      </c>
      <c r="K49" s="35">
        <f>+GETPIVOTDATA("XXB4",'xabang (2016)'!$A$3,"MA_HT","TON","MA_QH","CLN")</f>
        <v>0</v>
      </c>
      <c r="L49" s="35">
        <f>+GETPIVOTDATA("XXB4",'xabang (2016)'!$A$3,"MA_HT","TON","MA_QH","RSX")</f>
        <v>0</v>
      </c>
      <c r="M49" s="35">
        <f>+GETPIVOTDATA("XXB4",'xabang (2016)'!$A$3,"MA_HT","TON","MA_QH","RPH")</f>
        <v>0</v>
      </c>
      <c r="N49" s="35">
        <f>+GETPIVOTDATA("XXB4",'xabang (2016)'!$A$3,"MA_HT","TON","MA_QH","RDD")</f>
        <v>0</v>
      </c>
      <c r="O49" s="35">
        <f>+GETPIVOTDATA("XXB4",'xabang (2016)'!$A$3,"MA_HT","TON","MA_QH","NTS")</f>
        <v>0</v>
      </c>
      <c r="P49" s="35">
        <f>+GETPIVOTDATA("XXB4",'xabang (2016)'!$A$3,"MA_HT","TON","MA_QH","LMU")</f>
        <v>0</v>
      </c>
      <c r="Q49" s="35">
        <f>+GETPIVOTDATA("XXB4",'xabang (2016)'!$A$3,"MA_HT","TON","MA_QH","NKH")</f>
        <v>0</v>
      </c>
      <c r="R49" s="106">
        <f>SUM(S49:AA49,AN49:AU49,AW49:BD49)</f>
        <v>0</v>
      </c>
      <c r="S49" s="35">
        <f>+GETPIVOTDATA("XXB4",'xabang (2016)'!$A$3,"MA_HT","TON","MA_QH","CQP")</f>
        <v>0</v>
      </c>
      <c r="T49" s="35">
        <f>+GETPIVOTDATA("XXB4",'xabang (2016)'!$A$3,"MA_HT","TON","MA_QH","CAN")</f>
        <v>0</v>
      </c>
      <c r="U49" s="35">
        <f>+GETPIVOTDATA("XXB4",'xabang (2016)'!$A$3,"MA_HT","TON","MA_QH","SKK")</f>
        <v>0</v>
      </c>
      <c r="V49" s="35">
        <f>+GETPIVOTDATA("XXB4",'xabang (2016)'!$A$3,"MA_HT","TON","MA_QH","SKT")</f>
        <v>0</v>
      </c>
      <c r="W49" s="35">
        <f>+GETPIVOTDATA("XXB4",'xabang (2016)'!$A$3,"MA_HT","TON","MA_QH","SKN")</f>
        <v>0</v>
      </c>
      <c r="X49" s="35">
        <f>+GETPIVOTDATA("XXB4",'xabang (2016)'!$A$3,"MA_HT","TON","MA_QH","TMD")</f>
        <v>0</v>
      </c>
      <c r="Y49" s="35">
        <f>+GETPIVOTDATA("XXB4",'xabang (2016)'!$A$3,"MA_HT","TON","MA_QH","SKC")</f>
        <v>0</v>
      </c>
      <c r="Z49" s="35">
        <f>+GETPIVOTDATA("XXB4",'xabang (2016)'!$A$3,"MA_HT","TON","MA_QH","SKS")</f>
        <v>0</v>
      </c>
      <c r="AA49" s="64">
        <f t="shared" si="21"/>
        <v>0</v>
      </c>
      <c r="AB49" s="35">
        <f>+GETPIVOTDATA("XXB4",'xabang (2016)'!$A$3,"MA_HT","TON","MA_QH","DGT")</f>
        <v>0</v>
      </c>
      <c r="AC49" s="35">
        <f>+GETPIVOTDATA("XXB4",'xabang (2016)'!$A$3,"MA_HT","TON","MA_QH","DTL")</f>
        <v>0</v>
      </c>
      <c r="AD49" s="35">
        <f>+GETPIVOTDATA("XXB4",'xabang (2016)'!$A$3,"MA_HT","TON","MA_QH","DNL")</f>
        <v>0</v>
      </c>
      <c r="AE49" s="35">
        <f>+GETPIVOTDATA("XXB4",'xabang (2016)'!$A$3,"MA_HT","TON","MA_QH","DBV")</f>
        <v>0</v>
      </c>
      <c r="AF49" s="35">
        <f>+GETPIVOTDATA("XXB4",'xabang (2016)'!$A$3,"MA_HT","TON","MA_QH","DVH")</f>
        <v>0</v>
      </c>
      <c r="AG49" s="35">
        <f>+GETPIVOTDATA("XXB4",'xabang (2016)'!$A$3,"MA_HT","TON","MA_QH","DYT")</f>
        <v>0</v>
      </c>
      <c r="AH49" s="35">
        <f>+GETPIVOTDATA("XXB4",'xabang (2016)'!$A$3,"MA_HT","TON","MA_QH","DGD")</f>
        <v>0</v>
      </c>
      <c r="AI49" s="35">
        <f>+GETPIVOTDATA("XXB4",'xabang (2016)'!$A$3,"MA_HT","TON","MA_QH","DTT")</f>
        <v>0</v>
      </c>
      <c r="AJ49" s="35">
        <f>+GETPIVOTDATA("XXB4",'xabang (2016)'!$A$3,"MA_HT","TON","MA_QH","NCK")</f>
        <v>0</v>
      </c>
      <c r="AK49" s="35">
        <f>+GETPIVOTDATA("XXB4",'xabang (2016)'!$A$3,"MA_HT","TON","MA_QH","DXH")</f>
        <v>0</v>
      </c>
      <c r="AL49" s="35">
        <f>+GETPIVOTDATA("XXB4",'xabang (2016)'!$A$3,"MA_HT","TON","MA_QH","DCH")</f>
        <v>0</v>
      </c>
      <c r="AM49" s="35">
        <f>+GETPIVOTDATA("XXB4",'xabang (2016)'!$A$3,"MA_HT","TON","MA_QH","DKG")</f>
        <v>0</v>
      </c>
      <c r="AN49" s="35">
        <f>+GETPIVOTDATA("XXB4",'xabang (2016)'!$A$3,"MA_HT","TON","MA_QH","DDT")</f>
        <v>0</v>
      </c>
      <c r="AO49" s="35">
        <f>+GETPIVOTDATA("XXB4",'xabang (2016)'!$A$3,"MA_HT","TON","MA_QH","DDL")</f>
        <v>0</v>
      </c>
      <c r="AP49" s="35">
        <f>+GETPIVOTDATA("XXB4",'xabang (2016)'!$A$3,"MA_HT","TON","MA_QH","DRA")</f>
        <v>0</v>
      </c>
      <c r="AQ49" s="35">
        <f>+GETPIVOTDATA("XXB4",'xabang (2016)'!$A$3,"MA_HT","TON","MA_QH","ONT")</f>
        <v>0</v>
      </c>
      <c r="AR49" s="35">
        <f>+GETPIVOTDATA("XXB4",'xabang (2016)'!$A$3,"MA_HT","TON","MA_QH","ODT")</f>
        <v>0</v>
      </c>
      <c r="AS49" s="35">
        <f>+GETPIVOTDATA("XXB4",'xabang (2016)'!$A$3,"MA_HT","TON","MA_QH","TSC")</f>
        <v>0</v>
      </c>
      <c r="AT49" s="35">
        <f>+GETPIVOTDATA("XXB4",'xabang (2016)'!$A$3,"MA_HT","TON","MA_QH","DTS")</f>
        <v>0</v>
      </c>
      <c r="AU49" s="35">
        <f>+GETPIVOTDATA("XXB4",'xabang (2016)'!$A$3,"MA_HT","TON","MA_QH","DNG")</f>
        <v>0</v>
      </c>
      <c r="AV49" s="99" t="e">
        <f>$D49-$BF49</f>
        <v>#REF!</v>
      </c>
      <c r="AW49" s="35">
        <f>+GETPIVOTDATA("XXB4",'xabang (2016)'!$A$3,"MA_HT","TON","MA_QH","NTD")</f>
        <v>0</v>
      </c>
      <c r="AX49" s="35">
        <f>+GETPIVOTDATA("XXB4",'xabang (2016)'!$A$3,"MA_HT","TON","MA_QH","SKX")</f>
        <v>0</v>
      </c>
      <c r="AY49" s="35">
        <f>+GETPIVOTDATA("XXB4",'xabang (2016)'!$A$3,"MA_HT","TON","MA_QH","DSH")</f>
        <v>0</v>
      </c>
      <c r="AZ49" s="35">
        <f>+GETPIVOTDATA("XXB4",'xabang (2016)'!$A$3,"MA_HT","TON","MA_QH","DKV")</f>
        <v>0</v>
      </c>
      <c r="BA49" s="140">
        <f>+GETPIVOTDATA("XXB4",'xabang (2016)'!$A$3,"MA_HT","TON","MA_QH","TIN")</f>
        <v>0</v>
      </c>
      <c r="BB49" s="74">
        <f>+GETPIVOTDATA("XXB4",'xabang (2016)'!$A$3,"MA_HT","TON","MA_QH","SON")</f>
        <v>0</v>
      </c>
      <c r="BC49" s="74">
        <f>+GETPIVOTDATA("XXB4",'xabang (2016)'!$A$3,"MA_HT","TON","MA_QH","MNC")</f>
        <v>0</v>
      </c>
      <c r="BD49" s="35">
        <f>+GETPIVOTDATA("XXB4",'xabang (2016)'!$A$3,"MA_HT","TON","MA_QH","PNK")</f>
        <v>0</v>
      </c>
      <c r="BE49" s="58">
        <f>+GETPIVOTDATA("XXB4",'xabang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+GETPIVOTDATA("XXB4",'xabang (2016)'!$A$3,"MA_HT","NTD","MA_QH","LUC")</f>
        <v>0</v>
      </c>
      <c r="H50" s="35">
        <f>+GETPIVOTDATA("XXB4",'xabang (2016)'!$A$3,"MA_HT","NTD","MA_QH","LUK")</f>
        <v>0</v>
      </c>
      <c r="I50" s="35">
        <f>+GETPIVOTDATA("XXB4",'xabang (2016)'!$A$3,"MA_HT","NTD","MA_QH","LUN")</f>
        <v>0</v>
      </c>
      <c r="J50" s="35">
        <f>+GETPIVOTDATA("XXB4",'xabang (2016)'!$A$3,"MA_HT","NTD","MA_QH","HNK")</f>
        <v>0</v>
      </c>
      <c r="K50" s="35">
        <f>+GETPIVOTDATA("XXB4",'xabang (2016)'!$A$3,"MA_HT","NTD","MA_QH","CLN")</f>
        <v>0</v>
      </c>
      <c r="L50" s="35">
        <f>+GETPIVOTDATA("XXB4",'xabang (2016)'!$A$3,"MA_HT","NTD","MA_QH","RSX")</f>
        <v>0</v>
      </c>
      <c r="M50" s="35">
        <f>+GETPIVOTDATA("XXB4",'xabang (2016)'!$A$3,"MA_HT","NTD","MA_QH","RPH")</f>
        <v>0</v>
      </c>
      <c r="N50" s="35">
        <f>+GETPIVOTDATA("XXB4",'xabang (2016)'!$A$3,"MA_HT","NTD","MA_QH","RDD")</f>
        <v>0</v>
      </c>
      <c r="O50" s="35">
        <f>+GETPIVOTDATA("XXB4",'xabang (2016)'!$A$3,"MA_HT","NTD","MA_QH","NTS")</f>
        <v>0</v>
      </c>
      <c r="P50" s="35">
        <f>+GETPIVOTDATA("XXB4",'xabang (2016)'!$A$3,"MA_HT","NTD","MA_QH","LMU")</f>
        <v>0</v>
      </c>
      <c r="Q50" s="35">
        <f>+GETPIVOTDATA("XXB4",'xabang (2016)'!$A$3,"MA_HT","NTD","MA_QH","NKH")</f>
        <v>0</v>
      </c>
      <c r="R50" s="106">
        <f>SUM(S50:AA50,AN50:AV50,AX50:BD50)</f>
        <v>0</v>
      </c>
      <c r="S50" s="35">
        <f>+GETPIVOTDATA("XXB4",'xabang (2016)'!$A$3,"MA_HT","NTD","MA_QH","CQP")</f>
        <v>0</v>
      </c>
      <c r="T50" s="35">
        <f>+GETPIVOTDATA("XXB4",'xabang (2016)'!$A$3,"MA_HT","NTD","MA_QH","CAN")</f>
        <v>0</v>
      </c>
      <c r="U50" s="35">
        <f>+GETPIVOTDATA("XXB4",'xabang (2016)'!$A$3,"MA_HT","NTD","MA_QH","SKK")</f>
        <v>0</v>
      </c>
      <c r="V50" s="35">
        <f>+GETPIVOTDATA("XXB4",'xabang (2016)'!$A$3,"MA_HT","NTD","MA_QH","SKT")</f>
        <v>0</v>
      </c>
      <c r="W50" s="35">
        <f>+GETPIVOTDATA("XXB4",'xabang (2016)'!$A$3,"MA_HT","NTD","MA_QH","SKN")</f>
        <v>0</v>
      </c>
      <c r="X50" s="35">
        <f>+GETPIVOTDATA("XXB4",'xabang (2016)'!$A$3,"MA_HT","NTD","MA_QH","TMD")</f>
        <v>0</v>
      </c>
      <c r="Y50" s="35">
        <f>+GETPIVOTDATA("XXB4",'xabang (2016)'!$A$3,"MA_HT","NTD","MA_QH","SKC")</f>
        <v>0</v>
      </c>
      <c r="Z50" s="35">
        <f>+GETPIVOTDATA("XXB4",'xabang (2016)'!$A$3,"MA_HT","NTD","MA_QH","SKS")</f>
        <v>0</v>
      </c>
      <c r="AA50" s="64">
        <f t="shared" si="21"/>
        <v>0</v>
      </c>
      <c r="AB50" s="35">
        <f>+GETPIVOTDATA("XXB4",'xabang (2016)'!$A$3,"MA_HT","NTD","MA_QH","DGT")</f>
        <v>0</v>
      </c>
      <c r="AC50" s="35">
        <f>+GETPIVOTDATA("XXB4",'xabang (2016)'!$A$3,"MA_HT","NTD","MA_QH","DTL")</f>
        <v>0</v>
      </c>
      <c r="AD50" s="35">
        <f>+GETPIVOTDATA("XXB4",'xabang (2016)'!$A$3,"MA_HT","NTD","MA_QH","DNL")</f>
        <v>0</v>
      </c>
      <c r="AE50" s="35">
        <f>+GETPIVOTDATA("XXB4",'xabang (2016)'!$A$3,"MA_HT","NTD","MA_QH","DBV")</f>
        <v>0</v>
      </c>
      <c r="AF50" s="35">
        <f>+GETPIVOTDATA("XXB4",'xabang (2016)'!$A$3,"MA_HT","NTD","MA_QH","DVH")</f>
        <v>0</v>
      </c>
      <c r="AG50" s="35">
        <f>+GETPIVOTDATA("XXB4",'xabang (2016)'!$A$3,"MA_HT","NTD","MA_QH","DYT")</f>
        <v>0</v>
      </c>
      <c r="AH50" s="35">
        <f>+GETPIVOTDATA("XXB4",'xabang (2016)'!$A$3,"MA_HT","NTD","MA_QH","DGD")</f>
        <v>0</v>
      </c>
      <c r="AI50" s="35">
        <f>+GETPIVOTDATA("XXB4",'xabang (2016)'!$A$3,"MA_HT","NTD","MA_QH","DTT")</f>
        <v>0</v>
      </c>
      <c r="AJ50" s="35">
        <f>+GETPIVOTDATA("XXB4",'xabang (2016)'!$A$3,"MA_HT","NTD","MA_QH","NCK")</f>
        <v>0</v>
      </c>
      <c r="AK50" s="35">
        <f>+GETPIVOTDATA("XXB4",'xabang (2016)'!$A$3,"MA_HT","NTD","MA_QH","DXH")</f>
        <v>0</v>
      </c>
      <c r="AL50" s="35">
        <f>+GETPIVOTDATA("XXB4",'xabang (2016)'!$A$3,"MA_HT","NTD","MA_QH","DCH")</f>
        <v>0</v>
      </c>
      <c r="AM50" s="35">
        <f>+GETPIVOTDATA("XXB4",'xabang (2016)'!$A$3,"MA_HT","NTD","MA_QH","DKG")</f>
        <v>0</v>
      </c>
      <c r="AN50" s="35">
        <f>+GETPIVOTDATA("XXB4",'xabang (2016)'!$A$3,"MA_HT","NTD","MA_QH","DDT")</f>
        <v>0</v>
      </c>
      <c r="AO50" s="35">
        <f>+GETPIVOTDATA("XXB4",'xabang (2016)'!$A$3,"MA_HT","NTD","MA_QH","DDL")</f>
        <v>0</v>
      </c>
      <c r="AP50" s="35">
        <f>+GETPIVOTDATA("XXB4",'xabang (2016)'!$A$3,"MA_HT","NTD","MA_QH","DRA")</f>
        <v>0</v>
      </c>
      <c r="AQ50" s="35">
        <f>+GETPIVOTDATA("XXB4",'xabang (2016)'!$A$3,"MA_HT","NTD","MA_QH","ONT")</f>
        <v>0</v>
      </c>
      <c r="AR50" s="35">
        <f>+GETPIVOTDATA("XXB4",'xabang (2016)'!$A$3,"MA_HT","NTD","MA_QH","ODT")</f>
        <v>0</v>
      </c>
      <c r="AS50" s="35">
        <f>+GETPIVOTDATA("XXB4",'xabang (2016)'!$A$3,"MA_HT","NTD","MA_QH","TSC")</f>
        <v>0</v>
      </c>
      <c r="AT50" s="35">
        <f>+GETPIVOTDATA("XXB4",'xabang (2016)'!$A$3,"MA_HT","NTD","MA_QH","DTS")</f>
        <v>0</v>
      </c>
      <c r="AU50" s="35">
        <f>+GETPIVOTDATA("XXB4",'xabang (2016)'!$A$3,"MA_HT","NTD","MA_QH","DNG")</f>
        <v>0</v>
      </c>
      <c r="AV50" s="35">
        <f>+GETPIVOTDATA("XXB4",'xabang (2016)'!$A$3,"MA_HT","NTD","MA_QH","TON")</f>
        <v>0</v>
      </c>
      <c r="AW50" s="99" t="e">
        <f>$D50-$BF50</f>
        <v>#REF!</v>
      </c>
      <c r="AX50" s="35">
        <f>+GETPIVOTDATA("XXB4",'xabang (2016)'!$A$3,"MA_HT","NTD","MA_QH","SKX")</f>
        <v>0</v>
      </c>
      <c r="AY50" s="35">
        <f>+GETPIVOTDATA("XXB4",'xabang (2016)'!$A$3,"MA_HT","NTD","MA_QH","DSH")</f>
        <v>0</v>
      </c>
      <c r="AZ50" s="35">
        <f>+GETPIVOTDATA("XXB4",'xabang (2016)'!$A$3,"MA_HT","NTD","MA_QH","DKV")</f>
        <v>0</v>
      </c>
      <c r="BA50" s="140">
        <f>+GETPIVOTDATA("XXB4",'xabang (2016)'!$A$3,"MA_HT","NTD","MA_QH","TIN")</f>
        <v>0</v>
      </c>
      <c r="BB50" s="74">
        <f>+GETPIVOTDATA("XXB4",'xabang (2016)'!$A$3,"MA_HT","NTD","MA_QH","SON")</f>
        <v>0</v>
      </c>
      <c r="BC50" s="74">
        <f>+GETPIVOTDATA("XXB4",'xabang (2016)'!$A$3,"MA_HT","NTD","MA_QH","MNC")</f>
        <v>0</v>
      </c>
      <c r="BD50" s="35">
        <f>+GETPIVOTDATA("XXB4",'xabang (2016)'!$A$3,"MA_HT","NTD","MA_QH","PNK")</f>
        <v>0</v>
      </c>
      <c r="BE50" s="58">
        <f>+GETPIVOTDATA("XXB4",'xabang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+GETPIVOTDATA("XXB4",'xabang (2016)'!$A$3,"MA_HT","SKX","MA_QH","LUC")</f>
        <v>0</v>
      </c>
      <c r="H51" s="35">
        <f>+GETPIVOTDATA("XXB4",'xabang (2016)'!$A$3,"MA_HT","SKX","MA_QH","LUK")</f>
        <v>0</v>
      </c>
      <c r="I51" s="35">
        <f>+GETPIVOTDATA("XXB4",'xabang (2016)'!$A$3,"MA_HT","SKX","MA_QH","LUN")</f>
        <v>0</v>
      </c>
      <c r="J51" s="35">
        <f>+GETPIVOTDATA("XXB4",'xabang (2016)'!$A$3,"MA_HT","SKX","MA_QH","HNK")</f>
        <v>0</v>
      </c>
      <c r="K51" s="35">
        <f>+GETPIVOTDATA("XXB4",'xabang (2016)'!$A$3,"MA_HT","SKX","MA_QH","CLN")</f>
        <v>0</v>
      </c>
      <c r="L51" s="35">
        <f>+GETPIVOTDATA("XXB4",'xabang (2016)'!$A$3,"MA_HT","SKX","MA_QH","RSX")</f>
        <v>0</v>
      </c>
      <c r="M51" s="35">
        <f>+GETPIVOTDATA("XXB4",'xabang (2016)'!$A$3,"MA_HT","SKX","MA_QH","RPH")</f>
        <v>0</v>
      </c>
      <c r="N51" s="35">
        <f>+GETPIVOTDATA("XXB4",'xabang (2016)'!$A$3,"MA_HT","SKX","MA_QH","RDD")</f>
        <v>0</v>
      </c>
      <c r="O51" s="35">
        <f>+GETPIVOTDATA("XXB4",'xabang (2016)'!$A$3,"MA_HT","SKX","MA_QH","NTS")</f>
        <v>0</v>
      </c>
      <c r="P51" s="35">
        <f>+GETPIVOTDATA("XXB4",'xabang (2016)'!$A$3,"MA_HT","SKX","MA_QH","LMU")</f>
        <v>0</v>
      </c>
      <c r="Q51" s="35">
        <f>+GETPIVOTDATA("XXB4",'xabang (2016)'!$A$3,"MA_HT","SKX","MA_QH","NKH")</f>
        <v>0</v>
      </c>
      <c r="R51" s="106">
        <f>SUM(S51:AA51,AN51:AW51,AY51:BD51)</f>
        <v>0</v>
      </c>
      <c r="S51" s="35">
        <f>+GETPIVOTDATA("XXB4",'xabang (2016)'!$A$3,"MA_HT","SKX","MA_QH","CQP")</f>
        <v>0</v>
      </c>
      <c r="T51" s="35">
        <f>+GETPIVOTDATA("XXB4",'xabang (2016)'!$A$3,"MA_HT","SKX","MA_QH","CAN")</f>
        <v>0</v>
      </c>
      <c r="U51" s="35">
        <f>+GETPIVOTDATA("XXB4",'xabang (2016)'!$A$3,"MA_HT","SKX","MA_QH","SKK")</f>
        <v>0</v>
      </c>
      <c r="V51" s="35">
        <f>+GETPIVOTDATA("XXB4",'xabang (2016)'!$A$3,"MA_HT","SKX","MA_QH","SKT")</f>
        <v>0</v>
      </c>
      <c r="W51" s="35">
        <f>+GETPIVOTDATA("XXB4",'xabang (2016)'!$A$3,"MA_HT","SKX","MA_QH","SKN")</f>
        <v>0</v>
      </c>
      <c r="X51" s="35">
        <f>+GETPIVOTDATA("XXB4",'xabang (2016)'!$A$3,"MA_HT","SKX","MA_QH","TMD")</f>
        <v>0</v>
      </c>
      <c r="Y51" s="35">
        <f>+GETPIVOTDATA("XXB4",'xabang (2016)'!$A$3,"MA_HT","SKX","MA_QH","SKC")</f>
        <v>0</v>
      </c>
      <c r="Z51" s="35">
        <f>+GETPIVOTDATA("XXB4",'xabang (2016)'!$A$3,"MA_HT","SKX","MA_QH","SKS")</f>
        <v>0</v>
      </c>
      <c r="AA51" s="64">
        <f t="shared" si="21"/>
        <v>0</v>
      </c>
      <c r="AB51" s="35">
        <f>+GETPIVOTDATA("XXB4",'xabang (2016)'!$A$3,"MA_HT","SKX","MA_QH","DGT")</f>
        <v>0</v>
      </c>
      <c r="AC51" s="35">
        <f>+GETPIVOTDATA("XXB4",'xabang (2016)'!$A$3,"MA_HT","SKX","MA_QH","DTL")</f>
        <v>0</v>
      </c>
      <c r="AD51" s="35">
        <f>+GETPIVOTDATA("XXB4",'xabang (2016)'!$A$3,"MA_HT","SKX","MA_QH","DNL")</f>
        <v>0</v>
      </c>
      <c r="AE51" s="35">
        <f>+GETPIVOTDATA("XXB4",'xabang (2016)'!$A$3,"MA_HT","SKX","MA_QH","DBV")</f>
        <v>0</v>
      </c>
      <c r="AF51" s="35">
        <f>+GETPIVOTDATA("XXB4",'xabang (2016)'!$A$3,"MA_HT","SKX","MA_QH","DVH")</f>
        <v>0</v>
      </c>
      <c r="AG51" s="35">
        <f>+GETPIVOTDATA("XXB4",'xabang (2016)'!$A$3,"MA_HT","SKX","MA_QH","DYT")</f>
        <v>0</v>
      </c>
      <c r="AH51" s="35">
        <f>+GETPIVOTDATA("XXB4",'xabang (2016)'!$A$3,"MA_HT","SKX","MA_QH","DGD")</f>
        <v>0</v>
      </c>
      <c r="AI51" s="35">
        <f>+GETPIVOTDATA("XXB4",'xabang (2016)'!$A$3,"MA_HT","SKX","MA_QH","DTT")</f>
        <v>0</v>
      </c>
      <c r="AJ51" s="35">
        <f>+GETPIVOTDATA("XXB4",'xabang (2016)'!$A$3,"MA_HT","SKX","MA_QH","NCK")</f>
        <v>0</v>
      </c>
      <c r="AK51" s="35">
        <f>+GETPIVOTDATA("XXB4",'xabang (2016)'!$A$3,"MA_HT","SKX","MA_QH","DXH")</f>
        <v>0</v>
      </c>
      <c r="AL51" s="35">
        <f>+GETPIVOTDATA("XXB4",'xabang (2016)'!$A$3,"MA_HT","SKX","MA_QH","DCH")</f>
        <v>0</v>
      </c>
      <c r="AM51" s="35">
        <f>+GETPIVOTDATA("XXB4",'xabang (2016)'!$A$3,"MA_HT","SKX","MA_QH","DKG")</f>
        <v>0</v>
      </c>
      <c r="AN51" s="35">
        <f>+GETPIVOTDATA("XXB4",'xabang (2016)'!$A$3,"MA_HT","SKX","MA_QH","DDT")</f>
        <v>0</v>
      </c>
      <c r="AO51" s="35">
        <f>+GETPIVOTDATA("XXB4",'xabang (2016)'!$A$3,"MA_HT","SKX","MA_QH","DDL")</f>
        <v>0</v>
      </c>
      <c r="AP51" s="35">
        <f>+GETPIVOTDATA("XXB4",'xabang (2016)'!$A$3,"MA_HT","SKX","MA_QH","DRA")</f>
        <v>0</v>
      </c>
      <c r="AQ51" s="35">
        <f>+GETPIVOTDATA("XXB4",'xabang (2016)'!$A$3,"MA_HT","SKX","MA_QH","ONT")</f>
        <v>0</v>
      </c>
      <c r="AR51" s="35">
        <f>+GETPIVOTDATA("XXB4",'xabang (2016)'!$A$3,"MA_HT","SKX","MA_QH","ODT")</f>
        <v>0</v>
      </c>
      <c r="AS51" s="35">
        <f>+GETPIVOTDATA("XXB4",'xabang (2016)'!$A$3,"MA_HT","SKX","MA_QH","TSC")</f>
        <v>0</v>
      </c>
      <c r="AT51" s="35">
        <f>+GETPIVOTDATA("XXB4",'xabang (2016)'!$A$3,"MA_HT","SKX","MA_QH","DTS")</f>
        <v>0</v>
      </c>
      <c r="AU51" s="35">
        <f>+GETPIVOTDATA("XXB4",'xabang (2016)'!$A$3,"MA_HT","SKX","MA_QH","DNG")</f>
        <v>0</v>
      </c>
      <c r="AV51" s="35">
        <f>+GETPIVOTDATA("XXB4",'xabang (2016)'!$A$3,"MA_HT","SKX","MA_QH","TON")</f>
        <v>0</v>
      </c>
      <c r="AW51" s="35">
        <f>+GETPIVOTDATA("XXB4",'xabang (2016)'!$A$3,"MA_HT","SKX","MA_QH","NTD")</f>
        <v>0</v>
      </c>
      <c r="AX51" s="99" t="e">
        <f>$D51-$BF51</f>
        <v>#REF!</v>
      </c>
      <c r="AY51" s="35">
        <f>+GETPIVOTDATA("XXB4",'xabang (2016)'!$A$3,"MA_HT","SKX","MA_QH","DSH")</f>
        <v>0</v>
      </c>
      <c r="AZ51" s="35">
        <f>+GETPIVOTDATA("XXB4",'xabang (2016)'!$A$3,"MA_HT","SKX","MA_QH","DKV")</f>
        <v>0</v>
      </c>
      <c r="BA51" s="140">
        <f>+GETPIVOTDATA("XXB4",'xabang (2016)'!$A$3,"MA_HT","SKX","MA_QH","TIN")</f>
        <v>0</v>
      </c>
      <c r="BB51" s="74">
        <f>+GETPIVOTDATA("XXB4",'xabang (2016)'!$A$3,"MA_HT","SKX","MA_QH","SON")</f>
        <v>0</v>
      </c>
      <c r="BC51" s="74">
        <f>+GETPIVOTDATA("XXB4",'xabang (2016)'!$A$3,"MA_HT","SKX","MA_QH","MNC")</f>
        <v>0</v>
      </c>
      <c r="BD51" s="35">
        <f>+GETPIVOTDATA("XXB4",'xabang (2016)'!$A$3,"MA_HT","SKX","MA_QH","PNK")</f>
        <v>0</v>
      </c>
      <c r="BE51" s="58">
        <f>+GETPIVOTDATA("XXB4",'xabang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+GETPIVOTDATA("XXB4",'xabang (2016)'!$A$3,"MA_HT","DSH","MA_QH","LUC")</f>
        <v>0</v>
      </c>
      <c r="H52" s="35">
        <f>+GETPIVOTDATA("XXB4",'xabang (2016)'!$A$3,"MA_HT","DSH","MA_QH","LUK")</f>
        <v>0</v>
      </c>
      <c r="I52" s="35">
        <f>+GETPIVOTDATA("XXB4",'xabang (2016)'!$A$3,"MA_HT","DSH","MA_QH","LUN")</f>
        <v>0</v>
      </c>
      <c r="J52" s="35">
        <f>+GETPIVOTDATA("XXB4",'xabang (2016)'!$A$3,"MA_HT","DSH","MA_QH","HNK")</f>
        <v>0</v>
      </c>
      <c r="K52" s="35">
        <f>+GETPIVOTDATA("XXB4",'xabang (2016)'!$A$3,"MA_HT","DSH","MA_QH","CLN")</f>
        <v>0</v>
      </c>
      <c r="L52" s="35">
        <f>+GETPIVOTDATA("XXB4",'xabang (2016)'!$A$3,"MA_HT","DSH","MA_QH","RSX")</f>
        <v>0</v>
      </c>
      <c r="M52" s="35">
        <f>+GETPIVOTDATA("XXB4",'xabang (2016)'!$A$3,"MA_HT","DSH","MA_QH","RPH")</f>
        <v>0</v>
      </c>
      <c r="N52" s="35">
        <f>+GETPIVOTDATA("XXB4",'xabang (2016)'!$A$3,"MA_HT","DSH","MA_QH","RDD")</f>
        <v>0</v>
      </c>
      <c r="O52" s="35">
        <f>+GETPIVOTDATA("XXB4",'xabang (2016)'!$A$3,"MA_HT","DSH","MA_QH","NTS")</f>
        <v>0</v>
      </c>
      <c r="P52" s="35">
        <f>+GETPIVOTDATA("XXB4",'xabang (2016)'!$A$3,"MA_HT","DSH","MA_QH","LMU")</f>
        <v>0</v>
      </c>
      <c r="Q52" s="35">
        <f>+GETPIVOTDATA("XXB4",'xabang (2016)'!$A$3,"MA_HT","DSH","MA_QH","NKH")</f>
        <v>0</v>
      </c>
      <c r="R52" s="106">
        <f>SUM(S52:AA52,AN52:AX52,AZ52:BD52)</f>
        <v>0</v>
      </c>
      <c r="S52" s="35">
        <f>+GETPIVOTDATA("XXB4",'xabang (2016)'!$A$3,"MA_HT","DSH","MA_QH","CQP")</f>
        <v>0</v>
      </c>
      <c r="T52" s="35">
        <f>+GETPIVOTDATA("XXB4",'xabang (2016)'!$A$3,"MA_HT","DSH","MA_QH","CAN")</f>
        <v>0</v>
      </c>
      <c r="U52" s="35">
        <f>+GETPIVOTDATA("XXB4",'xabang (2016)'!$A$3,"MA_HT","DSH","MA_QH","SKK")</f>
        <v>0</v>
      </c>
      <c r="V52" s="35">
        <f>+GETPIVOTDATA("XXB4",'xabang (2016)'!$A$3,"MA_HT","DSH","MA_QH","SKT")</f>
        <v>0</v>
      </c>
      <c r="W52" s="35">
        <f>+GETPIVOTDATA("XXB4",'xabang (2016)'!$A$3,"MA_HT","DSH","MA_QH","SKN")</f>
        <v>0</v>
      </c>
      <c r="X52" s="35">
        <f>+GETPIVOTDATA("XXB4",'xabang (2016)'!$A$3,"MA_HT","DSH","MA_QH","TMD")</f>
        <v>0</v>
      </c>
      <c r="Y52" s="35">
        <f>+GETPIVOTDATA("XXB4",'xabang (2016)'!$A$3,"MA_HT","DSH","MA_QH","SKC")</f>
        <v>0</v>
      </c>
      <c r="Z52" s="35">
        <f>+GETPIVOTDATA("XXB4",'xabang (2016)'!$A$3,"MA_HT","DSH","MA_QH","SKS")</f>
        <v>0</v>
      </c>
      <c r="AA52" s="64">
        <f t="shared" si="21"/>
        <v>0</v>
      </c>
      <c r="AB52" s="35">
        <f>+GETPIVOTDATA("XXB4",'xabang (2016)'!$A$3,"MA_HT","DSH","MA_QH","DGT")</f>
        <v>0</v>
      </c>
      <c r="AC52" s="35">
        <f>+GETPIVOTDATA("XXB4",'xabang (2016)'!$A$3,"MA_HT","DSH","MA_QH","DTL")</f>
        <v>0</v>
      </c>
      <c r="AD52" s="35">
        <f>+GETPIVOTDATA("XXB4",'xabang (2016)'!$A$3,"MA_HT","DSH","MA_QH","DNL")</f>
        <v>0</v>
      </c>
      <c r="AE52" s="35">
        <f>+GETPIVOTDATA("XXB4",'xabang (2016)'!$A$3,"MA_HT","DSH","MA_QH","DBV")</f>
        <v>0</v>
      </c>
      <c r="AF52" s="35">
        <f>+GETPIVOTDATA("XXB4",'xabang (2016)'!$A$3,"MA_HT","DSH","MA_QH","DVH")</f>
        <v>0</v>
      </c>
      <c r="AG52" s="35">
        <f>+GETPIVOTDATA("XXB4",'xabang (2016)'!$A$3,"MA_HT","DSH","MA_QH","DYT")</f>
        <v>0</v>
      </c>
      <c r="AH52" s="35">
        <f>+GETPIVOTDATA("XXB4",'xabang (2016)'!$A$3,"MA_HT","DSH","MA_QH","DGD")</f>
        <v>0</v>
      </c>
      <c r="AI52" s="35">
        <f>+GETPIVOTDATA("XXB4",'xabang (2016)'!$A$3,"MA_HT","DSH","MA_QH","DTT")</f>
        <v>0</v>
      </c>
      <c r="AJ52" s="35">
        <f>+GETPIVOTDATA("XXB4",'xabang (2016)'!$A$3,"MA_HT","DSH","MA_QH","NCK")</f>
        <v>0</v>
      </c>
      <c r="AK52" s="35">
        <f>+GETPIVOTDATA("XXB4",'xabang (2016)'!$A$3,"MA_HT","DSH","MA_QH","DXH")</f>
        <v>0</v>
      </c>
      <c r="AL52" s="35">
        <f>+GETPIVOTDATA("XXB4",'xabang (2016)'!$A$3,"MA_HT","DSH","MA_QH","DCH")</f>
        <v>0</v>
      </c>
      <c r="AM52" s="35">
        <f>+GETPIVOTDATA("XXB4",'xabang (2016)'!$A$3,"MA_HT","DSH","MA_QH","DKG")</f>
        <v>0</v>
      </c>
      <c r="AN52" s="35">
        <f>+GETPIVOTDATA("XXB4",'xabang (2016)'!$A$3,"MA_HT","DSH","MA_QH","DDT")</f>
        <v>0</v>
      </c>
      <c r="AO52" s="35">
        <f>+GETPIVOTDATA("XXB4",'xabang (2016)'!$A$3,"MA_HT","DSH","MA_QH","DDL")</f>
        <v>0</v>
      </c>
      <c r="AP52" s="35">
        <f>+GETPIVOTDATA("XXB4",'xabang (2016)'!$A$3,"MA_HT","DSH","MA_QH","DRA")</f>
        <v>0</v>
      </c>
      <c r="AQ52" s="35">
        <f>+GETPIVOTDATA("XXB4",'xabang (2016)'!$A$3,"MA_HT","DSH","MA_QH","ONT")</f>
        <v>0</v>
      </c>
      <c r="AR52" s="35">
        <f>+GETPIVOTDATA("XXB4",'xabang (2016)'!$A$3,"MA_HT","DSH","MA_QH","ODT")</f>
        <v>0</v>
      </c>
      <c r="AS52" s="35">
        <f>+GETPIVOTDATA("XXB4",'xabang (2016)'!$A$3,"MA_HT","DSH","MA_QH","TSC")</f>
        <v>0</v>
      </c>
      <c r="AT52" s="35">
        <f>+GETPIVOTDATA("XXB4",'xabang (2016)'!$A$3,"MA_HT","DSH","MA_QH","DTS")</f>
        <v>0</v>
      </c>
      <c r="AU52" s="35">
        <f>+GETPIVOTDATA("XXB4",'xabang (2016)'!$A$3,"MA_HT","DSH","MA_QH","DNG")</f>
        <v>0</v>
      </c>
      <c r="AV52" s="35">
        <f>+GETPIVOTDATA("XXB4",'xabang (2016)'!$A$3,"MA_HT","DSH","MA_QH","TON")</f>
        <v>0</v>
      </c>
      <c r="AW52" s="35">
        <f>+GETPIVOTDATA("XXB4",'xabang (2016)'!$A$3,"MA_HT","DSH","MA_QH","NTD")</f>
        <v>0</v>
      </c>
      <c r="AX52" s="35">
        <f>+GETPIVOTDATA("XXB4",'xabang (2016)'!$A$3,"MA_HT","DSH","MA_QH","SKX")</f>
        <v>0</v>
      </c>
      <c r="AY52" s="99" t="e">
        <f>$D52-$BF52</f>
        <v>#REF!</v>
      </c>
      <c r="AZ52" s="35">
        <f>+GETPIVOTDATA("XXB4",'xabang (2016)'!$A$3,"MA_HT","DSH","MA_QH","DKV")</f>
        <v>0</v>
      </c>
      <c r="BA52" s="140">
        <f>+GETPIVOTDATA("XXB4",'xabang (2016)'!$A$3,"MA_HT","DSH","MA_QH","TIN")</f>
        <v>0</v>
      </c>
      <c r="BB52" s="74">
        <f>+GETPIVOTDATA("XXB4",'xabang (2016)'!$A$3,"MA_HT","DSH","MA_QH","SON")</f>
        <v>0</v>
      </c>
      <c r="BC52" s="74">
        <f>+GETPIVOTDATA("XXB4",'xabang (2016)'!$A$3,"MA_HT","DSH","MA_QH","MNC")</f>
        <v>0</v>
      </c>
      <c r="BD52" s="35">
        <f>+GETPIVOTDATA("XXB4",'xabang (2016)'!$A$3,"MA_HT","DSH","MA_QH","PNK")</f>
        <v>0</v>
      </c>
      <c r="BE52" s="58">
        <f>+GETPIVOTDATA("XXB4",'xabang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+GETPIVOTDATA("XXB4",'xabang (2016)'!$A$3,"MA_HT","DKV","MA_QH","LUC")</f>
        <v>0</v>
      </c>
      <c r="H53" s="35">
        <f>+GETPIVOTDATA("XXB4",'xabang (2016)'!$A$3,"MA_HT","DKV","MA_QH","LUK")</f>
        <v>0</v>
      </c>
      <c r="I53" s="35">
        <f>+GETPIVOTDATA("XXB4",'xabang (2016)'!$A$3,"MA_HT","DKV","MA_QH","LUN")</f>
        <v>0</v>
      </c>
      <c r="J53" s="35">
        <f>+GETPIVOTDATA("XXB4",'xabang (2016)'!$A$3,"MA_HT","DKV","MA_QH","HNK")</f>
        <v>0</v>
      </c>
      <c r="K53" s="35">
        <f>+GETPIVOTDATA("XXB4",'xabang (2016)'!$A$3,"MA_HT","DKV","MA_QH","CLN")</f>
        <v>0</v>
      </c>
      <c r="L53" s="35">
        <f>+GETPIVOTDATA("XXB4",'xabang (2016)'!$A$3,"MA_HT","DKV","MA_QH","RSX")</f>
        <v>0</v>
      </c>
      <c r="M53" s="35">
        <f>+GETPIVOTDATA("XXB4",'xabang (2016)'!$A$3,"MA_HT","DKV","MA_QH","RPH")</f>
        <v>0</v>
      </c>
      <c r="N53" s="35">
        <f>+GETPIVOTDATA("XXB4",'xabang (2016)'!$A$3,"MA_HT","DKV","MA_QH","RDD")</f>
        <v>0</v>
      </c>
      <c r="O53" s="35">
        <f>+GETPIVOTDATA("XXB4",'xabang (2016)'!$A$3,"MA_HT","DKV","MA_QH","NTS")</f>
        <v>0</v>
      </c>
      <c r="P53" s="35">
        <f>+GETPIVOTDATA("XXB4",'xabang (2016)'!$A$3,"MA_HT","DKV","MA_QH","LMU")</f>
        <v>0</v>
      </c>
      <c r="Q53" s="35">
        <f>+GETPIVOTDATA("XXB4",'xabang (2016)'!$A$3,"MA_HT","DKV","MA_QH","NKH")</f>
        <v>0</v>
      </c>
      <c r="R53" s="106">
        <f>SUM(S53:AA53,AN53:AY53,BB53:BD53)</f>
        <v>0</v>
      </c>
      <c r="S53" s="35">
        <f>+GETPIVOTDATA("XXB4",'xabang (2016)'!$A$3,"MA_HT","DKV","MA_QH","CQP")</f>
        <v>0</v>
      </c>
      <c r="T53" s="35">
        <f>+GETPIVOTDATA("XXB4",'xabang (2016)'!$A$3,"MA_HT","DKV","MA_QH","CAN")</f>
        <v>0</v>
      </c>
      <c r="U53" s="35">
        <f>+GETPIVOTDATA("XXB4",'xabang (2016)'!$A$3,"MA_HT","DKV","MA_QH","SKK")</f>
        <v>0</v>
      </c>
      <c r="V53" s="35">
        <f>+GETPIVOTDATA("XXB4",'xabang (2016)'!$A$3,"MA_HT","DKV","MA_QH","SKT")</f>
        <v>0</v>
      </c>
      <c r="W53" s="35">
        <f>+GETPIVOTDATA("XXB4",'xabang (2016)'!$A$3,"MA_HT","DKV","MA_QH","SKN")</f>
        <v>0</v>
      </c>
      <c r="X53" s="35">
        <f>+GETPIVOTDATA("XXB4",'xabang (2016)'!$A$3,"MA_HT","DKV","MA_QH","TMD")</f>
        <v>0</v>
      </c>
      <c r="Y53" s="35">
        <f>+GETPIVOTDATA("XXB4",'xabang (2016)'!$A$3,"MA_HT","DKV","MA_QH","SKC")</f>
        <v>0</v>
      </c>
      <c r="Z53" s="35">
        <f>+GETPIVOTDATA("XXB4",'xabang (2016)'!$A$3,"MA_HT","DKV","MA_QH","SKS")</f>
        <v>0</v>
      </c>
      <c r="AA53" s="64">
        <f t="shared" si="21"/>
        <v>0</v>
      </c>
      <c r="AB53" s="35">
        <f>+GETPIVOTDATA("XXB4",'xabang (2016)'!$A$3,"MA_HT","DKV","MA_QH","DGT")</f>
        <v>0</v>
      </c>
      <c r="AC53" s="35">
        <f>+GETPIVOTDATA("XXB4",'xabang (2016)'!$A$3,"MA_HT","DKV","MA_QH","DTL")</f>
        <v>0</v>
      </c>
      <c r="AD53" s="35">
        <f>+GETPIVOTDATA("XXB4",'xabang (2016)'!$A$3,"MA_HT","DKV","MA_QH","DNL")</f>
        <v>0</v>
      </c>
      <c r="AE53" s="35">
        <f>+GETPIVOTDATA("XXB4",'xabang (2016)'!$A$3,"MA_HT","DKV","MA_QH","DBV")</f>
        <v>0</v>
      </c>
      <c r="AF53" s="35">
        <f>+GETPIVOTDATA("XXB4",'xabang (2016)'!$A$3,"MA_HT","DKV","MA_QH","DVH")</f>
        <v>0</v>
      </c>
      <c r="AG53" s="35">
        <f>+GETPIVOTDATA("XXB4",'xabang (2016)'!$A$3,"MA_HT","DKV","MA_QH","DYT")</f>
        <v>0</v>
      </c>
      <c r="AH53" s="35">
        <f>+GETPIVOTDATA("XXB4",'xabang (2016)'!$A$3,"MA_HT","DKV","MA_QH","DGD")</f>
        <v>0</v>
      </c>
      <c r="AI53" s="35">
        <f>+GETPIVOTDATA("XXB4",'xabang (2016)'!$A$3,"MA_HT","DKV","MA_QH","DTT")</f>
        <v>0</v>
      </c>
      <c r="AJ53" s="35">
        <f>+GETPIVOTDATA("XXB4",'xabang (2016)'!$A$3,"MA_HT","DKV","MA_QH","NCK")</f>
        <v>0</v>
      </c>
      <c r="AK53" s="35">
        <f>+GETPIVOTDATA("XXB4",'xabang (2016)'!$A$3,"MA_HT","DKV","MA_QH","DXH")</f>
        <v>0</v>
      </c>
      <c r="AL53" s="35">
        <f>+GETPIVOTDATA("XXB4",'xabang (2016)'!$A$3,"MA_HT","DKV","MA_QH","DCH")</f>
        <v>0</v>
      </c>
      <c r="AM53" s="35">
        <f>+GETPIVOTDATA("XXB4",'xabang (2016)'!$A$3,"MA_HT","DKV","MA_QH","DKG")</f>
        <v>0</v>
      </c>
      <c r="AN53" s="35">
        <f>+GETPIVOTDATA("XXB4",'xabang (2016)'!$A$3,"MA_HT","DKV","MA_QH","DDT")</f>
        <v>0</v>
      </c>
      <c r="AO53" s="35">
        <f>+GETPIVOTDATA("XXB4",'xabang (2016)'!$A$3,"MA_HT","DKV","MA_QH","DDL")</f>
        <v>0</v>
      </c>
      <c r="AP53" s="35">
        <f>+GETPIVOTDATA("XXB4",'xabang (2016)'!$A$3,"MA_HT","DKV","MA_QH","DRA")</f>
        <v>0</v>
      </c>
      <c r="AQ53" s="35">
        <f>+GETPIVOTDATA("XXB4",'xabang (2016)'!$A$3,"MA_HT","DKV","MA_QH","ONT")</f>
        <v>0</v>
      </c>
      <c r="AR53" s="35">
        <f>+GETPIVOTDATA("XXB4",'xabang (2016)'!$A$3,"MA_HT","DKV","MA_QH","ODT")</f>
        <v>0</v>
      </c>
      <c r="AS53" s="35">
        <f>+GETPIVOTDATA("XXB4",'xabang (2016)'!$A$3,"MA_HT","DKV","MA_QH","TSC")</f>
        <v>0</v>
      </c>
      <c r="AT53" s="35">
        <f>+GETPIVOTDATA("XXB4",'xabang (2016)'!$A$3,"MA_HT","DKV","MA_QH","DTS")</f>
        <v>0</v>
      </c>
      <c r="AU53" s="35">
        <f>+GETPIVOTDATA("XXB4",'xabang (2016)'!$A$3,"MA_HT","DKV","MA_QH","DNG")</f>
        <v>0</v>
      </c>
      <c r="AV53" s="35">
        <f>+GETPIVOTDATA("XXB4",'xabang (2016)'!$A$3,"MA_HT","DKV","MA_QH","TON")</f>
        <v>0</v>
      </c>
      <c r="AW53" s="35">
        <f>+GETPIVOTDATA("XXB4",'xabang (2016)'!$A$3,"MA_HT","DKV","MA_QH","NTD")</f>
        <v>0</v>
      </c>
      <c r="AX53" s="35">
        <f>+GETPIVOTDATA("XXB4",'xabang (2016)'!$A$3,"MA_HT","DKV","MA_QH","SKX")</f>
        <v>0</v>
      </c>
      <c r="AY53" s="35">
        <f>+GETPIVOTDATA("XXB4",'xabang (2016)'!$A$3,"MA_HT","DKV","MA_QH","DSH")</f>
        <v>0</v>
      </c>
      <c r="AZ53" s="99" t="e">
        <f>$D53-$BF53</f>
        <v>#REF!</v>
      </c>
      <c r="BA53" s="140">
        <f>+GETPIVOTDATA("XXB4",'xabang (2016)'!$A$3,"MA_HT","DKV","MA_QH","TIN")</f>
        <v>0</v>
      </c>
      <c r="BB53" s="74">
        <f>+GETPIVOTDATA("XXB4",'xabang (2016)'!$A$3,"MA_HT","DKV","MA_QH","SON")</f>
        <v>0</v>
      </c>
      <c r="BC53" s="74">
        <f>+GETPIVOTDATA("XXB4",'xabang (2016)'!$A$3,"MA_HT","DKV","MA_QH","MNC")</f>
        <v>0</v>
      </c>
      <c r="BD53" s="35">
        <f>+GETPIVOTDATA("XXB4",'xabang (2016)'!$A$3,"MA_HT","DKV","MA_QH","PNK")</f>
        <v>0</v>
      </c>
      <c r="BE53" s="58">
        <f>+GETPIVOTDATA("XXB4",'xabang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+GETPIVOTDATA("XXB4",'xabang (2016)'!$A$3,"MA_HT","TIN","MA_QH","LUC")</f>
        <v>0</v>
      </c>
      <c r="H54" s="35">
        <f>+GETPIVOTDATA("XXB4",'xabang (2016)'!$A$3,"MA_HT","TIN","MA_QH","LUK")</f>
        <v>0</v>
      </c>
      <c r="I54" s="35">
        <f>+GETPIVOTDATA("XXB4",'xabang (2016)'!$A$3,"MA_HT","TIN","MA_QH","LUN")</f>
        <v>0</v>
      </c>
      <c r="J54" s="35">
        <f>+GETPIVOTDATA("XXB4",'xabang (2016)'!$A$3,"MA_HT","TIN","MA_QH","HNK")</f>
        <v>0</v>
      </c>
      <c r="K54" s="35">
        <f>+GETPIVOTDATA("XXB4",'xabang (2016)'!$A$3,"MA_HT","TIN","MA_QH","CLN")</f>
        <v>0</v>
      </c>
      <c r="L54" s="35">
        <f>+GETPIVOTDATA("XXB4",'xabang (2016)'!$A$3,"MA_HT","TIN","MA_QH","RSX")</f>
        <v>0</v>
      </c>
      <c r="M54" s="35">
        <f>+GETPIVOTDATA("XXB4",'xabang (2016)'!$A$3,"MA_HT","TIN","MA_QH","RPH")</f>
        <v>0</v>
      </c>
      <c r="N54" s="35">
        <f>+GETPIVOTDATA("XXB4",'xabang (2016)'!$A$3,"MA_HT","TIN","MA_QH","RDD")</f>
        <v>0</v>
      </c>
      <c r="O54" s="35">
        <f>+GETPIVOTDATA("XXB4",'xabang (2016)'!$A$3,"MA_HT","TIN","MA_QH","NTS")</f>
        <v>0</v>
      </c>
      <c r="P54" s="35">
        <f>+GETPIVOTDATA("XXB4",'xabang (2016)'!$A$3,"MA_HT","TIN","MA_QH","LMU")</f>
        <v>0</v>
      </c>
      <c r="Q54" s="35">
        <f>+GETPIVOTDATA("XXB4",'xabang (2016)'!$A$3,"MA_HT","TIN","MA_QH","NKH")</f>
        <v>0</v>
      </c>
      <c r="R54" s="106">
        <f>SUM(S54:AA54,AN54:AZ54,BB54:BD54)</f>
        <v>0</v>
      </c>
      <c r="S54" s="35">
        <f>+GETPIVOTDATA("XXB4",'xabang (2016)'!$A$3,"MA_HT","TIN","MA_QH","CQP")</f>
        <v>0</v>
      </c>
      <c r="T54" s="35">
        <f>+GETPIVOTDATA("XXB4",'xabang (2016)'!$A$3,"MA_HT","TIN","MA_QH","CAN")</f>
        <v>0</v>
      </c>
      <c r="U54" s="35">
        <f>+GETPIVOTDATA("XXB4",'xabang (2016)'!$A$3,"MA_HT","TIN","MA_QH","SKK")</f>
        <v>0</v>
      </c>
      <c r="V54" s="35">
        <f>+GETPIVOTDATA("XXB4",'xabang (2016)'!$A$3,"MA_HT","TIN","MA_QH","SKT")</f>
        <v>0</v>
      </c>
      <c r="W54" s="35">
        <f>+GETPIVOTDATA("XXB4",'xabang (2016)'!$A$3,"MA_HT","TIN","MA_QH","SKN")</f>
        <v>0</v>
      </c>
      <c r="X54" s="35">
        <f>+GETPIVOTDATA("XXB4",'xabang (2016)'!$A$3,"MA_HT","TIN","MA_QH","TMD")</f>
        <v>0</v>
      </c>
      <c r="Y54" s="35">
        <f>+GETPIVOTDATA("XXB4",'xabang (2016)'!$A$3,"MA_HT","TIN","MA_QH","SKC")</f>
        <v>0</v>
      </c>
      <c r="Z54" s="35">
        <f>+GETPIVOTDATA("XXB4",'xabang (2016)'!$A$3,"MA_HT","TIN","MA_QH","SKS")</f>
        <v>0</v>
      </c>
      <c r="AA54" s="64">
        <f t="shared" si="21"/>
        <v>0</v>
      </c>
      <c r="AB54" s="35">
        <f>+GETPIVOTDATA("XXB4",'xabang (2016)'!$A$3,"MA_HT","TIN","MA_QH","DGT")</f>
        <v>0</v>
      </c>
      <c r="AC54" s="35">
        <f>+GETPIVOTDATA("XXB4",'xabang (2016)'!$A$3,"MA_HT","TIN","MA_QH","DTL")</f>
        <v>0</v>
      </c>
      <c r="AD54" s="35">
        <f>+GETPIVOTDATA("XXB4",'xabang (2016)'!$A$3,"MA_HT","TIN","MA_QH","DNL")</f>
        <v>0</v>
      </c>
      <c r="AE54" s="35">
        <f>+GETPIVOTDATA("XXB4",'xabang (2016)'!$A$3,"MA_HT","TIN","MA_QH","DBV")</f>
        <v>0</v>
      </c>
      <c r="AF54" s="35">
        <f>+GETPIVOTDATA("XXB4",'xabang (2016)'!$A$3,"MA_HT","TIN","MA_QH","DVH")</f>
        <v>0</v>
      </c>
      <c r="AG54" s="35">
        <f>+GETPIVOTDATA("XXB4",'xabang (2016)'!$A$3,"MA_HT","TIN","MA_QH","DYT")</f>
        <v>0</v>
      </c>
      <c r="AH54" s="35">
        <f>+GETPIVOTDATA("XXB4",'xabang (2016)'!$A$3,"MA_HT","TIN","MA_QH","DGD")</f>
        <v>0</v>
      </c>
      <c r="AI54" s="35">
        <f>+GETPIVOTDATA("XXB4",'xabang (2016)'!$A$3,"MA_HT","TIN","MA_QH","DTT")</f>
        <v>0</v>
      </c>
      <c r="AJ54" s="35">
        <f>+GETPIVOTDATA("XXB4",'xabang (2016)'!$A$3,"MA_HT","TIN","MA_QH","NCK")</f>
        <v>0</v>
      </c>
      <c r="AK54" s="35">
        <f>+GETPIVOTDATA("XXB4",'xabang (2016)'!$A$3,"MA_HT","TIN","MA_QH","DXH")</f>
        <v>0</v>
      </c>
      <c r="AL54" s="35">
        <f>+GETPIVOTDATA("XXB4",'xabang (2016)'!$A$3,"MA_HT","TIN","MA_QH","DCH")</f>
        <v>0</v>
      </c>
      <c r="AM54" s="35">
        <f>+GETPIVOTDATA("XXB4",'xabang (2016)'!$A$3,"MA_HT","TIN","MA_QH","DKG")</f>
        <v>0</v>
      </c>
      <c r="AN54" s="35">
        <f>+GETPIVOTDATA("XXB4",'xabang (2016)'!$A$3,"MA_HT","TIN","MA_QH","DDT")</f>
        <v>0</v>
      </c>
      <c r="AO54" s="35">
        <f>+GETPIVOTDATA("XXB4",'xabang (2016)'!$A$3,"MA_HT","TIN","MA_QH","DDL")</f>
        <v>0</v>
      </c>
      <c r="AP54" s="35">
        <f>+GETPIVOTDATA("XXB4",'xabang (2016)'!$A$3,"MA_HT","TIN","MA_QH","DRA")</f>
        <v>0</v>
      </c>
      <c r="AQ54" s="35">
        <f>+GETPIVOTDATA("XXB4",'xabang (2016)'!$A$3,"MA_HT","TIN","MA_QH","ONT")</f>
        <v>0</v>
      </c>
      <c r="AR54" s="35">
        <f>+GETPIVOTDATA("XXB4",'xabang (2016)'!$A$3,"MA_HT","TIN","MA_QH","ODT")</f>
        <v>0</v>
      </c>
      <c r="AS54" s="35">
        <f>+GETPIVOTDATA("XXB4",'xabang (2016)'!$A$3,"MA_HT","TIN","MA_QH","TSC")</f>
        <v>0</v>
      </c>
      <c r="AT54" s="35">
        <f>+GETPIVOTDATA("XXB4",'xabang (2016)'!$A$3,"MA_HT","TIN","MA_QH","DTS")</f>
        <v>0</v>
      </c>
      <c r="AU54" s="35">
        <f>+GETPIVOTDATA("XXB4",'xabang (2016)'!$A$3,"MA_HT","TIN","MA_QH","DNG")</f>
        <v>0</v>
      </c>
      <c r="AV54" s="35">
        <f>+GETPIVOTDATA("XXB4",'xabang (2016)'!$A$3,"MA_HT","TIN","MA_QH","TON")</f>
        <v>0</v>
      </c>
      <c r="AW54" s="35">
        <f>+GETPIVOTDATA("XXB4",'xabang (2016)'!$A$3,"MA_HT","TIN","MA_QH","NTD")</f>
        <v>0</v>
      </c>
      <c r="AX54" s="35">
        <f>+GETPIVOTDATA("XXB4",'xabang (2016)'!$A$3,"MA_HT","TIN","MA_QH","SKX")</f>
        <v>0</v>
      </c>
      <c r="AY54" s="35">
        <f>+GETPIVOTDATA("XXB4",'xabang (2016)'!$A$3,"MA_HT","TIN","MA_QH","DSH")</f>
        <v>0</v>
      </c>
      <c r="AZ54" s="35">
        <f>+GETPIVOTDATA("XXB4",'xabang (2016)'!$A$3,"MA_HT","TIN","MA_QH","DKV")</f>
        <v>0</v>
      </c>
      <c r="BA54" s="99" t="e">
        <f>$D54-$BF54</f>
        <v>#REF!</v>
      </c>
      <c r="BB54" s="35">
        <f>+GETPIVOTDATA("XXB4",'xabang (2016)'!$A$3,"MA_HT","TIN","MA_QH","SON")</f>
        <v>0</v>
      </c>
      <c r="BC54" s="35">
        <f>+GETPIVOTDATA("XXB4",'xabang (2016)'!$A$3,"MA_HT","TIN","MA_QH","MNC")</f>
        <v>0</v>
      </c>
      <c r="BD54" s="35">
        <f>+GETPIVOTDATA("XXB4",'xabang (2016)'!$A$3,"MA_HT","TIN","MA_QH","PNK")</f>
        <v>0</v>
      </c>
      <c r="BE54" s="58">
        <f>+GETPIVOTDATA("XXB4",'xabang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+GETPIVOTDATA("XXB4",'xabang (2016)'!$A$3,"MA_HT","SON","MA_QH","LUC")</f>
        <v>0</v>
      </c>
      <c r="H55" s="35">
        <f>+GETPIVOTDATA("XXB4",'xabang (2016)'!$A$3,"MA_HT","SON","MA_QH","LUK")</f>
        <v>0</v>
      </c>
      <c r="I55" s="35">
        <f>+GETPIVOTDATA("XXB4",'xabang (2016)'!$A$3,"MA_HT","SON","MA_QH","LUN")</f>
        <v>0</v>
      </c>
      <c r="J55" s="35">
        <f>+GETPIVOTDATA("XXB4",'xabang (2016)'!$A$3,"MA_HT","SON","MA_QH","HNK")</f>
        <v>0</v>
      </c>
      <c r="K55" s="35">
        <f>+GETPIVOTDATA("XXB4",'xabang (2016)'!$A$3,"MA_HT","SON","MA_QH","CLN")</f>
        <v>0</v>
      </c>
      <c r="L55" s="35">
        <f>+GETPIVOTDATA("XXB4",'xabang (2016)'!$A$3,"MA_HT","SON","MA_QH","RSX")</f>
        <v>0</v>
      </c>
      <c r="M55" s="35">
        <f>+GETPIVOTDATA("XXB4",'xabang (2016)'!$A$3,"MA_HT","SON","MA_QH","RPH")</f>
        <v>0</v>
      </c>
      <c r="N55" s="35">
        <f>+GETPIVOTDATA("XXB4",'xabang (2016)'!$A$3,"MA_HT","SON","MA_QH","RDD")</f>
        <v>0</v>
      </c>
      <c r="O55" s="35">
        <f>+GETPIVOTDATA("XXB4",'xabang (2016)'!$A$3,"MA_HT","SON","MA_QH","NTS")</f>
        <v>0</v>
      </c>
      <c r="P55" s="35">
        <f>+GETPIVOTDATA("XXB4",'xabang (2016)'!$A$3,"MA_HT","SON","MA_QH","LMU")</f>
        <v>0</v>
      </c>
      <c r="Q55" s="35">
        <f>+GETPIVOTDATA("XXB4",'xabang (2016)'!$A$3,"MA_HT","SON","MA_QH","NKH")</f>
        <v>0</v>
      </c>
      <c r="R55" s="106">
        <f>SUM(S55:AA55,AN55:AZ55,BC55:BD55)</f>
        <v>0</v>
      </c>
      <c r="S55" s="35">
        <f>+GETPIVOTDATA("XXB4",'xabang (2016)'!$A$3,"MA_HT","SON","MA_QH","CQP")</f>
        <v>0</v>
      </c>
      <c r="T55" s="35">
        <f>+GETPIVOTDATA("XXB4",'xabang (2016)'!$A$3,"MA_HT","SON","MA_QH","CAN")</f>
        <v>0</v>
      </c>
      <c r="U55" s="35">
        <f>+GETPIVOTDATA("XXB4",'xabang (2016)'!$A$3,"MA_HT","SON","MA_QH","SKK")</f>
        <v>0</v>
      </c>
      <c r="V55" s="35">
        <f>+GETPIVOTDATA("XXB4",'xabang (2016)'!$A$3,"MA_HT","SON","MA_QH","SKT")</f>
        <v>0</v>
      </c>
      <c r="W55" s="35">
        <f>+GETPIVOTDATA("XXB4",'xabang (2016)'!$A$3,"MA_HT","SON","MA_QH","SKN")</f>
        <v>0</v>
      </c>
      <c r="X55" s="35">
        <f>+GETPIVOTDATA("XXB4",'xabang (2016)'!$A$3,"MA_HT","SON","MA_QH","TMD")</f>
        <v>0</v>
      </c>
      <c r="Y55" s="35">
        <f>+GETPIVOTDATA("XXB4",'xabang (2016)'!$A$3,"MA_HT","SON","MA_QH","SKC")</f>
        <v>0</v>
      </c>
      <c r="Z55" s="35">
        <f>+GETPIVOTDATA("XXB4",'xabang (2016)'!$A$3,"MA_HT","SON","MA_QH","SKS")</f>
        <v>0</v>
      </c>
      <c r="AA55" s="64">
        <f t="shared" si="21"/>
        <v>0</v>
      </c>
      <c r="AB55" s="35">
        <f>+GETPIVOTDATA("XXB4",'xabang (2016)'!$A$3,"MA_HT","SON","MA_QH","DGT")</f>
        <v>0</v>
      </c>
      <c r="AC55" s="35">
        <f>+GETPIVOTDATA("XXB4",'xabang (2016)'!$A$3,"MA_HT","SON","MA_QH","DTL")</f>
        <v>0</v>
      </c>
      <c r="AD55" s="35">
        <f>+GETPIVOTDATA("XXB4",'xabang (2016)'!$A$3,"MA_HT","SON","MA_QH","DNL")</f>
        <v>0</v>
      </c>
      <c r="AE55" s="35">
        <f>+GETPIVOTDATA("XXB4",'xabang (2016)'!$A$3,"MA_HT","SON","MA_QH","DBV")</f>
        <v>0</v>
      </c>
      <c r="AF55" s="35">
        <f>+GETPIVOTDATA("XXB4",'xabang (2016)'!$A$3,"MA_HT","SON","MA_QH","DVH")</f>
        <v>0</v>
      </c>
      <c r="AG55" s="35">
        <f>+GETPIVOTDATA("XXB4",'xabang (2016)'!$A$3,"MA_HT","SON","MA_QH","DYT")</f>
        <v>0</v>
      </c>
      <c r="AH55" s="35">
        <f>+GETPIVOTDATA("XXB4",'xabang (2016)'!$A$3,"MA_HT","SON","MA_QH","DGD")</f>
        <v>0</v>
      </c>
      <c r="AI55" s="35">
        <f>+GETPIVOTDATA("XXB4",'xabang (2016)'!$A$3,"MA_HT","SON","MA_QH","DTT")</f>
        <v>0</v>
      </c>
      <c r="AJ55" s="35">
        <f>+GETPIVOTDATA("XXB4",'xabang (2016)'!$A$3,"MA_HT","SON","MA_QH","NCK")</f>
        <v>0</v>
      </c>
      <c r="AK55" s="35">
        <f>+GETPIVOTDATA("XXB4",'xabang (2016)'!$A$3,"MA_HT","SON","MA_QH","DXH")</f>
        <v>0</v>
      </c>
      <c r="AL55" s="35">
        <f>+GETPIVOTDATA("XXB4",'xabang (2016)'!$A$3,"MA_HT","SON","MA_QH","DCH")</f>
        <v>0</v>
      </c>
      <c r="AM55" s="35">
        <f>+GETPIVOTDATA("XXB4",'xabang (2016)'!$A$3,"MA_HT","SON","MA_QH","DKG")</f>
        <v>0</v>
      </c>
      <c r="AN55" s="35">
        <f>+GETPIVOTDATA("XXB4",'xabang (2016)'!$A$3,"MA_HT","SON","MA_QH","DDT")</f>
        <v>0</v>
      </c>
      <c r="AO55" s="35">
        <f>+GETPIVOTDATA("XXB4",'xabang (2016)'!$A$3,"MA_HT","SON","MA_QH","DDL")</f>
        <v>0</v>
      </c>
      <c r="AP55" s="35">
        <f>+GETPIVOTDATA("XXB4",'xabang (2016)'!$A$3,"MA_HT","SON","MA_QH","DRA")</f>
        <v>0</v>
      </c>
      <c r="AQ55" s="35">
        <f>+GETPIVOTDATA("XXB4",'xabang (2016)'!$A$3,"MA_HT","SON","MA_QH","ONT")</f>
        <v>0</v>
      </c>
      <c r="AR55" s="35">
        <f>+GETPIVOTDATA("XXB4",'xabang (2016)'!$A$3,"MA_HT","SON","MA_QH","ODT")</f>
        <v>0</v>
      </c>
      <c r="AS55" s="35">
        <f>+GETPIVOTDATA("XXB4",'xabang (2016)'!$A$3,"MA_HT","SON","MA_QH","TSC")</f>
        <v>0</v>
      </c>
      <c r="AT55" s="35">
        <f>+GETPIVOTDATA("XXB4",'xabang (2016)'!$A$3,"MA_HT","SON","MA_QH","DTS")</f>
        <v>0</v>
      </c>
      <c r="AU55" s="35">
        <f>+GETPIVOTDATA("XXB4",'xabang (2016)'!$A$3,"MA_HT","SON","MA_QH","DNG")</f>
        <v>0</v>
      </c>
      <c r="AV55" s="35">
        <f>+GETPIVOTDATA("XXB4",'xabang (2016)'!$A$3,"MA_HT","SON","MA_QH","TON")</f>
        <v>0</v>
      </c>
      <c r="AW55" s="35">
        <f>+GETPIVOTDATA("XXB4",'xabang (2016)'!$A$3,"MA_HT","SON","MA_QH","NTD")</f>
        <v>0</v>
      </c>
      <c r="AX55" s="35">
        <f>+GETPIVOTDATA("XXB4",'xabang (2016)'!$A$3,"MA_HT","SON","MA_QH","SKX")</f>
        <v>0</v>
      </c>
      <c r="AY55" s="35">
        <f>+GETPIVOTDATA("XXB4",'xabang (2016)'!$A$3,"MA_HT","SON","MA_QH","DSH")</f>
        <v>0</v>
      </c>
      <c r="AZ55" s="35">
        <f>+GETPIVOTDATA("XXB4",'xabang (2016)'!$A$3,"MA_HT","SON","MA_QH","DKV")</f>
        <v>0</v>
      </c>
      <c r="BA55" s="140">
        <f>+GETPIVOTDATA("XXB4",'xabang (2016)'!$A$3,"MA_HT","SON","MA_QH","TIN")</f>
        <v>0</v>
      </c>
      <c r="BB55" s="99" t="e">
        <f>$D55-$BF55</f>
        <v>#REF!</v>
      </c>
      <c r="BC55" s="74">
        <f>+GETPIVOTDATA("XXB4",'xabang (2016)'!$A$3,"MA_HT","SON","MA_QH","MNC")</f>
        <v>0</v>
      </c>
      <c r="BD55" s="35">
        <f>+GETPIVOTDATA("XXB4",'xabang (2016)'!$A$3,"MA_HT","SON","MA_QH","PNK")</f>
        <v>0</v>
      </c>
      <c r="BE55" s="58">
        <f>+GETPIVOTDATA("XXB4",'xabang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+GETPIVOTDATA("XXB4",'xabang (2016)'!$A$3,"MA_HT","MNC","MA_QH","LUC")</f>
        <v>0</v>
      </c>
      <c r="H56" s="35">
        <f>+GETPIVOTDATA("XXB4",'xabang (2016)'!$A$3,"MA_HT","MNC","MA_QH","LUK")</f>
        <v>0</v>
      </c>
      <c r="I56" s="35">
        <f>+GETPIVOTDATA("XXB4",'xabang (2016)'!$A$3,"MA_HT","MNC","MA_QH","LUN")</f>
        <v>0</v>
      </c>
      <c r="J56" s="35">
        <f>+GETPIVOTDATA("XXB4",'xabang (2016)'!$A$3,"MA_HT","MNC","MA_QH","HNK")</f>
        <v>0</v>
      </c>
      <c r="K56" s="35">
        <f>+GETPIVOTDATA("XXB4",'xabang (2016)'!$A$3,"MA_HT","MNC","MA_QH","CLN")</f>
        <v>0</v>
      </c>
      <c r="L56" s="35">
        <f>+GETPIVOTDATA("XXB4",'xabang (2016)'!$A$3,"MA_HT","MNC","MA_QH","RSX")</f>
        <v>0</v>
      </c>
      <c r="M56" s="35">
        <f>+GETPIVOTDATA("XXB4",'xabang (2016)'!$A$3,"MA_HT","MNC","MA_QH","RPH")</f>
        <v>0</v>
      </c>
      <c r="N56" s="35">
        <f>+GETPIVOTDATA("XXB4",'xabang (2016)'!$A$3,"MA_HT","MNC","MA_QH","RDD")</f>
        <v>0</v>
      </c>
      <c r="O56" s="35">
        <f>+GETPIVOTDATA("XXB4",'xabang (2016)'!$A$3,"MA_HT","MNC","MA_QH","NTS")</f>
        <v>0</v>
      </c>
      <c r="P56" s="35">
        <f>+GETPIVOTDATA("XXB4",'xabang (2016)'!$A$3,"MA_HT","MNC","MA_QH","LMU")</f>
        <v>0</v>
      </c>
      <c r="Q56" s="35">
        <f>+GETPIVOTDATA("XXB4",'xabang (2016)'!$A$3,"MA_HT","MNC","MA_QH","NKH")</f>
        <v>0</v>
      </c>
      <c r="R56" s="106">
        <f>SUM(S56:AA56,AN56:BB56,BD56)</f>
        <v>0</v>
      </c>
      <c r="S56" s="35">
        <f>+GETPIVOTDATA("XXB4",'xabang (2016)'!$A$3,"MA_HT","MNC","MA_QH","CQP")</f>
        <v>0</v>
      </c>
      <c r="T56" s="35">
        <f>+GETPIVOTDATA("XXB4",'xabang (2016)'!$A$3,"MA_HT","MNC","MA_QH","CAN")</f>
        <v>0</v>
      </c>
      <c r="U56" s="35">
        <f>+GETPIVOTDATA("XXB4",'xabang (2016)'!$A$3,"MA_HT","MNC","MA_QH","SKK")</f>
        <v>0</v>
      </c>
      <c r="V56" s="35">
        <f>+GETPIVOTDATA("XXB4",'xabang (2016)'!$A$3,"MA_HT","MNC","MA_QH","SKT")</f>
        <v>0</v>
      </c>
      <c r="W56" s="35">
        <f>+GETPIVOTDATA("XXB4",'xabang (2016)'!$A$3,"MA_HT","MNC","MA_QH","SKN")</f>
        <v>0</v>
      </c>
      <c r="X56" s="35">
        <f>+GETPIVOTDATA("XXB4",'xabang (2016)'!$A$3,"MA_HT","MNC","MA_QH","TMD")</f>
        <v>0</v>
      </c>
      <c r="Y56" s="35">
        <f>+GETPIVOTDATA("XXB4",'xabang (2016)'!$A$3,"MA_HT","MNC","MA_QH","SKC")</f>
        <v>0</v>
      </c>
      <c r="Z56" s="35">
        <f>+GETPIVOTDATA("XXB4",'xabang (2016)'!$A$3,"MA_HT","MNC","MA_QH","SKS")</f>
        <v>0</v>
      </c>
      <c r="AA56" s="64">
        <f t="shared" si="21"/>
        <v>0</v>
      </c>
      <c r="AB56" s="35">
        <f>+GETPIVOTDATA("XXB4",'xabang (2016)'!$A$3,"MA_HT","MNC","MA_QH","DGT")</f>
        <v>0</v>
      </c>
      <c r="AC56" s="35">
        <f>+GETPIVOTDATA("XXB4",'xabang (2016)'!$A$3,"MA_HT","MNC","MA_QH","DTL")</f>
        <v>0</v>
      </c>
      <c r="AD56" s="35">
        <f>+GETPIVOTDATA("XXB4",'xabang (2016)'!$A$3,"MA_HT","MNC","MA_QH","DNL")</f>
        <v>0</v>
      </c>
      <c r="AE56" s="35">
        <f>+GETPIVOTDATA("XXB4",'xabang (2016)'!$A$3,"MA_HT","MNC","MA_QH","DBV")</f>
        <v>0</v>
      </c>
      <c r="AF56" s="35">
        <f>+GETPIVOTDATA("XXB4",'xabang (2016)'!$A$3,"MA_HT","MNC","MA_QH","DVH")</f>
        <v>0</v>
      </c>
      <c r="AG56" s="35">
        <f>+GETPIVOTDATA("XXB4",'xabang (2016)'!$A$3,"MA_HT","MNC","MA_QH","DYT")</f>
        <v>0</v>
      </c>
      <c r="AH56" s="35">
        <f>+GETPIVOTDATA("XXB4",'xabang (2016)'!$A$3,"MA_HT","MNC","MA_QH","DGD")</f>
        <v>0</v>
      </c>
      <c r="AI56" s="35">
        <f>+GETPIVOTDATA("XXB4",'xabang (2016)'!$A$3,"MA_HT","MNC","MA_QH","DTT")</f>
        <v>0</v>
      </c>
      <c r="AJ56" s="35">
        <f>+GETPIVOTDATA("XXB4",'xabang (2016)'!$A$3,"MA_HT","MNC","MA_QH","NCK")</f>
        <v>0</v>
      </c>
      <c r="AK56" s="35">
        <f>+GETPIVOTDATA("XXB4",'xabang (2016)'!$A$3,"MA_HT","MNC","MA_QH","DXH")</f>
        <v>0</v>
      </c>
      <c r="AL56" s="35">
        <f>+GETPIVOTDATA("XXB4",'xabang (2016)'!$A$3,"MA_HT","MNC","MA_QH","DCH")</f>
        <v>0</v>
      </c>
      <c r="AM56" s="35">
        <f>+GETPIVOTDATA("XXB4",'xabang (2016)'!$A$3,"MA_HT","MNC","MA_QH","DKG")</f>
        <v>0</v>
      </c>
      <c r="AN56" s="35">
        <f>+GETPIVOTDATA("XXB4",'xabang (2016)'!$A$3,"MA_HT","MNC","MA_QH","DDT")</f>
        <v>0</v>
      </c>
      <c r="AO56" s="35">
        <f>+GETPIVOTDATA("XXB4",'xabang (2016)'!$A$3,"MA_HT","MNC","MA_QH","DDL")</f>
        <v>0</v>
      </c>
      <c r="AP56" s="35">
        <f>+GETPIVOTDATA("XXB4",'xabang (2016)'!$A$3,"MA_HT","MNC","MA_QH","DRA")</f>
        <v>0</v>
      </c>
      <c r="AQ56" s="35">
        <f>+GETPIVOTDATA("XXB4",'xabang (2016)'!$A$3,"MA_HT","MNC","MA_QH","ONT")</f>
        <v>0</v>
      </c>
      <c r="AR56" s="35">
        <f>+GETPIVOTDATA("XXB4",'xabang (2016)'!$A$3,"MA_HT","MNC","MA_QH","ODT")</f>
        <v>0</v>
      </c>
      <c r="AS56" s="35">
        <f>+GETPIVOTDATA("XXB4",'xabang (2016)'!$A$3,"MA_HT","MNC","MA_QH","TSC")</f>
        <v>0</v>
      </c>
      <c r="AT56" s="35">
        <f>+GETPIVOTDATA("XXB4",'xabang (2016)'!$A$3,"MA_HT","MNC","MA_QH","DTS")</f>
        <v>0</v>
      </c>
      <c r="AU56" s="35">
        <f>+GETPIVOTDATA("XXB4",'xabang (2016)'!$A$3,"MA_HT","MNC","MA_QH","DNG")</f>
        <v>0</v>
      </c>
      <c r="AV56" s="35">
        <f>+GETPIVOTDATA("XXB4",'xabang (2016)'!$A$3,"MA_HT","MNC","MA_QH","TON")</f>
        <v>0</v>
      </c>
      <c r="AW56" s="35">
        <f>+GETPIVOTDATA("XXB4",'xabang (2016)'!$A$3,"MA_HT","MNC","MA_QH","NTD")</f>
        <v>0</v>
      </c>
      <c r="AX56" s="35">
        <f>+GETPIVOTDATA("XXB4",'xabang (2016)'!$A$3,"MA_HT","MNC","MA_QH","SKX")</f>
        <v>0</v>
      </c>
      <c r="AY56" s="35">
        <f>+GETPIVOTDATA("XXB4",'xabang (2016)'!$A$3,"MA_HT","MNC","MA_QH","DSH")</f>
        <v>0</v>
      </c>
      <c r="AZ56" s="35">
        <f>+GETPIVOTDATA("XXB4",'xabang (2016)'!$A$3,"MA_HT","MNC","MA_QH","DKV")</f>
        <v>0</v>
      </c>
      <c r="BA56" s="140">
        <f>+GETPIVOTDATA("XXB4",'xabang (2016)'!$A$3,"MA_HT","MNC","MA_QH","TIN")</f>
        <v>0</v>
      </c>
      <c r="BB56" s="74">
        <f>+GETPIVOTDATA("XXB4",'xabang (2016)'!$A$3,"MA_HT","MNC","MA_QH","SON")</f>
        <v>0</v>
      </c>
      <c r="BC56" s="99" t="e">
        <f>$D56-$BF56</f>
        <v>#REF!</v>
      </c>
      <c r="BD56" s="35">
        <f>+GETPIVOTDATA("XXB4",'xabang (2016)'!$A$3,"MA_HT","MNC","MA_QH","PNK")</f>
        <v>0</v>
      </c>
      <c r="BE56" s="58">
        <f>+GETPIVOTDATA("XXB4",'xabang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+GETPIVOTDATA("XXB4",'xabang (2016)'!$A$3,"MA_HT","PNK","MA_QH","LUC")</f>
        <v>0</v>
      </c>
      <c r="H57" s="35">
        <f>+GETPIVOTDATA("XXB4",'xabang (2016)'!$A$3,"MA_HT","PNK","MA_QH","LUK")</f>
        <v>0</v>
      </c>
      <c r="I57" s="35">
        <f>+GETPIVOTDATA("XXB4",'xabang (2016)'!$A$3,"MA_HT","PNK","MA_QH","LUN")</f>
        <v>0</v>
      </c>
      <c r="J57" s="35">
        <f>+GETPIVOTDATA("XXB4",'xabang (2016)'!$A$3,"MA_HT","PNK","MA_QH","HNK")</f>
        <v>0</v>
      </c>
      <c r="K57" s="35">
        <f>+GETPIVOTDATA("XXB4",'xabang (2016)'!$A$3,"MA_HT","PNK","MA_QH","CLN")</f>
        <v>0</v>
      </c>
      <c r="L57" s="35">
        <f>+GETPIVOTDATA("XXB4",'xabang (2016)'!$A$3,"MA_HT","PNK","MA_QH","RSX")</f>
        <v>0</v>
      </c>
      <c r="M57" s="35">
        <f>+GETPIVOTDATA("XXB4",'xabang (2016)'!$A$3,"MA_HT","PNK","MA_QH","RPH")</f>
        <v>0</v>
      </c>
      <c r="N57" s="35">
        <f>+GETPIVOTDATA("XXB4",'xabang (2016)'!$A$3,"MA_HT","PNK","MA_QH","RDD")</f>
        <v>0</v>
      </c>
      <c r="O57" s="35">
        <f>+GETPIVOTDATA("XXB4",'xabang (2016)'!$A$3,"MA_HT","PNK","MA_QH","NTS")</f>
        <v>0</v>
      </c>
      <c r="P57" s="35">
        <f>+GETPIVOTDATA("XXB4",'xabang (2016)'!$A$3,"MA_HT","PNK","MA_QH","LMU")</f>
        <v>0</v>
      </c>
      <c r="Q57" s="35">
        <f>+GETPIVOTDATA("XXB4",'xabang (2016)'!$A$3,"MA_HT","PNK","MA_QH","NKH")</f>
        <v>0</v>
      </c>
      <c r="R57" s="106">
        <f>SUM(S57:AA57,AN57:BC57)</f>
        <v>0</v>
      </c>
      <c r="S57" s="35">
        <f>+GETPIVOTDATA("XXB4",'xabang (2016)'!$A$3,"MA_HT","PNK","MA_QH","CQP")</f>
        <v>0</v>
      </c>
      <c r="T57" s="35">
        <f>+GETPIVOTDATA("XXB4",'xabang (2016)'!$A$3,"MA_HT","PNK","MA_QH","CAN")</f>
        <v>0</v>
      </c>
      <c r="U57" s="35">
        <f>+GETPIVOTDATA("XXB4",'xabang (2016)'!$A$3,"MA_HT","PNK","MA_QH","SKK")</f>
        <v>0</v>
      </c>
      <c r="V57" s="35">
        <f>+GETPIVOTDATA("XXB4",'xabang (2016)'!$A$3,"MA_HT","PNK","MA_QH","SKT")</f>
        <v>0</v>
      </c>
      <c r="W57" s="35">
        <f>+GETPIVOTDATA("XXB4",'xabang (2016)'!$A$3,"MA_HT","PNK","MA_QH","SKN")</f>
        <v>0</v>
      </c>
      <c r="X57" s="35">
        <f>+GETPIVOTDATA("XXB4",'xabang (2016)'!$A$3,"MA_HT","PNK","MA_QH","TMD")</f>
        <v>0</v>
      </c>
      <c r="Y57" s="35">
        <f>+GETPIVOTDATA("XXB4",'xabang (2016)'!$A$3,"MA_HT","PNK","MA_QH","SKC")</f>
        <v>0</v>
      </c>
      <c r="Z57" s="35">
        <f>+GETPIVOTDATA("XXB4",'xabang (2016)'!$A$3,"MA_HT","PNK","MA_QH","SKS")</f>
        <v>0</v>
      </c>
      <c r="AA57" s="64">
        <f t="shared" si="21"/>
        <v>0</v>
      </c>
      <c r="AB57" s="35">
        <f>+GETPIVOTDATA("XXB4",'xabang (2016)'!$A$3,"MA_HT","PNK","MA_QH","DGT")</f>
        <v>0</v>
      </c>
      <c r="AC57" s="35">
        <f>+GETPIVOTDATA("XXB4",'xabang (2016)'!$A$3,"MA_HT","PNK","MA_QH","DTL")</f>
        <v>0</v>
      </c>
      <c r="AD57" s="35">
        <f>+GETPIVOTDATA("XXB4",'xabang (2016)'!$A$3,"MA_HT","PNK","MA_QH","DNL")</f>
        <v>0</v>
      </c>
      <c r="AE57" s="35">
        <f>+GETPIVOTDATA("XXB4",'xabang (2016)'!$A$3,"MA_HT","PNK","MA_QH","DBV")</f>
        <v>0</v>
      </c>
      <c r="AF57" s="35">
        <f>+GETPIVOTDATA("XXB4",'xabang (2016)'!$A$3,"MA_HT","PNK","MA_QH","DVH")</f>
        <v>0</v>
      </c>
      <c r="AG57" s="35">
        <f>+GETPIVOTDATA("XXB4",'xabang (2016)'!$A$3,"MA_HT","PNK","MA_QH","DYT")</f>
        <v>0</v>
      </c>
      <c r="AH57" s="35">
        <f>+GETPIVOTDATA("XXB4",'xabang (2016)'!$A$3,"MA_HT","PNK","MA_QH","DGD")</f>
        <v>0</v>
      </c>
      <c r="AI57" s="35">
        <f>+GETPIVOTDATA("XXB4",'xabang (2016)'!$A$3,"MA_HT","PNK","MA_QH","DTT")</f>
        <v>0</v>
      </c>
      <c r="AJ57" s="35">
        <f>+GETPIVOTDATA("XXB4",'xabang (2016)'!$A$3,"MA_HT","PNK","MA_QH","NCK")</f>
        <v>0</v>
      </c>
      <c r="AK57" s="35">
        <f>+GETPIVOTDATA("XXB4",'xabang (2016)'!$A$3,"MA_HT","PNK","MA_QH","DXH")</f>
        <v>0</v>
      </c>
      <c r="AL57" s="35">
        <f>+GETPIVOTDATA("XXB4",'xabang (2016)'!$A$3,"MA_HT","PNK","MA_QH","DCH")</f>
        <v>0</v>
      </c>
      <c r="AM57" s="35">
        <f>+GETPIVOTDATA("XXB4",'xabang (2016)'!$A$3,"MA_HT","PNK","MA_QH","DKG")</f>
        <v>0</v>
      </c>
      <c r="AN57" s="35">
        <f>+GETPIVOTDATA("XXB4",'xabang (2016)'!$A$3,"MA_HT","PNK","MA_QH","DDT")</f>
        <v>0</v>
      </c>
      <c r="AO57" s="35">
        <f>+GETPIVOTDATA("XXB4",'xabang (2016)'!$A$3,"MA_HT","PNK","MA_QH","DDL")</f>
        <v>0</v>
      </c>
      <c r="AP57" s="35">
        <f>+GETPIVOTDATA("XXB4",'xabang (2016)'!$A$3,"MA_HT","PNK","MA_QH","DRA")</f>
        <v>0</v>
      </c>
      <c r="AQ57" s="35">
        <f>+GETPIVOTDATA("XXB4",'xabang (2016)'!$A$3,"MA_HT","PNK","MA_QH","ONT")</f>
        <v>0</v>
      </c>
      <c r="AR57" s="35">
        <f>+GETPIVOTDATA("XXB4",'xabang (2016)'!$A$3,"MA_HT","PNK","MA_QH","ODT")</f>
        <v>0</v>
      </c>
      <c r="AS57" s="35">
        <f>+GETPIVOTDATA("XXB4",'xabang (2016)'!$A$3,"MA_HT","PNK","MA_QH","TSC")</f>
        <v>0</v>
      </c>
      <c r="AT57" s="35">
        <f>+GETPIVOTDATA("XXB4",'xabang (2016)'!$A$3,"MA_HT","PNK","MA_QH","DTS")</f>
        <v>0</v>
      </c>
      <c r="AU57" s="35">
        <f>+GETPIVOTDATA("XXB4",'xabang (2016)'!$A$3,"MA_HT","PNK","MA_QH","DNG")</f>
        <v>0</v>
      </c>
      <c r="AV57" s="35">
        <f>+GETPIVOTDATA("XXB4",'xabang (2016)'!$A$3,"MA_HT","PNK","MA_QH","TON")</f>
        <v>0</v>
      </c>
      <c r="AW57" s="35">
        <f>+GETPIVOTDATA("XXB4",'xabang (2016)'!$A$3,"MA_HT","PNK","MA_QH","NTD")</f>
        <v>0</v>
      </c>
      <c r="AX57" s="35">
        <f>+GETPIVOTDATA("XXB4",'xabang (2016)'!$A$3,"MA_HT","PNK","MA_QH","SKX")</f>
        <v>0</v>
      </c>
      <c r="AY57" s="35">
        <f>+GETPIVOTDATA("XXB4",'xabang (2016)'!$A$3,"MA_HT","PNK","MA_QH","DSH")</f>
        <v>0</v>
      </c>
      <c r="AZ57" s="35">
        <f>+GETPIVOTDATA("XXB4",'xabang (2016)'!$A$3,"MA_HT","PNK","MA_QH","DKV")</f>
        <v>0</v>
      </c>
      <c r="BA57" s="140">
        <f>+GETPIVOTDATA("XXB4",'xabang (2016)'!$A$3,"MA_HT","PNK","MA_QH","TIN")</f>
        <v>0</v>
      </c>
      <c r="BB57" s="74">
        <f>+GETPIVOTDATA("XXB4",'xabang (2016)'!$A$3,"MA_HT","PNK","MA_QH","SON")</f>
        <v>0</v>
      </c>
      <c r="BC57" s="74">
        <f>+GETPIVOTDATA("XXB4",'xabang (2016)'!$A$3,"MA_HT","PNK","MA_QH","MNC")</f>
        <v>0</v>
      </c>
      <c r="BD57" s="99" t="e">
        <f>$D57-$BF57</f>
        <v>#REF!</v>
      </c>
      <c r="BE57" s="58">
        <f>+GETPIVOTDATA("XXB4",'xabang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+GETPIVOTDATA("XXB4",'xabang (2016)'!$A$3,"MA_HT","CSD","MA_QH","LUC")</f>
        <v>0</v>
      </c>
      <c r="H58" s="58">
        <f>+GETPIVOTDATA("XXB4",'xabang (2016)'!$A$3,"MA_HT","CSD","MA_QH","LUK")</f>
        <v>0</v>
      </c>
      <c r="I58" s="58">
        <f>+GETPIVOTDATA("XXB4",'xabang (2016)'!$A$3,"MA_HT","CSD","MA_QH","LUN")</f>
        <v>0</v>
      </c>
      <c r="J58" s="58">
        <f>+GETPIVOTDATA("XXB4",'xabang (2016)'!$A$3,"MA_HT","CSD","MA_QH","HNK")</f>
        <v>0</v>
      </c>
      <c r="K58" s="58">
        <f>+GETPIVOTDATA("XXB4",'xabang (2016)'!$A$3,"MA_HT","CSD","MA_QH","CLN")</f>
        <v>0</v>
      </c>
      <c r="L58" s="58">
        <f>+GETPIVOTDATA("XXB4",'xabang (2016)'!$A$3,"MA_HT","CSD","MA_QH","RSX")</f>
        <v>0</v>
      </c>
      <c r="M58" s="58">
        <f>+GETPIVOTDATA("XXB4",'xabang (2016)'!$A$3,"MA_HT","CSD","MA_QH","RPH")</f>
        <v>0</v>
      </c>
      <c r="N58" s="58">
        <f>+GETPIVOTDATA("XXB4",'xabang (2016)'!$A$3,"MA_HT","CSD","MA_QH","RDD")</f>
        <v>0</v>
      </c>
      <c r="O58" s="58">
        <f>+GETPIVOTDATA("XXB4",'xabang (2016)'!$A$3,"MA_HT","CSD","MA_QH","NTS")</f>
        <v>0</v>
      </c>
      <c r="P58" s="58">
        <f>+GETPIVOTDATA("XXB4",'xabang (2016)'!$A$3,"MA_HT","CSD","MA_QH","LMU")</f>
        <v>0</v>
      </c>
      <c r="Q58" s="58">
        <f>+GETPIVOTDATA("XXB4",'xabang (2016)'!$A$3,"MA_HT","CSD","MA_QH","NKH")</f>
        <v>0</v>
      </c>
      <c r="R58" s="106">
        <f>SUM(S58:AA58,AN58:BD58)</f>
        <v>0</v>
      </c>
      <c r="S58" s="102">
        <f>+GETPIVOTDATA("XXB4",'xabang (2016)'!$A$3,"MA_HT","CSD","MA_QH","CQP")</f>
        <v>0</v>
      </c>
      <c r="T58" s="102">
        <f>+GETPIVOTDATA("XXB4",'xabang (2016)'!$A$3,"MA_HT","CSD","MA_QH","CAN")</f>
        <v>0</v>
      </c>
      <c r="U58" s="58">
        <f>+GETPIVOTDATA("XXB4",'xabang (2016)'!$A$3,"MA_HT","CSD","MA_QH","SKK")</f>
        <v>0</v>
      </c>
      <c r="V58" s="58">
        <f>+GETPIVOTDATA("XXB4",'xabang (2016)'!$A$3,"MA_HT","CSD","MA_QH","SKT")</f>
        <v>0</v>
      </c>
      <c r="W58" s="58">
        <f>+GETPIVOTDATA("XXB4",'xabang (2016)'!$A$3,"MA_HT","CSD","MA_QH","SKN")</f>
        <v>0</v>
      </c>
      <c r="X58" s="58">
        <f>+GETPIVOTDATA("XXB4",'xabang (2016)'!$A$3,"MA_HT","CSD","MA_QH","TMD")</f>
        <v>0</v>
      </c>
      <c r="Y58" s="58">
        <f>+GETPIVOTDATA("XXB4",'xabang (2016)'!$A$3,"MA_HT","CSD","MA_QH","SKC")</f>
        <v>0</v>
      </c>
      <c r="Z58" s="58">
        <f>+GETPIVOTDATA("XXB4",'xabang (2016)'!$A$3,"MA_HT","CSD","MA_QH","SKS")</f>
        <v>0</v>
      </c>
      <c r="AA58" s="64">
        <f t="shared" si="21"/>
        <v>0</v>
      </c>
      <c r="AB58" s="102">
        <f>+GETPIVOTDATA("XXB4",'xabang (2016)'!$A$3,"MA_HT","CSD","MA_QH","DGT")</f>
        <v>0</v>
      </c>
      <c r="AC58" s="102">
        <f>+GETPIVOTDATA("XXB4",'xabang (2016)'!$A$3,"MA_HT","CSD","MA_QH","DTL")</f>
        <v>0</v>
      </c>
      <c r="AD58" s="102">
        <f>+GETPIVOTDATA("XXB4",'xabang (2016)'!$A$3,"MA_HT","CSD","MA_QH","DNL")</f>
        <v>0</v>
      </c>
      <c r="AE58" s="102">
        <f>+GETPIVOTDATA("XXB4",'xabang (2016)'!$A$3,"MA_HT","CSD","MA_QH","DBV")</f>
        <v>0</v>
      </c>
      <c r="AF58" s="102">
        <f>+GETPIVOTDATA("XXB4",'xabang (2016)'!$A$3,"MA_HT","CSD","MA_QH","DVH")</f>
        <v>0</v>
      </c>
      <c r="AG58" s="102">
        <f>+GETPIVOTDATA("XXB4",'xabang (2016)'!$A$3,"MA_HT","CSD","MA_QH","DYT")</f>
        <v>0</v>
      </c>
      <c r="AH58" s="102">
        <f>+GETPIVOTDATA("XXB4",'xabang (2016)'!$A$3,"MA_HT","CSD","MA_QH","DGD")</f>
        <v>0</v>
      </c>
      <c r="AI58" s="102">
        <f>+GETPIVOTDATA("XXB4",'xabang (2016)'!$A$3,"MA_HT","CSD","MA_QH","DTT")</f>
        <v>0</v>
      </c>
      <c r="AJ58" s="102">
        <f>+GETPIVOTDATA("XXB4",'xabang (2016)'!$A$3,"MA_HT","CSD","MA_QH","NCK")</f>
        <v>0</v>
      </c>
      <c r="AK58" s="102">
        <f>+GETPIVOTDATA("XXB4",'xabang (2016)'!$A$3,"MA_HT","CSD","MA_QH","DXH")</f>
        <v>0</v>
      </c>
      <c r="AL58" s="102">
        <f>+GETPIVOTDATA("XXB4",'xabang (2016)'!$A$3,"MA_HT","CSD","MA_QH","DCH")</f>
        <v>0</v>
      </c>
      <c r="AM58" s="102">
        <f>+GETPIVOTDATA("XXB4",'xabang (2016)'!$A$3,"MA_HT","CSD","MA_QH","DKG")</f>
        <v>0</v>
      </c>
      <c r="AN58" s="58">
        <f>+GETPIVOTDATA("XXB4",'xabang (2016)'!$A$3,"MA_HT","CSD","MA_QH","DDT")</f>
        <v>0</v>
      </c>
      <c r="AO58" s="58">
        <f>+GETPIVOTDATA("XXB4",'xabang (2016)'!$A$3,"MA_HT","CSD","MA_QH","DDL")</f>
        <v>0</v>
      </c>
      <c r="AP58" s="58">
        <f>+GETPIVOTDATA("XXB4",'xabang (2016)'!$A$3,"MA_HT","CSD","MA_QH","DRA")</f>
        <v>0</v>
      </c>
      <c r="AQ58" s="58">
        <f>+GETPIVOTDATA("XXB4",'xabang (2016)'!$A$3,"MA_HT","CSD","MA_QH","ONT")</f>
        <v>0</v>
      </c>
      <c r="AR58" s="58">
        <f>+GETPIVOTDATA("XXB4",'xabang (2016)'!$A$3,"MA_HT","CSD","MA_QH","ODT")</f>
        <v>0</v>
      </c>
      <c r="AS58" s="58">
        <f>+GETPIVOTDATA("XXB4",'xabang (2016)'!$A$3,"MA_HT","CSD","MA_QH","TSC")</f>
        <v>0</v>
      </c>
      <c r="AT58" s="58">
        <f>+GETPIVOTDATA("XXB4",'xabang (2016)'!$A$3,"MA_HT","CSD","MA_QH","DTS")</f>
        <v>0</v>
      </c>
      <c r="AU58" s="58">
        <f>+GETPIVOTDATA("XXB4",'xabang (2016)'!$A$3,"MA_HT","CSD","MA_QH","DNG")</f>
        <v>0</v>
      </c>
      <c r="AV58" s="58">
        <f>+GETPIVOTDATA("XXB4",'xabang (2016)'!$A$3,"MA_HT","CSD","MA_QH","TON")</f>
        <v>0</v>
      </c>
      <c r="AW58" s="58">
        <f>+GETPIVOTDATA("XXB4",'xabang (2016)'!$A$3,"MA_HT","CSD","MA_QH","NTD")</f>
        <v>0</v>
      </c>
      <c r="AX58" s="58">
        <f>+GETPIVOTDATA("XXB4",'xabang (2016)'!$A$3,"MA_HT","CSD","MA_QH","SKX")</f>
        <v>0</v>
      </c>
      <c r="AY58" s="58">
        <f>+GETPIVOTDATA("XXB4",'xabang (2016)'!$A$3,"MA_HT","CSD","MA_QH","DSH")</f>
        <v>0</v>
      </c>
      <c r="AZ58" s="58">
        <f>+GETPIVOTDATA("XXB4",'xabang (2016)'!$A$3,"MA_HT","CSD","MA_QH","DKV")</f>
        <v>0</v>
      </c>
      <c r="BA58" s="140">
        <f>+GETPIVOTDATA("XXB4",'xabang (2016)'!$A$3,"MA_HT","CSD","MA_QH","TIN")</f>
        <v>0</v>
      </c>
      <c r="BB58" s="102">
        <f>+GETPIVOTDATA("XXB4",'xabang (2016)'!$A$3,"MA_HT","CSD","MA_QH","SON")</f>
        <v>0</v>
      </c>
      <c r="BC58" s="102">
        <f>+GETPIVOTDATA("XXB4",'xabang (2016)'!$A$3,"MA_HT","CSD","MA_QH","MNC")</f>
        <v>0</v>
      </c>
      <c r="BD58" s="58">
        <f>+GETPIVOTDATA("XXB4",'xabang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4">
    <tabColor rgb="FFFF0000"/>
  </sheetPr>
  <dimension ref="A1:IL61"/>
  <sheetViews>
    <sheetView workbookViewId="0"/>
  </sheetViews>
  <sheetFormatPr defaultColWidth="9" defaultRowHeight="15"/>
  <cols>
    <col min="1" max="1" width="6.3984375" style="23" customWidth="1"/>
    <col min="2" max="2" width="29.09765625" style="23" customWidth="1"/>
    <col min="3" max="3" width="6" style="23" customWidth="1"/>
    <col min="4" max="4" width="9.69921875" style="27" bestFit="1" customWidth="1"/>
    <col min="5" max="5" width="9.3984375" style="31" customWidth="1"/>
    <col min="6" max="6" width="7" style="27" customWidth="1"/>
    <col min="7" max="7" width="7.69921875" style="27" customWidth="1"/>
    <col min="8" max="8" width="7" style="27" customWidth="1"/>
    <col min="9" max="9" width="6.8984375" style="27" customWidth="1"/>
    <col min="10" max="10" width="7.59765625" style="27" customWidth="1"/>
    <col min="11" max="11" width="9.09765625" style="27" customWidth="1"/>
    <col min="12" max="12" width="8.19921875" style="27" customWidth="1"/>
    <col min="13" max="13" width="6" style="27" bestFit="1" customWidth="1"/>
    <col min="14" max="14" width="6.19921875" style="27" customWidth="1"/>
    <col min="15" max="15" width="5.8984375" style="27" customWidth="1"/>
    <col min="16" max="16" width="5.69921875" style="27" customWidth="1"/>
    <col min="17" max="17" width="6.19921875" style="27" bestFit="1" customWidth="1"/>
    <col min="18" max="18" width="8.69921875" style="96" bestFit="1" customWidth="1"/>
    <col min="19" max="19" width="7.09765625" style="27" customWidth="1"/>
    <col min="20" max="20" width="7.69921875" style="27" customWidth="1"/>
    <col min="21" max="23" width="6.09765625" style="27" customWidth="1"/>
    <col min="24" max="24" width="7.09765625" style="27" customWidth="1"/>
    <col min="25" max="25" width="7.69921875" style="27" customWidth="1"/>
    <col min="26" max="26" width="6.8984375" style="27" customWidth="1"/>
    <col min="27" max="27" width="7.3984375" style="27" customWidth="1"/>
    <col min="28" max="28" width="9" style="27"/>
    <col min="29" max="29" width="7.19921875" style="27" customWidth="1"/>
    <col min="30" max="30" width="7" style="27" customWidth="1"/>
    <col min="31" max="31" width="6.09765625" style="27" customWidth="1"/>
    <col min="32" max="33" width="6.59765625" style="27" customWidth="1"/>
    <col min="34" max="34" width="6.09765625" style="27" customWidth="1"/>
    <col min="35" max="35" width="8.5" style="27" bestFit="1" customWidth="1"/>
    <col min="36" max="36" width="8.8984375" style="27" bestFit="1" customWidth="1"/>
    <col min="37" max="37" width="8.69921875" style="27" bestFit="1" customWidth="1"/>
    <col min="38" max="39" width="6.59765625" style="27" customWidth="1"/>
    <col min="40" max="41" width="6.8984375" style="27" customWidth="1"/>
    <col min="42" max="42" width="6.69921875" style="27" bestFit="1" customWidth="1"/>
    <col min="43" max="43" width="6.3984375" style="27" customWidth="1"/>
    <col min="44" max="44" width="6.09765625" style="27" customWidth="1"/>
    <col min="45" max="46" width="5.69921875" style="27" customWidth="1"/>
    <col min="47" max="47" width="6.5" style="27" customWidth="1"/>
    <col min="48" max="49" width="5.59765625" style="27" customWidth="1"/>
    <col min="50" max="51" width="6.09765625" style="27" customWidth="1"/>
    <col min="52" max="52" width="7.59765625" style="27" customWidth="1"/>
    <col min="53" max="53" width="9.3984375" style="92" customWidth="1"/>
    <col min="54" max="54" width="6.59765625" style="97" customWidth="1"/>
    <col min="55" max="55" width="6.19921875" style="97" customWidth="1"/>
    <col min="56" max="56" width="7.09765625" style="27" customWidth="1"/>
    <col min="57" max="57" width="6.19921875" style="31" customWidth="1"/>
    <col min="58" max="58" width="7.19921875" style="92" customWidth="1"/>
    <col min="59" max="59" width="8.19921875" style="92" customWidth="1"/>
    <col min="60" max="60" width="10.09765625" style="92" customWidth="1"/>
    <col min="61" max="61" width="5.09765625" style="23" customWidth="1"/>
    <col min="62" max="62" width="8.3984375" style="23" hidden="1" customWidth="1"/>
    <col min="63" max="63" width="9" style="23" hidden="1" customWidth="1"/>
    <col min="64" max="64" width="4.8984375" style="23" customWidth="1"/>
    <col min="65" max="65" width="6.19921875" style="23" customWidth="1"/>
    <col min="66" max="66" width="5" style="23" customWidth="1"/>
    <col min="67" max="67" width="4.19921875" style="23" customWidth="1"/>
    <col min="68" max="68" width="5.3984375" style="23" customWidth="1"/>
    <col min="69" max="69" width="5.09765625" style="23" customWidth="1"/>
    <col min="70" max="70" width="4.59765625" style="23" customWidth="1"/>
    <col min="71" max="71" width="5.59765625" style="23" customWidth="1"/>
    <col min="72" max="72" width="5.8984375" style="23" customWidth="1"/>
    <col min="73" max="73" width="5" style="23" customWidth="1"/>
    <col min="74" max="74" width="3.8984375" style="23" customWidth="1"/>
    <col min="75" max="75" width="4.59765625" style="23" customWidth="1"/>
    <col min="76" max="76" width="5.5" style="23" customWidth="1"/>
    <col min="77" max="77" width="7.59765625" style="95" customWidth="1"/>
    <col min="78" max="79" width="8.3984375" style="95" customWidth="1"/>
    <col min="80" max="80" width="7.5" style="23" customWidth="1"/>
    <col min="81" max="16384" width="9" style="23"/>
  </cols>
  <sheetData>
    <row r="1" spans="1:82" ht="21" customHeight="1">
      <c r="A1" s="135" t="s">
        <v>258</v>
      </c>
      <c r="B1" s="136"/>
      <c r="C1" s="137" t="e">
        <f>+"CHU CHUYỂN ĐẤT ĐAI TRONG KẾ HOẠCH SỬ DỤNG ĐẤT NĂM 2015 CỦA "&amp;#REF!</f>
        <v>#REF!</v>
      </c>
      <c r="D1" s="138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5"/>
      <c r="BC1" s="25"/>
      <c r="BD1" s="24"/>
      <c r="BE1" s="24"/>
      <c r="BF1" s="24"/>
      <c r="BG1" s="24"/>
      <c r="BH1" s="24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3"/>
      <c r="BZ1" s="23"/>
      <c r="CA1" s="23"/>
      <c r="CB1" s="27"/>
      <c r="CC1" s="27"/>
      <c r="CD1" s="27"/>
    </row>
    <row r="2" spans="1:82" s="29" customFormat="1" ht="7.5" customHeight="1">
      <c r="A2" s="28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1"/>
      <c r="BA2" s="30"/>
      <c r="BB2" s="32"/>
      <c r="BC2" s="32"/>
      <c r="BD2" s="30"/>
      <c r="BE2" s="30"/>
      <c r="BF2" s="30"/>
      <c r="BG2" s="30"/>
      <c r="BH2" s="33" t="s">
        <v>167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CB2" s="31"/>
      <c r="CC2" s="31"/>
      <c r="CD2" s="31"/>
    </row>
    <row r="3" spans="1:82" s="41" customFormat="1" ht="15.75" customHeight="1">
      <c r="A3" s="612" t="s">
        <v>0</v>
      </c>
      <c r="B3" s="612" t="s">
        <v>214</v>
      </c>
      <c r="C3" s="612" t="s">
        <v>215</v>
      </c>
      <c r="D3" s="35"/>
      <c r="E3" s="36" t="s">
        <v>216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9"/>
      <c r="BC3" s="39"/>
      <c r="BD3" s="37"/>
      <c r="BE3" s="40"/>
      <c r="BF3" s="35"/>
      <c r="BG3" s="35"/>
      <c r="BH3" s="3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</row>
    <row r="4" spans="1:82" s="41" customFormat="1" ht="31.5" customHeight="1">
      <c r="A4" s="613"/>
      <c r="B4" s="613"/>
      <c r="C4" s="613"/>
      <c r="D4" s="42" t="s">
        <v>217</v>
      </c>
      <c r="E4" s="43" t="s">
        <v>22</v>
      </c>
      <c r="F4" s="44" t="s">
        <v>25</v>
      </c>
      <c r="G4" s="45" t="s">
        <v>27</v>
      </c>
      <c r="H4" s="45" t="s">
        <v>29</v>
      </c>
      <c r="I4" s="45" t="s">
        <v>31</v>
      </c>
      <c r="J4" s="44" t="s">
        <v>34</v>
      </c>
      <c r="K4" s="44" t="s">
        <v>37</v>
      </c>
      <c r="L4" s="44" t="s">
        <v>39</v>
      </c>
      <c r="M4" s="44" t="s">
        <v>42</v>
      </c>
      <c r="N4" s="44" t="s">
        <v>45</v>
      </c>
      <c r="O4" s="46" t="s">
        <v>48</v>
      </c>
      <c r="P4" s="44" t="s">
        <v>51</v>
      </c>
      <c r="Q4" s="44" t="s">
        <v>54</v>
      </c>
      <c r="R4" s="57" t="s">
        <v>56</v>
      </c>
      <c r="S4" s="61" t="s">
        <v>72</v>
      </c>
      <c r="T4" s="61" t="s">
        <v>75</v>
      </c>
      <c r="U4" s="61" t="s">
        <v>78</v>
      </c>
      <c r="V4" s="61" t="s">
        <v>81</v>
      </c>
      <c r="W4" s="61" t="s">
        <v>84</v>
      </c>
      <c r="X4" s="61" t="s">
        <v>87</v>
      </c>
      <c r="Y4" s="61" t="s">
        <v>90</v>
      </c>
      <c r="Z4" s="61" t="s">
        <v>95</v>
      </c>
      <c r="AA4" s="61" t="s">
        <v>118</v>
      </c>
      <c r="AB4" s="70" t="s">
        <v>120</v>
      </c>
      <c r="AC4" s="70" t="s">
        <v>122</v>
      </c>
      <c r="AD4" s="70" t="s">
        <v>124</v>
      </c>
      <c r="AE4" s="70" t="s">
        <v>126</v>
      </c>
      <c r="AF4" s="70" t="s">
        <v>128</v>
      </c>
      <c r="AG4" s="70" t="s">
        <v>130</v>
      </c>
      <c r="AH4" s="70" t="s">
        <v>132</v>
      </c>
      <c r="AI4" s="70" t="s">
        <v>134</v>
      </c>
      <c r="AJ4" s="70" t="s">
        <v>244</v>
      </c>
      <c r="AK4" s="70" t="s">
        <v>138</v>
      </c>
      <c r="AL4" s="70" t="s">
        <v>140</v>
      </c>
      <c r="AM4" s="70" t="s">
        <v>305</v>
      </c>
      <c r="AN4" s="61" t="s">
        <v>97</v>
      </c>
      <c r="AO4" s="61" t="s">
        <v>100</v>
      </c>
      <c r="AP4" s="61" t="s">
        <v>103</v>
      </c>
      <c r="AQ4" s="61" t="s">
        <v>58</v>
      </c>
      <c r="AR4" s="61" t="s">
        <v>60</v>
      </c>
      <c r="AS4" s="61" t="s">
        <v>63</v>
      </c>
      <c r="AT4" s="61" t="s">
        <v>66</v>
      </c>
      <c r="AU4" s="61" t="s">
        <v>69</v>
      </c>
      <c r="AV4" s="61" t="s">
        <v>106</v>
      </c>
      <c r="AW4" s="61" t="s">
        <v>111</v>
      </c>
      <c r="AX4" s="61" t="s">
        <v>92</v>
      </c>
      <c r="AY4" s="61" t="s">
        <v>143</v>
      </c>
      <c r="AZ4" s="61" t="s">
        <v>146</v>
      </c>
      <c r="BA4" s="61" t="s">
        <v>109</v>
      </c>
      <c r="BB4" s="61" t="s">
        <v>116</v>
      </c>
      <c r="BC4" s="61" t="s">
        <v>114</v>
      </c>
      <c r="BD4" s="61" t="s">
        <v>149</v>
      </c>
      <c r="BE4" s="43" t="s">
        <v>152</v>
      </c>
      <c r="BF4" s="47" t="s">
        <v>218</v>
      </c>
      <c r="BG4" s="48" t="s">
        <v>219</v>
      </c>
      <c r="BH4" s="42" t="s">
        <v>217</v>
      </c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</row>
    <row r="5" spans="1:82" s="41" customFormat="1" ht="15.75" customHeight="1">
      <c r="A5" s="49"/>
      <c r="B5" s="49" t="s">
        <v>220</v>
      </c>
      <c r="C5" s="50"/>
      <c r="D5" s="51" t="e">
        <f>+#REF!</f>
        <v>#REF!</v>
      </c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4"/>
      <c r="BC5" s="54"/>
      <c r="BD5" s="53"/>
      <c r="BE5" s="52"/>
      <c r="BF5" s="53"/>
      <c r="BG5" s="53"/>
      <c r="BH5" s="53" t="e">
        <f>BH6+BH19+BH58</f>
        <v>#REF!</v>
      </c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</row>
    <row r="6" spans="1:82" s="59" customFormat="1" ht="15.75" customHeight="1">
      <c r="A6" s="55">
        <v>1</v>
      </c>
      <c r="B6" s="56" t="s">
        <v>21</v>
      </c>
      <c r="C6" s="57" t="s">
        <v>22</v>
      </c>
      <c r="D6" s="52" t="e">
        <f>+#REF!</f>
        <v>#REF!</v>
      </c>
      <c r="E6" s="98" t="e">
        <f>$D6-$BF6</f>
        <v>#REF!</v>
      </c>
      <c r="F6" s="52">
        <f>SUM(F11:F18)</f>
        <v>0</v>
      </c>
      <c r="G6" s="52">
        <f>SUM(G7,G11:G18)</f>
        <v>0</v>
      </c>
      <c r="H6" s="52">
        <f>SUM(H7,H11:H18)</f>
        <v>0</v>
      </c>
      <c r="I6" s="52">
        <f>SUM(I7,I11:I18)</f>
        <v>0</v>
      </c>
      <c r="J6" s="52">
        <f>SUM(J7,J12:J18)</f>
        <v>0</v>
      </c>
      <c r="K6" s="52">
        <f>SUM(K7,K11,K13:K18)</f>
        <v>0</v>
      </c>
      <c r="L6" s="52">
        <f>SUM(L7,L11:L12,L14:L18)</f>
        <v>0</v>
      </c>
      <c r="M6" s="52">
        <f>SUM(M7,M11:M13,M15:M18)</f>
        <v>0</v>
      </c>
      <c r="N6" s="52">
        <f>SUM(N7,N11:N14,N16:N18)</f>
        <v>0</v>
      </c>
      <c r="O6" s="52">
        <f>SUM(O7,O11:O15,O17:O18)</f>
        <v>0</v>
      </c>
      <c r="P6" s="52">
        <f>SUM(P7,P11:P16,P18:P18)</f>
        <v>0</v>
      </c>
      <c r="Q6" s="52">
        <f>SUM(Q7,Q11:Q17)</f>
        <v>0</v>
      </c>
      <c r="R6" s="52">
        <f>SUM(R7,R11:R18)</f>
        <v>0</v>
      </c>
      <c r="S6" s="52">
        <f>SUM(S7,S11:S18)</f>
        <v>0</v>
      </c>
      <c r="T6" s="52">
        <f t="shared" ref="T6:AZ6" si="0">SUM(T7,T11:T18)</f>
        <v>0</v>
      </c>
      <c r="U6" s="52">
        <f t="shared" si="0"/>
        <v>0</v>
      </c>
      <c r="V6" s="52">
        <f t="shared" si="0"/>
        <v>0</v>
      </c>
      <c r="W6" s="52">
        <f t="shared" si="0"/>
        <v>0</v>
      </c>
      <c r="X6" s="52">
        <f t="shared" si="0"/>
        <v>0</v>
      </c>
      <c r="Y6" s="52">
        <f t="shared" si="0"/>
        <v>0</v>
      </c>
      <c r="Z6" s="52">
        <f t="shared" si="0"/>
        <v>0</v>
      </c>
      <c r="AA6" s="52">
        <f t="shared" si="0"/>
        <v>0</v>
      </c>
      <c r="AB6" s="52">
        <f t="shared" si="0"/>
        <v>0</v>
      </c>
      <c r="AC6" s="52">
        <f t="shared" si="0"/>
        <v>0</v>
      </c>
      <c r="AD6" s="52">
        <f t="shared" si="0"/>
        <v>0</v>
      </c>
      <c r="AE6" s="52">
        <f t="shared" si="0"/>
        <v>0</v>
      </c>
      <c r="AF6" s="52">
        <f t="shared" si="0"/>
        <v>0</v>
      </c>
      <c r="AG6" s="52">
        <f t="shared" si="0"/>
        <v>0</v>
      </c>
      <c r="AH6" s="52">
        <f t="shared" si="0"/>
        <v>0</v>
      </c>
      <c r="AI6" s="52">
        <f t="shared" si="0"/>
        <v>0</v>
      </c>
      <c r="AJ6" s="52">
        <f t="shared" si="0"/>
        <v>0</v>
      </c>
      <c r="AK6" s="52">
        <f t="shared" si="0"/>
        <v>0</v>
      </c>
      <c r="AL6" s="52">
        <f t="shared" si="0"/>
        <v>0</v>
      </c>
      <c r="AM6" s="52">
        <f>SUM(AM7,AM11:AM18)</f>
        <v>0</v>
      </c>
      <c r="AN6" s="52">
        <f t="shared" si="0"/>
        <v>0</v>
      </c>
      <c r="AO6" s="52">
        <f t="shared" si="0"/>
        <v>0</v>
      </c>
      <c r="AP6" s="52">
        <f t="shared" si="0"/>
        <v>0</v>
      </c>
      <c r="AQ6" s="52">
        <f t="shared" si="0"/>
        <v>0</v>
      </c>
      <c r="AR6" s="52">
        <f t="shared" si="0"/>
        <v>0</v>
      </c>
      <c r="AS6" s="52">
        <f t="shared" si="0"/>
        <v>0</v>
      </c>
      <c r="AT6" s="52">
        <f t="shared" si="0"/>
        <v>0</v>
      </c>
      <c r="AU6" s="52">
        <f t="shared" si="0"/>
        <v>0</v>
      </c>
      <c r="AV6" s="52">
        <f t="shared" si="0"/>
        <v>0</v>
      </c>
      <c r="AW6" s="52">
        <f t="shared" si="0"/>
        <v>0</v>
      </c>
      <c r="AX6" s="52">
        <f t="shared" si="0"/>
        <v>0</v>
      </c>
      <c r="AY6" s="52">
        <f t="shared" si="0"/>
        <v>0</v>
      </c>
      <c r="AZ6" s="52">
        <f t="shared" si="0"/>
        <v>0</v>
      </c>
      <c r="BA6" s="52">
        <f>SUM(BA7,BA11:BA18)</f>
        <v>0</v>
      </c>
      <c r="BB6" s="52">
        <f>SUM(BB7,BB11:BB18)</f>
        <v>0</v>
      </c>
      <c r="BC6" s="52">
        <f>SUM(BC7,BC11:BC18)</f>
        <v>0</v>
      </c>
      <c r="BD6" s="52">
        <f>SUM(BD7,BD11:BD18)</f>
        <v>0</v>
      </c>
      <c r="BE6" s="52">
        <f>SUM(BE7,BE11:BE18)</f>
        <v>0</v>
      </c>
      <c r="BF6" s="66">
        <f>BE6+R6</f>
        <v>0</v>
      </c>
      <c r="BG6" s="67">
        <f>E$59-$BF6</f>
        <v>0</v>
      </c>
      <c r="BH6" s="52" t="e">
        <f>SUM(BH7,BH11:BH18)</f>
        <v>#REF!</v>
      </c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82" s="41" customFormat="1" ht="15.75" customHeight="1">
      <c r="A7" s="60" t="s">
        <v>23</v>
      </c>
      <c r="B7" s="60" t="s">
        <v>24</v>
      </c>
      <c r="C7" s="61" t="s">
        <v>25</v>
      </c>
      <c r="D7" s="62" t="e">
        <f>+#REF!</f>
        <v>#REF!</v>
      </c>
      <c r="E7" s="63">
        <f>SUM(J7:Q7)</f>
        <v>0</v>
      </c>
      <c r="F7" s="99" t="e">
        <f>$D7-$BF7</f>
        <v>#REF!</v>
      </c>
      <c r="G7" s="73">
        <f>SUM(G9:G10)</f>
        <v>0</v>
      </c>
      <c r="H7" s="73">
        <f>SUM(H8,H10)</f>
        <v>0</v>
      </c>
      <c r="I7" s="73">
        <f>SUM(I8:I9)</f>
        <v>0</v>
      </c>
      <c r="J7" s="73">
        <f>SUM(J8:J10)</f>
        <v>0</v>
      </c>
      <c r="K7" s="73">
        <f t="shared" ref="K7:Q7" si="1">SUM(K8:K10)</f>
        <v>0</v>
      </c>
      <c r="L7" s="73">
        <f t="shared" si="1"/>
        <v>0</v>
      </c>
      <c r="M7" s="73">
        <f>SUM(M8:M10)</f>
        <v>0</v>
      </c>
      <c r="N7" s="73">
        <f>SUM(N8:N10)</f>
        <v>0</v>
      </c>
      <c r="O7" s="73">
        <f t="shared" si="1"/>
        <v>0</v>
      </c>
      <c r="P7" s="73">
        <f t="shared" si="1"/>
        <v>0</v>
      </c>
      <c r="Q7" s="73">
        <f t="shared" si="1"/>
        <v>0</v>
      </c>
      <c r="R7" s="63">
        <f t="shared" ref="R7:R18" si="2">SUM(S7:AA7,AN7:BD7)</f>
        <v>0</v>
      </c>
      <c r="S7" s="64">
        <f t="shared" ref="S7:AY7" si="3">SUM(S8:S10)</f>
        <v>0</v>
      </c>
      <c r="T7" s="64">
        <f t="shared" si="3"/>
        <v>0</v>
      </c>
      <c r="U7" s="64">
        <f t="shared" si="3"/>
        <v>0</v>
      </c>
      <c r="V7" s="64">
        <f t="shared" si="3"/>
        <v>0</v>
      </c>
      <c r="W7" s="64">
        <f t="shared" si="3"/>
        <v>0</v>
      </c>
      <c r="X7" s="64">
        <f t="shared" si="3"/>
        <v>0</v>
      </c>
      <c r="Y7" s="64">
        <f t="shared" si="3"/>
        <v>0</v>
      </c>
      <c r="Z7" s="64">
        <f t="shared" si="3"/>
        <v>0</v>
      </c>
      <c r="AA7" s="64">
        <f t="shared" ref="AA7:AA18" si="4">+SUM(AB7:AM7)</f>
        <v>0</v>
      </c>
      <c r="AB7" s="64">
        <f t="shared" ref="AB7:AL7" si="5">SUM(AB8:AB10)</f>
        <v>0</v>
      </c>
      <c r="AC7" s="64">
        <f t="shared" si="5"/>
        <v>0</v>
      </c>
      <c r="AD7" s="64">
        <f t="shared" si="5"/>
        <v>0</v>
      </c>
      <c r="AE7" s="64">
        <f t="shared" si="5"/>
        <v>0</v>
      </c>
      <c r="AF7" s="64">
        <f t="shared" si="5"/>
        <v>0</v>
      </c>
      <c r="AG7" s="64">
        <f t="shared" si="5"/>
        <v>0</v>
      </c>
      <c r="AH7" s="64">
        <f t="shared" si="5"/>
        <v>0</v>
      </c>
      <c r="AI7" s="64">
        <f t="shared" si="5"/>
        <v>0</v>
      </c>
      <c r="AJ7" s="64">
        <f t="shared" si="5"/>
        <v>0</v>
      </c>
      <c r="AK7" s="64">
        <f t="shared" si="5"/>
        <v>0</v>
      </c>
      <c r="AL7" s="64">
        <f t="shared" si="5"/>
        <v>0</v>
      </c>
      <c r="AM7" s="64">
        <f>SUM(AM8:AM10)</f>
        <v>0</v>
      </c>
      <c r="AN7" s="64">
        <f t="shared" si="3"/>
        <v>0</v>
      </c>
      <c r="AO7" s="64">
        <f t="shared" si="3"/>
        <v>0</v>
      </c>
      <c r="AP7" s="64">
        <f t="shared" si="3"/>
        <v>0</v>
      </c>
      <c r="AQ7" s="64">
        <f t="shared" si="3"/>
        <v>0</v>
      </c>
      <c r="AR7" s="64">
        <f t="shared" si="3"/>
        <v>0</v>
      </c>
      <c r="AS7" s="64">
        <f t="shared" si="3"/>
        <v>0</v>
      </c>
      <c r="AT7" s="64">
        <f t="shared" si="3"/>
        <v>0</v>
      </c>
      <c r="AU7" s="64">
        <f t="shared" si="3"/>
        <v>0</v>
      </c>
      <c r="AV7" s="64">
        <f t="shared" si="3"/>
        <v>0</v>
      </c>
      <c r="AW7" s="64">
        <f t="shared" si="3"/>
        <v>0</v>
      </c>
      <c r="AX7" s="64">
        <f t="shared" si="3"/>
        <v>0</v>
      </c>
      <c r="AY7" s="64">
        <f t="shared" si="3"/>
        <v>0</v>
      </c>
      <c r="AZ7" s="64">
        <f t="shared" ref="AZ7:BE7" si="6">SUM(AZ8:AZ10)</f>
        <v>0</v>
      </c>
      <c r="BA7" s="65">
        <f t="shared" si="6"/>
        <v>0</v>
      </c>
      <c r="BB7" s="64">
        <f t="shared" si="6"/>
        <v>0</v>
      </c>
      <c r="BC7" s="64">
        <f t="shared" si="6"/>
        <v>0</v>
      </c>
      <c r="BD7" s="64">
        <f t="shared" si="6"/>
        <v>0</v>
      </c>
      <c r="BE7" s="64">
        <f t="shared" si="6"/>
        <v>0</v>
      </c>
      <c r="BF7" s="66">
        <f t="shared" ref="BF7:BF18" si="7">BE7+R7+E7</f>
        <v>0</v>
      </c>
      <c r="BG7" s="67">
        <f>F$59-$BF7</f>
        <v>0</v>
      </c>
      <c r="BH7" s="62" t="e">
        <f t="shared" ref="BH7:BH18" si="8">BG7+D7</f>
        <v>#REF!</v>
      </c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</row>
    <row r="8" spans="1:82" s="77" customFormat="1" ht="15.75" customHeight="1">
      <c r="A8" s="68"/>
      <c r="B8" s="69" t="s">
        <v>26</v>
      </c>
      <c r="C8" s="70" t="s">
        <v>27</v>
      </c>
      <c r="D8" s="71" t="e">
        <f>+#REF!</f>
        <v>#REF!</v>
      </c>
      <c r="E8" s="72">
        <f>SUM(F8,J8:Q8)</f>
        <v>0</v>
      </c>
      <c r="F8" s="73">
        <f>SUM(H8:I8)</f>
        <v>0</v>
      </c>
      <c r="G8" s="100" t="e">
        <f>$D8-$BF8</f>
        <v>#REF!</v>
      </c>
      <c r="H8" s="74">
        <f>+GETPIVOTDATA("XXS4",'xuanson (2016)'!$A$3,"MA_HT","LUC","MA_QH","LUK")</f>
        <v>0</v>
      </c>
      <c r="I8" s="74">
        <f>+GETPIVOTDATA("XXS4",'xuanson (2016)'!$A$3,"MA_HT","LUC","MA_QH","LUN")</f>
        <v>0</v>
      </c>
      <c r="J8" s="74">
        <f>+GETPIVOTDATA("XXS4",'xuanson (2016)'!$A$3,"MA_HT","LUC","MA_QH","HNK")</f>
        <v>0</v>
      </c>
      <c r="K8" s="74">
        <f>+GETPIVOTDATA("XXS4",'xuanson (2016)'!$A$3,"MA_HT","LUC","MA_QH","CLN")</f>
        <v>0</v>
      </c>
      <c r="L8" s="74">
        <f>+GETPIVOTDATA("XXS4",'xuanson (2016)'!$A$3,"MA_HT","LUC","MA_QH","RSX")</f>
        <v>0</v>
      </c>
      <c r="M8" s="74">
        <f>+GETPIVOTDATA("XXS4",'xuanson (2016)'!$A$3,"MA_HT","LUC","MA_QH","RPH")</f>
        <v>0</v>
      </c>
      <c r="N8" s="74">
        <f>+GETPIVOTDATA("XXS4",'xuanson (2016)'!$A$3,"MA_HT","LUC","MA_QH","RDD")</f>
        <v>0</v>
      </c>
      <c r="O8" s="74">
        <f>+GETPIVOTDATA("XXS4",'xuanson (2016)'!$A$3,"MA_HT","LUC","MA_QH","NTS")</f>
        <v>0</v>
      </c>
      <c r="P8" s="74">
        <f>+GETPIVOTDATA("XXS4",'xuanson (2016)'!$A$3,"MA_HT","LUC","MA_QH","LMU")</f>
        <v>0</v>
      </c>
      <c r="Q8" s="74">
        <f>+GETPIVOTDATA("XXS4",'xuanson (2016)'!$A$3,"MA_HT","LUC","MA_QH","NKH")</f>
        <v>0</v>
      </c>
      <c r="R8" s="72">
        <f>SUM(S8:AA8,AN8:BD8)</f>
        <v>0</v>
      </c>
      <c r="S8" s="74">
        <f>+GETPIVOTDATA("XXS4",'xuanson (2016)'!$A$3,"MA_HT","LUC","MA_QH","CQP")</f>
        <v>0</v>
      </c>
      <c r="T8" s="74">
        <f>+GETPIVOTDATA("XXS4",'xuanson (2016)'!$A$3,"MA_HT","LUC","MA_QH","CAN")</f>
        <v>0</v>
      </c>
      <c r="U8" s="74">
        <f>+GETPIVOTDATA("XXS4",'xuanson (2016)'!$A$3,"MA_HT","LUC","MA_QH","SKK")</f>
        <v>0</v>
      </c>
      <c r="V8" s="74">
        <f>+GETPIVOTDATA("XXS4",'xuanson (2016)'!$A$3,"MA_HT","LUC","MA_QH","SKT")</f>
        <v>0</v>
      </c>
      <c r="W8" s="74">
        <f>+GETPIVOTDATA("XXS4",'xuanson (2016)'!$A$3,"MA_HT","LUC","MA_QH","SKN")</f>
        <v>0</v>
      </c>
      <c r="X8" s="74">
        <f>+GETPIVOTDATA("XXS4",'xuanson (2016)'!$A$3,"MA_HT","LUC","MA_QH","TMD")</f>
        <v>0</v>
      </c>
      <c r="Y8" s="74">
        <f>+GETPIVOTDATA("XXS4",'xuanson (2016)'!$A$3,"MA_HT","LUC","MA_QH","SKC")</f>
        <v>0</v>
      </c>
      <c r="Z8" s="74">
        <f>+GETPIVOTDATA("XXS4",'xuanson (2016)'!$A$3,"MA_HT","LUC","MA_QH","SKS")</f>
        <v>0</v>
      </c>
      <c r="AA8" s="64">
        <f t="shared" si="4"/>
        <v>0</v>
      </c>
      <c r="AB8" s="74">
        <f>+GETPIVOTDATA("XXS4",'xuanson (2016)'!$A$3,"MA_HT","LUC","MA_QH","DGT")</f>
        <v>0</v>
      </c>
      <c r="AC8" s="74">
        <f>+GETPIVOTDATA("XXS4",'xuanson (2016)'!$A$3,"MA_HT","LUC","MA_QH","DTL")</f>
        <v>0</v>
      </c>
      <c r="AD8" s="74">
        <f>+GETPIVOTDATA("XXS4",'xuanson (2016)'!$A$3,"MA_HT","LUC","MA_QH","DNL")</f>
        <v>0</v>
      </c>
      <c r="AE8" s="74">
        <f>+GETPIVOTDATA("XXS4",'xuanson (2016)'!$A$3,"MA_HT","LUC","MA_QH","DBV")</f>
        <v>0</v>
      </c>
      <c r="AF8" s="74">
        <f>+GETPIVOTDATA("XXS4",'xuanson (2016)'!$A$3,"MA_HT","LUC","MA_QH","DVH")</f>
        <v>0</v>
      </c>
      <c r="AG8" s="74">
        <f>+GETPIVOTDATA("XXS4",'xuanson (2016)'!$A$3,"MA_HT","LUC","MA_QH","DYT")</f>
        <v>0</v>
      </c>
      <c r="AH8" s="74">
        <f>+GETPIVOTDATA("XXS4",'xuanson (2016)'!$A$3,"MA_HT","LUC","MA_QH","DGD")</f>
        <v>0</v>
      </c>
      <c r="AI8" s="74">
        <f>+GETPIVOTDATA("XXS4",'xuanson (2016)'!$A$3,"MA_HT","LUC","MA_QH","DTT")</f>
        <v>0</v>
      </c>
      <c r="AJ8" s="74">
        <f>+GETPIVOTDATA("XXS4",'xuanson (2016)'!$A$3,"MA_HT","LUC","MA_QH","NCK")</f>
        <v>0</v>
      </c>
      <c r="AK8" s="74">
        <f>+GETPIVOTDATA("XXS4",'xuanson (2016)'!$A$3,"MA_HT","LUC","MA_QH","DXH")</f>
        <v>0</v>
      </c>
      <c r="AL8" s="74">
        <f>+GETPIVOTDATA("XXS4",'xuanson (2016)'!$A$3,"MA_HT","LUC","MA_QH","DCH")</f>
        <v>0</v>
      </c>
      <c r="AM8" s="74">
        <f>+GETPIVOTDATA("XXS4",'xuanson (2016)'!$A$3,"MA_HT","LUC","MA_QH","DKG")</f>
        <v>0</v>
      </c>
      <c r="AN8" s="74">
        <f>+GETPIVOTDATA("XXS4",'xuanson (2016)'!$A$3,"MA_HT","LUC","MA_QH","DDT")</f>
        <v>0</v>
      </c>
      <c r="AO8" s="74">
        <f>+GETPIVOTDATA("XXS4",'xuanson (2016)'!$A$3,"MA_HT","LUC","MA_QH","DDL")</f>
        <v>0</v>
      </c>
      <c r="AP8" s="74">
        <f>+GETPIVOTDATA("XXS4",'xuanson (2016)'!$A$3,"MA_HT","LUC","MA_QH","DRA")</f>
        <v>0</v>
      </c>
      <c r="AQ8" s="74">
        <f>+GETPIVOTDATA("XXS4",'xuanson (2016)'!$A$3,"MA_HT","LUC","MA_QH","ONT")</f>
        <v>0</v>
      </c>
      <c r="AR8" s="74">
        <f>+GETPIVOTDATA("XXS4",'xuanson (2016)'!$A$3,"MA_HT","LUC","MA_QH","ODT")</f>
        <v>0</v>
      </c>
      <c r="AS8" s="74">
        <f>+GETPIVOTDATA("XXS4",'xuanson (2016)'!$A$3,"MA_HT","LUC","MA_QH","TSC")</f>
        <v>0</v>
      </c>
      <c r="AT8" s="74">
        <f>+GETPIVOTDATA("XXS4",'xuanson (2016)'!$A$3,"MA_HT","LUC","MA_QH","DTS")</f>
        <v>0</v>
      </c>
      <c r="AU8" s="74">
        <f>+GETPIVOTDATA("XXS4",'xuanson (2016)'!$A$3,"MA_HT","LUC","MA_QH","DNG")</f>
        <v>0</v>
      </c>
      <c r="AV8" s="74">
        <f>+GETPIVOTDATA("XXS4",'xuanson (2016)'!$A$3,"MA_HT","LUC","MA_QH","TON")</f>
        <v>0</v>
      </c>
      <c r="AW8" s="74">
        <f>+GETPIVOTDATA("XXS4",'xuanson (2016)'!$A$3,"MA_HT","LUC","MA_QH","NTD")</f>
        <v>0</v>
      </c>
      <c r="AX8" s="74">
        <f>+GETPIVOTDATA("XXS4",'xuanson (2016)'!$A$3,"MA_HT","LUC","MA_QH","SKX")</f>
        <v>0</v>
      </c>
      <c r="AY8" s="74">
        <f>+GETPIVOTDATA("XXS4",'xuanson (2016)'!$A$3,"MA_HT","LUC","MA_QH","DSH")</f>
        <v>0</v>
      </c>
      <c r="AZ8" s="74">
        <f>+GETPIVOTDATA("XXS4",'xuanson (2016)'!$A$3,"MA_HT","LUC","MA_QH","DKV")</f>
        <v>0</v>
      </c>
      <c r="BA8" s="139">
        <f>+GETPIVOTDATA("XXS4",'xuanson (2016)'!$A$3,"MA_HT","LUC","MA_QH","TIN")</f>
        <v>0</v>
      </c>
      <c r="BB8" s="74">
        <f>+GETPIVOTDATA("XXS4",'xuanson (2016)'!$A$3,"MA_HT","LUC","MA_QH","SON")</f>
        <v>0</v>
      </c>
      <c r="BC8" s="74">
        <f>+GETPIVOTDATA("XXS4",'xuanson (2016)'!$A$3,"MA_HT","LUC","MA_QH","MNC")</f>
        <v>0</v>
      </c>
      <c r="BD8" s="74">
        <f>+GETPIVOTDATA("XXS4",'xuanson (2016)'!$A$3,"MA_HT","LUC","MA_QH","PNK")</f>
        <v>0</v>
      </c>
      <c r="BE8" s="102">
        <f>+GETPIVOTDATA("XXS4",'xuanson (2016)'!$A$3,"MA_HT","LUC","MA_QH","CSD")</f>
        <v>0</v>
      </c>
      <c r="BF8" s="75">
        <f t="shared" si="7"/>
        <v>0</v>
      </c>
      <c r="BG8" s="76">
        <f>G$59-$BF8</f>
        <v>0</v>
      </c>
      <c r="BH8" s="71" t="e">
        <f t="shared" si="8"/>
        <v>#REF!</v>
      </c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</row>
    <row r="9" spans="1:82" s="77" customFormat="1" ht="15.75" customHeight="1">
      <c r="A9" s="68"/>
      <c r="B9" s="69" t="s">
        <v>28</v>
      </c>
      <c r="C9" s="70" t="s">
        <v>29</v>
      </c>
      <c r="D9" s="71" t="e">
        <f>+#REF!</f>
        <v>#REF!</v>
      </c>
      <c r="E9" s="72">
        <f>SUM(F9,J9:Q9)</f>
        <v>0</v>
      </c>
      <c r="F9" s="73">
        <f>SUM(G9,I9)</f>
        <v>0</v>
      </c>
      <c r="G9" s="101">
        <f>+GETPIVOTDATA("XXS4",'xuanson (2016)'!$A$3,"MA_HT","LUK","MA_QH","LUC")</f>
        <v>0</v>
      </c>
      <c r="H9" s="100" t="e">
        <f>$D9-$BF9</f>
        <v>#REF!</v>
      </c>
      <c r="I9" s="74">
        <f>+GETPIVOTDATA("XXS4",'xuanson (2016)'!$A$3,"MA_HT","LUK","MA_QH","LUN")</f>
        <v>0</v>
      </c>
      <c r="J9" s="74">
        <f>+GETPIVOTDATA("XXS4",'xuanson (2016)'!$A$3,"MA_HT","LUK","MA_QH","HNK")</f>
        <v>0</v>
      </c>
      <c r="K9" s="74">
        <f>+GETPIVOTDATA("XXS4",'xuanson (2016)'!$A$3,"MA_HT","LUK","MA_QH","CLN")</f>
        <v>0</v>
      </c>
      <c r="L9" s="74">
        <f>+GETPIVOTDATA("XXS4",'xuanson (2016)'!$A$3,"MA_HT","LUK","MA_QH","RSX")</f>
        <v>0</v>
      </c>
      <c r="M9" s="74">
        <f>+GETPIVOTDATA("XXS4",'xuanson (2016)'!$A$3,"MA_HT","LUK","MA_QH","RPH")</f>
        <v>0</v>
      </c>
      <c r="N9" s="74">
        <f>+GETPIVOTDATA("XXS4",'xuanson (2016)'!$A$3,"MA_HT","LUK","MA_QH","RDD")</f>
        <v>0</v>
      </c>
      <c r="O9" s="74">
        <f>+GETPIVOTDATA("XXS4",'xuanson (2016)'!$A$3,"MA_HT","LUK","MA_QH","NTS")</f>
        <v>0</v>
      </c>
      <c r="P9" s="74">
        <f>+GETPIVOTDATA("XXS4",'xuanson (2016)'!$A$3,"MA_HT","LUK","MA_QH","LMU")</f>
        <v>0</v>
      </c>
      <c r="Q9" s="74">
        <f>+GETPIVOTDATA("XXS4",'xuanson (2016)'!$A$3,"MA_HT","LUK","MA_QH","NKH")</f>
        <v>0</v>
      </c>
      <c r="R9" s="72">
        <f t="shared" si="2"/>
        <v>0</v>
      </c>
      <c r="S9" s="74">
        <f>+GETPIVOTDATA("XXS4",'xuanson (2016)'!$A$3,"MA_HT","LUK","MA_QH","CQP")</f>
        <v>0</v>
      </c>
      <c r="T9" s="74">
        <f>+GETPIVOTDATA("XXS4",'xuanson (2016)'!$A$3,"MA_HT","LUK","MA_QH","CAN")</f>
        <v>0</v>
      </c>
      <c r="U9" s="74">
        <f>+GETPIVOTDATA("XXS4",'xuanson (2016)'!$A$3,"MA_HT","LUK","MA_QH","SKK")</f>
        <v>0</v>
      </c>
      <c r="V9" s="74">
        <f>+GETPIVOTDATA("XXS4",'xuanson (2016)'!$A$3,"MA_HT","LUK","MA_QH","SKT")</f>
        <v>0</v>
      </c>
      <c r="W9" s="74">
        <f>+GETPIVOTDATA("XXS4",'xuanson (2016)'!$A$3,"MA_HT","LUK","MA_QH","SKN")</f>
        <v>0</v>
      </c>
      <c r="X9" s="74">
        <f>+GETPIVOTDATA("XXS4",'xuanson (2016)'!$A$3,"MA_HT","LUK","MA_QH","TMD")</f>
        <v>0</v>
      </c>
      <c r="Y9" s="74">
        <f>+GETPIVOTDATA("XXS4",'xuanson (2016)'!$A$3,"MA_HT","LUK","MA_QH","SKC")</f>
        <v>0</v>
      </c>
      <c r="Z9" s="74">
        <f>+GETPIVOTDATA("XXS4",'xuanson (2016)'!$A$3,"MA_HT","LUK","MA_QH","SKS")</f>
        <v>0</v>
      </c>
      <c r="AA9" s="64">
        <f t="shared" si="4"/>
        <v>0</v>
      </c>
      <c r="AB9" s="74">
        <f>+GETPIVOTDATA("XXS4",'xuanson (2016)'!$A$3,"MA_HT","LUK","MA_QH","DGT")</f>
        <v>0</v>
      </c>
      <c r="AC9" s="74">
        <f>+GETPIVOTDATA("XXS4",'xuanson (2016)'!$A$3,"MA_HT","LUK","MA_QH","DTL")</f>
        <v>0</v>
      </c>
      <c r="AD9" s="74">
        <f>+GETPIVOTDATA("XXS4",'xuanson (2016)'!$A$3,"MA_HT","LUK","MA_QH","DNL")</f>
        <v>0</v>
      </c>
      <c r="AE9" s="74">
        <f>+GETPIVOTDATA("XXS4",'xuanson (2016)'!$A$3,"MA_HT","LUK","MA_QH","DBV")</f>
        <v>0</v>
      </c>
      <c r="AF9" s="74">
        <f>+GETPIVOTDATA("XXS4",'xuanson (2016)'!$A$3,"MA_HT","LUK","MA_QH","DVH")</f>
        <v>0</v>
      </c>
      <c r="AG9" s="74">
        <f>+GETPIVOTDATA("XXS4",'xuanson (2016)'!$A$3,"MA_HT","LUK","MA_QH","DYT")</f>
        <v>0</v>
      </c>
      <c r="AH9" s="74">
        <f>+GETPIVOTDATA("XXS4",'xuanson (2016)'!$A$3,"MA_HT","LUK","MA_QH","DGD")</f>
        <v>0</v>
      </c>
      <c r="AI9" s="74">
        <f>+GETPIVOTDATA("XXS4",'xuanson (2016)'!$A$3,"MA_HT","LUK","MA_QH","DTT")</f>
        <v>0</v>
      </c>
      <c r="AJ9" s="74">
        <f>+GETPIVOTDATA("XXS4",'xuanson (2016)'!$A$3,"MA_HT","LUK","MA_QH","NCK")</f>
        <v>0</v>
      </c>
      <c r="AK9" s="74">
        <f>+GETPIVOTDATA("XXS4",'xuanson (2016)'!$A$3,"MA_HT","LUK","MA_QH","DXH")</f>
        <v>0</v>
      </c>
      <c r="AL9" s="74">
        <f>+GETPIVOTDATA("XXS4",'xuanson (2016)'!$A$3,"MA_HT","LUK","MA_QH","DCH")</f>
        <v>0</v>
      </c>
      <c r="AM9" s="74">
        <f>+GETPIVOTDATA("XXS4",'xuanson (2016)'!$A$3,"MA_HT","LUK","MA_QH","DKG")</f>
        <v>0</v>
      </c>
      <c r="AN9" s="74">
        <f>+GETPIVOTDATA("XXS4",'xuanson (2016)'!$A$3,"MA_HT","LUK","MA_QH","DDT")</f>
        <v>0</v>
      </c>
      <c r="AO9" s="74">
        <f>+GETPIVOTDATA("XXS4",'xuanson (2016)'!$A$3,"MA_HT","LUK","MA_QH","DDL")</f>
        <v>0</v>
      </c>
      <c r="AP9" s="74">
        <f>+GETPIVOTDATA("XXS4",'xuanson (2016)'!$A$3,"MA_HT","LUK","MA_QH","DRA")</f>
        <v>0</v>
      </c>
      <c r="AQ9" s="74">
        <f>+GETPIVOTDATA("XXS4",'xuanson (2016)'!$A$3,"MA_HT","LUK","MA_QH","ONT")</f>
        <v>0</v>
      </c>
      <c r="AR9" s="74">
        <f>+GETPIVOTDATA("XXS4",'xuanson (2016)'!$A$3,"MA_HT","LUK","MA_QH","ODT")</f>
        <v>0</v>
      </c>
      <c r="AS9" s="74">
        <f>+GETPIVOTDATA("XXS4",'xuanson (2016)'!$A$3,"MA_HT","LUK","MA_QH","TSC")</f>
        <v>0</v>
      </c>
      <c r="AT9" s="74">
        <f>+GETPIVOTDATA("XXS4",'xuanson (2016)'!$A$3,"MA_HT","LUK","MA_QH","DTS")</f>
        <v>0</v>
      </c>
      <c r="AU9" s="74">
        <f>+GETPIVOTDATA("XXS4",'xuanson (2016)'!$A$3,"MA_HT","LUK","MA_QH","DNG")</f>
        <v>0</v>
      </c>
      <c r="AV9" s="74">
        <f>+GETPIVOTDATA("XXS4",'xuanson (2016)'!$A$3,"MA_HT","LUK","MA_QH","TON")</f>
        <v>0</v>
      </c>
      <c r="AW9" s="74">
        <f>+GETPIVOTDATA("XXS4",'xuanson (2016)'!$A$3,"MA_HT","LUK","MA_QH","NTD")</f>
        <v>0</v>
      </c>
      <c r="AX9" s="74">
        <f>+GETPIVOTDATA("XXS4",'xuanson (2016)'!$A$3,"MA_HT","LUK","MA_QH","SKX")</f>
        <v>0</v>
      </c>
      <c r="AY9" s="74">
        <f>+GETPIVOTDATA("XXS4",'xuanson (2016)'!$A$3,"MA_HT","LUK","MA_QH","DSH")</f>
        <v>0</v>
      </c>
      <c r="AZ9" s="74">
        <f>+GETPIVOTDATA("XXS4",'xuanson (2016)'!$A$3,"MA_HT","LUK","MA_QH","DKV")</f>
        <v>0</v>
      </c>
      <c r="BA9" s="139">
        <f>+GETPIVOTDATA("XXS4",'xuanson (2016)'!$A$3,"MA_HT","LUK","MA_QH","TIN")</f>
        <v>0</v>
      </c>
      <c r="BB9" s="74">
        <f>+GETPIVOTDATA("XXS4",'xuanson (2016)'!$A$3,"MA_HT","LUK","MA_QH","SON")</f>
        <v>0</v>
      </c>
      <c r="BC9" s="74">
        <f>+GETPIVOTDATA("XXS4",'xuanson (2016)'!$A$3,"MA_HT","LUK","MA_QH","MNC")</f>
        <v>0</v>
      </c>
      <c r="BD9" s="74">
        <f>+GETPIVOTDATA("XXS4",'xuanson (2016)'!$A$3,"MA_HT","LUK","MA_QH","PNK")</f>
        <v>0</v>
      </c>
      <c r="BE9" s="102">
        <f>+GETPIVOTDATA("XXS4",'xuanson (2016)'!$A$3,"MA_HT","LUK","MA_QH","CSD")</f>
        <v>0</v>
      </c>
      <c r="BF9" s="75">
        <f t="shared" si="7"/>
        <v>0</v>
      </c>
      <c r="BG9" s="76">
        <f>H$59-$BF9</f>
        <v>0</v>
      </c>
      <c r="BH9" s="71" t="e">
        <f t="shared" si="8"/>
        <v>#REF!</v>
      </c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</row>
    <row r="10" spans="1:82" s="77" customFormat="1" ht="15.75" customHeight="1">
      <c r="A10" s="68"/>
      <c r="B10" s="69" t="s">
        <v>30</v>
      </c>
      <c r="C10" s="70" t="s">
        <v>31</v>
      </c>
      <c r="D10" s="71" t="e">
        <f>+#REF!</f>
        <v>#REF!</v>
      </c>
      <c r="E10" s="72">
        <f>SUM(J10:Q10,F10)</f>
        <v>0</v>
      </c>
      <c r="F10" s="73">
        <f>SUM(G10:H10)</f>
        <v>0</v>
      </c>
      <c r="G10" s="74">
        <f>+GETPIVOTDATA("XXS4",'xuanson (2016)'!$A$3,"MA_HT","LUN","MA_QH","LUC")</f>
        <v>0</v>
      </c>
      <c r="H10" s="74">
        <f>+GETPIVOTDATA("XXS4",'xuanson (2016)'!$A$3,"MA_HT","LUN","MA_QH","LUK")</f>
        <v>0</v>
      </c>
      <c r="I10" s="100" t="e">
        <f>$D10-$BF10</f>
        <v>#REF!</v>
      </c>
      <c r="J10" s="74">
        <f>+GETPIVOTDATA("XXS4",'xuanson (2016)'!$A$3,"MA_HT","LUN","MA_QH","HNK")</f>
        <v>0</v>
      </c>
      <c r="K10" s="74">
        <f>+GETPIVOTDATA("XXS4",'xuanson (2016)'!$A$3,"MA_HT","LUN","MA_QH","CLN")</f>
        <v>0</v>
      </c>
      <c r="L10" s="74">
        <f>+GETPIVOTDATA("XXS4",'xuanson (2016)'!$A$3,"MA_HT","LUN","MA_QH","RSX")</f>
        <v>0</v>
      </c>
      <c r="M10" s="74">
        <f>+GETPIVOTDATA("XXS4",'xuanson (2016)'!$A$3,"MA_HT","LUN","MA_QH","RPH")</f>
        <v>0</v>
      </c>
      <c r="N10" s="74">
        <f>+GETPIVOTDATA("XXS4",'xuanson (2016)'!$A$3,"MA_HT","LUN","MA_QH","RDD")</f>
        <v>0</v>
      </c>
      <c r="O10" s="74">
        <f>+GETPIVOTDATA("XXS4",'xuanson (2016)'!$A$3,"MA_HT","LUN","MA_QH","NTS")</f>
        <v>0</v>
      </c>
      <c r="P10" s="74">
        <f>+GETPIVOTDATA("XXS4",'xuanson (2016)'!$A$3,"MA_HT","LUN","MA_QH","LMU")</f>
        <v>0</v>
      </c>
      <c r="Q10" s="74">
        <f>+GETPIVOTDATA("XXS4",'xuanson (2016)'!$A$3,"MA_HT","LUN","MA_QH","NKH")</f>
        <v>0</v>
      </c>
      <c r="R10" s="72">
        <f t="shared" si="2"/>
        <v>0</v>
      </c>
      <c r="S10" s="74">
        <f>+GETPIVOTDATA("XXS4",'xuanson (2016)'!$A$3,"MA_HT","LUN","MA_QH","CQP")</f>
        <v>0</v>
      </c>
      <c r="T10" s="74">
        <f>+GETPIVOTDATA("XXS4",'xuanson (2016)'!$A$3,"MA_HT","LUN","MA_QH","CAN")</f>
        <v>0</v>
      </c>
      <c r="U10" s="74">
        <f>+GETPIVOTDATA("XXS4",'xuanson (2016)'!$A$3,"MA_HT","LUN","MA_QH","SKK")</f>
        <v>0</v>
      </c>
      <c r="V10" s="74">
        <f>+GETPIVOTDATA("XXS4",'xuanson (2016)'!$A$3,"MA_HT","LUN","MA_QH","SKT")</f>
        <v>0</v>
      </c>
      <c r="W10" s="74">
        <f>+GETPIVOTDATA("XXS4",'xuanson (2016)'!$A$3,"MA_HT","LUN","MA_QH","SKN")</f>
        <v>0</v>
      </c>
      <c r="X10" s="74">
        <f>+GETPIVOTDATA("XXS4",'xuanson (2016)'!$A$3,"MA_HT","LUN","MA_QH","TMD")</f>
        <v>0</v>
      </c>
      <c r="Y10" s="74">
        <f>+GETPIVOTDATA("XXS4",'xuanson (2016)'!$A$3,"MA_HT","LUN","MA_QH","SKC")</f>
        <v>0</v>
      </c>
      <c r="Z10" s="74">
        <f>+GETPIVOTDATA("XXS4",'xuanson (2016)'!$A$3,"MA_HT","LUN","MA_QH","SKS")</f>
        <v>0</v>
      </c>
      <c r="AA10" s="64">
        <f t="shared" si="4"/>
        <v>0</v>
      </c>
      <c r="AB10" s="74">
        <f>+GETPIVOTDATA("XXS4",'xuanson (2016)'!$A$3,"MA_HT","LUN","MA_QH","DGT")</f>
        <v>0</v>
      </c>
      <c r="AC10" s="74">
        <f>+GETPIVOTDATA("XXS4",'xuanson (2016)'!$A$3,"MA_HT","LUN","MA_QH","DTL")</f>
        <v>0</v>
      </c>
      <c r="AD10" s="74">
        <f>+GETPIVOTDATA("XXS4",'xuanson (2016)'!$A$3,"MA_HT","LUN","MA_QH","DNL")</f>
        <v>0</v>
      </c>
      <c r="AE10" s="74">
        <f>+GETPIVOTDATA("XXS4",'xuanson (2016)'!$A$3,"MA_HT","LUN","MA_QH","DBV")</f>
        <v>0</v>
      </c>
      <c r="AF10" s="74">
        <f>+GETPIVOTDATA("XXS4",'xuanson (2016)'!$A$3,"MA_HT","LUN","MA_QH","DVH")</f>
        <v>0</v>
      </c>
      <c r="AG10" s="74">
        <f>+GETPIVOTDATA("XXS4",'xuanson (2016)'!$A$3,"MA_HT","LUN","MA_QH","DYT")</f>
        <v>0</v>
      </c>
      <c r="AH10" s="74">
        <f>+GETPIVOTDATA("XXS4",'xuanson (2016)'!$A$3,"MA_HT","LUN","MA_QH","DGD")</f>
        <v>0</v>
      </c>
      <c r="AI10" s="74">
        <f>+GETPIVOTDATA("XXS4",'xuanson (2016)'!$A$3,"MA_HT","LUN","MA_QH","DTT")</f>
        <v>0</v>
      </c>
      <c r="AJ10" s="74">
        <f>+GETPIVOTDATA("XXS4",'xuanson (2016)'!$A$3,"MA_HT","LUN","MA_QH","NCK")</f>
        <v>0</v>
      </c>
      <c r="AK10" s="74">
        <f>+GETPIVOTDATA("XXS4",'xuanson (2016)'!$A$3,"MA_HT","LUN","MA_QH","DXH")</f>
        <v>0</v>
      </c>
      <c r="AL10" s="74">
        <f>+GETPIVOTDATA("XXS4",'xuanson (2016)'!$A$3,"MA_HT","LUN","MA_QH","DCH")</f>
        <v>0</v>
      </c>
      <c r="AM10" s="74">
        <f>+GETPIVOTDATA("XXS4",'xuanson (2016)'!$A$3,"MA_HT","LUN","MA_QH","DKG")</f>
        <v>0</v>
      </c>
      <c r="AN10" s="74">
        <f>+GETPIVOTDATA("XXS4",'xuanson (2016)'!$A$3,"MA_HT","LUN","MA_QH","DDT")</f>
        <v>0</v>
      </c>
      <c r="AO10" s="74">
        <f>+GETPIVOTDATA("XXS4",'xuanson (2016)'!$A$3,"MA_HT","LUN","MA_QH","DDL")</f>
        <v>0</v>
      </c>
      <c r="AP10" s="74">
        <f>+GETPIVOTDATA("XXS4",'xuanson (2016)'!$A$3,"MA_HT","LUN","MA_QH","DRA")</f>
        <v>0</v>
      </c>
      <c r="AQ10" s="74">
        <f>+GETPIVOTDATA("XXS4",'xuanson (2016)'!$A$3,"MA_HT","LUN","MA_QH","ONT")</f>
        <v>0</v>
      </c>
      <c r="AR10" s="74">
        <f>+GETPIVOTDATA("XXS4",'xuanson (2016)'!$A$3,"MA_HT","LUN","MA_QH","ODT")</f>
        <v>0</v>
      </c>
      <c r="AS10" s="74">
        <f>+GETPIVOTDATA("XXS4",'xuanson (2016)'!$A$3,"MA_HT","LUN","MA_QH","TSC")</f>
        <v>0</v>
      </c>
      <c r="AT10" s="74">
        <f>+GETPIVOTDATA("XXS4",'xuanson (2016)'!$A$3,"MA_HT","LUN","MA_QH","DTS")</f>
        <v>0</v>
      </c>
      <c r="AU10" s="74">
        <f>+GETPIVOTDATA("XXS4",'xuanson (2016)'!$A$3,"MA_HT","LUN","MA_QH","DNG")</f>
        <v>0</v>
      </c>
      <c r="AV10" s="74">
        <f>+GETPIVOTDATA("XXS4",'xuanson (2016)'!$A$3,"MA_HT","LUN","MA_QH","TON")</f>
        <v>0</v>
      </c>
      <c r="AW10" s="74">
        <f>+GETPIVOTDATA("XXS4",'xuanson (2016)'!$A$3,"MA_HT","LUN","MA_QH","NTD")</f>
        <v>0</v>
      </c>
      <c r="AX10" s="74">
        <f>+GETPIVOTDATA("XXS4",'xuanson (2016)'!$A$3,"MA_HT","LUN","MA_QH","SKX")</f>
        <v>0</v>
      </c>
      <c r="AY10" s="74">
        <f>+GETPIVOTDATA("XXS4",'xuanson (2016)'!$A$3,"MA_HT","LUN","MA_QH","DSH")</f>
        <v>0</v>
      </c>
      <c r="AZ10" s="74">
        <f>+GETPIVOTDATA("XXS4",'xuanson (2016)'!$A$3,"MA_HT","LUN","MA_QH","DKV")</f>
        <v>0</v>
      </c>
      <c r="BA10" s="139">
        <f>+GETPIVOTDATA("XXS4",'xuanson (2016)'!$A$3,"MA_HT","LUN","MA_QH","TIN")</f>
        <v>0</v>
      </c>
      <c r="BB10" s="74">
        <f>+GETPIVOTDATA("XXS4",'xuanson (2016)'!$A$3,"MA_HT","LUN","MA_QH","SON")</f>
        <v>0</v>
      </c>
      <c r="BC10" s="74">
        <f>+GETPIVOTDATA("XXS4",'xuanson (2016)'!$A$3,"MA_HT","LUN","MA_QH","MNC")</f>
        <v>0</v>
      </c>
      <c r="BD10" s="74">
        <f>+GETPIVOTDATA("XXS4",'xuanson (2016)'!$A$3,"MA_HT","LUN","MA_QH","PNK")</f>
        <v>0</v>
      </c>
      <c r="BE10" s="102">
        <f>+GETPIVOTDATA("XXS4",'xuanson (2016)'!$A$3,"MA_HT","LUN","MA_QH","CSD")</f>
        <v>0</v>
      </c>
      <c r="BF10" s="75">
        <f t="shared" si="7"/>
        <v>0</v>
      </c>
      <c r="BG10" s="76">
        <f>I$59-$BF10</f>
        <v>0</v>
      </c>
      <c r="BH10" s="71" t="e">
        <f t="shared" si="8"/>
        <v>#REF!</v>
      </c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</row>
    <row r="11" spans="1:82" s="41" customFormat="1" ht="15.75" customHeight="1">
      <c r="A11" s="60" t="s">
        <v>32</v>
      </c>
      <c r="B11" s="60" t="s">
        <v>190</v>
      </c>
      <c r="C11" s="61" t="s">
        <v>34</v>
      </c>
      <c r="D11" s="71" t="e">
        <f>+#REF!</f>
        <v>#REF!</v>
      </c>
      <c r="E11" s="63">
        <f>SUM(K11:Q11,F11)</f>
        <v>0</v>
      </c>
      <c r="F11" s="64">
        <f>SUM(G11:I11)</f>
        <v>0</v>
      </c>
      <c r="G11" s="35">
        <f>+GETPIVOTDATA("XXS4",'xuanson (2016)'!$A$3,"MA_HT","HNK","MA_QH","LUC")</f>
        <v>0</v>
      </c>
      <c r="H11" s="35">
        <f>+GETPIVOTDATA("XXS4",'xuanson (2016)'!$A$3,"MA_HT","HNK","MA_QH","LUK")</f>
        <v>0</v>
      </c>
      <c r="I11" s="35">
        <f>+GETPIVOTDATA("XXS4",'xuanson (2016)'!$A$3,"MA_HT","HNK","MA_QH","LUN")</f>
        <v>0</v>
      </c>
      <c r="J11" s="99" t="e">
        <f>$D11-$BF11</f>
        <v>#REF!</v>
      </c>
      <c r="K11" s="35">
        <f>+GETPIVOTDATA("XXS4",'xuanson (2016)'!$A$3,"MA_HT","HNK","MA_QH","CLN")</f>
        <v>0</v>
      </c>
      <c r="L11" s="35">
        <f>+GETPIVOTDATA("XXS4",'xuanson (2016)'!$A$3,"MA_HT","HNK","MA_QH","RSX")</f>
        <v>0</v>
      </c>
      <c r="M11" s="35">
        <f>+GETPIVOTDATA("XXS4",'xuanson (2016)'!$A$3,"MA_HT","HNK","MA_QH","RPH")</f>
        <v>0</v>
      </c>
      <c r="N11" s="35">
        <f>+GETPIVOTDATA("XXS4",'xuanson (2016)'!$A$3,"MA_HT","HNK","MA_QH","RDD")</f>
        <v>0</v>
      </c>
      <c r="O11" s="35">
        <f>+GETPIVOTDATA("XXS4",'xuanson (2016)'!$A$3,"MA_HT","HNK","MA_QH","NTS")</f>
        <v>0</v>
      </c>
      <c r="P11" s="35">
        <f>+GETPIVOTDATA("XXS4",'xuanson (2016)'!$A$3,"MA_HT","HNK","MA_QH","LMU")</f>
        <v>0</v>
      </c>
      <c r="Q11" s="35">
        <f>+GETPIVOTDATA("XXS4",'xuanson (2016)'!$A$3,"MA_HT","HNK","MA_QH","NKH")</f>
        <v>0</v>
      </c>
      <c r="R11" s="63">
        <f t="shared" si="2"/>
        <v>0</v>
      </c>
      <c r="S11" s="35">
        <f>+GETPIVOTDATA("XXS4",'xuanson (2016)'!$A$3,"MA_HT","HNK","MA_QH","CQP")</f>
        <v>0</v>
      </c>
      <c r="T11" s="35">
        <f>+GETPIVOTDATA("XXS4",'xuanson (2016)'!$A$3,"MA_HT","HNK","MA_QH","CAN")</f>
        <v>0</v>
      </c>
      <c r="U11" s="35">
        <f>+GETPIVOTDATA("XXS4",'xuanson (2016)'!$A$3,"MA_HT","HNK","MA_QH","SKK")</f>
        <v>0</v>
      </c>
      <c r="V11" s="35">
        <f>+GETPIVOTDATA("XXS4",'xuanson (2016)'!$A$3,"MA_HT","HNK","MA_QH","SKT")</f>
        <v>0</v>
      </c>
      <c r="W11" s="35">
        <f>+GETPIVOTDATA("XXS4",'xuanson (2016)'!$A$3,"MA_HT","HNK","MA_QH","SKN")</f>
        <v>0</v>
      </c>
      <c r="X11" s="35">
        <f>+GETPIVOTDATA("XXS4",'xuanson (2016)'!$A$3,"MA_HT","HNK","MA_QH","TMD")</f>
        <v>0</v>
      </c>
      <c r="Y11" s="35">
        <f>+GETPIVOTDATA("XXS4",'xuanson (2016)'!$A$3,"MA_HT","HNK","MA_QH","SKC")</f>
        <v>0</v>
      </c>
      <c r="Z11" s="35">
        <f>+GETPIVOTDATA("XXS4",'xuanson (2016)'!$A$3,"MA_HT","HNK","MA_QH","SKS")</f>
        <v>0</v>
      </c>
      <c r="AA11" s="64">
        <f t="shared" si="4"/>
        <v>0</v>
      </c>
      <c r="AB11" s="35">
        <f>+GETPIVOTDATA("XXS4",'xuanson (2016)'!$A$3,"MA_HT","HNK","MA_QH","DGT")</f>
        <v>0</v>
      </c>
      <c r="AC11" s="35">
        <f>+GETPIVOTDATA("XXS4",'xuanson (2016)'!$A$3,"MA_HT","HNK","MA_QH","DTL")</f>
        <v>0</v>
      </c>
      <c r="AD11" s="35">
        <f>+GETPIVOTDATA("XXS4",'xuanson (2016)'!$A$3,"MA_HT","HNK","MA_QH","DNL")</f>
        <v>0</v>
      </c>
      <c r="AE11" s="35">
        <f>+GETPIVOTDATA("XXS4",'xuanson (2016)'!$A$3,"MA_HT","HNK","MA_QH","DBV")</f>
        <v>0</v>
      </c>
      <c r="AF11" s="35">
        <f>+GETPIVOTDATA("XXS4",'xuanson (2016)'!$A$3,"MA_HT","HNK","MA_QH","DVH")</f>
        <v>0</v>
      </c>
      <c r="AG11" s="35">
        <f>+GETPIVOTDATA("XXS4",'xuanson (2016)'!$A$3,"MA_HT","HNK","MA_QH","DYT")</f>
        <v>0</v>
      </c>
      <c r="AH11" s="35">
        <f>+GETPIVOTDATA("XXS4",'xuanson (2016)'!$A$3,"MA_HT","HNK","MA_QH","DGD")</f>
        <v>0</v>
      </c>
      <c r="AI11" s="35">
        <f>+GETPIVOTDATA("XXS4",'xuanson (2016)'!$A$3,"MA_HT","HNK","MA_QH","DTT")</f>
        <v>0</v>
      </c>
      <c r="AJ11" s="35">
        <f>+GETPIVOTDATA("XXS4",'xuanson (2016)'!$A$3,"MA_HT","HNK","MA_QH","NCK")</f>
        <v>0</v>
      </c>
      <c r="AK11" s="35">
        <f>+GETPIVOTDATA("XXS4",'xuanson (2016)'!$A$3,"MA_HT","HNK","MA_QH","DXH")</f>
        <v>0</v>
      </c>
      <c r="AL11" s="35">
        <f>+GETPIVOTDATA("XXS4",'xuanson (2016)'!$A$3,"MA_HT","HNK","MA_QH","DCH")</f>
        <v>0</v>
      </c>
      <c r="AM11" s="35">
        <f>+GETPIVOTDATA("XXS4",'xuanson (2016)'!$A$3,"MA_HT","HNK","MA_QH","DKG")</f>
        <v>0</v>
      </c>
      <c r="AN11" s="35">
        <f>+GETPIVOTDATA("XXS4",'xuanson (2016)'!$A$3,"MA_HT","HNK","MA_QH","DDT")</f>
        <v>0</v>
      </c>
      <c r="AO11" s="35">
        <f>+GETPIVOTDATA("XXS4",'xuanson (2016)'!$A$3,"MA_HT","HNK","MA_QH","DDL")</f>
        <v>0</v>
      </c>
      <c r="AP11" s="35">
        <f>+GETPIVOTDATA("XXS4",'xuanson (2016)'!$A$3,"MA_HT","HNK","MA_QH","DRA")</f>
        <v>0</v>
      </c>
      <c r="AQ11" s="35">
        <f>+GETPIVOTDATA("XXS4",'xuanson (2016)'!$A$3,"MA_HT","HNK","MA_QH","ONT")</f>
        <v>0</v>
      </c>
      <c r="AR11" s="35">
        <f>+GETPIVOTDATA("XXS4",'xuanson (2016)'!$A$3,"MA_HT","HNK","MA_QH","ODT")</f>
        <v>0</v>
      </c>
      <c r="AS11" s="35">
        <f>+GETPIVOTDATA("XXS4",'xuanson (2016)'!$A$3,"MA_HT","HNK","MA_QH","TSC")</f>
        <v>0</v>
      </c>
      <c r="AT11" s="35">
        <f>+GETPIVOTDATA("XXS4",'xuanson (2016)'!$A$3,"MA_HT","HNK","MA_QH","DTS")</f>
        <v>0</v>
      </c>
      <c r="AU11" s="35">
        <f>+GETPIVOTDATA("XXS4",'xuanson (2016)'!$A$3,"MA_HT","HNK","MA_QH","DNG")</f>
        <v>0</v>
      </c>
      <c r="AV11" s="35">
        <f>+GETPIVOTDATA("XXS4",'xuanson (2016)'!$A$3,"MA_HT","HNK","MA_QH","TON")</f>
        <v>0</v>
      </c>
      <c r="AW11" s="35">
        <f>+GETPIVOTDATA("XXS4",'xuanson (2016)'!$A$3,"MA_HT","HNK","MA_QH","NTD")</f>
        <v>0</v>
      </c>
      <c r="AX11" s="35">
        <f>+GETPIVOTDATA("XXS4",'xuanson (2016)'!$A$3,"MA_HT","HNK","MA_QH","SKX")</f>
        <v>0</v>
      </c>
      <c r="AY11" s="35">
        <f>+GETPIVOTDATA("XXS4",'xuanson (2016)'!$A$3,"MA_HT","HNK","MA_QH","DSH")</f>
        <v>0</v>
      </c>
      <c r="AZ11" s="35">
        <f>+GETPIVOTDATA("XXS4",'xuanson (2016)'!$A$3,"MA_HT","HNK","MA_QH","DKV")</f>
        <v>0</v>
      </c>
      <c r="BA11" s="140">
        <f>+GETPIVOTDATA("XXS4",'xuanson (2016)'!$A$3,"MA_HT","HNK","MA_QH","TIN")</f>
        <v>0</v>
      </c>
      <c r="BB11" s="74">
        <f>+GETPIVOTDATA("XXS4",'xuanson (2016)'!$A$3,"MA_HT","HNK","MA_QH","SON")</f>
        <v>0</v>
      </c>
      <c r="BC11" s="74">
        <f>+GETPIVOTDATA("XXS4",'xuanson (2016)'!$A$3,"MA_HT","HNK","MA_QH","MNC")</f>
        <v>0</v>
      </c>
      <c r="BD11" s="35">
        <f>+GETPIVOTDATA("XXS4",'xuanson (2016)'!$A$3,"MA_HT","HNK","MA_QH","PNK")</f>
        <v>0</v>
      </c>
      <c r="BE11" s="58">
        <f>+GETPIVOTDATA("XXS4",'xuanson (2016)'!$A$3,"MA_HT","HNK","MA_QH","CSD")</f>
        <v>0</v>
      </c>
      <c r="BF11" s="66">
        <f t="shared" si="7"/>
        <v>0</v>
      </c>
      <c r="BG11" s="67">
        <f>J$59-$BF11</f>
        <v>0</v>
      </c>
      <c r="BH11" s="62" t="e">
        <f t="shared" si="8"/>
        <v>#REF!</v>
      </c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</row>
    <row r="12" spans="1:82" s="41" customFormat="1" ht="15.75" customHeight="1">
      <c r="A12" s="60" t="s">
        <v>35</v>
      </c>
      <c r="B12" s="60" t="s">
        <v>36</v>
      </c>
      <c r="C12" s="61" t="s">
        <v>37</v>
      </c>
      <c r="D12" s="71" t="e">
        <f>+#REF!</f>
        <v>#REF!</v>
      </c>
      <c r="E12" s="63">
        <f>SUM(L12:Q12,F12,J12)</f>
        <v>0</v>
      </c>
      <c r="F12" s="64">
        <f t="shared" ref="F12:F58" si="9">SUM(G12:I12)</f>
        <v>0</v>
      </c>
      <c r="G12" s="35">
        <f>+GETPIVOTDATA("XXS4",'xuanson (2016)'!$A$3,"MA_HT","CLN","MA_QH","LUC")</f>
        <v>0</v>
      </c>
      <c r="H12" s="35">
        <f>+GETPIVOTDATA("XXS4",'xuanson (2016)'!$A$3,"MA_HT","CLN","MA_QH","LUK")</f>
        <v>0</v>
      </c>
      <c r="I12" s="35">
        <f>+GETPIVOTDATA("XXS4",'xuanson (2016)'!$A$3,"MA_HT","CLN","MA_QH","LUN")</f>
        <v>0</v>
      </c>
      <c r="J12" s="35">
        <f>+GETPIVOTDATA("XXS4",'xuanson (2016)'!$A$3,"MA_HT","CLN","MA_QH","HNK")</f>
        <v>0</v>
      </c>
      <c r="K12" s="99" t="e">
        <f>$D12-$BF12</f>
        <v>#REF!</v>
      </c>
      <c r="L12" s="35">
        <f>+GETPIVOTDATA("XXS4",'xuanson (2016)'!$A$3,"MA_HT","CLN","MA_QH","RSX")</f>
        <v>0</v>
      </c>
      <c r="M12" s="35">
        <f>+GETPIVOTDATA("XXS4",'xuanson (2016)'!$A$3,"MA_HT","CLN","MA_QH","RPH")</f>
        <v>0</v>
      </c>
      <c r="N12" s="35">
        <f>+GETPIVOTDATA("XXS4",'xuanson (2016)'!$A$3,"MA_HT","CLN","MA_QH","RDD")</f>
        <v>0</v>
      </c>
      <c r="O12" s="35">
        <f>+GETPIVOTDATA("XXS4",'xuanson (2016)'!$A$3,"MA_HT","CLN","MA_QH","NTS")</f>
        <v>0</v>
      </c>
      <c r="P12" s="35">
        <f>+GETPIVOTDATA("XXS4",'xuanson (2016)'!$A$3,"MA_HT","CLN","MA_QH","LMU")</f>
        <v>0</v>
      </c>
      <c r="Q12" s="35">
        <f>+GETPIVOTDATA("XXS4",'xuanson (2016)'!$A$3,"MA_HT","CLN","MA_QH","NKH")</f>
        <v>0</v>
      </c>
      <c r="R12" s="63">
        <f t="shared" si="2"/>
        <v>0</v>
      </c>
      <c r="S12" s="35">
        <f>+GETPIVOTDATA("XXS4",'xuanson (2016)'!$A$3,"MA_HT","CLN","MA_QH","CQP")</f>
        <v>0</v>
      </c>
      <c r="T12" s="35">
        <f>+GETPIVOTDATA("XXS4",'xuanson (2016)'!$A$3,"MA_HT","CLN","MA_QH","CAN")</f>
        <v>0</v>
      </c>
      <c r="U12" s="35">
        <f>+GETPIVOTDATA("XXS4",'xuanson (2016)'!$A$3,"MA_HT","CLN","MA_QH","SKK")</f>
        <v>0</v>
      </c>
      <c r="V12" s="35">
        <f>+GETPIVOTDATA("XXS4",'xuanson (2016)'!$A$3,"MA_HT","CLN","MA_QH","SKT")</f>
        <v>0</v>
      </c>
      <c r="W12" s="35">
        <f>+GETPIVOTDATA("XXS4",'xuanson (2016)'!$A$3,"MA_HT","CLN","MA_QH","SKN")</f>
        <v>0</v>
      </c>
      <c r="X12" s="35">
        <f>+GETPIVOTDATA("XXS4",'xuanson (2016)'!$A$3,"MA_HT","CLN","MA_QH","TMD")</f>
        <v>0</v>
      </c>
      <c r="Y12" s="35">
        <f>+GETPIVOTDATA("XXS4",'xuanson (2016)'!$A$3,"MA_HT","CLN","MA_QH","SKC")</f>
        <v>0</v>
      </c>
      <c r="Z12" s="35">
        <f>+GETPIVOTDATA("XXS4",'xuanson (2016)'!$A$3,"MA_HT","CLN","MA_QH","SKS")</f>
        <v>0</v>
      </c>
      <c r="AA12" s="64">
        <f t="shared" si="4"/>
        <v>0</v>
      </c>
      <c r="AB12" s="35">
        <f>+GETPIVOTDATA("XXS4",'xuanson (2016)'!$A$3,"MA_HT","CLN","MA_QH","DGT")</f>
        <v>0</v>
      </c>
      <c r="AC12" s="35">
        <f>+GETPIVOTDATA("XXS4",'xuanson (2016)'!$A$3,"MA_HT","CLN","MA_QH","DTL")</f>
        <v>0</v>
      </c>
      <c r="AD12" s="35">
        <f>+GETPIVOTDATA("XXS4",'xuanson (2016)'!$A$3,"MA_HT","CLN","MA_QH","DNL")</f>
        <v>0</v>
      </c>
      <c r="AE12" s="35">
        <f>+GETPIVOTDATA("XXS4",'xuanson (2016)'!$A$3,"MA_HT","CLN","MA_QH","DBV")</f>
        <v>0</v>
      </c>
      <c r="AF12" s="35">
        <f>+GETPIVOTDATA("XXS4",'xuanson (2016)'!$A$3,"MA_HT","CLN","MA_QH","DVH")</f>
        <v>0</v>
      </c>
      <c r="AG12" s="35">
        <f>+GETPIVOTDATA("XXS4",'xuanson (2016)'!$A$3,"MA_HT","CLN","MA_QH","DYT")</f>
        <v>0</v>
      </c>
      <c r="AH12" s="35">
        <f>+GETPIVOTDATA("XXS4",'xuanson (2016)'!$A$3,"MA_HT","CLN","MA_QH","DGD")</f>
        <v>0</v>
      </c>
      <c r="AI12" s="35">
        <f>+GETPIVOTDATA("XXS4",'xuanson (2016)'!$A$3,"MA_HT","CLN","MA_QH","DTT")</f>
        <v>0</v>
      </c>
      <c r="AJ12" s="35">
        <f>+GETPIVOTDATA("XXS4",'xuanson (2016)'!$A$3,"MA_HT","CLN","MA_QH","NCK")</f>
        <v>0</v>
      </c>
      <c r="AK12" s="35">
        <f>+GETPIVOTDATA("XXS4",'xuanson (2016)'!$A$3,"MA_HT","CLN","MA_QH","DXH")</f>
        <v>0</v>
      </c>
      <c r="AL12" s="35">
        <f>+GETPIVOTDATA("XXS4",'xuanson (2016)'!$A$3,"MA_HT","CLN","MA_QH","DCH")</f>
        <v>0</v>
      </c>
      <c r="AM12" s="35">
        <f>+GETPIVOTDATA("XXS4",'xuanson (2016)'!$A$3,"MA_HT","CLN","MA_QH","DKG")</f>
        <v>0</v>
      </c>
      <c r="AN12" s="35">
        <f>+GETPIVOTDATA("XXS4",'xuanson (2016)'!$A$3,"MA_HT","CLN","MA_QH","DDT")</f>
        <v>0</v>
      </c>
      <c r="AO12" s="35">
        <f>+GETPIVOTDATA("XXS4",'xuanson (2016)'!$A$3,"MA_HT","CLN","MA_QH","DDL")</f>
        <v>0</v>
      </c>
      <c r="AP12" s="35">
        <f>+GETPIVOTDATA("XXS4",'xuanson (2016)'!$A$3,"MA_HT","CLN","MA_QH","DRA")</f>
        <v>0</v>
      </c>
      <c r="AQ12" s="35">
        <f>+GETPIVOTDATA("XXS4",'xuanson (2016)'!$A$3,"MA_HT","CLN","MA_QH","ONT")</f>
        <v>0</v>
      </c>
      <c r="AR12" s="35">
        <f>+GETPIVOTDATA("XXS4",'xuanson (2016)'!$A$3,"MA_HT","CLN","MA_QH","ODT")</f>
        <v>0</v>
      </c>
      <c r="AS12" s="35">
        <f>+GETPIVOTDATA("XXS4",'xuanson (2016)'!$A$3,"MA_HT","CLN","MA_QH","TSC")</f>
        <v>0</v>
      </c>
      <c r="AT12" s="35">
        <f>+GETPIVOTDATA("XXS4",'xuanson (2016)'!$A$3,"MA_HT","CLN","MA_QH","DTS")</f>
        <v>0</v>
      </c>
      <c r="AU12" s="35">
        <f>+GETPIVOTDATA("XXS4",'xuanson (2016)'!$A$3,"MA_HT","CLN","MA_QH","DNG")</f>
        <v>0</v>
      </c>
      <c r="AV12" s="35">
        <f>+GETPIVOTDATA("XXS4",'xuanson (2016)'!$A$3,"MA_HT","CLN","MA_QH","TON")</f>
        <v>0</v>
      </c>
      <c r="AW12" s="35">
        <f>+GETPIVOTDATA("XXS4",'xuanson (2016)'!$A$3,"MA_HT","CLN","MA_QH","NTD")</f>
        <v>0</v>
      </c>
      <c r="AX12" s="35">
        <f>+GETPIVOTDATA("XXS4",'xuanson (2016)'!$A$3,"MA_HT","CLN","MA_QH","SKX")</f>
        <v>0</v>
      </c>
      <c r="AY12" s="35">
        <f>+GETPIVOTDATA("XXS4",'xuanson (2016)'!$A$3,"MA_HT","CLN","MA_QH","DSH")</f>
        <v>0</v>
      </c>
      <c r="AZ12" s="35">
        <f>+GETPIVOTDATA("XXS4",'xuanson (2016)'!$A$3,"MA_HT","CLN","MA_QH","DKV")</f>
        <v>0</v>
      </c>
      <c r="BA12" s="140">
        <f>+GETPIVOTDATA("XXS4",'xuanson (2016)'!$A$3,"MA_HT","CLN","MA_QH","TIN")</f>
        <v>0</v>
      </c>
      <c r="BB12" s="74">
        <f>+GETPIVOTDATA("XXS4",'xuanson (2016)'!$A$3,"MA_HT","CLN","MA_QH","SON")</f>
        <v>0</v>
      </c>
      <c r="BC12" s="74">
        <f>+GETPIVOTDATA("XXS4",'xuanson (2016)'!$A$3,"MA_HT","CLN","MA_QH","MNC")</f>
        <v>0</v>
      </c>
      <c r="BD12" s="35">
        <f>+GETPIVOTDATA("XXS4",'xuanson (2016)'!$A$3,"MA_HT","CLN","MA_QH","PNK")</f>
        <v>0</v>
      </c>
      <c r="BE12" s="58">
        <f>+GETPIVOTDATA("XXS4",'xuanson (2016)'!$A$3,"MA_HT","CLN","MA_QH","CSD")</f>
        <v>0</v>
      </c>
      <c r="BF12" s="66">
        <f t="shared" si="7"/>
        <v>0</v>
      </c>
      <c r="BG12" s="67">
        <f>K$59-$BF12</f>
        <v>0</v>
      </c>
      <c r="BH12" s="62" t="e">
        <f t="shared" si="8"/>
        <v>#REF!</v>
      </c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</row>
    <row r="13" spans="1:82" s="41" customFormat="1" ht="15.75" customHeight="1">
      <c r="A13" s="60" t="s">
        <v>38</v>
      </c>
      <c r="B13" s="60" t="s">
        <v>221</v>
      </c>
      <c r="C13" s="61" t="s">
        <v>39</v>
      </c>
      <c r="D13" s="71" t="e">
        <f>+#REF!</f>
        <v>#REF!</v>
      </c>
      <c r="E13" s="63">
        <f>SUM(F13,J13:K13,M13:Q13)</f>
        <v>0</v>
      </c>
      <c r="F13" s="64">
        <f t="shared" si="9"/>
        <v>0</v>
      </c>
      <c r="G13" s="35">
        <f>+GETPIVOTDATA("XXS4",'xuanson (2016)'!$A$3,"MA_HT","RSX","MA_QH","LUC")</f>
        <v>0</v>
      </c>
      <c r="H13" s="35">
        <f>+GETPIVOTDATA("XXS4",'xuanson (2016)'!$A$3,"MA_HT","RSX","MA_QH","LUK")</f>
        <v>0</v>
      </c>
      <c r="I13" s="35">
        <f>+GETPIVOTDATA("XXS4",'xuanson (2016)'!$A$3,"MA_HT","RSX","MA_QH","LUN")</f>
        <v>0</v>
      </c>
      <c r="J13" s="35">
        <f>+GETPIVOTDATA("XXS4",'xuanson (2016)'!$A$3,"MA_HT","RSX","MA_QH","HNK")</f>
        <v>0</v>
      </c>
      <c r="K13" s="35">
        <f>+GETPIVOTDATA("XXS4",'xuanson (2016)'!$A$3,"MA_HT","RSX","MA_QH","CLN")</f>
        <v>0</v>
      </c>
      <c r="L13" s="99" t="e">
        <f>$D13-$BF13</f>
        <v>#REF!</v>
      </c>
      <c r="M13" s="35">
        <f>+GETPIVOTDATA("XXS4",'xuanson (2016)'!$A$3,"MA_HT","RSX","MA_QH","RPH")</f>
        <v>0</v>
      </c>
      <c r="N13" s="35">
        <f>+GETPIVOTDATA("XXS4",'xuanson (2016)'!$A$3,"MA_HT","RSX","MA_QH","RDD")</f>
        <v>0</v>
      </c>
      <c r="O13" s="35">
        <f>+GETPIVOTDATA("XXS4",'xuanson (2016)'!$A$3,"MA_HT","RSX","MA_QH","NTS")</f>
        <v>0</v>
      </c>
      <c r="P13" s="35">
        <f>+GETPIVOTDATA("XXS4",'xuanson (2016)'!$A$3,"MA_HT","RSX","MA_QH","LMU")</f>
        <v>0</v>
      </c>
      <c r="Q13" s="35">
        <f>+GETPIVOTDATA("XXS4",'xuanson (2016)'!$A$3,"MA_HT","RSX","MA_QH","NKH")</f>
        <v>0</v>
      </c>
      <c r="R13" s="63">
        <f t="shared" si="2"/>
        <v>0</v>
      </c>
      <c r="S13" s="35">
        <f>+GETPIVOTDATA("XXS4",'xuanson (2016)'!$A$3,"MA_HT","RSX","MA_QH","CQP")</f>
        <v>0</v>
      </c>
      <c r="T13" s="35">
        <f>+GETPIVOTDATA("XXS4",'xuanson (2016)'!$A$3,"MA_HT","RSX","MA_QH","CAN")</f>
        <v>0</v>
      </c>
      <c r="U13" s="35">
        <f>+GETPIVOTDATA("XXS4",'xuanson (2016)'!$A$3,"MA_HT","RSX","MA_QH","SKK")</f>
        <v>0</v>
      </c>
      <c r="V13" s="35">
        <f>+GETPIVOTDATA("XXS4",'xuanson (2016)'!$A$3,"MA_HT","RSX","MA_QH","SKT")</f>
        <v>0</v>
      </c>
      <c r="W13" s="35">
        <f>+GETPIVOTDATA("XXS4",'xuanson (2016)'!$A$3,"MA_HT","RSX","MA_QH","SKN")</f>
        <v>0</v>
      </c>
      <c r="X13" s="35">
        <f>+GETPIVOTDATA("XXS4",'xuanson (2016)'!$A$3,"MA_HT","RSX","MA_QH","TMD")</f>
        <v>0</v>
      </c>
      <c r="Y13" s="35">
        <f>+GETPIVOTDATA("XXS4",'xuanson (2016)'!$A$3,"MA_HT","RSX","MA_QH","SKC")</f>
        <v>0</v>
      </c>
      <c r="Z13" s="35">
        <f>+GETPIVOTDATA("XXS4",'xuanson (2016)'!$A$3,"MA_HT","RSX","MA_QH","SKS")</f>
        <v>0</v>
      </c>
      <c r="AA13" s="64">
        <f t="shared" si="4"/>
        <v>0</v>
      </c>
      <c r="AB13" s="35">
        <f>+GETPIVOTDATA("XXS4",'xuanson (2016)'!$A$3,"MA_HT","RSX","MA_QH","DGT")</f>
        <v>0</v>
      </c>
      <c r="AC13" s="35">
        <f>+GETPIVOTDATA("XXS4",'xuanson (2016)'!$A$3,"MA_HT","RSX","MA_QH","DTL")</f>
        <v>0</v>
      </c>
      <c r="AD13" s="35">
        <f>+GETPIVOTDATA("XXS4",'xuanson (2016)'!$A$3,"MA_HT","RSX","MA_QH","DNL")</f>
        <v>0</v>
      </c>
      <c r="AE13" s="35">
        <f>+GETPIVOTDATA("XXS4",'xuanson (2016)'!$A$3,"MA_HT","RSX","MA_QH","DBV")</f>
        <v>0</v>
      </c>
      <c r="AF13" s="35">
        <f>+GETPIVOTDATA("XXS4",'xuanson (2016)'!$A$3,"MA_HT","RSX","MA_QH","DVH")</f>
        <v>0</v>
      </c>
      <c r="AG13" s="35">
        <f>+GETPIVOTDATA("XXS4",'xuanson (2016)'!$A$3,"MA_HT","RSX","MA_QH","DYT")</f>
        <v>0</v>
      </c>
      <c r="AH13" s="35">
        <f>+GETPIVOTDATA("XXS4",'xuanson (2016)'!$A$3,"MA_HT","RSX","MA_QH","DGD")</f>
        <v>0</v>
      </c>
      <c r="AI13" s="35">
        <f>+GETPIVOTDATA("XXS4",'xuanson (2016)'!$A$3,"MA_HT","RSX","MA_QH","DTT")</f>
        <v>0</v>
      </c>
      <c r="AJ13" s="35">
        <f>+GETPIVOTDATA("XXS4",'xuanson (2016)'!$A$3,"MA_HT","RSX","MA_QH","NCK")</f>
        <v>0</v>
      </c>
      <c r="AK13" s="35">
        <f>+GETPIVOTDATA("XXS4",'xuanson (2016)'!$A$3,"MA_HT","RSX","MA_QH","DXH")</f>
        <v>0</v>
      </c>
      <c r="AL13" s="35">
        <f>+GETPIVOTDATA("XXS4",'xuanson (2016)'!$A$3,"MA_HT","RSX","MA_QH","DCH")</f>
        <v>0</v>
      </c>
      <c r="AM13" s="35">
        <f>+GETPIVOTDATA("XXS4",'xuanson (2016)'!$A$3,"MA_HT","RSX","MA_QH","DKG")</f>
        <v>0</v>
      </c>
      <c r="AN13" s="35">
        <f>+GETPIVOTDATA("XXS4",'xuanson (2016)'!$A$3,"MA_HT","RSX","MA_QH","DDT")</f>
        <v>0</v>
      </c>
      <c r="AO13" s="35">
        <f>+GETPIVOTDATA("XXS4",'xuanson (2016)'!$A$3,"MA_HT","RSX","MA_QH","DDL")</f>
        <v>0</v>
      </c>
      <c r="AP13" s="35">
        <f>+GETPIVOTDATA("XXS4",'xuanson (2016)'!$A$3,"MA_HT","RSX","MA_QH","DRA")</f>
        <v>0</v>
      </c>
      <c r="AQ13" s="35">
        <f>+GETPIVOTDATA("XXS4",'xuanson (2016)'!$A$3,"MA_HT","RSX","MA_QH","ONT")</f>
        <v>0</v>
      </c>
      <c r="AR13" s="35">
        <f>+GETPIVOTDATA("XXS4",'xuanson (2016)'!$A$3,"MA_HT","RSX","MA_QH","ODT")</f>
        <v>0</v>
      </c>
      <c r="AS13" s="35">
        <f>+GETPIVOTDATA("XXS4",'xuanson (2016)'!$A$3,"MA_HT","RSX","MA_QH","TSC")</f>
        <v>0</v>
      </c>
      <c r="AT13" s="35">
        <f>+GETPIVOTDATA("XXS4",'xuanson (2016)'!$A$3,"MA_HT","RSX","MA_QH","DTS")</f>
        <v>0</v>
      </c>
      <c r="AU13" s="35">
        <f>+GETPIVOTDATA("XXS4",'xuanson (2016)'!$A$3,"MA_HT","RSX","MA_QH","DNG")</f>
        <v>0</v>
      </c>
      <c r="AV13" s="35">
        <f>+GETPIVOTDATA("XXS4",'xuanson (2016)'!$A$3,"MA_HT","RSX","MA_QH","TON")</f>
        <v>0</v>
      </c>
      <c r="AW13" s="35">
        <f>+GETPIVOTDATA("XXS4",'xuanson (2016)'!$A$3,"MA_HT","RSX","MA_QH","NTD")</f>
        <v>0</v>
      </c>
      <c r="AX13" s="35">
        <f>+GETPIVOTDATA("XXS4",'xuanson (2016)'!$A$3,"MA_HT","RSX","MA_QH","SKX")</f>
        <v>0</v>
      </c>
      <c r="AY13" s="35">
        <f>+GETPIVOTDATA("XXS4",'xuanson (2016)'!$A$3,"MA_HT","RSX","MA_QH","DSH")</f>
        <v>0</v>
      </c>
      <c r="AZ13" s="35">
        <f>+GETPIVOTDATA("XXS4",'xuanson (2016)'!$A$3,"MA_HT","RSX","MA_QH","DKV")</f>
        <v>0</v>
      </c>
      <c r="BA13" s="140">
        <f>+GETPIVOTDATA("XXS4",'xuanson (2016)'!$A$3,"MA_HT","RSX","MA_QH","TIN")</f>
        <v>0</v>
      </c>
      <c r="BB13" s="74">
        <f>+GETPIVOTDATA("XXS4",'xuanson (2016)'!$A$3,"MA_HT","RSX","MA_QH","SON")</f>
        <v>0</v>
      </c>
      <c r="BC13" s="74">
        <f>+GETPIVOTDATA("XXS4",'xuanson (2016)'!$A$3,"MA_HT","RSX","MA_QH","MNC")</f>
        <v>0</v>
      </c>
      <c r="BD13" s="35">
        <f>+GETPIVOTDATA("XXS4",'xuanson (2016)'!$A$3,"MA_HT","RSX","MA_QH","PNK")</f>
        <v>0</v>
      </c>
      <c r="BE13" s="58">
        <f>+GETPIVOTDATA("XXS4",'xuanson (2016)'!$A$3,"MA_HT","RSX","MA_QH","CSD")</f>
        <v>0</v>
      </c>
      <c r="BF13" s="66">
        <f t="shared" si="7"/>
        <v>0</v>
      </c>
      <c r="BG13" s="67">
        <f>L$59-$BF13</f>
        <v>0</v>
      </c>
      <c r="BH13" s="62" t="e">
        <f t="shared" si="8"/>
        <v>#REF!</v>
      </c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</row>
    <row r="14" spans="1:82" s="41" customFormat="1" ht="15.75" customHeight="1">
      <c r="A14" s="60" t="s">
        <v>40</v>
      </c>
      <c r="B14" s="60" t="s">
        <v>41</v>
      </c>
      <c r="C14" s="61" t="s">
        <v>42</v>
      </c>
      <c r="D14" s="71" t="e">
        <f>+#REF!</f>
        <v>#REF!</v>
      </c>
      <c r="E14" s="63">
        <f>SUM(F14,J14:L14,N14:Q14)</f>
        <v>0</v>
      </c>
      <c r="F14" s="64">
        <f t="shared" si="9"/>
        <v>0</v>
      </c>
      <c r="G14" s="35">
        <f>+GETPIVOTDATA("XXS4",'xuanson (2016)'!$A$3,"MA_HT","RPH","MA_QH","LUC")</f>
        <v>0</v>
      </c>
      <c r="H14" s="35">
        <f>+GETPIVOTDATA("XXS4",'xuanson (2016)'!$A$3,"MA_HT","RPH","MA_QH","LUK")</f>
        <v>0</v>
      </c>
      <c r="I14" s="35">
        <f>+GETPIVOTDATA("XXS4",'xuanson (2016)'!$A$3,"MA_HT","RPH","MA_QH","LUN")</f>
        <v>0</v>
      </c>
      <c r="J14" s="35">
        <f>+GETPIVOTDATA("XXS4",'xuanson (2016)'!$A$3,"MA_HT","RPH","MA_QH","HNK")</f>
        <v>0</v>
      </c>
      <c r="K14" s="35">
        <f>+GETPIVOTDATA("XXS4",'xuanson (2016)'!$A$3,"MA_HT","RPH","MA_QH","CLN")</f>
        <v>0</v>
      </c>
      <c r="L14" s="35">
        <f>+GETPIVOTDATA("XXS4",'xuanson (2016)'!$A$3,"MA_HT","RPH","MA_QH","RSX")</f>
        <v>0</v>
      </c>
      <c r="M14" s="99" t="e">
        <f>$D14-$BF14</f>
        <v>#REF!</v>
      </c>
      <c r="N14" s="35">
        <f>+GETPIVOTDATA("XXS4",'xuanson (2016)'!$A$3,"MA_HT","RPH","MA_QH","RDD")</f>
        <v>0</v>
      </c>
      <c r="O14" s="35">
        <f>+GETPIVOTDATA("XXS4",'xuanson (2016)'!$A$3,"MA_HT","RPH","MA_QH","NTS")</f>
        <v>0</v>
      </c>
      <c r="P14" s="35">
        <f>+GETPIVOTDATA("XXS4",'xuanson (2016)'!$A$3,"MA_HT","RPH","MA_QH","LMU")</f>
        <v>0</v>
      </c>
      <c r="Q14" s="35">
        <f>+GETPIVOTDATA("XXS4",'xuanson (2016)'!$A$3,"MA_HT","RPH","MA_QH","NKH")</f>
        <v>0</v>
      </c>
      <c r="R14" s="63">
        <f t="shared" si="2"/>
        <v>0</v>
      </c>
      <c r="S14" s="35">
        <f>+GETPIVOTDATA("XXS4",'xuanson (2016)'!$A$3,"MA_HT","RPH","MA_QH","CQP")</f>
        <v>0</v>
      </c>
      <c r="T14" s="35">
        <f>+GETPIVOTDATA("XXS4",'xuanson (2016)'!$A$3,"MA_HT","RPH","MA_QH","CAN")</f>
        <v>0</v>
      </c>
      <c r="U14" s="35">
        <f>+GETPIVOTDATA("XXS4",'xuanson (2016)'!$A$3,"MA_HT","RPH","MA_QH","SKK")</f>
        <v>0</v>
      </c>
      <c r="V14" s="35">
        <f>+GETPIVOTDATA("XXS4",'xuanson (2016)'!$A$3,"MA_HT","RPH","MA_QH","SKT")</f>
        <v>0</v>
      </c>
      <c r="W14" s="35">
        <f>+GETPIVOTDATA("XXS4",'xuanson (2016)'!$A$3,"MA_HT","RPH","MA_QH","SKN")</f>
        <v>0</v>
      </c>
      <c r="X14" s="35">
        <f>+GETPIVOTDATA("XXS4",'xuanson (2016)'!$A$3,"MA_HT","RPH","MA_QH","TMD")</f>
        <v>0</v>
      </c>
      <c r="Y14" s="35">
        <f>+GETPIVOTDATA("XXS4",'xuanson (2016)'!$A$3,"MA_HT","RPH","MA_QH","SKC")</f>
        <v>0</v>
      </c>
      <c r="Z14" s="35">
        <f>+GETPIVOTDATA("XXS4",'xuanson (2016)'!$A$3,"MA_HT","RPH","MA_QH","SKS")</f>
        <v>0</v>
      </c>
      <c r="AA14" s="64">
        <f t="shared" si="4"/>
        <v>0</v>
      </c>
      <c r="AB14" s="35">
        <f>+GETPIVOTDATA("XXS4",'xuanson (2016)'!$A$3,"MA_HT","RPH","MA_QH","DGT")</f>
        <v>0</v>
      </c>
      <c r="AC14" s="35">
        <f>+GETPIVOTDATA("XXS4",'xuanson (2016)'!$A$3,"MA_HT","RPH","MA_QH","DTL")</f>
        <v>0</v>
      </c>
      <c r="AD14" s="35">
        <f>+GETPIVOTDATA("XXS4",'xuanson (2016)'!$A$3,"MA_HT","RPH","MA_QH","DNL")</f>
        <v>0</v>
      </c>
      <c r="AE14" s="35">
        <f>+GETPIVOTDATA("XXS4",'xuanson (2016)'!$A$3,"MA_HT","RPH","MA_QH","DBV")</f>
        <v>0</v>
      </c>
      <c r="AF14" s="35">
        <f>+GETPIVOTDATA("XXS4",'xuanson (2016)'!$A$3,"MA_HT","RPH","MA_QH","DVH")</f>
        <v>0</v>
      </c>
      <c r="AG14" s="35">
        <f>+GETPIVOTDATA("XXS4",'xuanson (2016)'!$A$3,"MA_HT","RPH","MA_QH","DYT")</f>
        <v>0</v>
      </c>
      <c r="AH14" s="35">
        <f>+GETPIVOTDATA("XXS4",'xuanson (2016)'!$A$3,"MA_HT","RPH","MA_QH","DGD")</f>
        <v>0</v>
      </c>
      <c r="AI14" s="35">
        <f>+GETPIVOTDATA("XXS4",'xuanson (2016)'!$A$3,"MA_HT","RPH","MA_QH","DTT")</f>
        <v>0</v>
      </c>
      <c r="AJ14" s="35">
        <f>+GETPIVOTDATA("XXS4",'xuanson (2016)'!$A$3,"MA_HT","RPH","MA_QH","NCK")</f>
        <v>0</v>
      </c>
      <c r="AK14" s="35">
        <f>+GETPIVOTDATA("XXS4",'xuanson (2016)'!$A$3,"MA_HT","RPH","MA_QH","DXH")</f>
        <v>0</v>
      </c>
      <c r="AL14" s="35">
        <f>+GETPIVOTDATA("XXS4",'xuanson (2016)'!$A$3,"MA_HT","RPH","MA_QH","DCH")</f>
        <v>0</v>
      </c>
      <c r="AM14" s="35">
        <f>+GETPIVOTDATA("XXS4",'xuanson (2016)'!$A$3,"MA_HT","RPH","MA_QH","DKG")</f>
        <v>0</v>
      </c>
      <c r="AN14" s="35">
        <f>+GETPIVOTDATA("XXS4",'xuanson (2016)'!$A$3,"MA_HT","RPH","MA_QH","DDT")</f>
        <v>0</v>
      </c>
      <c r="AO14" s="35">
        <f>+GETPIVOTDATA("XXS4",'xuanson (2016)'!$A$3,"MA_HT","RPH","MA_QH","DDL")</f>
        <v>0</v>
      </c>
      <c r="AP14" s="35">
        <f>+GETPIVOTDATA("XXS4",'xuanson (2016)'!$A$3,"MA_HT","RPH","MA_QH","DRA")</f>
        <v>0</v>
      </c>
      <c r="AQ14" s="35">
        <f>+GETPIVOTDATA("XXS4",'xuanson (2016)'!$A$3,"MA_HT","RPH","MA_QH","ONT")</f>
        <v>0</v>
      </c>
      <c r="AR14" s="35">
        <f>+GETPIVOTDATA("XXS4",'xuanson (2016)'!$A$3,"MA_HT","RPH","MA_QH","ODT")</f>
        <v>0</v>
      </c>
      <c r="AS14" s="35">
        <f>+GETPIVOTDATA("XXS4",'xuanson (2016)'!$A$3,"MA_HT","RPH","MA_QH","TSC")</f>
        <v>0</v>
      </c>
      <c r="AT14" s="35">
        <f>+GETPIVOTDATA("XXS4",'xuanson (2016)'!$A$3,"MA_HT","RPH","MA_QH","DTS")</f>
        <v>0</v>
      </c>
      <c r="AU14" s="35">
        <f>+GETPIVOTDATA("XXS4",'xuanson (2016)'!$A$3,"MA_HT","RPH","MA_QH","DNG")</f>
        <v>0</v>
      </c>
      <c r="AV14" s="35">
        <f>+GETPIVOTDATA("XXS4",'xuanson (2016)'!$A$3,"MA_HT","RPH","MA_QH","TON")</f>
        <v>0</v>
      </c>
      <c r="AW14" s="35">
        <f>+GETPIVOTDATA("XXS4",'xuanson (2016)'!$A$3,"MA_HT","RPH","MA_QH","NTD")</f>
        <v>0</v>
      </c>
      <c r="AX14" s="35">
        <f>+GETPIVOTDATA("XXS4",'xuanson (2016)'!$A$3,"MA_HT","RPH","MA_QH","SKX")</f>
        <v>0</v>
      </c>
      <c r="AY14" s="35">
        <f>+GETPIVOTDATA("XXS4",'xuanson (2016)'!$A$3,"MA_HT","RPH","MA_QH","DSH")</f>
        <v>0</v>
      </c>
      <c r="AZ14" s="35">
        <f>+GETPIVOTDATA("XXS4",'xuanson (2016)'!$A$3,"MA_HT","RPH","MA_QH","DKV")</f>
        <v>0</v>
      </c>
      <c r="BA14" s="140">
        <f>+GETPIVOTDATA("XXS4",'xuanson (2016)'!$A$3,"MA_HT","RPH","MA_QH","TIN")</f>
        <v>0</v>
      </c>
      <c r="BB14" s="74">
        <f>+GETPIVOTDATA("XXS4",'xuanson (2016)'!$A$3,"MA_HT","RPH","MA_QH","SON")</f>
        <v>0</v>
      </c>
      <c r="BC14" s="74">
        <f>+GETPIVOTDATA("XXS4",'xuanson (2016)'!$A$3,"MA_HT","RPH","MA_QH","MNC")</f>
        <v>0</v>
      </c>
      <c r="BD14" s="35">
        <f>+GETPIVOTDATA("XXS4",'xuanson (2016)'!$A$3,"MA_HT","RPH","MA_QH","PNK")</f>
        <v>0</v>
      </c>
      <c r="BE14" s="58">
        <f>+GETPIVOTDATA("XXS4",'xuanson (2016)'!$A$3,"MA_HT","RPH","MA_QH","CSD")</f>
        <v>0</v>
      </c>
      <c r="BF14" s="66">
        <f t="shared" si="7"/>
        <v>0</v>
      </c>
      <c r="BG14" s="67">
        <f>M$59-$BF14</f>
        <v>0</v>
      </c>
      <c r="BH14" s="62" t="e">
        <f t="shared" si="8"/>
        <v>#REF!</v>
      </c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</row>
    <row r="15" spans="1:82" s="41" customFormat="1" ht="15.75" customHeight="1">
      <c r="A15" s="60" t="s">
        <v>43</v>
      </c>
      <c r="B15" s="60" t="s">
        <v>222</v>
      </c>
      <c r="C15" s="61" t="s">
        <v>45</v>
      </c>
      <c r="D15" s="71" t="e">
        <f>+#REF!</f>
        <v>#REF!</v>
      </c>
      <c r="E15" s="63">
        <f>SUM(F15,J15:M15,O15:Q15)</f>
        <v>0</v>
      </c>
      <c r="F15" s="64">
        <f t="shared" si="9"/>
        <v>0</v>
      </c>
      <c r="G15" s="35">
        <f>+GETPIVOTDATA("XXS4",'xuanson (2016)'!$A$3,"MA_HT","RDD","MA_QH","LUC")</f>
        <v>0</v>
      </c>
      <c r="H15" s="35">
        <f>+GETPIVOTDATA("XXS4",'xuanson (2016)'!$A$3,"MA_HT","RDD","MA_QH","LUK")</f>
        <v>0</v>
      </c>
      <c r="I15" s="35">
        <f>+GETPIVOTDATA("XXS4",'xuanson (2016)'!$A$3,"MA_HT","RDD","MA_QH","LUN")</f>
        <v>0</v>
      </c>
      <c r="J15" s="35">
        <f>+GETPIVOTDATA("XXS4",'xuanson (2016)'!$A$3,"MA_HT","RDD","MA_QH","HNK")</f>
        <v>0</v>
      </c>
      <c r="K15" s="35">
        <f>+GETPIVOTDATA("XXS4",'xuanson (2016)'!$A$3,"MA_HT","RDD","MA_QH","CLN")</f>
        <v>0</v>
      </c>
      <c r="L15" s="35">
        <f>+GETPIVOTDATA("XXS4",'xuanson (2016)'!$A$3,"MA_HT","RDD","MA_QH","RSX")</f>
        <v>0</v>
      </c>
      <c r="M15" s="35">
        <f>+GETPIVOTDATA("XXS4",'xuanson (2016)'!$A$3,"MA_HT","RDD","MA_QH","RPH")</f>
        <v>0</v>
      </c>
      <c r="N15" s="99" t="e">
        <f>$D15-$BF15</f>
        <v>#REF!</v>
      </c>
      <c r="O15" s="35">
        <f>+GETPIVOTDATA("XXS4",'xuanson (2016)'!$A$3,"MA_HT","RDD","MA_QH","NTS")</f>
        <v>0</v>
      </c>
      <c r="P15" s="35">
        <f>+GETPIVOTDATA("XXS4",'xuanson (2016)'!$A$3,"MA_HT","RDD","MA_QH","LMU")</f>
        <v>0</v>
      </c>
      <c r="Q15" s="35">
        <f>+GETPIVOTDATA("XXS4",'xuanson (2016)'!$A$3,"MA_HT","RDD","MA_QH","NKH")</f>
        <v>0</v>
      </c>
      <c r="R15" s="63">
        <f t="shared" si="2"/>
        <v>0</v>
      </c>
      <c r="S15" s="35">
        <f>+GETPIVOTDATA("XXS4",'xuanson (2016)'!$A$3,"MA_HT","RDD","MA_QH","CQP")</f>
        <v>0</v>
      </c>
      <c r="T15" s="35">
        <f>+GETPIVOTDATA("XXS4",'xuanson (2016)'!$A$3,"MA_HT","RDD","MA_QH","CAN")</f>
        <v>0</v>
      </c>
      <c r="U15" s="35">
        <f>+GETPIVOTDATA("XXS4",'xuanson (2016)'!$A$3,"MA_HT","RDD","MA_QH","SKK")</f>
        <v>0</v>
      </c>
      <c r="V15" s="35">
        <f>+GETPIVOTDATA("XXS4",'xuanson (2016)'!$A$3,"MA_HT","RDD","MA_QH","SKT")</f>
        <v>0</v>
      </c>
      <c r="W15" s="35">
        <f>+GETPIVOTDATA("XXS4",'xuanson (2016)'!$A$3,"MA_HT","RDD","MA_QH","SKN")</f>
        <v>0</v>
      </c>
      <c r="X15" s="35">
        <f>+GETPIVOTDATA("XXS4",'xuanson (2016)'!$A$3,"MA_HT","RDD","MA_QH","TMD")</f>
        <v>0</v>
      </c>
      <c r="Y15" s="35">
        <f>+GETPIVOTDATA("XXS4",'xuanson (2016)'!$A$3,"MA_HT","RDD","MA_QH","SKC")</f>
        <v>0</v>
      </c>
      <c r="Z15" s="35">
        <f>+GETPIVOTDATA("XXS4",'xuanson (2016)'!$A$3,"MA_HT","RDD","MA_QH","SKS")</f>
        <v>0</v>
      </c>
      <c r="AA15" s="64">
        <f t="shared" si="4"/>
        <v>0</v>
      </c>
      <c r="AB15" s="35">
        <f>+GETPIVOTDATA("XXS4",'xuanson (2016)'!$A$3,"MA_HT","RDD","MA_QH","DGT")</f>
        <v>0</v>
      </c>
      <c r="AC15" s="35">
        <f>+GETPIVOTDATA("XXS4",'xuanson (2016)'!$A$3,"MA_HT","RDD","MA_QH","DTL")</f>
        <v>0</v>
      </c>
      <c r="AD15" s="35">
        <f>+GETPIVOTDATA("XXS4",'xuanson (2016)'!$A$3,"MA_HT","RDD","MA_QH","DNL")</f>
        <v>0</v>
      </c>
      <c r="AE15" s="35">
        <f>+GETPIVOTDATA("XXS4",'xuanson (2016)'!$A$3,"MA_HT","RDD","MA_QH","DBV")</f>
        <v>0</v>
      </c>
      <c r="AF15" s="35">
        <f>+GETPIVOTDATA("XXS4",'xuanson (2016)'!$A$3,"MA_HT","RDD","MA_QH","DVH")</f>
        <v>0</v>
      </c>
      <c r="AG15" s="35">
        <f>+GETPIVOTDATA("XXS4",'xuanson (2016)'!$A$3,"MA_HT","RDD","MA_QH","DYT")</f>
        <v>0</v>
      </c>
      <c r="AH15" s="35">
        <f>+GETPIVOTDATA("XXS4",'xuanson (2016)'!$A$3,"MA_HT","RDD","MA_QH","DGD")</f>
        <v>0</v>
      </c>
      <c r="AI15" s="35">
        <f>+GETPIVOTDATA("XXS4",'xuanson (2016)'!$A$3,"MA_HT","RDD","MA_QH","DTT")</f>
        <v>0</v>
      </c>
      <c r="AJ15" s="35">
        <f>+GETPIVOTDATA("XXS4",'xuanson (2016)'!$A$3,"MA_HT","RDD","MA_QH","NCK")</f>
        <v>0</v>
      </c>
      <c r="AK15" s="35">
        <f>+GETPIVOTDATA("XXS4",'xuanson (2016)'!$A$3,"MA_HT","RDD","MA_QH","DXH")</f>
        <v>0</v>
      </c>
      <c r="AL15" s="35">
        <f>+GETPIVOTDATA("XXS4",'xuanson (2016)'!$A$3,"MA_HT","RDD","MA_QH","DCH")</f>
        <v>0</v>
      </c>
      <c r="AM15" s="35">
        <f>+GETPIVOTDATA("XXS4",'xuanson (2016)'!$A$3,"MA_HT","RDD","MA_QH","DKG")</f>
        <v>0</v>
      </c>
      <c r="AN15" s="35">
        <f>+GETPIVOTDATA("XXS4",'xuanson (2016)'!$A$3,"MA_HT","RDD","MA_QH","DDT")</f>
        <v>0</v>
      </c>
      <c r="AO15" s="35">
        <f>+GETPIVOTDATA("XXS4",'xuanson (2016)'!$A$3,"MA_HT","RDD","MA_QH","DDL")</f>
        <v>0</v>
      </c>
      <c r="AP15" s="35">
        <f>+GETPIVOTDATA("XXS4",'xuanson (2016)'!$A$3,"MA_HT","RDD","MA_QH","DRA")</f>
        <v>0</v>
      </c>
      <c r="AQ15" s="35">
        <f>+GETPIVOTDATA("XXS4",'xuanson (2016)'!$A$3,"MA_HT","RDD","MA_QH","ONT")</f>
        <v>0</v>
      </c>
      <c r="AR15" s="35">
        <f>+GETPIVOTDATA("XXS4",'xuanson (2016)'!$A$3,"MA_HT","RDD","MA_QH","ODT")</f>
        <v>0</v>
      </c>
      <c r="AS15" s="35">
        <f>+GETPIVOTDATA("XXS4",'xuanson (2016)'!$A$3,"MA_HT","RDD","MA_QH","TSC")</f>
        <v>0</v>
      </c>
      <c r="AT15" s="35">
        <f>+GETPIVOTDATA("XXS4",'xuanson (2016)'!$A$3,"MA_HT","RDD","MA_QH","DTS")</f>
        <v>0</v>
      </c>
      <c r="AU15" s="35">
        <f>+GETPIVOTDATA("XXS4",'xuanson (2016)'!$A$3,"MA_HT","RDD","MA_QH","DNG")</f>
        <v>0</v>
      </c>
      <c r="AV15" s="35">
        <f>+GETPIVOTDATA("XXS4",'xuanson (2016)'!$A$3,"MA_HT","RDD","MA_QH","TON")</f>
        <v>0</v>
      </c>
      <c r="AW15" s="35">
        <f>+GETPIVOTDATA("XXS4",'xuanson (2016)'!$A$3,"MA_HT","RDD","MA_QH","NTD")</f>
        <v>0</v>
      </c>
      <c r="AX15" s="35">
        <f>+GETPIVOTDATA("XXS4",'xuanson (2016)'!$A$3,"MA_HT","RDD","MA_QH","SKX")</f>
        <v>0</v>
      </c>
      <c r="AY15" s="35">
        <f>+GETPIVOTDATA("XXS4",'xuanson (2016)'!$A$3,"MA_HT","RDD","MA_QH","DSH")</f>
        <v>0</v>
      </c>
      <c r="AZ15" s="35">
        <f>+GETPIVOTDATA("XXS4",'xuanson (2016)'!$A$3,"MA_HT","RDD","MA_QH","DKV")</f>
        <v>0</v>
      </c>
      <c r="BA15" s="140">
        <f>+GETPIVOTDATA("XXS4",'xuanson (2016)'!$A$3,"MA_HT","RDD","MA_QH","TIN")</f>
        <v>0</v>
      </c>
      <c r="BB15" s="74">
        <f>+GETPIVOTDATA("XXS4",'xuanson (2016)'!$A$3,"MA_HT","RDD","MA_QH","SON")</f>
        <v>0</v>
      </c>
      <c r="BC15" s="74">
        <f>+GETPIVOTDATA("XXS4",'xuanson (2016)'!$A$3,"MA_HT","RDD","MA_QH","MNC")</f>
        <v>0</v>
      </c>
      <c r="BD15" s="35">
        <f>+GETPIVOTDATA("XXS4",'xuanson (2016)'!$A$3,"MA_HT","RDD","MA_QH","PNK")</f>
        <v>0</v>
      </c>
      <c r="BE15" s="58">
        <f>+GETPIVOTDATA("XXS4",'xuanson (2016)'!$A$3,"MA_HT","RDD","MA_QH","CSD")</f>
        <v>0</v>
      </c>
      <c r="BF15" s="66">
        <f t="shared" si="7"/>
        <v>0</v>
      </c>
      <c r="BG15" s="67">
        <f>N$59-$BF15</f>
        <v>0</v>
      </c>
      <c r="BH15" s="62" t="e">
        <f t="shared" si="8"/>
        <v>#REF!</v>
      </c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</row>
    <row r="16" spans="1:82" s="41" customFormat="1" ht="15.75" customHeight="1">
      <c r="A16" s="60" t="s">
        <v>46</v>
      </c>
      <c r="B16" s="60" t="s">
        <v>47</v>
      </c>
      <c r="C16" s="61" t="s">
        <v>48</v>
      </c>
      <c r="D16" s="71" t="e">
        <f>+#REF!</f>
        <v>#REF!</v>
      </c>
      <c r="E16" s="63">
        <f>SUM(F16,J16:N16,P16:Q16)</f>
        <v>0</v>
      </c>
      <c r="F16" s="64">
        <f t="shared" si="9"/>
        <v>0</v>
      </c>
      <c r="G16" s="35">
        <f>+GETPIVOTDATA("XXS4",'xuanson (2016)'!$A$3,"MA_HT","NTS","MA_QH","LUC")</f>
        <v>0</v>
      </c>
      <c r="H16" s="35">
        <f>+GETPIVOTDATA("XXS4",'xuanson (2016)'!$A$3,"MA_HT","NTS","MA_QH","LUK")</f>
        <v>0</v>
      </c>
      <c r="I16" s="35">
        <f>+GETPIVOTDATA("XXS4",'xuanson (2016)'!$A$3,"MA_HT","NTS","MA_QH","LUN")</f>
        <v>0</v>
      </c>
      <c r="J16" s="35">
        <f>+GETPIVOTDATA("XXS4",'xuanson (2016)'!$A$3,"MA_HT","NTS","MA_QH","HNK")</f>
        <v>0</v>
      </c>
      <c r="K16" s="35">
        <f>+GETPIVOTDATA("XXS4",'xuanson (2016)'!$A$3,"MA_HT","NTS","MA_QH","CLN")</f>
        <v>0</v>
      </c>
      <c r="L16" s="35">
        <f>+GETPIVOTDATA("XXS4",'xuanson (2016)'!$A$3,"MA_HT","NTS","MA_QH","RSX")</f>
        <v>0</v>
      </c>
      <c r="M16" s="35">
        <f>+GETPIVOTDATA("XXS4",'xuanson (2016)'!$A$3,"MA_HT","NTS","MA_QH","RPH")</f>
        <v>0</v>
      </c>
      <c r="N16" s="35">
        <f>+GETPIVOTDATA("XXS4",'xuanson (2016)'!$A$3,"MA_HT","NTS","MA_QH","RDD")</f>
        <v>0</v>
      </c>
      <c r="O16" s="99" t="e">
        <f>$D16-$BF16</f>
        <v>#REF!</v>
      </c>
      <c r="P16" s="35">
        <f>+GETPIVOTDATA("XXS4",'xuanson (2016)'!$A$3,"MA_HT","NTS","MA_QH","LMU")</f>
        <v>0</v>
      </c>
      <c r="Q16" s="35">
        <f>+GETPIVOTDATA("XXS4",'xuanson (2016)'!$A$3,"MA_HT","NTS","MA_QH","NKH")</f>
        <v>0</v>
      </c>
      <c r="R16" s="63">
        <f t="shared" si="2"/>
        <v>0</v>
      </c>
      <c r="S16" s="35">
        <f>+GETPIVOTDATA("XXS4",'xuanson (2016)'!$A$3,"MA_HT","NTS","MA_QH","CQP")</f>
        <v>0</v>
      </c>
      <c r="T16" s="35">
        <f>+GETPIVOTDATA("XXS4",'xuanson (2016)'!$A$3,"MA_HT","NTS","MA_QH","CAN")</f>
        <v>0</v>
      </c>
      <c r="U16" s="35">
        <f>+GETPIVOTDATA("XXS4",'xuanson (2016)'!$A$3,"MA_HT","NTS","MA_QH","SKK")</f>
        <v>0</v>
      </c>
      <c r="V16" s="35">
        <f>+GETPIVOTDATA("XXS4",'xuanson (2016)'!$A$3,"MA_HT","NTS","MA_QH","SKT")</f>
        <v>0</v>
      </c>
      <c r="W16" s="35">
        <f>+GETPIVOTDATA("XXS4",'xuanson (2016)'!$A$3,"MA_HT","NTS","MA_QH","SKN")</f>
        <v>0</v>
      </c>
      <c r="X16" s="35">
        <f>+GETPIVOTDATA("XXS4",'xuanson (2016)'!$A$3,"MA_HT","NTS","MA_QH","TMD")</f>
        <v>0</v>
      </c>
      <c r="Y16" s="35">
        <f>+GETPIVOTDATA("XXS4",'xuanson (2016)'!$A$3,"MA_HT","NTS","MA_QH","SKC")</f>
        <v>0</v>
      </c>
      <c r="Z16" s="35">
        <f>+GETPIVOTDATA("XXS4",'xuanson (2016)'!$A$3,"MA_HT","NTS","MA_QH","SKS")</f>
        <v>0</v>
      </c>
      <c r="AA16" s="64">
        <f t="shared" si="4"/>
        <v>0</v>
      </c>
      <c r="AB16" s="35">
        <f>+GETPIVOTDATA("XXS4",'xuanson (2016)'!$A$3,"MA_HT","NTS","MA_QH","DGT")</f>
        <v>0</v>
      </c>
      <c r="AC16" s="35">
        <f>+GETPIVOTDATA("XXS4",'xuanson (2016)'!$A$3,"MA_HT","NTS","MA_QH","DTL")</f>
        <v>0</v>
      </c>
      <c r="AD16" s="35">
        <f>+GETPIVOTDATA("XXS4",'xuanson (2016)'!$A$3,"MA_HT","NTS","MA_QH","DNL")</f>
        <v>0</v>
      </c>
      <c r="AE16" s="35">
        <f>+GETPIVOTDATA("XXS4",'xuanson (2016)'!$A$3,"MA_HT","NTS","MA_QH","DBV")</f>
        <v>0</v>
      </c>
      <c r="AF16" s="35">
        <f>+GETPIVOTDATA("XXS4",'xuanson (2016)'!$A$3,"MA_HT","NTS","MA_QH","DVH")</f>
        <v>0</v>
      </c>
      <c r="AG16" s="35">
        <f>+GETPIVOTDATA("XXS4",'xuanson (2016)'!$A$3,"MA_HT","NTS","MA_QH","DYT")</f>
        <v>0</v>
      </c>
      <c r="AH16" s="35">
        <f>+GETPIVOTDATA("XXS4",'xuanson (2016)'!$A$3,"MA_HT","NTS","MA_QH","DGD")</f>
        <v>0</v>
      </c>
      <c r="AI16" s="35">
        <f>+GETPIVOTDATA("XXS4",'xuanson (2016)'!$A$3,"MA_HT","NTS","MA_QH","DTT")</f>
        <v>0</v>
      </c>
      <c r="AJ16" s="35">
        <f>+GETPIVOTDATA("XXS4",'xuanson (2016)'!$A$3,"MA_HT","NTS","MA_QH","NCK")</f>
        <v>0</v>
      </c>
      <c r="AK16" s="35">
        <f>+GETPIVOTDATA("XXS4",'xuanson (2016)'!$A$3,"MA_HT","NTS","MA_QH","DXH")</f>
        <v>0</v>
      </c>
      <c r="AL16" s="35">
        <f>+GETPIVOTDATA("XXS4",'xuanson (2016)'!$A$3,"MA_HT","NTS","MA_QH","DCH")</f>
        <v>0</v>
      </c>
      <c r="AM16" s="35">
        <f>+GETPIVOTDATA("XXS4",'xuanson (2016)'!$A$3,"MA_HT","NTS","MA_QH","DKG")</f>
        <v>0</v>
      </c>
      <c r="AN16" s="35">
        <f>+GETPIVOTDATA("XXS4",'xuanson (2016)'!$A$3,"MA_HT","NTS","MA_QH","DDT")</f>
        <v>0</v>
      </c>
      <c r="AO16" s="35">
        <f>+GETPIVOTDATA("XXS4",'xuanson (2016)'!$A$3,"MA_HT","NTS","MA_QH","DDL")</f>
        <v>0</v>
      </c>
      <c r="AP16" s="35">
        <f>+GETPIVOTDATA("XXS4",'xuanson (2016)'!$A$3,"MA_HT","NTS","MA_QH","DRA")</f>
        <v>0</v>
      </c>
      <c r="AQ16" s="35">
        <f>+GETPIVOTDATA("XXS4",'xuanson (2016)'!$A$3,"MA_HT","NTS","MA_QH","ONT")</f>
        <v>0</v>
      </c>
      <c r="AR16" s="35">
        <f>+GETPIVOTDATA("XXS4",'xuanson (2016)'!$A$3,"MA_HT","NTS","MA_QH","ODT")</f>
        <v>0</v>
      </c>
      <c r="AS16" s="35">
        <f>+GETPIVOTDATA("XXS4",'xuanson (2016)'!$A$3,"MA_HT","NTS","MA_QH","TSC")</f>
        <v>0</v>
      </c>
      <c r="AT16" s="35">
        <f>+GETPIVOTDATA("XXS4",'xuanson (2016)'!$A$3,"MA_HT","NTS","MA_QH","DTS")</f>
        <v>0</v>
      </c>
      <c r="AU16" s="35">
        <f>+GETPIVOTDATA("XXS4",'xuanson (2016)'!$A$3,"MA_HT","NTS","MA_QH","DNG")</f>
        <v>0</v>
      </c>
      <c r="AV16" s="35">
        <f>+GETPIVOTDATA("XXS4",'xuanson (2016)'!$A$3,"MA_HT","NTS","MA_QH","TON")</f>
        <v>0</v>
      </c>
      <c r="AW16" s="35">
        <f>+GETPIVOTDATA("XXS4",'xuanson (2016)'!$A$3,"MA_HT","NTS","MA_QH","NTD")</f>
        <v>0</v>
      </c>
      <c r="AX16" s="35">
        <f>+GETPIVOTDATA("XXS4",'xuanson (2016)'!$A$3,"MA_HT","NTS","MA_QH","SKX")</f>
        <v>0</v>
      </c>
      <c r="AY16" s="35">
        <f>+GETPIVOTDATA("XXS4",'xuanson (2016)'!$A$3,"MA_HT","NTS","MA_QH","DSH")</f>
        <v>0</v>
      </c>
      <c r="AZ16" s="35">
        <f>+GETPIVOTDATA("XXS4",'xuanson (2016)'!$A$3,"MA_HT","NTS","MA_QH","DKV")</f>
        <v>0</v>
      </c>
      <c r="BA16" s="140">
        <f>+GETPIVOTDATA("XXS4",'xuanson (2016)'!$A$3,"MA_HT","NTS","MA_QH","TIN")</f>
        <v>0</v>
      </c>
      <c r="BB16" s="74">
        <f>+GETPIVOTDATA("XXS4",'xuanson (2016)'!$A$3,"MA_HT","NTS","MA_QH","SON")</f>
        <v>0</v>
      </c>
      <c r="BC16" s="74">
        <f>+GETPIVOTDATA("XXS4",'xuanson (2016)'!$A$3,"MA_HT","NTS","MA_QH","MNC")</f>
        <v>0</v>
      </c>
      <c r="BD16" s="35">
        <f>+GETPIVOTDATA("XXS4",'xuanson (2016)'!$A$3,"MA_HT","NTS","MA_QH","PNK")</f>
        <v>0</v>
      </c>
      <c r="BE16" s="58">
        <f>+GETPIVOTDATA("XXS4",'xuanson (2016)'!$A$3,"MA_HT","NTS","MA_QH","CSD")</f>
        <v>0</v>
      </c>
      <c r="BF16" s="66">
        <f t="shared" si="7"/>
        <v>0</v>
      </c>
      <c r="BG16" s="67">
        <f>O$59-$BF16</f>
        <v>0</v>
      </c>
      <c r="BH16" s="62" t="e">
        <f t="shared" si="8"/>
        <v>#REF!</v>
      </c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</row>
    <row r="17" spans="1:79" s="41" customFormat="1" ht="15.75" customHeight="1">
      <c r="A17" s="60" t="s">
        <v>49</v>
      </c>
      <c r="B17" s="60" t="s">
        <v>50</v>
      </c>
      <c r="C17" s="61" t="s">
        <v>51</v>
      </c>
      <c r="D17" s="71" t="e">
        <f>+#REF!</f>
        <v>#REF!</v>
      </c>
      <c r="E17" s="63">
        <f>SUM(F17,J17:O17,Q17:Q17)</f>
        <v>0</v>
      </c>
      <c r="F17" s="64">
        <f t="shared" si="9"/>
        <v>0</v>
      </c>
      <c r="G17" s="35">
        <f>+GETPIVOTDATA("XXS4",'xuanson (2016)'!$A$3,"MA_HT","LMU","MA_QH","LUC")</f>
        <v>0</v>
      </c>
      <c r="H17" s="35">
        <f>+GETPIVOTDATA("XXS4",'xuanson (2016)'!$A$3,"MA_HT","LMU","MA_QH","LUK")</f>
        <v>0</v>
      </c>
      <c r="I17" s="35">
        <f>+GETPIVOTDATA("XXS4",'xuanson (2016)'!$A$3,"MA_HT","LMU","MA_QH","LUN")</f>
        <v>0</v>
      </c>
      <c r="J17" s="35">
        <f>+GETPIVOTDATA("XXS4",'xuanson (2016)'!$A$3,"MA_HT","LMU","MA_QH","HNK")</f>
        <v>0</v>
      </c>
      <c r="K17" s="35">
        <f>+GETPIVOTDATA("XXS4",'xuanson (2016)'!$A$3,"MA_HT","LMU","MA_QH","CLN")</f>
        <v>0</v>
      </c>
      <c r="L17" s="35">
        <f>+GETPIVOTDATA("XXS4",'xuanson (2016)'!$A$3,"MA_HT","LMU","MA_QH","RSX")</f>
        <v>0</v>
      </c>
      <c r="M17" s="35">
        <f>+GETPIVOTDATA("XXS4",'xuanson (2016)'!$A$3,"MA_HT","LMU","MA_QH","RPH")</f>
        <v>0</v>
      </c>
      <c r="N17" s="35">
        <f>+GETPIVOTDATA("XXS4",'xuanson (2016)'!$A$3,"MA_HT","LMU","MA_QH","RDD")</f>
        <v>0</v>
      </c>
      <c r="O17" s="35">
        <f>+GETPIVOTDATA("XXS4",'xuanson (2016)'!$A$3,"MA_HT","LMU","MA_QH","NTS")</f>
        <v>0</v>
      </c>
      <c r="P17" s="99" t="e">
        <f>$D17-$BF17</f>
        <v>#REF!</v>
      </c>
      <c r="Q17" s="35">
        <f>+GETPIVOTDATA("XXS4",'xuanson (2016)'!$A$3,"MA_HT","LMU","MA_QH","NKH")</f>
        <v>0</v>
      </c>
      <c r="R17" s="63">
        <f t="shared" si="2"/>
        <v>0</v>
      </c>
      <c r="S17" s="35">
        <f>+GETPIVOTDATA("XXS4",'xuanson (2016)'!$A$3,"MA_HT","LMU","MA_QH","CQP")</f>
        <v>0</v>
      </c>
      <c r="T17" s="35">
        <f>+GETPIVOTDATA("XXS4",'xuanson (2016)'!$A$3,"MA_HT","LMU","MA_QH","CAN")</f>
        <v>0</v>
      </c>
      <c r="U17" s="35">
        <f>+GETPIVOTDATA("XXS4",'xuanson (2016)'!$A$3,"MA_HT","LMU","MA_QH","SKK")</f>
        <v>0</v>
      </c>
      <c r="V17" s="35">
        <f>+GETPIVOTDATA("XXS4",'xuanson (2016)'!$A$3,"MA_HT","LMU","MA_QH","SKT")</f>
        <v>0</v>
      </c>
      <c r="W17" s="35">
        <f>+GETPIVOTDATA("XXS4",'xuanson (2016)'!$A$3,"MA_HT","LMU","MA_QH","SKN")</f>
        <v>0</v>
      </c>
      <c r="X17" s="35">
        <f>+GETPIVOTDATA("XXS4",'xuanson (2016)'!$A$3,"MA_HT","LMU","MA_QH","TMD")</f>
        <v>0</v>
      </c>
      <c r="Y17" s="35">
        <f>+GETPIVOTDATA("XXS4",'xuanson (2016)'!$A$3,"MA_HT","LMU","MA_QH","SKC")</f>
        <v>0</v>
      </c>
      <c r="Z17" s="35">
        <f>+GETPIVOTDATA("XXS4",'xuanson (2016)'!$A$3,"MA_HT","LMU","MA_QH","SKS")</f>
        <v>0</v>
      </c>
      <c r="AA17" s="64">
        <f t="shared" si="4"/>
        <v>0</v>
      </c>
      <c r="AB17" s="35">
        <f>+GETPIVOTDATA("XXS4",'xuanson (2016)'!$A$3,"MA_HT","LMU","MA_QH","DGT")</f>
        <v>0</v>
      </c>
      <c r="AC17" s="35">
        <f>+GETPIVOTDATA("XXS4",'xuanson (2016)'!$A$3,"MA_HT","LMU","MA_QH","DTL")</f>
        <v>0</v>
      </c>
      <c r="AD17" s="35">
        <f>+GETPIVOTDATA("XXS4",'xuanson (2016)'!$A$3,"MA_HT","LMU","MA_QH","DNL")</f>
        <v>0</v>
      </c>
      <c r="AE17" s="35">
        <f>+GETPIVOTDATA("XXS4",'xuanson (2016)'!$A$3,"MA_HT","LMU","MA_QH","DBV")</f>
        <v>0</v>
      </c>
      <c r="AF17" s="35">
        <f>+GETPIVOTDATA("XXS4",'xuanson (2016)'!$A$3,"MA_HT","LMU","MA_QH","DVH")</f>
        <v>0</v>
      </c>
      <c r="AG17" s="35">
        <f>+GETPIVOTDATA("XXS4",'xuanson (2016)'!$A$3,"MA_HT","LMU","MA_QH","DYT")</f>
        <v>0</v>
      </c>
      <c r="AH17" s="35">
        <f>+GETPIVOTDATA("XXS4",'xuanson (2016)'!$A$3,"MA_HT","LMU","MA_QH","DGD")</f>
        <v>0</v>
      </c>
      <c r="AI17" s="35">
        <f>+GETPIVOTDATA("XXS4",'xuanson (2016)'!$A$3,"MA_HT","LMU","MA_QH","DTT")</f>
        <v>0</v>
      </c>
      <c r="AJ17" s="35">
        <f>+GETPIVOTDATA("XXS4",'xuanson (2016)'!$A$3,"MA_HT","LMU","MA_QH","NCK")</f>
        <v>0</v>
      </c>
      <c r="AK17" s="35">
        <f>+GETPIVOTDATA("XXS4",'xuanson (2016)'!$A$3,"MA_HT","LMU","MA_QH","DXH")</f>
        <v>0</v>
      </c>
      <c r="AL17" s="35">
        <f>+GETPIVOTDATA("XXS4",'xuanson (2016)'!$A$3,"MA_HT","LMU","MA_QH","DCH")</f>
        <v>0</v>
      </c>
      <c r="AM17" s="35">
        <f>+GETPIVOTDATA("XXS4",'xuanson (2016)'!$A$3,"MA_HT","LMU","MA_QH","DKG")</f>
        <v>0</v>
      </c>
      <c r="AN17" s="35">
        <f>+GETPIVOTDATA("XXS4",'xuanson (2016)'!$A$3,"MA_HT","LMU","MA_QH","DDT")</f>
        <v>0</v>
      </c>
      <c r="AO17" s="35">
        <f>+GETPIVOTDATA("XXS4",'xuanson (2016)'!$A$3,"MA_HT","LMU","MA_QH","DDL")</f>
        <v>0</v>
      </c>
      <c r="AP17" s="35">
        <f>+GETPIVOTDATA("XXS4",'xuanson (2016)'!$A$3,"MA_HT","LMU","MA_QH","DRA")</f>
        <v>0</v>
      </c>
      <c r="AQ17" s="35">
        <f>+GETPIVOTDATA("XXS4",'xuanson (2016)'!$A$3,"MA_HT","LMU","MA_QH","ONT")</f>
        <v>0</v>
      </c>
      <c r="AR17" s="35">
        <f>+GETPIVOTDATA("XXS4",'xuanson (2016)'!$A$3,"MA_HT","LMU","MA_QH","ODT")</f>
        <v>0</v>
      </c>
      <c r="AS17" s="35">
        <f>+GETPIVOTDATA("XXS4",'xuanson (2016)'!$A$3,"MA_HT","LMU","MA_QH","TSC")</f>
        <v>0</v>
      </c>
      <c r="AT17" s="35">
        <f>+GETPIVOTDATA("XXS4",'xuanson (2016)'!$A$3,"MA_HT","LMU","MA_QH","DTS")</f>
        <v>0</v>
      </c>
      <c r="AU17" s="35">
        <f>+GETPIVOTDATA("XXS4",'xuanson (2016)'!$A$3,"MA_HT","LMU","MA_QH","DNG")</f>
        <v>0</v>
      </c>
      <c r="AV17" s="35">
        <f>+GETPIVOTDATA("XXS4",'xuanson (2016)'!$A$3,"MA_HT","LMU","MA_QH","TON")</f>
        <v>0</v>
      </c>
      <c r="AW17" s="35">
        <f>+GETPIVOTDATA("XXS4",'xuanson (2016)'!$A$3,"MA_HT","LMU","MA_QH","NTD")</f>
        <v>0</v>
      </c>
      <c r="AX17" s="35">
        <f>+GETPIVOTDATA("XXS4",'xuanson (2016)'!$A$3,"MA_HT","LMU","MA_QH","SKX")</f>
        <v>0</v>
      </c>
      <c r="AY17" s="35">
        <f>+GETPIVOTDATA("XXS4",'xuanson (2016)'!$A$3,"MA_HT","LMU","MA_QH","DSH")</f>
        <v>0</v>
      </c>
      <c r="AZ17" s="35">
        <f>+GETPIVOTDATA("XXS4",'xuanson (2016)'!$A$3,"MA_HT","LMU","MA_QH","DKV")</f>
        <v>0</v>
      </c>
      <c r="BA17" s="140">
        <f>+GETPIVOTDATA("XXS4",'xuanson (2016)'!$A$3,"MA_HT","LMU","MA_QH","TIN")</f>
        <v>0</v>
      </c>
      <c r="BB17" s="74">
        <f>+GETPIVOTDATA("XXS4",'xuanson (2016)'!$A$3,"MA_HT","LMU","MA_QH","SON")</f>
        <v>0</v>
      </c>
      <c r="BC17" s="74">
        <f>+GETPIVOTDATA("XXS4",'xuanson (2016)'!$A$3,"MA_HT","LMU","MA_QH","MNC")</f>
        <v>0</v>
      </c>
      <c r="BD17" s="35">
        <f>+GETPIVOTDATA("XXS4",'xuanson (2016)'!$A$3,"MA_HT","LMU","MA_QH","PNK")</f>
        <v>0</v>
      </c>
      <c r="BE17" s="58">
        <f>+GETPIVOTDATA("XXS4",'xuanson (2016)'!$A$3,"MA_HT","LMU","MA_QH","CSD")</f>
        <v>0</v>
      </c>
      <c r="BF17" s="66">
        <f t="shared" si="7"/>
        <v>0</v>
      </c>
      <c r="BG17" s="67">
        <f>P$59-$BF17</f>
        <v>0</v>
      </c>
      <c r="BH17" s="62" t="e">
        <f t="shared" si="8"/>
        <v>#REF!</v>
      </c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</row>
    <row r="18" spans="1:79" s="41" customFormat="1" ht="15.75" customHeight="1">
      <c r="A18" s="60" t="s">
        <v>52</v>
      </c>
      <c r="B18" s="60" t="s">
        <v>53</v>
      </c>
      <c r="C18" s="61" t="s">
        <v>54</v>
      </c>
      <c r="D18" s="71" t="e">
        <f>+#REF!</f>
        <v>#REF!</v>
      </c>
      <c r="E18" s="63">
        <f>SUM(F18,J18:P18)</f>
        <v>0</v>
      </c>
      <c r="F18" s="64">
        <f t="shared" si="9"/>
        <v>0</v>
      </c>
      <c r="G18" s="35">
        <f>+GETPIVOTDATA("XXS4",'xuanson (2016)'!$A$3,"MA_HT","NKH","MA_QH","LUC")</f>
        <v>0</v>
      </c>
      <c r="H18" s="35">
        <f>+GETPIVOTDATA("XXS4",'xuanson (2016)'!$A$3,"MA_HT","NKH","MA_QH","LUK")</f>
        <v>0</v>
      </c>
      <c r="I18" s="35">
        <f>+GETPIVOTDATA("XXS4",'xuanson (2016)'!$A$3,"MA_HT","NKH","MA_QH","LUN")</f>
        <v>0</v>
      </c>
      <c r="J18" s="35">
        <f>+GETPIVOTDATA("XXS4",'xuanson (2016)'!$A$3,"MA_HT","NKH","MA_QH","HNK")</f>
        <v>0</v>
      </c>
      <c r="K18" s="35">
        <f>+GETPIVOTDATA("XXS4",'xuanson (2016)'!$A$3,"MA_HT","NKH","MA_QH","CLN")</f>
        <v>0</v>
      </c>
      <c r="L18" s="35">
        <f>+GETPIVOTDATA("XXS4",'xuanson (2016)'!$A$3,"MA_HT","NKH","MA_QH","RSX")</f>
        <v>0</v>
      </c>
      <c r="M18" s="35">
        <f>+GETPIVOTDATA("XXS4",'xuanson (2016)'!$A$3,"MA_HT","NKH","MA_QH","RPH")</f>
        <v>0</v>
      </c>
      <c r="N18" s="35">
        <f>+GETPIVOTDATA("XXS4",'xuanson (2016)'!$A$3,"MA_HT","NKH","MA_QH","RDD")</f>
        <v>0</v>
      </c>
      <c r="O18" s="35">
        <f>+GETPIVOTDATA("XXS4",'xuanson (2016)'!$A$3,"MA_HT","NKH","MA_QH","NTS")</f>
        <v>0</v>
      </c>
      <c r="P18" s="35">
        <f>+GETPIVOTDATA("XXS4",'xuanson (2016)'!$A$3,"MA_HT","NKH","MA_QH","LMU")</f>
        <v>0</v>
      </c>
      <c r="Q18" s="99" t="e">
        <f>$D18-$BF18</f>
        <v>#REF!</v>
      </c>
      <c r="R18" s="63">
        <f t="shared" si="2"/>
        <v>0</v>
      </c>
      <c r="S18" s="35">
        <f>+GETPIVOTDATA("XXS4",'xuanson (2016)'!$A$3,"MA_HT","NKH","MA_QH","CQP")</f>
        <v>0</v>
      </c>
      <c r="T18" s="35">
        <f>+GETPIVOTDATA("XXS4",'xuanson (2016)'!$A$3,"MA_HT","NKH","MA_QH","CAN")</f>
        <v>0</v>
      </c>
      <c r="U18" s="35">
        <f>+GETPIVOTDATA("XXS4",'xuanson (2016)'!$A$3,"MA_HT","NKH","MA_QH","SKK")</f>
        <v>0</v>
      </c>
      <c r="V18" s="35">
        <f>+GETPIVOTDATA("XXS4",'xuanson (2016)'!$A$3,"MA_HT","NKH","MA_QH","SKT")</f>
        <v>0</v>
      </c>
      <c r="W18" s="35">
        <f>+GETPIVOTDATA("XXS4",'xuanson (2016)'!$A$3,"MA_HT","NKH","MA_QH","SKN")</f>
        <v>0</v>
      </c>
      <c r="X18" s="35">
        <f>+GETPIVOTDATA("XXS4",'xuanson (2016)'!$A$3,"MA_HT","NKH","MA_QH","TMD")</f>
        <v>0</v>
      </c>
      <c r="Y18" s="35">
        <f>+GETPIVOTDATA("XXS4",'xuanson (2016)'!$A$3,"MA_HT","NKH","MA_QH","SKC")</f>
        <v>0</v>
      </c>
      <c r="Z18" s="35">
        <f>+GETPIVOTDATA("XXS4",'xuanson (2016)'!$A$3,"MA_HT","NKH","MA_QH","SKS")</f>
        <v>0</v>
      </c>
      <c r="AA18" s="64">
        <f t="shared" si="4"/>
        <v>0</v>
      </c>
      <c r="AB18" s="35">
        <f>+GETPIVOTDATA("XXS4",'xuanson (2016)'!$A$3,"MA_HT","NKH","MA_QH","DGT")</f>
        <v>0</v>
      </c>
      <c r="AC18" s="35">
        <f>+GETPIVOTDATA("XXS4",'xuanson (2016)'!$A$3,"MA_HT","NKH","MA_QH","DTL")</f>
        <v>0</v>
      </c>
      <c r="AD18" s="35">
        <f>+GETPIVOTDATA("XXS4",'xuanson (2016)'!$A$3,"MA_HT","NKH","MA_QH","DNL")</f>
        <v>0</v>
      </c>
      <c r="AE18" s="35">
        <f>+GETPIVOTDATA("XXS4",'xuanson (2016)'!$A$3,"MA_HT","NKH","MA_QH","DBV")</f>
        <v>0</v>
      </c>
      <c r="AF18" s="35">
        <f>+GETPIVOTDATA("XXS4",'xuanson (2016)'!$A$3,"MA_HT","NKH","MA_QH","DVH")</f>
        <v>0</v>
      </c>
      <c r="AG18" s="35">
        <f>+GETPIVOTDATA("XXS4",'xuanson (2016)'!$A$3,"MA_HT","NKH","MA_QH","DYT")</f>
        <v>0</v>
      </c>
      <c r="AH18" s="35">
        <f>+GETPIVOTDATA("XXS4",'xuanson (2016)'!$A$3,"MA_HT","NKH","MA_QH","DGD")</f>
        <v>0</v>
      </c>
      <c r="AI18" s="35">
        <f>+GETPIVOTDATA("XXS4",'xuanson (2016)'!$A$3,"MA_HT","NKH","MA_QH","DTT")</f>
        <v>0</v>
      </c>
      <c r="AJ18" s="35">
        <f>+GETPIVOTDATA("XXS4",'xuanson (2016)'!$A$3,"MA_HT","NKH","MA_QH","NCK")</f>
        <v>0</v>
      </c>
      <c r="AK18" s="35">
        <f>+GETPIVOTDATA("XXS4",'xuanson (2016)'!$A$3,"MA_HT","NKH","MA_QH","DXH")</f>
        <v>0</v>
      </c>
      <c r="AL18" s="35">
        <f>+GETPIVOTDATA("XXS4",'xuanson (2016)'!$A$3,"MA_HT","NKH","MA_QH","DCH")</f>
        <v>0</v>
      </c>
      <c r="AM18" s="35">
        <f>+GETPIVOTDATA("XXS4",'xuanson (2016)'!$A$3,"MA_HT","NKH","MA_QH","DKG")</f>
        <v>0</v>
      </c>
      <c r="AN18" s="35">
        <f>+GETPIVOTDATA("XXS4",'xuanson (2016)'!$A$3,"MA_HT","NKH","MA_QH","DDT")</f>
        <v>0</v>
      </c>
      <c r="AO18" s="35">
        <f>+GETPIVOTDATA("XXS4",'xuanson (2016)'!$A$3,"MA_HT","NKH","MA_QH","DDL")</f>
        <v>0</v>
      </c>
      <c r="AP18" s="35">
        <f>+GETPIVOTDATA("XXS4",'xuanson (2016)'!$A$3,"MA_HT","NKH","MA_QH","DRA")</f>
        <v>0</v>
      </c>
      <c r="AQ18" s="35">
        <f>+GETPIVOTDATA("XXS4",'xuanson (2016)'!$A$3,"MA_HT","NKH","MA_QH","ONT")</f>
        <v>0</v>
      </c>
      <c r="AR18" s="35">
        <f>+GETPIVOTDATA("XXS4",'xuanson (2016)'!$A$3,"MA_HT","NKH","MA_QH","ODT")</f>
        <v>0</v>
      </c>
      <c r="AS18" s="35">
        <f>+GETPIVOTDATA("XXS4",'xuanson (2016)'!$A$3,"MA_HT","NKH","MA_QH","TSC")</f>
        <v>0</v>
      </c>
      <c r="AT18" s="35">
        <f>+GETPIVOTDATA("XXS4",'xuanson (2016)'!$A$3,"MA_HT","NKH","MA_QH","DTS")</f>
        <v>0</v>
      </c>
      <c r="AU18" s="35">
        <f>+GETPIVOTDATA("XXS4",'xuanson (2016)'!$A$3,"MA_HT","NKH","MA_QH","DNG")</f>
        <v>0</v>
      </c>
      <c r="AV18" s="35">
        <f>+GETPIVOTDATA("XXS4",'xuanson (2016)'!$A$3,"MA_HT","NKH","MA_QH","TON")</f>
        <v>0</v>
      </c>
      <c r="AW18" s="35">
        <f>+GETPIVOTDATA("XXS4",'xuanson (2016)'!$A$3,"MA_HT","NKH","MA_QH","NTD")</f>
        <v>0</v>
      </c>
      <c r="AX18" s="35">
        <f>+GETPIVOTDATA("XXS4",'xuanson (2016)'!$A$3,"MA_HT","NKH","MA_QH","SKX")</f>
        <v>0</v>
      </c>
      <c r="AY18" s="35">
        <f>+GETPIVOTDATA("XXS4",'xuanson (2016)'!$A$3,"MA_HT","NKH","MA_QH","DSH")</f>
        <v>0</v>
      </c>
      <c r="AZ18" s="35">
        <f>+GETPIVOTDATA("XXS4",'xuanson (2016)'!$A$3,"MA_HT","NKH","MA_QH","DKV")</f>
        <v>0</v>
      </c>
      <c r="BA18" s="140">
        <f>+GETPIVOTDATA("XXS4",'xuanson (2016)'!$A$3,"MA_HT","NKH","MA_QH","TIN")</f>
        <v>0</v>
      </c>
      <c r="BB18" s="74">
        <f>+GETPIVOTDATA("XXS4",'xuanson (2016)'!$A$3,"MA_HT","NKH","MA_QH","SON")</f>
        <v>0</v>
      </c>
      <c r="BC18" s="74">
        <f>+GETPIVOTDATA("XXS4",'xuanson (2016)'!$A$3,"MA_HT","NKH","MA_QH","MNC")</f>
        <v>0</v>
      </c>
      <c r="BD18" s="35">
        <f>+GETPIVOTDATA("XXS4",'xuanson (2016)'!$A$3,"MA_HT","NKH","MA_QH","PNK")</f>
        <v>0</v>
      </c>
      <c r="BE18" s="58">
        <f>+GETPIVOTDATA("XXS4",'xuanson (2016)'!$A$3,"MA_HT","NKH","MA_QH","CSD")</f>
        <v>0</v>
      </c>
      <c r="BF18" s="66">
        <f t="shared" si="7"/>
        <v>0</v>
      </c>
      <c r="BG18" s="67">
        <f>Q$59-$BF18</f>
        <v>0</v>
      </c>
      <c r="BH18" s="62" t="e">
        <f t="shared" si="8"/>
        <v>#REF!</v>
      </c>
      <c r="BI18" s="5"/>
      <c r="BJ18" s="5"/>
      <c r="BK18" s="5"/>
      <c r="BL18" s="5"/>
      <c r="BM18" s="78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</row>
    <row r="19" spans="1:79" s="59" customFormat="1" ht="15.75" customHeight="1">
      <c r="A19" s="55">
        <v>2</v>
      </c>
      <c r="B19" s="56" t="s">
        <v>55</v>
      </c>
      <c r="C19" s="57" t="s">
        <v>56</v>
      </c>
      <c r="D19" s="52" t="e">
        <f>+#REF!</f>
        <v>#REF!</v>
      </c>
      <c r="E19" s="52">
        <f>SUM(E20:E28,E41:E57)</f>
        <v>0</v>
      </c>
      <c r="F19" s="52">
        <f>SUM(F20:F28,F41:F57)</f>
        <v>0</v>
      </c>
      <c r="G19" s="52">
        <f>SUM(G20:G28,G41:G57)</f>
        <v>0</v>
      </c>
      <c r="H19" s="52">
        <f>SUM(H20:H28,H41:H57)</f>
        <v>0</v>
      </c>
      <c r="I19" s="52">
        <f>SUM(I20:I28,I41:I57)</f>
        <v>0</v>
      </c>
      <c r="J19" s="52">
        <f t="shared" ref="J19:P19" si="10">SUM(J20:J28,J41:J57)</f>
        <v>0</v>
      </c>
      <c r="K19" s="52">
        <f>SUM(K20:K28,K41:K57)</f>
        <v>0</v>
      </c>
      <c r="L19" s="52">
        <f t="shared" si="10"/>
        <v>0</v>
      </c>
      <c r="M19" s="52">
        <f t="shared" si="10"/>
        <v>0</v>
      </c>
      <c r="N19" s="52">
        <f t="shared" si="10"/>
        <v>0</v>
      </c>
      <c r="O19" s="52">
        <f t="shared" si="10"/>
        <v>0</v>
      </c>
      <c r="P19" s="52">
        <f t="shared" si="10"/>
        <v>0</v>
      </c>
      <c r="Q19" s="52">
        <f>SUM(Q20:Q28,Q41:Q57)</f>
        <v>0</v>
      </c>
      <c r="R19" s="98" t="e">
        <f>$D19-$BF19</f>
        <v>#REF!</v>
      </c>
      <c r="S19" s="52">
        <f>SUM(S21:S28,S41:S57)</f>
        <v>0</v>
      </c>
      <c r="T19" s="52">
        <f>SUM(T20,T22:T28,T41:T57)</f>
        <v>0</v>
      </c>
      <c r="U19" s="52">
        <f>SUM(U20:U21,U23:U28,U41:U57)</f>
        <v>0</v>
      </c>
      <c r="V19" s="52">
        <f>SUM(V20:V22,V24:V28,V41:V57)</f>
        <v>0</v>
      </c>
      <c r="W19" s="52">
        <f>SUM(W20:W23,W25:W28,W41:W57)</f>
        <v>0</v>
      </c>
      <c r="X19" s="52">
        <f>SUM(X20:X24,X26:X28,X41:X57)</f>
        <v>0</v>
      </c>
      <c r="Y19" s="52">
        <f>SUM(Y20:Y25,Y27:Y28,Y41:Y57)</f>
        <v>0</v>
      </c>
      <c r="Z19" s="52">
        <f>SUM(Z20:Z26,Z28,Z41:Z57)</f>
        <v>0</v>
      </c>
      <c r="AA19" s="52">
        <f>SUM(AA20:AA27,AA41:AA57)</f>
        <v>0</v>
      </c>
      <c r="AB19" s="52">
        <f t="shared" ref="AB19:AL19" si="11">SUM(AB20:AB28,AB41:AB57)</f>
        <v>0</v>
      </c>
      <c r="AC19" s="52">
        <f t="shared" si="11"/>
        <v>0</v>
      </c>
      <c r="AD19" s="52">
        <f t="shared" si="11"/>
        <v>0</v>
      </c>
      <c r="AE19" s="52">
        <f t="shared" si="11"/>
        <v>0</v>
      </c>
      <c r="AF19" s="52">
        <f t="shared" si="11"/>
        <v>0</v>
      </c>
      <c r="AG19" s="52">
        <f t="shared" si="11"/>
        <v>0</v>
      </c>
      <c r="AH19" s="52">
        <f t="shared" si="11"/>
        <v>0</v>
      </c>
      <c r="AI19" s="52">
        <f t="shared" si="11"/>
        <v>0</v>
      </c>
      <c r="AJ19" s="52">
        <f t="shared" si="11"/>
        <v>0</v>
      </c>
      <c r="AK19" s="52">
        <f t="shared" si="11"/>
        <v>0</v>
      </c>
      <c r="AL19" s="52">
        <f t="shared" si="11"/>
        <v>0</v>
      </c>
      <c r="AM19" s="52">
        <f>SUM(AM20:AM28,AM41:AM57)</f>
        <v>0</v>
      </c>
      <c r="AN19" s="52">
        <f>SUM(AN20:AN28,AN42:AN57)</f>
        <v>0</v>
      </c>
      <c r="AO19" s="52">
        <f>SUM(AO20:AO28,AO41,AO43:AO57)</f>
        <v>0</v>
      </c>
      <c r="AP19" s="52">
        <f>SUM(AP20:AP28,AP41:AP42,AP44:AP57)</f>
        <v>0</v>
      </c>
      <c r="AQ19" s="52">
        <f>SUM(AQ20:AQ28,AQ41:AQ43,AQ45:AQ57)</f>
        <v>0</v>
      </c>
      <c r="AR19" s="52">
        <f>SUM(AR20:AR28,AR41:AR44,AR46:AR57)</f>
        <v>0</v>
      </c>
      <c r="AS19" s="52">
        <f>SUM(AS20:AS28,AS41:AS45,AS47:AS57)</f>
        <v>0</v>
      </c>
      <c r="AT19" s="52">
        <f>SUM(AT20:AT28,AT41:AT46,AT48:AT57)</f>
        <v>0</v>
      </c>
      <c r="AU19" s="52">
        <f>SUM(AU20:AU28,AU41:AU47,AU49:AU57)</f>
        <v>0</v>
      </c>
      <c r="AV19" s="52">
        <f>SUM(AV20:AV28,AV41:AV48,AV50:AV57)</f>
        <v>0</v>
      </c>
      <c r="AW19" s="52">
        <f>SUM(AW20:AW28,AW41:AW49,AW51:AW57)</f>
        <v>0</v>
      </c>
      <c r="AX19" s="52">
        <f>SUM(AX20:AX28,AX41:AX50,AX52:AX57)</f>
        <v>0</v>
      </c>
      <c r="AY19" s="52">
        <f>SUM(AY20:AY28,AY41:AY51,AY53:AY57)</f>
        <v>0</v>
      </c>
      <c r="AZ19" s="52">
        <f>SUM(AZ20:AZ28,AZ41:AZ52,AZ54:AZ57)</f>
        <v>0</v>
      </c>
      <c r="BA19" s="52">
        <f>SUM(BA20:BA28,BA41:BA53,BA55:BA57)</f>
        <v>0</v>
      </c>
      <c r="BB19" s="52">
        <f>SUM(BB20:BB28,BB41:BB54,BB56:BB57)</f>
        <v>0</v>
      </c>
      <c r="BC19" s="52">
        <f>SUM(BC20:BC28,BC41:BC55,BC57)</f>
        <v>0</v>
      </c>
      <c r="BD19" s="52">
        <f>SUM(BD20:BD28,BD41:BD56,BD58)</f>
        <v>0</v>
      </c>
      <c r="BE19" s="52">
        <f>SUM(BE20:BE28,BE41:BE57)</f>
        <v>0</v>
      </c>
      <c r="BF19" s="66">
        <f>SUM(BE19,E19)</f>
        <v>0</v>
      </c>
      <c r="BG19" s="67">
        <f>R$59-$BF19</f>
        <v>0</v>
      </c>
      <c r="BH19" s="52" t="e">
        <f>SUM(BH20:BH28,BH41:BH57)</f>
        <v>#REF!</v>
      </c>
      <c r="BI19" s="3"/>
      <c r="BJ19" s="56" t="e">
        <f>SUM(BJ22:BJ54,BJ57:BJ57)</f>
        <v>#REF!</v>
      </c>
      <c r="BK19" s="79" t="e">
        <f>BH19-BJ19</f>
        <v>#REF!</v>
      </c>
      <c r="BL19" s="79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9" s="41" customFormat="1" ht="15.75" customHeight="1">
      <c r="A20" s="60" t="s">
        <v>57</v>
      </c>
      <c r="B20" s="60" t="s">
        <v>71</v>
      </c>
      <c r="C20" s="61" t="s">
        <v>72</v>
      </c>
      <c r="D20" s="62" t="e">
        <f>+#REF!</f>
        <v>#REF!</v>
      </c>
      <c r="E20" s="63">
        <f>SUM(F20,J20:Q20)</f>
        <v>0</v>
      </c>
      <c r="F20" s="64">
        <f t="shared" si="9"/>
        <v>0</v>
      </c>
      <c r="G20" s="35">
        <f>+GETPIVOTDATA("XXS4",'xuanson (2016)'!$A$3,"MA_HT","CQP","MA_QH","LUC")</f>
        <v>0</v>
      </c>
      <c r="H20" s="35">
        <f>+GETPIVOTDATA("XXS4",'xuanson (2016)'!$A$3,"MA_HT","CQP","MA_QH","LUK")</f>
        <v>0</v>
      </c>
      <c r="I20" s="35">
        <f>+GETPIVOTDATA("XXS4",'xuanson (2016)'!$A$3,"MA_HT","CQP","MA_QH","LUN")</f>
        <v>0</v>
      </c>
      <c r="J20" s="35">
        <f>+GETPIVOTDATA("XXS4",'xuanson (2016)'!$A$3,"MA_HT","CQP","MA_QH","HNK")</f>
        <v>0</v>
      </c>
      <c r="K20" s="35">
        <f>+GETPIVOTDATA("XXS4",'xuanson (2016)'!$A$3,"MA_HT","CQP","MA_QH","CLN")</f>
        <v>0</v>
      </c>
      <c r="L20" s="35">
        <f>+GETPIVOTDATA("XXS4",'xuanson (2016)'!$A$3,"MA_HT","CQP","MA_QH","RSX")</f>
        <v>0</v>
      </c>
      <c r="M20" s="35">
        <f>+GETPIVOTDATA("XXS4",'xuanson (2016)'!$A$3,"MA_HT","CQP","MA_QH","RPH")</f>
        <v>0</v>
      </c>
      <c r="N20" s="35">
        <f>+GETPIVOTDATA("XXS4",'xuanson (2016)'!$A$3,"MA_HT","CQP","MA_QH","RDD")</f>
        <v>0</v>
      </c>
      <c r="O20" s="35">
        <f>+GETPIVOTDATA("XXS4",'xuanson (2016)'!$A$3,"MA_HT","CQP","MA_QH","NTS")</f>
        <v>0</v>
      </c>
      <c r="P20" s="35">
        <f>+GETPIVOTDATA("XXS4",'xuanson (2016)'!$A$3,"MA_HT","CQP","MA_QH","LMU")</f>
        <v>0</v>
      </c>
      <c r="Q20" s="35">
        <f>+GETPIVOTDATA("XXS4",'xuanson (2016)'!$A$3,"MA_HT","CQP","MA_QH","NKH")</f>
        <v>0</v>
      </c>
      <c r="R20" s="63">
        <f>SUM(T20:AA20,AN20:BD20)</f>
        <v>0</v>
      </c>
      <c r="S20" s="99" t="e">
        <f>$D20-$BF20</f>
        <v>#REF!</v>
      </c>
      <c r="T20" s="35">
        <f>+GETPIVOTDATA("XXS4",'xuanson (2016)'!$A$3,"MA_HT","CQP","MA_QH","CAN")</f>
        <v>0</v>
      </c>
      <c r="U20" s="35">
        <f>+GETPIVOTDATA("XXS4",'xuanson (2016)'!$A$3,"MA_HT","CQP","MA_QH","SKK")</f>
        <v>0</v>
      </c>
      <c r="V20" s="35">
        <f>+GETPIVOTDATA("XXS4",'xuanson (2016)'!$A$3,"MA_HT","CQP","MA_QH","SKT")</f>
        <v>0</v>
      </c>
      <c r="W20" s="35">
        <f>+GETPIVOTDATA("XXS4",'xuanson (2016)'!$A$3,"MA_HT","CQP","MA_QH","SKN")</f>
        <v>0</v>
      </c>
      <c r="X20" s="35">
        <f>+GETPIVOTDATA("XXS4",'xuanson (2016)'!$A$3,"MA_HT","CQP","MA_QH","TMD")</f>
        <v>0</v>
      </c>
      <c r="Y20" s="35">
        <f>+GETPIVOTDATA("XXS4",'xuanson (2016)'!$A$3,"MA_HT","CQP","MA_QH","SKC")</f>
        <v>0</v>
      </c>
      <c r="Z20" s="35">
        <f>+GETPIVOTDATA("XXS4",'xuanson (2016)'!$A$3,"MA_HT","CQP","MA_QH","SKS")</f>
        <v>0</v>
      </c>
      <c r="AA20" s="64">
        <f t="shared" ref="AA20:AA27" si="12">+SUM(AB20:AM20)</f>
        <v>0</v>
      </c>
      <c r="AB20" s="35">
        <f>+GETPIVOTDATA("XXS4",'xuanson (2016)'!$A$3,"MA_HT","CQP","MA_QH","DGT")</f>
        <v>0</v>
      </c>
      <c r="AC20" s="35">
        <f>+GETPIVOTDATA("XXS4",'xuanson (2016)'!$A$3,"MA_HT","CQP","MA_QH","DTL")</f>
        <v>0</v>
      </c>
      <c r="AD20" s="35">
        <f>+GETPIVOTDATA("XXS4",'xuanson (2016)'!$A$3,"MA_HT","CQP","MA_QH","DNL")</f>
        <v>0</v>
      </c>
      <c r="AE20" s="35">
        <f>+GETPIVOTDATA("XXS4",'xuanson (2016)'!$A$3,"MA_HT","CQP","MA_QH","DBV")</f>
        <v>0</v>
      </c>
      <c r="AF20" s="35">
        <f>+GETPIVOTDATA("XXS4",'xuanson (2016)'!$A$3,"MA_HT","CQP","MA_QH","DVH")</f>
        <v>0</v>
      </c>
      <c r="AG20" s="35">
        <f>+GETPIVOTDATA("XXS4",'xuanson (2016)'!$A$3,"MA_HT","CQP","MA_QH","DYT")</f>
        <v>0</v>
      </c>
      <c r="AH20" s="35">
        <f>+GETPIVOTDATA("XXS4",'xuanson (2016)'!$A$3,"MA_HT","CQP","MA_QH","DGD")</f>
        <v>0</v>
      </c>
      <c r="AI20" s="35">
        <f>+GETPIVOTDATA("XXS4",'xuanson (2016)'!$A$3,"MA_HT","CQP","MA_QH","DTT")</f>
        <v>0</v>
      </c>
      <c r="AJ20" s="35">
        <f>+GETPIVOTDATA("XXS4",'xuanson (2016)'!$A$3,"MA_HT","CQP","MA_QH","NCK")</f>
        <v>0</v>
      </c>
      <c r="AK20" s="35">
        <f>+GETPIVOTDATA("XXS4",'xuanson (2016)'!$A$3,"MA_HT","CQP","MA_QH","DXH")</f>
        <v>0</v>
      </c>
      <c r="AL20" s="35">
        <f>+GETPIVOTDATA("XXS4",'xuanson (2016)'!$A$3,"MA_HT","CQP","MA_QH","DCH")</f>
        <v>0</v>
      </c>
      <c r="AM20" s="35">
        <f>+GETPIVOTDATA("XXS4",'xuanson (2016)'!$A$3,"MA_HT","CQP","MA_QH","DKG")</f>
        <v>0</v>
      </c>
      <c r="AN20" s="35">
        <f>+GETPIVOTDATA("XXS4",'xuanson (2016)'!$A$3,"MA_HT","CQP","MA_QH","DDT")</f>
        <v>0</v>
      </c>
      <c r="AO20" s="35">
        <f>+GETPIVOTDATA("XXS4",'xuanson (2016)'!$A$3,"MA_HT","CQP","MA_QH","DDL")</f>
        <v>0</v>
      </c>
      <c r="AP20" s="35">
        <f>+GETPIVOTDATA("XXS4",'xuanson (2016)'!$A$3,"MA_HT","CQP","MA_QH","DRA")</f>
        <v>0</v>
      </c>
      <c r="AQ20" s="35">
        <f>+GETPIVOTDATA("XXS4",'xuanson (2016)'!$A$3,"MA_HT","CQP","MA_QH","ONT")</f>
        <v>0</v>
      </c>
      <c r="AR20" s="35">
        <f>+GETPIVOTDATA("XXS4",'xuanson (2016)'!$A$3,"MA_HT","CQP","MA_QH","ODT")</f>
        <v>0</v>
      </c>
      <c r="AS20" s="35">
        <f>+GETPIVOTDATA("XXS4",'xuanson (2016)'!$A$3,"MA_HT","CQP","MA_QH","TSC")</f>
        <v>0</v>
      </c>
      <c r="AT20" s="35">
        <f>+GETPIVOTDATA("XXS4",'xuanson (2016)'!$A$3,"MA_HT","CQP","MA_QH","DTS")</f>
        <v>0</v>
      </c>
      <c r="AU20" s="35">
        <f>+GETPIVOTDATA("XXS4",'xuanson (2016)'!$A$3,"MA_HT","CQP","MA_QH","DNG")</f>
        <v>0</v>
      </c>
      <c r="AV20" s="35">
        <f>+GETPIVOTDATA("XXS4",'xuanson (2016)'!$A$3,"MA_HT","CQP","MA_QH","TON")</f>
        <v>0</v>
      </c>
      <c r="AW20" s="35">
        <f>+GETPIVOTDATA("XXS4",'xuanson (2016)'!$A$3,"MA_HT","CQP","MA_QH","NTD")</f>
        <v>0</v>
      </c>
      <c r="AX20" s="35">
        <f>+GETPIVOTDATA("XXS4",'xuanson (2016)'!$A$3,"MA_HT","CQP","MA_QH","SKX")</f>
        <v>0</v>
      </c>
      <c r="AY20" s="35">
        <f>+GETPIVOTDATA("XXS4",'xuanson (2016)'!$A$3,"MA_HT","CQP","MA_QH","DSH")</f>
        <v>0</v>
      </c>
      <c r="AZ20" s="35">
        <f>+GETPIVOTDATA("XXS4",'xuanson (2016)'!$A$3,"MA_HT","CQP","MA_QH","DKV")</f>
        <v>0</v>
      </c>
      <c r="BA20" s="140">
        <f>+GETPIVOTDATA("XXS4",'xuanson (2016)'!$A$3,"MA_HT","CQP","MA_QH","TIN")</f>
        <v>0</v>
      </c>
      <c r="BB20" s="74">
        <f>+GETPIVOTDATA("XXS4",'xuanson (2016)'!$A$3,"MA_HT","CQP","MA_QH","SON")</f>
        <v>0</v>
      </c>
      <c r="BC20" s="74">
        <f>+GETPIVOTDATA("XXS4",'xuanson (2016)'!$A$3,"MA_HT","CQP","MA_QH","MNC")</f>
        <v>0</v>
      </c>
      <c r="BD20" s="35">
        <f>+GETPIVOTDATA("XXS4",'xuanson (2016)'!$A$3,"MA_HT","CQP","MA_QH","PNK")</f>
        <v>0</v>
      </c>
      <c r="BE20" s="58">
        <f>+GETPIVOTDATA("XXS4",'xuanson (2016)'!$A$3,"MA_HT","CQP","MA_QH","CSD")</f>
        <v>0</v>
      </c>
      <c r="BF20" s="66">
        <f t="shared" ref="BF20:BF53" si="13">BE20+R20+E20</f>
        <v>0</v>
      </c>
      <c r="BG20" s="67">
        <f>S$59-$BF20</f>
        <v>0</v>
      </c>
      <c r="BH20" s="62" t="e">
        <f t="shared" ref="BH20:BH54" si="14">BG20+D20</f>
        <v>#REF!</v>
      </c>
      <c r="BI20" s="5"/>
      <c r="BJ20" s="5" t="e">
        <f>#REF!</f>
        <v>#REF!</v>
      </c>
      <c r="BK20" s="78" t="e">
        <f>BH20-BJ20</f>
        <v>#REF!</v>
      </c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</row>
    <row r="21" spans="1:79" s="41" customFormat="1" ht="15.75" customHeight="1">
      <c r="A21" s="60" t="s">
        <v>59</v>
      </c>
      <c r="B21" s="60" t="s">
        <v>74</v>
      </c>
      <c r="C21" s="61" t="s">
        <v>75</v>
      </c>
      <c r="D21" s="62" t="e">
        <f>+#REF!</f>
        <v>#REF!</v>
      </c>
      <c r="E21" s="63">
        <f t="shared" ref="E21:E57" si="15">SUM(F21,J21:Q21)</f>
        <v>0</v>
      </c>
      <c r="F21" s="64">
        <f t="shared" si="9"/>
        <v>0</v>
      </c>
      <c r="G21" s="35">
        <f>+GETPIVOTDATA("XXS4",'xuanson (2016)'!$A$3,"MA_HT","CAN","MA_QH","LUC")</f>
        <v>0</v>
      </c>
      <c r="H21" s="35">
        <f>+GETPIVOTDATA("XXS4",'xuanson (2016)'!$A$3,"MA_HT","CAN","MA_QH","LUK")</f>
        <v>0</v>
      </c>
      <c r="I21" s="35">
        <f>+GETPIVOTDATA("XXS4",'xuanson (2016)'!$A$3,"MA_HT","CAN","MA_QH","LUN")</f>
        <v>0</v>
      </c>
      <c r="J21" s="35">
        <f>+GETPIVOTDATA("XXS4",'xuanson (2016)'!$A$3,"MA_HT","CAN","MA_QH","HNK")</f>
        <v>0</v>
      </c>
      <c r="K21" s="35">
        <f>+GETPIVOTDATA("XXS4",'xuanson (2016)'!$A$3,"MA_HT","CAN","MA_QH","CLN")</f>
        <v>0</v>
      </c>
      <c r="L21" s="35">
        <f>+GETPIVOTDATA("XXS4",'xuanson (2016)'!$A$3,"MA_HT","CAN","MA_QH","RSX")</f>
        <v>0</v>
      </c>
      <c r="M21" s="35">
        <f>+GETPIVOTDATA("XXS4",'xuanson (2016)'!$A$3,"MA_HT","CAN","MA_QH","RPH")</f>
        <v>0</v>
      </c>
      <c r="N21" s="35">
        <f>+GETPIVOTDATA("XXS4",'xuanson (2016)'!$A$3,"MA_HT","CAN","MA_QH","RDD")</f>
        <v>0</v>
      </c>
      <c r="O21" s="35">
        <f>+GETPIVOTDATA("XXS4",'xuanson (2016)'!$A$3,"MA_HT","CAN","MA_QH","NTS")</f>
        <v>0</v>
      </c>
      <c r="P21" s="35">
        <f>+GETPIVOTDATA("XXS4",'xuanson (2016)'!$A$3,"MA_HT","CAN","MA_QH","LMU")</f>
        <v>0</v>
      </c>
      <c r="Q21" s="35">
        <f>+GETPIVOTDATA("XXS4",'xuanson (2016)'!$A$3,"MA_HT","CAN","MA_QH","NKH")</f>
        <v>0</v>
      </c>
      <c r="R21" s="63">
        <f>SUM(S21,U21:AA21,AN21:BD21)</f>
        <v>0</v>
      </c>
      <c r="S21" s="35">
        <f>+GETPIVOTDATA("XXS4",'xuanson (2016)'!$A$3,"MA_HT","CAN","MA_QH","CQP")</f>
        <v>0</v>
      </c>
      <c r="T21" s="99" t="e">
        <f>$D21-$BF21</f>
        <v>#REF!</v>
      </c>
      <c r="U21" s="35">
        <f>+GETPIVOTDATA("XXS4",'xuanson (2016)'!$A$3,"MA_HT","CAN","MA_QH","SKK")</f>
        <v>0</v>
      </c>
      <c r="V21" s="35">
        <f>+GETPIVOTDATA("XXS4",'xuanson (2016)'!$A$3,"MA_HT","CAN","MA_QH","SKT")</f>
        <v>0</v>
      </c>
      <c r="W21" s="35">
        <f>+GETPIVOTDATA("XXS4",'xuanson (2016)'!$A$3,"MA_HT","CAN","MA_QH","SKN")</f>
        <v>0</v>
      </c>
      <c r="X21" s="35">
        <f>+GETPIVOTDATA("XXS4",'xuanson (2016)'!$A$3,"MA_HT","CAN","MA_QH","TMD")</f>
        <v>0</v>
      </c>
      <c r="Y21" s="35">
        <f>+GETPIVOTDATA("XXS4",'xuanson (2016)'!$A$3,"MA_HT","CAN","MA_QH","SKC")</f>
        <v>0</v>
      </c>
      <c r="Z21" s="35">
        <f>+GETPIVOTDATA("XXS4",'xuanson (2016)'!$A$3,"MA_HT","CAN","MA_QH","SKS")</f>
        <v>0</v>
      </c>
      <c r="AA21" s="64">
        <f t="shared" si="12"/>
        <v>0</v>
      </c>
      <c r="AB21" s="35">
        <f>+GETPIVOTDATA("XXS4",'xuanson (2016)'!$A$3,"MA_HT","CAN","MA_QH","DGT")</f>
        <v>0</v>
      </c>
      <c r="AC21" s="35">
        <f>+GETPIVOTDATA("XXS4",'xuanson (2016)'!$A$3,"MA_HT","CAN","MA_QH","DTL")</f>
        <v>0</v>
      </c>
      <c r="AD21" s="35">
        <f>+GETPIVOTDATA("XXS4",'xuanson (2016)'!$A$3,"MA_HT","CAN","MA_QH","DNL")</f>
        <v>0</v>
      </c>
      <c r="AE21" s="35">
        <f>+GETPIVOTDATA("XXS4",'xuanson (2016)'!$A$3,"MA_HT","CAN","MA_QH","DBV")</f>
        <v>0</v>
      </c>
      <c r="AF21" s="35">
        <f>+GETPIVOTDATA("XXS4",'xuanson (2016)'!$A$3,"MA_HT","CAN","MA_QH","DVH")</f>
        <v>0</v>
      </c>
      <c r="AG21" s="35">
        <f>+GETPIVOTDATA("XXS4",'xuanson (2016)'!$A$3,"MA_HT","CAN","MA_QH","DYT")</f>
        <v>0</v>
      </c>
      <c r="AH21" s="35">
        <f>+GETPIVOTDATA("XXS4",'xuanson (2016)'!$A$3,"MA_HT","CAN","MA_QH","DGD")</f>
        <v>0</v>
      </c>
      <c r="AI21" s="35">
        <f>+GETPIVOTDATA("XXS4",'xuanson (2016)'!$A$3,"MA_HT","CAN","MA_QH","DTT")</f>
        <v>0</v>
      </c>
      <c r="AJ21" s="35">
        <f>+GETPIVOTDATA("XXS4",'xuanson (2016)'!$A$3,"MA_HT","CAN","MA_QH","NCK")</f>
        <v>0</v>
      </c>
      <c r="AK21" s="35">
        <f>+GETPIVOTDATA("XXS4",'xuanson (2016)'!$A$3,"MA_HT","CAN","MA_QH","DXH")</f>
        <v>0</v>
      </c>
      <c r="AL21" s="35">
        <f>+GETPIVOTDATA("XXS4",'xuanson (2016)'!$A$3,"MA_HT","CAN","MA_QH","DCH")</f>
        <v>0</v>
      </c>
      <c r="AM21" s="35">
        <f>+GETPIVOTDATA("XXS4",'xuanson (2016)'!$A$3,"MA_HT","CAN","MA_QH","DKG")</f>
        <v>0</v>
      </c>
      <c r="AN21" s="35">
        <f>+GETPIVOTDATA("XXS4",'xuanson (2016)'!$A$3,"MA_HT","CAN","MA_QH","DDT")</f>
        <v>0</v>
      </c>
      <c r="AO21" s="35">
        <f>+GETPIVOTDATA("XXS4",'xuanson (2016)'!$A$3,"MA_HT","CAN","MA_QH","DDL")</f>
        <v>0</v>
      </c>
      <c r="AP21" s="35">
        <f>+GETPIVOTDATA("XXS4",'xuanson (2016)'!$A$3,"MA_HT","CAN","MA_QH","DRA")</f>
        <v>0</v>
      </c>
      <c r="AQ21" s="35">
        <f>+GETPIVOTDATA("XXS4",'xuanson (2016)'!$A$3,"MA_HT","CAN","MA_QH","ONT")</f>
        <v>0</v>
      </c>
      <c r="AR21" s="35">
        <f>+GETPIVOTDATA("XXS4",'xuanson (2016)'!$A$3,"MA_HT","CAN","MA_QH","ODT")</f>
        <v>0</v>
      </c>
      <c r="AS21" s="35">
        <f>+GETPIVOTDATA("XXS4",'xuanson (2016)'!$A$3,"MA_HT","CAN","MA_QH","TSC")</f>
        <v>0</v>
      </c>
      <c r="AT21" s="35">
        <f>+GETPIVOTDATA("XXS4",'xuanson (2016)'!$A$3,"MA_HT","CAN","MA_QH","DTS")</f>
        <v>0</v>
      </c>
      <c r="AU21" s="35">
        <f>+GETPIVOTDATA("XXS4",'xuanson (2016)'!$A$3,"MA_HT","CAN","MA_QH","DNG")</f>
        <v>0</v>
      </c>
      <c r="AV21" s="35">
        <f>+GETPIVOTDATA("XXS4",'xuanson (2016)'!$A$3,"MA_HT","CAN","MA_QH","TON")</f>
        <v>0</v>
      </c>
      <c r="AW21" s="35">
        <f>+GETPIVOTDATA("XXS4",'xuanson (2016)'!$A$3,"MA_HT","CAN","MA_QH","NTD")</f>
        <v>0</v>
      </c>
      <c r="AX21" s="35">
        <f>+GETPIVOTDATA("XXS4",'xuanson (2016)'!$A$3,"MA_HT","CAN","MA_QH","SKX")</f>
        <v>0</v>
      </c>
      <c r="AY21" s="35">
        <f>+GETPIVOTDATA("XXS4",'xuanson (2016)'!$A$3,"MA_HT","CAN","MA_QH","DSH")</f>
        <v>0</v>
      </c>
      <c r="AZ21" s="35">
        <f>+GETPIVOTDATA("XXS4",'xuanson (2016)'!$A$3,"MA_HT","CAN","MA_QH","DKV")</f>
        <v>0</v>
      </c>
      <c r="BA21" s="140">
        <f>+GETPIVOTDATA("XXS4",'xuanson (2016)'!$A$3,"MA_HT","CAN","MA_QH","TIN")</f>
        <v>0</v>
      </c>
      <c r="BB21" s="74">
        <f>+GETPIVOTDATA("XXS4",'xuanson (2016)'!$A$3,"MA_HT","CAN","MA_QH","SON")</f>
        <v>0</v>
      </c>
      <c r="BC21" s="74">
        <f>+GETPIVOTDATA("XXS4",'xuanson (2016)'!$A$3,"MA_HT","CAN","MA_QH","MNC")</f>
        <v>0</v>
      </c>
      <c r="BD21" s="35">
        <f>+GETPIVOTDATA("XXS4",'xuanson (2016)'!$A$3,"MA_HT","CAN","MA_QH","PNK")</f>
        <v>0</v>
      </c>
      <c r="BE21" s="58">
        <f>+GETPIVOTDATA("XXS4",'xuanson (2016)'!$A$3,"MA_HT","CAN","MA_QH","CSD")</f>
        <v>0</v>
      </c>
      <c r="BF21" s="66">
        <f t="shared" si="13"/>
        <v>0</v>
      </c>
      <c r="BG21" s="67">
        <f>T$59-$BF21</f>
        <v>0</v>
      </c>
      <c r="BH21" s="62" t="e">
        <f t="shared" si="14"/>
        <v>#REF!</v>
      </c>
      <c r="BI21" s="5"/>
      <c r="BJ21" s="5" t="e">
        <f>#REF!</f>
        <v>#REF!</v>
      </c>
      <c r="BK21" s="78" t="e">
        <f>BH21-BJ21</f>
        <v>#REF!</v>
      </c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</row>
    <row r="22" spans="1:79" s="41" customFormat="1" ht="15.75" customHeight="1">
      <c r="A22" s="60" t="s">
        <v>61</v>
      </c>
      <c r="B22" s="80" t="s">
        <v>77</v>
      </c>
      <c r="C22" s="61" t="s">
        <v>78</v>
      </c>
      <c r="D22" s="62" t="e">
        <f>+#REF!</f>
        <v>#REF!</v>
      </c>
      <c r="E22" s="63">
        <f t="shared" si="15"/>
        <v>0</v>
      </c>
      <c r="F22" s="64">
        <f t="shared" si="9"/>
        <v>0</v>
      </c>
      <c r="G22" s="35">
        <f>+GETPIVOTDATA("XXS4",'xuanson (2016)'!$A$3,"MA_HT","SKK","MA_QH","LUC")</f>
        <v>0</v>
      </c>
      <c r="H22" s="35">
        <f>+GETPIVOTDATA("XXS4",'xuanson (2016)'!$A$3,"MA_HT","SKK","MA_QH","LUK")</f>
        <v>0</v>
      </c>
      <c r="I22" s="35">
        <f>+GETPIVOTDATA("XXS4",'xuanson (2016)'!$A$3,"MA_HT","SKK","MA_QH","LUN")</f>
        <v>0</v>
      </c>
      <c r="J22" s="35">
        <f>+GETPIVOTDATA("XXS4",'xuanson (2016)'!$A$3,"MA_HT","SKK","MA_QH","HNK")</f>
        <v>0</v>
      </c>
      <c r="K22" s="35">
        <f>+GETPIVOTDATA("XXS4",'xuanson (2016)'!$A$3,"MA_HT","SKK","MA_QH","CLN")</f>
        <v>0</v>
      </c>
      <c r="L22" s="35">
        <f>+GETPIVOTDATA("XXS4",'xuanson (2016)'!$A$3,"MA_HT","SKK","MA_QH","RSX")</f>
        <v>0</v>
      </c>
      <c r="M22" s="35">
        <f>+GETPIVOTDATA("XXS4",'xuanson (2016)'!$A$3,"MA_HT","SKK","MA_QH","RPH")</f>
        <v>0</v>
      </c>
      <c r="N22" s="35">
        <f>+GETPIVOTDATA("XXS4",'xuanson (2016)'!$A$3,"MA_HT","SKK","MA_QH","RDD")</f>
        <v>0</v>
      </c>
      <c r="O22" s="35">
        <f>+GETPIVOTDATA("XXS4",'xuanson (2016)'!$A$3,"MA_HT","SKK","MA_QH","NTS")</f>
        <v>0</v>
      </c>
      <c r="P22" s="35">
        <f>+GETPIVOTDATA("XXS4",'xuanson (2016)'!$A$3,"MA_HT","SKK","MA_QH","LMU")</f>
        <v>0</v>
      </c>
      <c r="Q22" s="35">
        <f>+GETPIVOTDATA("XXS4",'xuanson (2016)'!$A$3,"MA_HT","SKK","MA_QH","NKH")</f>
        <v>0</v>
      </c>
      <c r="R22" s="63">
        <f>SUM(S22:T22,V22:AA22,AN22:BD22)</f>
        <v>0</v>
      </c>
      <c r="S22" s="35">
        <f>+GETPIVOTDATA("XXS4",'xuanson (2016)'!$A$3,"MA_HT","SKK","MA_QH","CQP")</f>
        <v>0</v>
      </c>
      <c r="T22" s="35">
        <f>+GETPIVOTDATA("XXS4",'xuanson (2016)'!$A$3,"MA_HT","SKK","MA_QH","CAN")</f>
        <v>0</v>
      </c>
      <c r="U22" s="99" t="e">
        <f>$D22-$BF22</f>
        <v>#REF!</v>
      </c>
      <c r="V22" s="35">
        <f>+GETPIVOTDATA("XXS4",'xuanson (2016)'!$A$3,"MA_HT","SKK","MA_QH","SKT")</f>
        <v>0</v>
      </c>
      <c r="W22" s="35">
        <f>+GETPIVOTDATA("XXS4",'xuanson (2016)'!$A$3,"MA_HT","SKK","MA_QH","SKN")</f>
        <v>0</v>
      </c>
      <c r="X22" s="35">
        <f>+GETPIVOTDATA("XXS4",'xuanson (2016)'!$A$3,"MA_HT","SKK","MA_QH","TMD")</f>
        <v>0</v>
      </c>
      <c r="Y22" s="35">
        <f>+GETPIVOTDATA("XXS4",'xuanson (2016)'!$A$3,"MA_HT","SKK","MA_QH","SKC")</f>
        <v>0</v>
      </c>
      <c r="Z22" s="35">
        <f>+GETPIVOTDATA("XXS4",'xuanson (2016)'!$A$3,"MA_HT","SKK","MA_QH","SKS")</f>
        <v>0</v>
      </c>
      <c r="AA22" s="64">
        <f t="shared" si="12"/>
        <v>0</v>
      </c>
      <c r="AB22" s="35">
        <f>+GETPIVOTDATA("XXS4",'xuanson (2016)'!$A$3,"MA_HT","SKK","MA_QH","DGT")</f>
        <v>0</v>
      </c>
      <c r="AC22" s="35">
        <f>+GETPIVOTDATA("XXS4",'xuanson (2016)'!$A$3,"MA_HT","SKK","MA_QH","DTL")</f>
        <v>0</v>
      </c>
      <c r="AD22" s="35">
        <f>+GETPIVOTDATA("XXS4",'xuanson (2016)'!$A$3,"MA_HT","SKK","MA_QH","DNL")</f>
        <v>0</v>
      </c>
      <c r="AE22" s="35">
        <f>+GETPIVOTDATA("XXS4",'xuanson (2016)'!$A$3,"MA_HT","SKK","MA_QH","DBV")</f>
        <v>0</v>
      </c>
      <c r="AF22" s="35">
        <f>+GETPIVOTDATA("XXS4",'xuanson (2016)'!$A$3,"MA_HT","SKK","MA_QH","DVH")</f>
        <v>0</v>
      </c>
      <c r="AG22" s="35">
        <f>+GETPIVOTDATA("XXS4",'xuanson (2016)'!$A$3,"MA_HT","SKK","MA_QH","DYT")</f>
        <v>0</v>
      </c>
      <c r="AH22" s="35">
        <f>+GETPIVOTDATA("XXS4",'xuanson (2016)'!$A$3,"MA_HT","SKK","MA_QH","DGD")</f>
        <v>0</v>
      </c>
      <c r="AI22" s="35">
        <f>+GETPIVOTDATA("XXS4",'xuanson (2016)'!$A$3,"MA_HT","SKK","MA_QH","DTT")</f>
        <v>0</v>
      </c>
      <c r="AJ22" s="35">
        <f>+GETPIVOTDATA("XXS4",'xuanson (2016)'!$A$3,"MA_HT","SKK","MA_QH","NCK")</f>
        <v>0</v>
      </c>
      <c r="AK22" s="35">
        <f>+GETPIVOTDATA("XXS4",'xuanson (2016)'!$A$3,"MA_HT","SKK","MA_QH","DXH")</f>
        <v>0</v>
      </c>
      <c r="AL22" s="35">
        <f>+GETPIVOTDATA("XXS4",'xuanson (2016)'!$A$3,"MA_HT","SKK","MA_QH","DCH")</f>
        <v>0</v>
      </c>
      <c r="AM22" s="35">
        <f>+GETPIVOTDATA("XXS4",'xuanson (2016)'!$A$3,"MA_HT","SKK","MA_QH","DKG")</f>
        <v>0</v>
      </c>
      <c r="AN22" s="35">
        <f>+GETPIVOTDATA("XXS4",'xuanson (2016)'!$A$3,"MA_HT","SKK","MA_QH","DDT")</f>
        <v>0</v>
      </c>
      <c r="AO22" s="35">
        <f>+GETPIVOTDATA("XXS4",'xuanson (2016)'!$A$3,"MA_HT","SKK","MA_QH","DDL")</f>
        <v>0</v>
      </c>
      <c r="AP22" s="35">
        <f>+GETPIVOTDATA("XXS4",'xuanson (2016)'!$A$3,"MA_HT","SKK","MA_QH","DRA")</f>
        <v>0</v>
      </c>
      <c r="AQ22" s="35">
        <f>+GETPIVOTDATA("XXS4",'xuanson (2016)'!$A$3,"MA_HT","SKK","MA_QH","ONT")</f>
        <v>0</v>
      </c>
      <c r="AR22" s="35">
        <f>+GETPIVOTDATA("XXS4",'xuanson (2016)'!$A$3,"MA_HT","SKK","MA_QH","ODT")</f>
        <v>0</v>
      </c>
      <c r="AS22" s="35">
        <f>+GETPIVOTDATA("XXS4",'xuanson (2016)'!$A$3,"MA_HT","SKK","MA_QH","TSC")</f>
        <v>0</v>
      </c>
      <c r="AT22" s="35">
        <f>+GETPIVOTDATA("XXS4",'xuanson (2016)'!$A$3,"MA_HT","SKK","MA_QH","DTS")</f>
        <v>0</v>
      </c>
      <c r="AU22" s="35">
        <f>+GETPIVOTDATA("XXS4",'xuanson (2016)'!$A$3,"MA_HT","SKK","MA_QH","DNG")</f>
        <v>0</v>
      </c>
      <c r="AV22" s="35">
        <f>+GETPIVOTDATA("XXS4",'xuanson (2016)'!$A$3,"MA_HT","SKK","MA_QH","TON")</f>
        <v>0</v>
      </c>
      <c r="AW22" s="35">
        <f>+GETPIVOTDATA("XXS4",'xuanson (2016)'!$A$3,"MA_HT","SKK","MA_QH","NTD")</f>
        <v>0</v>
      </c>
      <c r="AX22" s="35">
        <f>+GETPIVOTDATA("XXS4",'xuanson (2016)'!$A$3,"MA_HT","SKK","MA_QH","SKX")</f>
        <v>0</v>
      </c>
      <c r="AY22" s="35">
        <f>+GETPIVOTDATA("XXS4",'xuanson (2016)'!$A$3,"MA_HT","SKK","MA_QH","DSH")</f>
        <v>0</v>
      </c>
      <c r="AZ22" s="35">
        <f>+GETPIVOTDATA("XXS4",'xuanson (2016)'!$A$3,"MA_HT","SKK","MA_QH","DKV")</f>
        <v>0</v>
      </c>
      <c r="BA22" s="140">
        <f>+GETPIVOTDATA("XXS4",'xuanson (2016)'!$A$3,"MA_HT","SKK","MA_QH","TIN")</f>
        <v>0</v>
      </c>
      <c r="BB22" s="74">
        <f>+GETPIVOTDATA("XXS4",'xuanson (2016)'!$A$3,"MA_HT","SKK","MA_QH","SON")</f>
        <v>0</v>
      </c>
      <c r="BC22" s="74">
        <f>+GETPIVOTDATA("XXS4",'xuanson (2016)'!$A$3,"MA_HT","SKK","MA_QH","MNC")</f>
        <v>0</v>
      </c>
      <c r="BD22" s="35">
        <f>+GETPIVOTDATA("XXS4",'xuanson (2016)'!$A$3,"MA_HT","SKK","MA_QH","PNK")</f>
        <v>0</v>
      </c>
      <c r="BE22" s="58">
        <f>+GETPIVOTDATA("XXS4",'xuanson (2016)'!$A$3,"MA_HT","SKK","MA_QH","CSD")</f>
        <v>0</v>
      </c>
      <c r="BF22" s="66">
        <f t="shared" si="13"/>
        <v>0</v>
      </c>
      <c r="BG22" s="67">
        <f>U$59-$BF22</f>
        <v>0</v>
      </c>
      <c r="BH22" s="62" t="e">
        <f t="shared" si="14"/>
        <v>#REF!</v>
      </c>
      <c r="BI22" s="5"/>
      <c r="BJ22" s="78" t="e">
        <f>#REF!</f>
        <v>#REF!</v>
      </c>
      <c r="BK22" s="78" t="e">
        <f>BH22-BJ22</f>
        <v>#REF!</v>
      </c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</row>
    <row r="23" spans="1:79" s="41" customFormat="1" ht="15.75" customHeight="1">
      <c r="A23" s="60" t="s">
        <v>64</v>
      </c>
      <c r="B23" s="80" t="s">
        <v>80</v>
      </c>
      <c r="C23" s="61" t="s">
        <v>81</v>
      </c>
      <c r="D23" s="62" t="e">
        <f>+#REF!</f>
        <v>#REF!</v>
      </c>
      <c r="E23" s="63">
        <f t="shared" si="15"/>
        <v>0</v>
      </c>
      <c r="F23" s="64">
        <f t="shared" si="9"/>
        <v>0</v>
      </c>
      <c r="G23" s="35">
        <f>+GETPIVOTDATA("XXS4",'xuanson (2016)'!$A$3,"MA_HT","SKT","MA_QH","LUC")</f>
        <v>0</v>
      </c>
      <c r="H23" s="35">
        <f>+GETPIVOTDATA("XXS4",'xuanson (2016)'!$A$3,"MA_HT","SKT","MA_QH","LUK")</f>
        <v>0</v>
      </c>
      <c r="I23" s="35">
        <f>+GETPIVOTDATA("XXS4",'xuanson (2016)'!$A$3,"MA_HT","SKT","MA_QH","LUN")</f>
        <v>0</v>
      </c>
      <c r="J23" s="35">
        <f>+GETPIVOTDATA("XXS4",'xuanson (2016)'!$A$3,"MA_HT","SKT","MA_QH","HNK")</f>
        <v>0</v>
      </c>
      <c r="K23" s="35">
        <f>+GETPIVOTDATA("XXS4",'xuanson (2016)'!$A$3,"MA_HT","SKT","MA_QH","CLN")</f>
        <v>0</v>
      </c>
      <c r="L23" s="35">
        <f>+GETPIVOTDATA("XXS4",'xuanson (2016)'!$A$3,"MA_HT","SKT","MA_QH","RSX")</f>
        <v>0</v>
      </c>
      <c r="M23" s="35">
        <f>+GETPIVOTDATA("XXS4",'xuanson (2016)'!$A$3,"MA_HT","SKT","MA_QH","RPH")</f>
        <v>0</v>
      </c>
      <c r="N23" s="35">
        <f>+GETPIVOTDATA("XXS4",'xuanson (2016)'!$A$3,"MA_HT","SKT","MA_QH","RDD")</f>
        <v>0</v>
      </c>
      <c r="O23" s="35">
        <f>+GETPIVOTDATA("XXS4",'xuanson (2016)'!$A$3,"MA_HT","SKT","MA_QH","NTS")</f>
        <v>0</v>
      </c>
      <c r="P23" s="35">
        <f>+GETPIVOTDATA("XXS4",'xuanson (2016)'!$A$3,"MA_HT","SKT","MA_QH","LMU")</f>
        <v>0</v>
      </c>
      <c r="Q23" s="35">
        <f>+GETPIVOTDATA("XXS4",'xuanson (2016)'!$A$3,"MA_HT","SKT","MA_QH","NKH")</f>
        <v>0</v>
      </c>
      <c r="R23" s="63">
        <f>SUM(S23:U23,W23:AA23,AN23:BD23)</f>
        <v>0</v>
      </c>
      <c r="S23" s="35">
        <f>+GETPIVOTDATA("XXS4",'xuanson (2016)'!$A$3,"MA_HT","SKT","MA_QH","CQP")</f>
        <v>0</v>
      </c>
      <c r="T23" s="35">
        <f>+GETPIVOTDATA("XXS4",'xuanson (2016)'!$A$3,"MA_HT","SKT","MA_QH","CAN")</f>
        <v>0</v>
      </c>
      <c r="U23" s="35">
        <f>+GETPIVOTDATA("XXS4",'xuanson (2016)'!$A$3,"MA_HT","SKT","MA_QH","SKK")</f>
        <v>0</v>
      </c>
      <c r="V23" s="99" t="e">
        <f>$D23-$BF23</f>
        <v>#REF!</v>
      </c>
      <c r="W23" s="35">
        <f>+GETPIVOTDATA("XXS4",'xuanson (2016)'!$A$3,"MA_HT","SKT","MA_QH","SKN")</f>
        <v>0</v>
      </c>
      <c r="X23" s="35">
        <f>+GETPIVOTDATA("XXS4",'xuanson (2016)'!$A$3,"MA_HT","SKT","MA_QH","TMD")</f>
        <v>0</v>
      </c>
      <c r="Y23" s="35">
        <f>+GETPIVOTDATA("XXS4",'xuanson (2016)'!$A$3,"MA_HT","SKT","MA_QH","SKC")</f>
        <v>0</v>
      </c>
      <c r="Z23" s="35">
        <f>+GETPIVOTDATA("XXS4",'xuanson (2016)'!$A$3,"MA_HT","SKT","MA_QH","SKS")</f>
        <v>0</v>
      </c>
      <c r="AA23" s="64">
        <f t="shared" si="12"/>
        <v>0</v>
      </c>
      <c r="AB23" s="35">
        <f>+GETPIVOTDATA("XXS4",'xuanson (2016)'!$A$3,"MA_HT","SKT","MA_QH","DGT")</f>
        <v>0</v>
      </c>
      <c r="AC23" s="35">
        <f>+GETPIVOTDATA("XXS4",'xuanson (2016)'!$A$3,"MA_HT","SKT","MA_QH","DTL")</f>
        <v>0</v>
      </c>
      <c r="AD23" s="35">
        <f>+GETPIVOTDATA("XXS4",'xuanson (2016)'!$A$3,"MA_HT","SKT","MA_QH","DNL")</f>
        <v>0</v>
      </c>
      <c r="AE23" s="35">
        <f>+GETPIVOTDATA("XXS4",'xuanson (2016)'!$A$3,"MA_HT","SKT","MA_QH","DBV")</f>
        <v>0</v>
      </c>
      <c r="AF23" s="35">
        <f>+GETPIVOTDATA("XXS4",'xuanson (2016)'!$A$3,"MA_HT","SKT","MA_QH","DVH")</f>
        <v>0</v>
      </c>
      <c r="AG23" s="35">
        <f>+GETPIVOTDATA("XXS4",'xuanson (2016)'!$A$3,"MA_HT","SKT","MA_QH","DYT")</f>
        <v>0</v>
      </c>
      <c r="AH23" s="35">
        <f>+GETPIVOTDATA("XXS4",'xuanson (2016)'!$A$3,"MA_HT","SKT","MA_QH","DGD")</f>
        <v>0</v>
      </c>
      <c r="AI23" s="35">
        <f>+GETPIVOTDATA("XXS4",'xuanson (2016)'!$A$3,"MA_HT","SKT","MA_QH","DTT")</f>
        <v>0</v>
      </c>
      <c r="AJ23" s="35">
        <f>+GETPIVOTDATA("XXS4",'xuanson (2016)'!$A$3,"MA_HT","SKT","MA_QH","NCK")</f>
        <v>0</v>
      </c>
      <c r="AK23" s="35">
        <f>+GETPIVOTDATA("XXS4",'xuanson (2016)'!$A$3,"MA_HT","SKT","MA_QH","DXH")</f>
        <v>0</v>
      </c>
      <c r="AL23" s="35">
        <f>+GETPIVOTDATA("XXS4",'xuanson (2016)'!$A$3,"MA_HT","SKT","MA_QH","DCH")</f>
        <v>0</v>
      </c>
      <c r="AM23" s="35">
        <f>+GETPIVOTDATA("XXS4",'xuanson (2016)'!$A$3,"MA_HT","SKT","MA_QH","DKG")</f>
        <v>0</v>
      </c>
      <c r="AN23" s="35">
        <f>+GETPIVOTDATA("XXS4",'xuanson (2016)'!$A$3,"MA_HT","SKT","MA_QH","DDT")</f>
        <v>0</v>
      </c>
      <c r="AO23" s="35">
        <f>+GETPIVOTDATA("XXS4",'xuanson (2016)'!$A$3,"MA_HT","SKT","MA_QH","DDL")</f>
        <v>0</v>
      </c>
      <c r="AP23" s="35">
        <f>+GETPIVOTDATA("XXS4",'xuanson (2016)'!$A$3,"MA_HT","SKT","MA_QH","DRA")</f>
        <v>0</v>
      </c>
      <c r="AQ23" s="35">
        <f>+GETPIVOTDATA("XXS4",'xuanson (2016)'!$A$3,"MA_HT","SKT","MA_QH","ONT")</f>
        <v>0</v>
      </c>
      <c r="AR23" s="35">
        <f>+GETPIVOTDATA("XXS4",'xuanson (2016)'!$A$3,"MA_HT","SKT","MA_QH","ODT")</f>
        <v>0</v>
      </c>
      <c r="AS23" s="35">
        <f>+GETPIVOTDATA("XXS4",'xuanson (2016)'!$A$3,"MA_HT","SKT","MA_QH","TSC")</f>
        <v>0</v>
      </c>
      <c r="AT23" s="35">
        <f>+GETPIVOTDATA("XXS4",'xuanson (2016)'!$A$3,"MA_HT","SKT","MA_QH","DTS")</f>
        <v>0</v>
      </c>
      <c r="AU23" s="35">
        <f>+GETPIVOTDATA("XXS4",'xuanson (2016)'!$A$3,"MA_HT","SKT","MA_QH","DNG")</f>
        <v>0</v>
      </c>
      <c r="AV23" s="35">
        <f>+GETPIVOTDATA("XXS4",'xuanson (2016)'!$A$3,"MA_HT","SKT","MA_QH","TON")</f>
        <v>0</v>
      </c>
      <c r="AW23" s="35">
        <f>+GETPIVOTDATA("XXS4",'xuanson (2016)'!$A$3,"MA_HT","SKT","MA_QH","NTD")</f>
        <v>0</v>
      </c>
      <c r="AX23" s="35">
        <f>+GETPIVOTDATA("XXS4",'xuanson (2016)'!$A$3,"MA_HT","SKT","MA_QH","SKX")</f>
        <v>0</v>
      </c>
      <c r="AY23" s="35">
        <f>+GETPIVOTDATA("XXS4",'xuanson (2016)'!$A$3,"MA_HT","SKT","MA_QH","DSH")</f>
        <v>0</v>
      </c>
      <c r="AZ23" s="35">
        <f>+GETPIVOTDATA("XXS4",'xuanson (2016)'!$A$3,"MA_HT","SKT","MA_QH","DKV")</f>
        <v>0</v>
      </c>
      <c r="BA23" s="140">
        <f>+GETPIVOTDATA("XXS4",'xuanson (2016)'!$A$3,"MA_HT","SKT","MA_QH","TIN")</f>
        <v>0</v>
      </c>
      <c r="BB23" s="74">
        <f>+GETPIVOTDATA("XXS4",'xuanson (2016)'!$A$3,"MA_HT","SKT","MA_QH","SON")</f>
        <v>0</v>
      </c>
      <c r="BC23" s="74">
        <f>+GETPIVOTDATA("XXS4",'xuanson (2016)'!$A$3,"MA_HT","SKT","MA_QH","MNC")</f>
        <v>0</v>
      </c>
      <c r="BD23" s="35">
        <f>+GETPIVOTDATA("XXS4",'xuanson (2016)'!$A$3,"MA_HT","SKT","MA_QH","PNK")</f>
        <v>0</v>
      </c>
      <c r="BE23" s="58">
        <f>+GETPIVOTDATA("XXS4",'xuanson (2016)'!$A$3,"MA_HT","SKT","MA_QH","CSD")</f>
        <v>0</v>
      </c>
      <c r="BF23" s="66">
        <f t="shared" si="13"/>
        <v>0</v>
      </c>
      <c r="BG23" s="67">
        <f>V$59-$BF23</f>
        <v>0</v>
      </c>
      <c r="BH23" s="62" t="e">
        <f t="shared" si="14"/>
        <v>#REF!</v>
      </c>
      <c r="BI23" s="5"/>
      <c r="BJ23" s="78"/>
      <c r="BK23" s="78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</row>
    <row r="24" spans="1:79" s="41" customFormat="1" ht="15.75" customHeight="1">
      <c r="A24" s="60" t="s">
        <v>67</v>
      </c>
      <c r="B24" s="80" t="s">
        <v>83</v>
      </c>
      <c r="C24" s="61" t="s">
        <v>84</v>
      </c>
      <c r="D24" s="62" t="e">
        <f>+#REF!</f>
        <v>#REF!</v>
      </c>
      <c r="E24" s="63">
        <f t="shared" si="15"/>
        <v>0</v>
      </c>
      <c r="F24" s="64">
        <f t="shared" si="9"/>
        <v>0</v>
      </c>
      <c r="G24" s="35">
        <f>+GETPIVOTDATA("XXS4",'xuanson (2016)'!$A$3,"MA_HT","SKN","MA_QH","LUC")</f>
        <v>0</v>
      </c>
      <c r="H24" s="35">
        <f>+GETPIVOTDATA("XXS4",'xuanson (2016)'!$A$3,"MA_HT","SKN","MA_QH","LUK")</f>
        <v>0</v>
      </c>
      <c r="I24" s="35">
        <f>+GETPIVOTDATA("XXS4",'xuanson (2016)'!$A$3,"MA_HT","SKN","MA_QH","LUN")</f>
        <v>0</v>
      </c>
      <c r="J24" s="35">
        <f>+GETPIVOTDATA("XXS4",'xuanson (2016)'!$A$3,"MA_HT","SKN","MA_QH","HNK")</f>
        <v>0</v>
      </c>
      <c r="K24" s="35">
        <f>+GETPIVOTDATA("XXS4",'xuanson (2016)'!$A$3,"MA_HT","SKN","MA_QH","CLN")</f>
        <v>0</v>
      </c>
      <c r="L24" s="35">
        <f>+GETPIVOTDATA("XXS4",'xuanson (2016)'!$A$3,"MA_HT","SKN","MA_QH","RSX")</f>
        <v>0</v>
      </c>
      <c r="M24" s="35">
        <f>+GETPIVOTDATA("XXS4",'xuanson (2016)'!$A$3,"MA_HT","SKN","MA_QH","RPH")</f>
        <v>0</v>
      </c>
      <c r="N24" s="35">
        <f>+GETPIVOTDATA("XXS4",'xuanson (2016)'!$A$3,"MA_HT","SKN","MA_QH","RDD")</f>
        <v>0</v>
      </c>
      <c r="O24" s="35">
        <f>+GETPIVOTDATA("XXS4",'xuanson (2016)'!$A$3,"MA_HT","SKN","MA_QH","NTS")</f>
        <v>0</v>
      </c>
      <c r="P24" s="35">
        <f>+GETPIVOTDATA("XXS4",'xuanson (2016)'!$A$3,"MA_HT","SKN","MA_QH","LMU")</f>
        <v>0</v>
      </c>
      <c r="Q24" s="35">
        <f>+GETPIVOTDATA("XXS4",'xuanson (2016)'!$A$3,"MA_HT","SKN","MA_QH","NKH")</f>
        <v>0</v>
      </c>
      <c r="R24" s="63">
        <f>SUM(S24:V24,X24:AA24,AN24:BD24)</f>
        <v>0</v>
      </c>
      <c r="S24" s="35">
        <f>+GETPIVOTDATA("XXS4",'xuanson (2016)'!$A$3,"MA_HT","SKN","MA_QH","CQP")</f>
        <v>0</v>
      </c>
      <c r="T24" s="35">
        <f>+GETPIVOTDATA("XXS4",'xuanson (2016)'!$A$3,"MA_HT","SKN","MA_QH","CAN")</f>
        <v>0</v>
      </c>
      <c r="U24" s="35">
        <f>+GETPIVOTDATA("XXS4",'xuanson (2016)'!$A$3,"MA_HT","SKN","MA_QH","SKK")</f>
        <v>0</v>
      </c>
      <c r="V24" s="35">
        <f>+GETPIVOTDATA("XXS4",'xuanson (2016)'!$A$3,"MA_HT","SKN","MA_QH","SKT")</f>
        <v>0</v>
      </c>
      <c r="W24" s="99" t="e">
        <f>$D24-$BF24</f>
        <v>#REF!</v>
      </c>
      <c r="X24" s="35">
        <f>+GETPIVOTDATA("XXS4",'xuanson (2016)'!$A$3,"MA_HT","SKN","MA_QH","TMD")</f>
        <v>0</v>
      </c>
      <c r="Y24" s="35">
        <f>+GETPIVOTDATA("XXS4",'xuanson (2016)'!$A$3,"MA_HT","SKN","MA_QH","SKC")</f>
        <v>0</v>
      </c>
      <c r="Z24" s="35">
        <f>+GETPIVOTDATA("XXS4",'xuanson (2016)'!$A$3,"MA_HT","SKN","MA_QH","SKS")</f>
        <v>0</v>
      </c>
      <c r="AA24" s="64">
        <f t="shared" si="12"/>
        <v>0</v>
      </c>
      <c r="AB24" s="35">
        <f>+GETPIVOTDATA("XXS4",'xuanson (2016)'!$A$3,"MA_HT","SKN","MA_QH","DGT")</f>
        <v>0</v>
      </c>
      <c r="AC24" s="35">
        <f>+GETPIVOTDATA("XXS4",'xuanson (2016)'!$A$3,"MA_HT","SKN","MA_QH","DTL")</f>
        <v>0</v>
      </c>
      <c r="AD24" s="35">
        <f>+GETPIVOTDATA("XXS4",'xuanson (2016)'!$A$3,"MA_HT","SKN","MA_QH","DNL")</f>
        <v>0</v>
      </c>
      <c r="AE24" s="35">
        <f>+GETPIVOTDATA("XXS4",'xuanson (2016)'!$A$3,"MA_HT","SKN","MA_QH","DBV")</f>
        <v>0</v>
      </c>
      <c r="AF24" s="35">
        <f>+GETPIVOTDATA("XXS4",'xuanson (2016)'!$A$3,"MA_HT","SKN","MA_QH","DVH")</f>
        <v>0</v>
      </c>
      <c r="AG24" s="35">
        <f>+GETPIVOTDATA("XXS4",'xuanson (2016)'!$A$3,"MA_HT","SKN","MA_QH","DYT")</f>
        <v>0</v>
      </c>
      <c r="AH24" s="35">
        <f>+GETPIVOTDATA("XXS4",'xuanson (2016)'!$A$3,"MA_HT","SKN","MA_QH","DGD")</f>
        <v>0</v>
      </c>
      <c r="AI24" s="35">
        <f>+GETPIVOTDATA("XXS4",'xuanson (2016)'!$A$3,"MA_HT","SKN","MA_QH","DTT")</f>
        <v>0</v>
      </c>
      <c r="AJ24" s="35">
        <f>+GETPIVOTDATA("XXS4",'xuanson (2016)'!$A$3,"MA_HT","SKN","MA_QH","NCK")</f>
        <v>0</v>
      </c>
      <c r="AK24" s="35">
        <f>+GETPIVOTDATA("XXS4",'xuanson (2016)'!$A$3,"MA_HT","SKN","MA_QH","DXH")</f>
        <v>0</v>
      </c>
      <c r="AL24" s="35">
        <f>+GETPIVOTDATA("XXS4",'xuanson (2016)'!$A$3,"MA_HT","SKN","MA_QH","DCH")</f>
        <v>0</v>
      </c>
      <c r="AM24" s="35">
        <f>+GETPIVOTDATA("XXS4",'xuanson (2016)'!$A$3,"MA_HT","SKN","MA_QH","DKG")</f>
        <v>0</v>
      </c>
      <c r="AN24" s="35">
        <f>+GETPIVOTDATA("XXS4",'xuanson (2016)'!$A$3,"MA_HT","SKN","MA_QH","DDT")</f>
        <v>0</v>
      </c>
      <c r="AO24" s="35">
        <f>+GETPIVOTDATA("XXS4",'xuanson (2016)'!$A$3,"MA_HT","SKN","MA_QH","DDL")</f>
        <v>0</v>
      </c>
      <c r="AP24" s="35">
        <f>+GETPIVOTDATA("XXS4",'xuanson (2016)'!$A$3,"MA_HT","SKN","MA_QH","DRA")</f>
        <v>0</v>
      </c>
      <c r="AQ24" s="35">
        <f>+GETPIVOTDATA("XXS4",'xuanson (2016)'!$A$3,"MA_HT","SKN","MA_QH","ONT")</f>
        <v>0</v>
      </c>
      <c r="AR24" s="35">
        <f>+GETPIVOTDATA("XXS4",'xuanson (2016)'!$A$3,"MA_HT","SKN","MA_QH","ODT")</f>
        <v>0</v>
      </c>
      <c r="AS24" s="35">
        <f>+GETPIVOTDATA("XXS4",'xuanson (2016)'!$A$3,"MA_HT","SKN","MA_QH","TSC")</f>
        <v>0</v>
      </c>
      <c r="AT24" s="35">
        <f>+GETPIVOTDATA("XXS4",'xuanson (2016)'!$A$3,"MA_HT","SKN","MA_QH","DTS")</f>
        <v>0</v>
      </c>
      <c r="AU24" s="35">
        <f>+GETPIVOTDATA("XXS4",'xuanson (2016)'!$A$3,"MA_HT","SKN","MA_QH","DNG")</f>
        <v>0</v>
      </c>
      <c r="AV24" s="35">
        <f>+GETPIVOTDATA("XXS4",'xuanson (2016)'!$A$3,"MA_HT","SKN","MA_QH","TON")</f>
        <v>0</v>
      </c>
      <c r="AW24" s="35">
        <f>+GETPIVOTDATA("XXS4",'xuanson (2016)'!$A$3,"MA_HT","SKN","MA_QH","NTD")</f>
        <v>0</v>
      </c>
      <c r="AX24" s="35">
        <f>+GETPIVOTDATA("XXS4",'xuanson (2016)'!$A$3,"MA_HT","SKN","MA_QH","SKX")</f>
        <v>0</v>
      </c>
      <c r="AY24" s="35">
        <f>+GETPIVOTDATA("XXS4",'xuanson (2016)'!$A$3,"MA_HT","SKN","MA_QH","DSH")</f>
        <v>0</v>
      </c>
      <c r="AZ24" s="35">
        <f>+GETPIVOTDATA("XXS4",'xuanson (2016)'!$A$3,"MA_HT","SKN","MA_QH","DKV")</f>
        <v>0</v>
      </c>
      <c r="BA24" s="140">
        <f>+GETPIVOTDATA("XXS4",'xuanson (2016)'!$A$3,"MA_HT","SKN","MA_QH","TIN")</f>
        <v>0</v>
      </c>
      <c r="BB24" s="74">
        <f>+GETPIVOTDATA("XXS4",'xuanson (2016)'!$A$3,"MA_HT","SKN","MA_QH","SON")</f>
        <v>0</v>
      </c>
      <c r="BC24" s="74">
        <f>+GETPIVOTDATA("XXS4",'xuanson (2016)'!$A$3,"MA_HT","SKN","MA_QH","MNC")</f>
        <v>0</v>
      </c>
      <c r="BD24" s="35">
        <f>+GETPIVOTDATA("XXS4",'xuanson (2016)'!$A$3,"MA_HT","SKN","MA_QH","PNK")</f>
        <v>0</v>
      </c>
      <c r="BE24" s="58">
        <f>+GETPIVOTDATA("XXS4",'xuanson (2016)'!$A$3,"MA_HT","SKN","MA_QH","CSD")</f>
        <v>0</v>
      </c>
      <c r="BF24" s="66">
        <f t="shared" si="13"/>
        <v>0</v>
      </c>
      <c r="BG24" s="67">
        <f>W$59-$BF24</f>
        <v>0</v>
      </c>
      <c r="BH24" s="62" t="e">
        <f t="shared" si="14"/>
        <v>#REF!</v>
      </c>
      <c r="BI24" s="5"/>
      <c r="BJ24" s="78"/>
      <c r="BK24" s="78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</row>
    <row r="25" spans="1:79" s="41" customFormat="1" ht="15.75" customHeight="1">
      <c r="A25" s="60" t="s">
        <v>70</v>
      </c>
      <c r="B25" s="60" t="s">
        <v>86</v>
      </c>
      <c r="C25" s="61" t="s">
        <v>87</v>
      </c>
      <c r="D25" s="62" t="e">
        <f>+#REF!</f>
        <v>#REF!</v>
      </c>
      <c r="E25" s="63">
        <f t="shared" si="15"/>
        <v>0</v>
      </c>
      <c r="F25" s="64">
        <f t="shared" si="9"/>
        <v>0</v>
      </c>
      <c r="G25" s="35">
        <f>+GETPIVOTDATA("XXS4",'xuanson (2016)'!$A$3,"MA_HT","TMD","MA_QH","LUC")</f>
        <v>0</v>
      </c>
      <c r="H25" s="35">
        <f>+GETPIVOTDATA("XXS4",'xuanson (2016)'!$A$3,"MA_HT","TMD","MA_QH","LUK")</f>
        <v>0</v>
      </c>
      <c r="I25" s="35">
        <f>+GETPIVOTDATA("XXS4",'xuanson (2016)'!$A$3,"MA_HT","TMD","MA_QH","LUN")</f>
        <v>0</v>
      </c>
      <c r="J25" s="35">
        <f>+GETPIVOTDATA("XXS4",'xuanson (2016)'!$A$3,"MA_HT","TMD","MA_QH","HNK")</f>
        <v>0</v>
      </c>
      <c r="K25" s="35">
        <f>+GETPIVOTDATA("XXS4",'xuanson (2016)'!$A$3,"MA_HT","TMD","MA_QH","CLN")</f>
        <v>0</v>
      </c>
      <c r="L25" s="35">
        <f>+GETPIVOTDATA("XXS4",'xuanson (2016)'!$A$3,"MA_HT","TMD","MA_QH","RSX")</f>
        <v>0</v>
      </c>
      <c r="M25" s="35">
        <f>+GETPIVOTDATA("XXS4",'xuanson (2016)'!$A$3,"MA_HT","TMD","MA_QH","RPH")</f>
        <v>0</v>
      </c>
      <c r="N25" s="35">
        <f>+GETPIVOTDATA("XXS4",'xuanson (2016)'!$A$3,"MA_HT","TMD","MA_QH","RDD")</f>
        <v>0</v>
      </c>
      <c r="O25" s="35">
        <f>+GETPIVOTDATA("XXS4",'xuanson (2016)'!$A$3,"MA_HT","TMD","MA_QH","NTS")</f>
        <v>0</v>
      </c>
      <c r="P25" s="35">
        <f>+GETPIVOTDATA("XXS4",'xuanson (2016)'!$A$3,"MA_HT","TMD","MA_QH","LMU")</f>
        <v>0</v>
      </c>
      <c r="Q25" s="35">
        <f>+GETPIVOTDATA("XXS4",'xuanson (2016)'!$A$3,"MA_HT","TMD","MA_QH","NKH")</f>
        <v>0</v>
      </c>
      <c r="R25" s="63">
        <f>SUM(S25:W25,Y25:AA25,AN25:BD25)</f>
        <v>0</v>
      </c>
      <c r="S25" s="35">
        <f>+GETPIVOTDATA("XXS4",'xuanson (2016)'!$A$3,"MA_HT","TMD","MA_QH","CQP")</f>
        <v>0</v>
      </c>
      <c r="T25" s="35">
        <f>+GETPIVOTDATA("XXS4",'xuanson (2016)'!$A$3,"MA_HT","TMD","MA_QH","CAN")</f>
        <v>0</v>
      </c>
      <c r="U25" s="35">
        <f>+GETPIVOTDATA("XXS4",'xuanson (2016)'!$A$3,"MA_HT","TMD","MA_QH","SKK")</f>
        <v>0</v>
      </c>
      <c r="V25" s="35">
        <f>+GETPIVOTDATA("XXS4",'xuanson (2016)'!$A$3,"MA_HT","TMD","MA_QH","SKT")</f>
        <v>0</v>
      </c>
      <c r="W25" s="35">
        <f>+GETPIVOTDATA("XXS4",'xuanson (2016)'!$A$3,"MA_HT","TMD","MA_QH","SKN")</f>
        <v>0</v>
      </c>
      <c r="X25" s="99" t="e">
        <f>$D25-$BF25</f>
        <v>#REF!</v>
      </c>
      <c r="Y25" s="35">
        <f>+GETPIVOTDATA("XXS4",'xuanson (2016)'!$A$3,"MA_HT","TMD","MA_QH","SKC")</f>
        <v>0</v>
      </c>
      <c r="Z25" s="35">
        <f>+GETPIVOTDATA("XXS4",'xuanson (2016)'!$A$3,"MA_HT","TMD","MA_QH","SKS")</f>
        <v>0</v>
      </c>
      <c r="AA25" s="64">
        <f t="shared" si="12"/>
        <v>0</v>
      </c>
      <c r="AB25" s="35">
        <f>+GETPIVOTDATA("XXS4",'xuanson (2016)'!$A$3,"MA_HT","TMD","MA_QH","DGT")</f>
        <v>0</v>
      </c>
      <c r="AC25" s="35">
        <f>+GETPIVOTDATA("XXS4",'xuanson (2016)'!$A$3,"MA_HT","TMD","MA_QH","DTL")</f>
        <v>0</v>
      </c>
      <c r="AD25" s="35">
        <f>+GETPIVOTDATA("XXS4",'xuanson (2016)'!$A$3,"MA_HT","TMD","MA_QH","DNL")</f>
        <v>0</v>
      </c>
      <c r="AE25" s="35">
        <f>+GETPIVOTDATA("XXS4",'xuanson (2016)'!$A$3,"MA_HT","TMD","MA_QH","DBV")</f>
        <v>0</v>
      </c>
      <c r="AF25" s="35">
        <f>+GETPIVOTDATA("XXS4",'xuanson (2016)'!$A$3,"MA_HT","TMD","MA_QH","DVH")</f>
        <v>0</v>
      </c>
      <c r="AG25" s="35">
        <f>+GETPIVOTDATA("XXS4",'xuanson (2016)'!$A$3,"MA_HT","TMD","MA_QH","DYT")</f>
        <v>0</v>
      </c>
      <c r="AH25" s="35">
        <f>+GETPIVOTDATA("XXS4",'xuanson (2016)'!$A$3,"MA_HT","TMD","MA_QH","DGD")</f>
        <v>0</v>
      </c>
      <c r="AI25" s="35">
        <f>+GETPIVOTDATA("XXS4",'xuanson (2016)'!$A$3,"MA_HT","TMD","MA_QH","DTT")</f>
        <v>0</v>
      </c>
      <c r="AJ25" s="35">
        <f>+GETPIVOTDATA("XXS4",'xuanson (2016)'!$A$3,"MA_HT","TMD","MA_QH","NCK")</f>
        <v>0</v>
      </c>
      <c r="AK25" s="35">
        <f>+GETPIVOTDATA("XXS4",'xuanson (2016)'!$A$3,"MA_HT","TMD","MA_QH","DXH")</f>
        <v>0</v>
      </c>
      <c r="AL25" s="35">
        <f>+GETPIVOTDATA("XXS4",'xuanson (2016)'!$A$3,"MA_HT","TMD","MA_QH","DCH")</f>
        <v>0</v>
      </c>
      <c r="AM25" s="35">
        <f>+GETPIVOTDATA("XXS4",'xuanson (2016)'!$A$3,"MA_HT","TMD","MA_QH","DKG")</f>
        <v>0</v>
      </c>
      <c r="AN25" s="35">
        <f>+GETPIVOTDATA("XXS4",'xuanson (2016)'!$A$3,"MA_HT","TMD","MA_QH","DDT")</f>
        <v>0</v>
      </c>
      <c r="AO25" s="35">
        <f>+GETPIVOTDATA("XXS4",'xuanson (2016)'!$A$3,"MA_HT","TMD","MA_QH","DDL")</f>
        <v>0</v>
      </c>
      <c r="AP25" s="35">
        <f>+GETPIVOTDATA("XXS4",'xuanson (2016)'!$A$3,"MA_HT","TMD","MA_QH","DRA")</f>
        <v>0</v>
      </c>
      <c r="AQ25" s="35">
        <f>+GETPIVOTDATA("XXS4",'xuanson (2016)'!$A$3,"MA_HT","TMD","MA_QH","ONT")</f>
        <v>0</v>
      </c>
      <c r="AR25" s="35">
        <f>+GETPIVOTDATA("XXS4",'xuanson (2016)'!$A$3,"MA_HT","TMD","MA_QH","ODT")</f>
        <v>0</v>
      </c>
      <c r="AS25" s="35">
        <f>+GETPIVOTDATA("XXS4",'xuanson (2016)'!$A$3,"MA_HT","TMD","MA_QH","TSC")</f>
        <v>0</v>
      </c>
      <c r="AT25" s="35">
        <f>+GETPIVOTDATA("XXS4",'xuanson (2016)'!$A$3,"MA_HT","TMD","MA_QH","DTS")</f>
        <v>0</v>
      </c>
      <c r="AU25" s="35">
        <f>+GETPIVOTDATA("XXS4",'xuanson (2016)'!$A$3,"MA_HT","TMD","MA_QH","DNG")</f>
        <v>0</v>
      </c>
      <c r="AV25" s="35">
        <f>+GETPIVOTDATA("XXS4",'xuanson (2016)'!$A$3,"MA_HT","TMD","MA_QH","TON")</f>
        <v>0</v>
      </c>
      <c r="AW25" s="35">
        <f>+GETPIVOTDATA("XXS4",'xuanson (2016)'!$A$3,"MA_HT","TMD","MA_QH","NTD")</f>
        <v>0</v>
      </c>
      <c r="AX25" s="35">
        <f>+GETPIVOTDATA("XXS4",'xuanson (2016)'!$A$3,"MA_HT","TMD","MA_QH","SKX")</f>
        <v>0</v>
      </c>
      <c r="AY25" s="35">
        <f>+GETPIVOTDATA("XXS4",'xuanson (2016)'!$A$3,"MA_HT","TMD","MA_QH","DSH")</f>
        <v>0</v>
      </c>
      <c r="AZ25" s="35">
        <f>+GETPIVOTDATA("XXS4",'xuanson (2016)'!$A$3,"MA_HT","TMD","MA_QH","DKV")</f>
        <v>0</v>
      </c>
      <c r="BA25" s="140">
        <f>+GETPIVOTDATA("XXS4",'xuanson (2016)'!$A$3,"MA_HT","TMD","MA_QH","TIN")</f>
        <v>0</v>
      </c>
      <c r="BB25" s="74">
        <f>+GETPIVOTDATA("XXS4",'xuanson (2016)'!$A$3,"MA_HT","TMD","MA_QH","SON")</f>
        <v>0</v>
      </c>
      <c r="BC25" s="74">
        <f>+GETPIVOTDATA("XXS4",'xuanson (2016)'!$A$3,"MA_HT","TMD","MA_QH","MNC")</f>
        <v>0</v>
      </c>
      <c r="BD25" s="35">
        <f>+GETPIVOTDATA("XXS4",'xuanson (2016)'!$A$3,"MA_HT","TMD","MA_QH","PNK")</f>
        <v>0</v>
      </c>
      <c r="BE25" s="58">
        <f>+GETPIVOTDATA("XXS4",'xuanson (2016)'!$A$3,"MA_HT","TMD","MA_QH","CSD")</f>
        <v>0</v>
      </c>
      <c r="BF25" s="66">
        <f t="shared" si="13"/>
        <v>0</v>
      </c>
      <c r="BG25" s="67">
        <f>X$59-$BF25</f>
        <v>0</v>
      </c>
      <c r="BH25" s="62" t="e">
        <f t="shared" si="14"/>
        <v>#REF!</v>
      </c>
      <c r="BI25" s="5"/>
      <c r="BJ25" s="78" t="e">
        <f>#REF!</f>
        <v>#REF!</v>
      </c>
      <c r="BK25" s="78" t="e">
        <f>BH25-BJ25</f>
        <v>#REF!</v>
      </c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</row>
    <row r="26" spans="1:79" s="41" customFormat="1" ht="15.75" customHeight="1">
      <c r="A26" s="60" t="s">
        <v>73</v>
      </c>
      <c r="B26" s="60" t="s">
        <v>89</v>
      </c>
      <c r="C26" s="61" t="s">
        <v>90</v>
      </c>
      <c r="D26" s="62" t="e">
        <f>+#REF!</f>
        <v>#REF!</v>
      </c>
      <c r="E26" s="63">
        <f t="shared" si="15"/>
        <v>0</v>
      </c>
      <c r="F26" s="64">
        <f t="shared" si="9"/>
        <v>0</v>
      </c>
      <c r="G26" s="35">
        <f>+GETPIVOTDATA("XXS4",'xuanson (2016)'!$A$3,"MA_HT","SKC","MA_QH","LUC")</f>
        <v>0</v>
      </c>
      <c r="H26" s="35">
        <f>+GETPIVOTDATA("XXS4",'xuanson (2016)'!$A$3,"MA_HT","SKC","MA_QH","LUK")</f>
        <v>0</v>
      </c>
      <c r="I26" s="35">
        <f>+GETPIVOTDATA("XXS4",'xuanson (2016)'!$A$3,"MA_HT","SKC","MA_QH","LUN")</f>
        <v>0</v>
      </c>
      <c r="J26" s="35">
        <f>+GETPIVOTDATA("XXS4",'xuanson (2016)'!$A$3,"MA_HT","SKC","MA_QH","HNK")</f>
        <v>0</v>
      </c>
      <c r="K26" s="35">
        <f>+GETPIVOTDATA("XXS4",'xuanson (2016)'!$A$3,"MA_HT","SKC","MA_QH","CLN")</f>
        <v>0</v>
      </c>
      <c r="L26" s="35">
        <f>+GETPIVOTDATA("XXS4",'xuanson (2016)'!$A$3,"MA_HT","SKC","MA_QH","RSX")</f>
        <v>0</v>
      </c>
      <c r="M26" s="35">
        <f>+GETPIVOTDATA("XXS4",'xuanson (2016)'!$A$3,"MA_HT","SKC","MA_QH","RPH")</f>
        <v>0</v>
      </c>
      <c r="N26" s="35">
        <f>+GETPIVOTDATA("XXS4",'xuanson (2016)'!$A$3,"MA_HT","SKC","MA_QH","RDD")</f>
        <v>0</v>
      </c>
      <c r="O26" s="35">
        <f>+GETPIVOTDATA("XXS4",'xuanson (2016)'!$A$3,"MA_HT","SKC","MA_QH","NTS")</f>
        <v>0</v>
      </c>
      <c r="P26" s="35">
        <f>+GETPIVOTDATA("XXS4",'xuanson (2016)'!$A$3,"MA_HT","SKC","MA_QH","LMU")</f>
        <v>0</v>
      </c>
      <c r="Q26" s="35">
        <f>+GETPIVOTDATA("XXS4",'xuanson (2016)'!$A$3,"MA_HT","SKC","MA_QH","NKH")</f>
        <v>0</v>
      </c>
      <c r="R26" s="63">
        <f>SUM(S26:X26,Z26,AN26:BD26)</f>
        <v>0</v>
      </c>
      <c r="S26" s="35">
        <f>+GETPIVOTDATA("XXS4",'xuanson (2016)'!$A$3,"MA_HT","SKC","MA_QH","CQP")</f>
        <v>0</v>
      </c>
      <c r="T26" s="35">
        <f>+GETPIVOTDATA("XXS4",'xuanson (2016)'!$A$3,"MA_HT","SKC","MA_QH","CAN")</f>
        <v>0</v>
      </c>
      <c r="U26" s="35">
        <f>+GETPIVOTDATA("XXS4",'xuanson (2016)'!$A$3,"MA_HT","SKC","MA_QH","SKK")</f>
        <v>0</v>
      </c>
      <c r="V26" s="35">
        <f>+GETPIVOTDATA("XXS4",'xuanson (2016)'!$A$3,"MA_HT","SKC","MA_QH","SKT")</f>
        <v>0</v>
      </c>
      <c r="W26" s="35">
        <f>+GETPIVOTDATA("XXS4",'xuanson (2016)'!$A$3,"MA_HT","SKC","MA_QH","SKN")</f>
        <v>0</v>
      </c>
      <c r="X26" s="35">
        <f>+GETPIVOTDATA("XXS4",'xuanson (2016)'!$A$3,"MA_HT","SKC","MA_QH","TMD")</f>
        <v>0</v>
      </c>
      <c r="Y26" s="99" t="e">
        <f>$D26-$BF26</f>
        <v>#REF!</v>
      </c>
      <c r="Z26" s="35">
        <f>+GETPIVOTDATA("XXS4",'xuanson (2016)'!$A$3,"MA_HT","SKC","MA_QH","SKS")</f>
        <v>0</v>
      </c>
      <c r="AA26" s="64">
        <f t="shared" si="12"/>
        <v>0</v>
      </c>
      <c r="AB26" s="35">
        <f>+GETPIVOTDATA("XXS4",'xuanson (2016)'!$A$3,"MA_HT","SKC","MA_QH","DGT")</f>
        <v>0</v>
      </c>
      <c r="AC26" s="35">
        <f>+GETPIVOTDATA("XXS4",'xuanson (2016)'!$A$3,"MA_HT","SKC","MA_QH","DTL")</f>
        <v>0</v>
      </c>
      <c r="AD26" s="35">
        <f>+GETPIVOTDATA("XXS4",'xuanson (2016)'!$A$3,"MA_HT","SKC","MA_QH","DNL")</f>
        <v>0</v>
      </c>
      <c r="AE26" s="35">
        <f>+GETPIVOTDATA("XXS4",'xuanson (2016)'!$A$3,"MA_HT","SKC","MA_QH","DBV")</f>
        <v>0</v>
      </c>
      <c r="AF26" s="35">
        <f>+GETPIVOTDATA("XXS4",'xuanson (2016)'!$A$3,"MA_HT","SKC","MA_QH","DVH")</f>
        <v>0</v>
      </c>
      <c r="AG26" s="35">
        <f>+GETPIVOTDATA("XXS4",'xuanson (2016)'!$A$3,"MA_HT","SKC","MA_QH","DYT")</f>
        <v>0</v>
      </c>
      <c r="AH26" s="35">
        <f>+GETPIVOTDATA("XXS4",'xuanson (2016)'!$A$3,"MA_HT","SKC","MA_QH","DGD")</f>
        <v>0</v>
      </c>
      <c r="AI26" s="35">
        <f>+GETPIVOTDATA("XXS4",'xuanson (2016)'!$A$3,"MA_HT","SKC","MA_QH","DTT")</f>
        <v>0</v>
      </c>
      <c r="AJ26" s="35">
        <f>+GETPIVOTDATA("XXS4",'xuanson (2016)'!$A$3,"MA_HT","SKC","MA_QH","NCK")</f>
        <v>0</v>
      </c>
      <c r="AK26" s="35">
        <f>+GETPIVOTDATA("XXS4",'xuanson (2016)'!$A$3,"MA_HT","SKC","MA_QH","DXH")</f>
        <v>0</v>
      </c>
      <c r="AL26" s="35">
        <f>+GETPIVOTDATA("XXS4",'xuanson (2016)'!$A$3,"MA_HT","SKC","MA_QH","DCH")</f>
        <v>0</v>
      </c>
      <c r="AM26" s="35">
        <f>+GETPIVOTDATA("XXS4",'xuanson (2016)'!$A$3,"MA_HT","SKC","MA_QH","DKG")</f>
        <v>0</v>
      </c>
      <c r="AN26" s="35">
        <f>+GETPIVOTDATA("XXS4",'xuanson (2016)'!$A$3,"MA_HT","SKC","MA_QH","DDT")</f>
        <v>0</v>
      </c>
      <c r="AO26" s="35">
        <f>+GETPIVOTDATA("XXS4",'xuanson (2016)'!$A$3,"MA_HT","SKC","MA_QH","DDL")</f>
        <v>0</v>
      </c>
      <c r="AP26" s="35">
        <f>+GETPIVOTDATA("XXS4",'xuanson (2016)'!$A$3,"MA_HT","SKC","MA_QH","DRA")</f>
        <v>0</v>
      </c>
      <c r="AQ26" s="35">
        <f>+GETPIVOTDATA("XXS4",'xuanson (2016)'!$A$3,"MA_HT","SKC","MA_QH","ONT")</f>
        <v>0</v>
      </c>
      <c r="AR26" s="35">
        <f>+GETPIVOTDATA("XXS4",'xuanson (2016)'!$A$3,"MA_HT","SKC","MA_QH","ODT")</f>
        <v>0</v>
      </c>
      <c r="AS26" s="35">
        <f>+GETPIVOTDATA("XXS4",'xuanson (2016)'!$A$3,"MA_HT","SKC","MA_QH","TSC")</f>
        <v>0</v>
      </c>
      <c r="AT26" s="35">
        <f>+GETPIVOTDATA("XXS4",'xuanson (2016)'!$A$3,"MA_HT","SKC","MA_QH","DTS")</f>
        <v>0</v>
      </c>
      <c r="AU26" s="35">
        <f>+GETPIVOTDATA("XXS4",'xuanson (2016)'!$A$3,"MA_HT","SKC","MA_QH","DNG")</f>
        <v>0</v>
      </c>
      <c r="AV26" s="35">
        <f>+GETPIVOTDATA("XXS4",'xuanson (2016)'!$A$3,"MA_HT","SKC","MA_QH","TON")</f>
        <v>0</v>
      </c>
      <c r="AW26" s="35">
        <f>+GETPIVOTDATA("XXS4",'xuanson (2016)'!$A$3,"MA_HT","SKC","MA_QH","NTD")</f>
        <v>0</v>
      </c>
      <c r="AX26" s="35">
        <f>+GETPIVOTDATA("XXS4",'xuanson (2016)'!$A$3,"MA_HT","SKC","MA_QH","SKX")</f>
        <v>0</v>
      </c>
      <c r="AY26" s="35">
        <f>+GETPIVOTDATA("XXS4",'xuanson (2016)'!$A$3,"MA_HT","SKC","MA_QH","DSH")</f>
        <v>0</v>
      </c>
      <c r="AZ26" s="35">
        <f>+GETPIVOTDATA("XXS4",'xuanson (2016)'!$A$3,"MA_HT","SKC","MA_QH","DKV")</f>
        <v>0</v>
      </c>
      <c r="BA26" s="140">
        <f>+GETPIVOTDATA("XXS4",'xuanson (2016)'!$A$3,"MA_HT","SKC","MA_QH","TIN")</f>
        <v>0</v>
      </c>
      <c r="BB26" s="74">
        <f>+GETPIVOTDATA("XXS4",'xuanson (2016)'!$A$3,"MA_HT","SKC","MA_QH","SON")</f>
        <v>0</v>
      </c>
      <c r="BC26" s="74">
        <f>+GETPIVOTDATA("XXS4",'xuanson (2016)'!$A$3,"MA_HT","SKC","MA_QH","MNC")</f>
        <v>0</v>
      </c>
      <c r="BD26" s="35">
        <f>+GETPIVOTDATA("XXS4",'xuanson (2016)'!$A$3,"MA_HT","SKC","MA_QH","PNK")</f>
        <v>0</v>
      </c>
      <c r="BE26" s="58">
        <f>+GETPIVOTDATA("XXS4",'xuanson (2016)'!$A$3,"MA_HT","SKC","MA_QH","CSD")</f>
        <v>0</v>
      </c>
      <c r="BF26" s="66">
        <f t="shared" si="13"/>
        <v>0</v>
      </c>
      <c r="BG26" s="67">
        <f>Y$59-$BF26</f>
        <v>0</v>
      </c>
      <c r="BH26" s="62" t="e">
        <f t="shared" si="14"/>
        <v>#REF!</v>
      </c>
      <c r="BI26" s="5"/>
      <c r="BJ26" s="78" t="e">
        <f>#REF!</f>
        <v>#REF!</v>
      </c>
      <c r="BK26" s="78" t="e">
        <f>BH26-BJ26</f>
        <v>#REF!</v>
      </c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</row>
    <row r="27" spans="1:79" s="41" customFormat="1" ht="15.75" customHeight="1">
      <c r="A27" s="60" t="s">
        <v>76</v>
      </c>
      <c r="B27" s="80" t="s">
        <v>94</v>
      </c>
      <c r="C27" s="61" t="s">
        <v>95</v>
      </c>
      <c r="D27" s="62" t="e">
        <f>+#REF!</f>
        <v>#REF!</v>
      </c>
      <c r="E27" s="63">
        <f t="shared" si="15"/>
        <v>0</v>
      </c>
      <c r="F27" s="64">
        <f t="shared" si="9"/>
        <v>0</v>
      </c>
      <c r="G27" s="35">
        <f>+GETPIVOTDATA("XXS4",'xuanson (2016)'!$A$3,"MA_HT","SKS","MA_QH","LUC")</f>
        <v>0</v>
      </c>
      <c r="H27" s="35">
        <f>+GETPIVOTDATA("XXS4",'xuanson (2016)'!$A$3,"MA_HT","SKS","MA_QH","LUK")</f>
        <v>0</v>
      </c>
      <c r="I27" s="35">
        <f>+GETPIVOTDATA("XXS4",'xuanson (2016)'!$A$3,"MA_HT","SKS","MA_QH","LUN")</f>
        <v>0</v>
      </c>
      <c r="J27" s="35">
        <f>+GETPIVOTDATA("XXS4",'xuanson (2016)'!$A$3,"MA_HT","SKS","MA_QH","HNK")</f>
        <v>0</v>
      </c>
      <c r="K27" s="35">
        <f>+GETPIVOTDATA("XXS4",'xuanson (2016)'!$A$3,"MA_HT","SKS","MA_QH","CLN")</f>
        <v>0</v>
      </c>
      <c r="L27" s="35">
        <f>+GETPIVOTDATA("XXS4",'xuanson (2016)'!$A$3,"MA_HT","SKS","MA_QH","RSX")</f>
        <v>0</v>
      </c>
      <c r="M27" s="35">
        <f>+GETPIVOTDATA("XXS4",'xuanson (2016)'!$A$3,"MA_HT","SKS","MA_QH","RPH")</f>
        <v>0</v>
      </c>
      <c r="N27" s="35">
        <f>+GETPIVOTDATA("XXS4",'xuanson (2016)'!$A$3,"MA_HT","SKS","MA_QH","RDD")</f>
        <v>0</v>
      </c>
      <c r="O27" s="35">
        <f>+GETPIVOTDATA("XXS4",'xuanson (2016)'!$A$3,"MA_HT","SKS","MA_QH","NTS")</f>
        <v>0</v>
      </c>
      <c r="P27" s="35">
        <f>+GETPIVOTDATA("XXS4",'xuanson (2016)'!$A$3,"MA_HT","SKS","MA_QH","LMU")</f>
        <v>0</v>
      </c>
      <c r="Q27" s="35">
        <f>+GETPIVOTDATA("XXS4",'xuanson (2016)'!$A$3,"MA_HT","SKS","MA_QH","NKH")</f>
        <v>0</v>
      </c>
      <c r="R27" s="63">
        <f>SUM(S27:Y27,AA27,AN27:BD27)</f>
        <v>0</v>
      </c>
      <c r="S27" s="35">
        <f>+GETPIVOTDATA("XXS4",'xuanson (2016)'!$A$3,"MA_HT","SKS","MA_QH","CQP")</f>
        <v>0</v>
      </c>
      <c r="T27" s="35">
        <f>+GETPIVOTDATA("XXS4",'xuanson (2016)'!$A$3,"MA_HT","SKS","MA_QH","CAN")</f>
        <v>0</v>
      </c>
      <c r="U27" s="35">
        <f>+GETPIVOTDATA("XXS4",'xuanson (2016)'!$A$3,"MA_HT","SKS","MA_QH","SKK")</f>
        <v>0</v>
      </c>
      <c r="V27" s="35">
        <f>+GETPIVOTDATA("XXS4",'xuanson (2016)'!$A$3,"MA_HT","SKS","MA_QH","SKT")</f>
        <v>0</v>
      </c>
      <c r="W27" s="35">
        <f>+GETPIVOTDATA("XXS4",'xuanson (2016)'!$A$3,"MA_HT","SKS","MA_QH","SKN")</f>
        <v>0</v>
      </c>
      <c r="X27" s="35">
        <f>+GETPIVOTDATA("XXS4",'xuanson (2016)'!$A$3,"MA_HT","SKS","MA_QH","TMD")</f>
        <v>0</v>
      </c>
      <c r="Y27" s="35">
        <f>+GETPIVOTDATA("XXS4",'xuanson (2016)'!$A$3,"MA_HT","SKS","MA_QH","SKC")</f>
        <v>0</v>
      </c>
      <c r="Z27" s="99" t="e">
        <f>$D27-$BF27</f>
        <v>#REF!</v>
      </c>
      <c r="AA27" s="64">
        <f t="shared" si="12"/>
        <v>0</v>
      </c>
      <c r="AB27" s="35">
        <f>+GETPIVOTDATA("XXS4",'xuanson (2016)'!$A$3,"MA_HT","SKS","MA_QH","DGT")</f>
        <v>0</v>
      </c>
      <c r="AC27" s="35">
        <f>+GETPIVOTDATA("XXS4",'xuanson (2016)'!$A$3,"MA_HT","SKS","MA_QH","DTL")</f>
        <v>0</v>
      </c>
      <c r="AD27" s="35">
        <f>+GETPIVOTDATA("XXS4",'xuanson (2016)'!$A$3,"MA_HT","SKS","MA_QH","DNL")</f>
        <v>0</v>
      </c>
      <c r="AE27" s="35">
        <f>+GETPIVOTDATA("XXS4",'xuanson (2016)'!$A$3,"MA_HT","SKS","MA_QH","DBV")</f>
        <v>0</v>
      </c>
      <c r="AF27" s="35">
        <f>+GETPIVOTDATA("XXS4",'xuanson (2016)'!$A$3,"MA_HT","SKS","MA_QH","DVH")</f>
        <v>0</v>
      </c>
      <c r="AG27" s="35">
        <f>+GETPIVOTDATA("XXS4",'xuanson (2016)'!$A$3,"MA_HT","SKS","MA_QH","DYT")</f>
        <v>0</v>
      </c>
      <c r="AH27" s="35">
        <f>+GETPIVOTDATA("XXS4",'xuanson (2016)'!$A$3,"MA_HT","SKS","MA_QH","DGD")</f>
        <v>0</v>
      </c>
      <c r="AI27" s="35">
        <f>+GETPIVOTDATA("XXS4",'xuanson (2016)'!$A$3,"MA_HT","SKS","MA_QH","DTT")</f>
        <v>0</v>
      </c>
      <c r="AJ27" s="35">
        <f>+GETPIVOTDATA("XXS4",'xuanson (2016)'!$A$3,"MA_HT","SKS","MA_QH","NCK")</f>
        <v>0</v>
      </c>
      <c r="AK27" s="35">
        <f>+GETPIVOTDATA("XXS4",'xuanson (2016)'!$A$3,"MA_HT","SKS","MA_QH","DXH")</f>
        <v>0</v>
      </c>
      <c r="AL27" s="35">
        <f>+GETPIVOTDATA("XXS4",'xuanson (2016)'!$A$3,"MA_HT","SKS","MA_QH","DCH")</f>
        <v>0</v>
      </c>
      <c r="AM27" s="35">
        <f>+GETPIVOTDATA("XXS4",'xuanson (2016)'!$A$3,"MA_HT","SKS","MA_QH","DKG")</f>
        <v>0</v>
      </c>
      <c r="AN27" s="35">
        <f>+GETPIVOTDATA("XXS4",'xuanson (2016)'!$A$3,"MA_HT","SKS","MA_QH","DDT")</f>
        <v>0</v>
      </c>
      <c r="AO27" s="35">
        <f>+GETPIVOTDATA("XXS4",'xuanson (2016)'!$A$3,"MA_HT","SKS","MA_QH","DDL")</f>
        <v>0</v>
      </c>
      <c r="AP27" s="35">
        <f>+GETPIVOTDATA("XXS4",'xuanson (2016)'!$A$3,"MA_HT","SKS","MA_QH","DRA")</f>
        <v>0</v>
      </c>
      <c r="AQ27" s="35">
        <f>+GETPIVOTDATA("XXS4",'xuanson (2016)'!$A$3,"MA_HT","SKS","MA_QH","ONT")</f>
        <v>0</v>
      </c>
      <c r="AR27" s="35">
        <f>+GETPIVOTDATA("XXS4",'xuanson (2016)'!$A$3,"MA_HT","SKS","MA_QH","ODT")</f>
        <v>0</v>
      </c>
      <c r="AS27" s="35">
        <f>+GETPIVOTDATA("XXS4",'xuanson (2016)'!$A$3,"MA_HT","SKS","MA_QH","TSC")</f>
        <v>0</v>
      </c>
      <c r="AT27" s="35">
        <f>+GETPIVOTDATA("XXS4",'xuanson (2016)'!$A$3,"MA_HT","SKS","MA_QH","DTS")</f>
        <v>0</v>
      </c>
      <c r="AU27" s="35">
        <f>+GETPIVOTDATA("XXS4",'xuanson (2016)'!$A$3,"MA_HT","SKS","MA_QH","DNG")</f>
        <v>0</v>
      </c>
      <c r="AV27" s="35">
        <f>+GETPIVOTDATA("XXS4",'xuanson (2016)'!$A$3,"MA_HT","SKS","MA_QH","TON")</f>
        <v>0</v>
      </c>
      <c r="AW27" s="35">
        <f>+GETPIVOTDATA("XXS4",'xuanson (2016)'!$A$3,"MA_HT","SKS","MA_QH","NTD")</f>
        <v>0</v>
      </c>
      <c r="AX27" s="35">
        <f>+GETPIVOTDATA("XXS4",'xuanson (2016)'!$A$3,"MA_HT","SKS","MA_QH","SKX")</f>
        <v>0</v>
      </c>
      <c r="AY27" s="35">
        <f>+GETPIVOTDATA("XXS4",'xuanson (2016)'!$A$3,"MA_HT","SKS","MA_QH","DSH")</f>
        <v>0</v>
      </c>
      <c r="AZ27" s="35">
        <f>+GETPIVOTDATA("XXS4",'xuanson (2016)'!$A$3,"MA_HT","SKS","MA_QH","DKV")</f>
        <v>0</v>
      </c>
      <c r="BA27" s="140">
        <f>+GETPIVOTDATA("XXS4",'xuanson (2016)'!$A$3,"MA_HT","SKS","MA_QH","TIN")</f>
        <v>0</v>
      </c>
      <c r="BB27" s="74">
        <f>+GETPIVOTDATA("XXS4",'xuanson (2016)'!$A$3,"MA_HT","SKS","MA_QH","SON")</f>
        <v>0</v>
      </c>
      <c r="BC27" s="74">
        <f>+GETPIVOTDATA("XXS4",'xuanson (2016)'!$A$3,"MA_HT","SKS","MA_QH","MNC")</f>
        <v>0</v>
      </c>
      <c r="BD27" s="35">
        <f>+GETPIVOTDATA("XXS4",'xuanson (2016)'!$A$3,"MA_HT","SKS","MA_QH","PNK")</f>
        <v>0</v>
      </c>
      <c r="BE27" s="58">
        <f>+GETPIVOTDATA("XXS4",'xuanson (2016)'!$A$3,"MA_HT","SKS","MA_QH","CSD")</f>
        <v>0</v>
      </c>
      <c r="BF27" s="66">
        <f t="shared" si="13"/>
        <v>0</v>
      </c>
      <c r="BG27" s="67">
        <f>Z$59-$BF27</f>
        <v>0</v>
      </c>
      <c r="BH27" s="62" t="e">
        <f t="shared" si="14"/>
        <v>#REF!</v>
      </c>
      <c r="BI27" s="5"/>
      <c r="BJ27" s="78" t="e">
        <f>#REF!</f>
        <v>#REF!</v>
      </c>
      <c r="BK27" s="78" t="e">
        <f>BH27-BJ27</f>
        <v>#REF!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</row>
    <row r="28" spans="1:79" s="41" customFormat="1" ht="15.75" customHeight="1">
      <c r="A28" s="60" t="s">
        <v>79</v>
      </c>
      <c r="B28" s="80" t="s">
        <v>243</v>
      </c>
      <c r="C28" s="61" t="s">
        <v>118</v>
      </c>
      <c r="D28" s="62" t="e">
        <f>+#REF!</f>
        <v>#REF!</v>
      </c>
      <c r="E28" s="63">
        <f t="shared" si="15"/>
        <v>0</v>
      </c>
      <c r="F28" s="64">
        <f t="shared" si="9"/>
        <v>0</v>
      </c>
      <c r="G28" s="73">
        <f>SUM(G29:G39)</f>
        <v>0</v>
      </c>
      <c r="H28" s="73">
        <f t="shared" ref="H28:Q28" si="16">SUM(H29:H39)</f>
        <v>0</v>
      </c>
      <c r="I28" s="73">
        <f t="shared" si="16"/>
        <v>0</v>
      </c>
      <c r="J28" s="73">
        <f t="shared" si="16"/>
        <v>0</v>
      </c>
      <c r="K28" s="73">
        <f t="shared" si="16"/>
        <v>0</v>
      </c>
      <c r="L28" s="73">
        <f t="shared" si="16"/>
        <v>0</v>
      </c>
      <c r="M28" s="73">
        <f t="shared" si="16"/>
        <v>0</v>
      </c>
      <c r="N28" s="73">
        <f t="shared" si="16"/>
        <v>0</v>
      </c>
      <c r="O28" s="73">
        <f t="shared" si="16"/>
        <v>0</v>
      </c>
      <c r="P28" s="73">
        <f t="shared" si="16"/>
        <v>0</v>
      </c>
      <c r="Q28" s="73">
        <f t="shared" si="16"/>
        <v>0</v>
      </c>
      <c r="R28" s="73">
        <f>SUM(S28:Z28,AN28:BD28)</f>
        <v>0</v>
      </c>
      <c r="S28" s="73">
        <f>SUM(S29:S39)</f>
        <v>0</v>
      </c>
      <c r="T28" s="73">
        <f t="shared" ref="T28:Z28" si="17">SUM(T29:T39)</f>
        <v>0</v>
      </c>
      <c r="U28" s="73">
        <f t="shared" si="17"/>
        <v>0</v>
      </c>
      <c r="V28" s="73">
        <f t="shared" si="17"/>
        <v>0</v>
      </c>
      <c r="W28" s="73">
        <f t="shared" si="17"/>
        <v>0</v>
      </c>
      <c r="X28" s="73">
        <f t="shared" si="17"/>
        <v>0</v>
      </c>
      <c r="Y28" s="73">
        <f t="shared" si="17"/>
        <v>0</v>
      </c>
      <c r="Z28" s="73">
        <f t="shared" si="17"/>
        <v>0</v>
      </c>
      <c r="AA28" s="99" t="e">
        <f>$D28-$BF28</f>
        <v>#REF!</v>
      </c>
      <c r="AB28" s="73">
        <f>SUM(AB30:AB39)</f>
        <v>0</v>
      </c>
      <c r="AC28" s="73">
        <f>SUM(AC29,AC31:AC39)</f>
        <v>0</v>
      </c>
      <c r="AD28" s="73">
        <f>SUM(AD29:AD30,AD32:AD39)</f>
        <v>0</v>
      </c>
      <c r="AE28" s="73">
        <f>SUM(AE29:AE31,AE33:AE39)</f>
        <v>0</v>
      </c>
      <c r="AF28" s="73">
        <f>SUM(AF29:AF32,AF34:AF39)</f>
        <v>0</v>
      </c>
      <c r="AG28" s="73">
        <f>SUM(AG29:AG33,AG35:AG39)</f>
        <v>0</v>
      </c>
      <c r="AH28" s="73">
        <f>SUM(AH29:AH34,AH36:AH39)</f>
        <v>0</v>
      </c>
      <c r="AI28" s="73">
        <f>SUM(AI29:AI35,AI37:AI39)</f>
        <v>0</v>
      </c>
      <c r="AJ28" s="73">
        <f>SUM(AJ29:AJ36,AJ38:AJ39)</f>
        <v>0</v>
      </c>
      <c r="AK28" s="73">
        <f>SUM(AK29:AK37,AK39)</f>
        <v>0</v>
      </c>
      <c r="AL28" s="73">
        <f>SUM(AL29:AL38)</f>
        <v>0</v>
      </c>
      <c r="AM28" s="73">
        <f>SUM(AM29:AM38)</f>
        <v>0</v>
      </c>
      <c r="AN28" s="73">
        <f t="shared" ref="AN28:BE28" si="18">SUM(AN29:AN39)</f>
        <v>0</v>
      </c>
      <c r="AO28" s="73">
        <f t="shared" si="18"/>
        <v>0</v>
      </c>
      <c r="AP28" s="73">
        <f t="shared" si="18"/>
        <v>0</v>
      </c>
      <c r="AQ28" s="73">
        <f t="shared" si="18"/>
        <v>0</v>
      </c>
      <c r="AR28" s="73">
        <f t="shared" si="18"/>
        <v>0</v>
      </c>
      <c r="AS28" s="73">
        <f t="shared" si="18"/>
        <v>0</v>
      </c>
      <c r="AT28" s="73">
        <f t="shared" si="18"/>
        <v>0</v>
      </c>
      <c r="AU28" s="73">
        <f t="shared" si="18"/>
        <v>0</v>
      </c>
      <c r="AV28" s="73">
        <f t="shared" si="18"/>
        <v>0</v>
      </c>
      <c r="AW28" s="73">
        <f t="shared" si="18"/>
        <v>0</v>
      </c>
      <c r="AX28" s="73">
        <f t="shared" si="18"/>
        <v>0</v>
      </c>
      <c r="AY28" s="73">
        <f t="shared" si="18"/>
        <v>0</v>
      </c>
      <c r="AZ28" s="73">
        <f t="shared" si="18"/>
        <v>0</v>
      </c>
      <c r="BA28" s="73">
        <f t="shared" si="18"/>
        <v>0</v>
      </c>
      <c r="BB28" s="73">
        <f t="shared" si="18"/>
        <v>0</v>
      </c>
      <c r="BC28" s="73">
        <f t="shared" si="18"/>
        <v>0</v>
      </c>
      <c r="BD28" s="73">
        <f t="shared" si="18"/>
        <v>0</v>
      </c>
      <c r="BE28" s="73">
        <f t="shared" si="18"/>
        <v>0</v>
      </c>
      <c r="BF28" s="66">
        <f t="shared" si="13"/>
        <v>0</v>
      </c>
      <c r="BG28" s="67">
        <f>AA$59-$BF28</f>
        <v>0</v>
      </c>
      <c r="BH28" s="62" t="e">
        <f t="shared" si="14"/>
        <v>#REF!</v>
      </c>
      <c r="BI28" s="5"/>
      <c r="BJ28" s="78"/>
      <c r="BK28" s="78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</row>
    <row r="29" spans="1:79" s="77" customFormat="1" ht="16.5" customHeight="1">
      <c r="A29" s="68" t="s">
        <v>223</v>
      </c>
      <c r="B29" s="68" t="s">
        <v>119</v>
      </c>
      <c r="C29" s="70" t="s">
        <v>120</v>
      </c>
      <c r="D29" s="71" t="e">
        <f>+#REF!</f>
        <v>#REF!</v>
      </c>
      <c r="E29" s="63">
        <f t="shared" si="15"/>
        <v>0</v>
      </c>
      <c r="F29" s="64">
        <f t="shared" si="9"/>
        <v>0</v>
      </c>
      <c r="G29" s="74">
        <f>+GETPIVOTDATA("XXS4",'xuanson (2016)'!$A$3,"MA_HT","DGT","MA_QH","LUC")</f>
        <v>0</v>
      </c>
      <c r="H29" s="74">
        <f>+GETPIVOTDATA("XXS4",'xuanson (2016)'!$A$3,"MA_HT","DGT","MA_QH","LUK")</f>
        <v>0</v>
      </c>
      <c r="I29" s="74">
        <f>+GETPIVOTDATA("XXS4",'xuanson (2016)'!$A$3,"MA_HT","DGT","MA_QH","LUN")</f>
        <v>0</v>
      </c>
      <c r="J29" s="74">
        <f>+GETPIVOTDATA("XXS4",'xuanson (2016)'!$A$3,"MA_HT","DGT","MA_QH","HNK")</f>
        <v>0</v>
      </c>
      <c r="K29" s="74">
        <f>+GETPIVOTDATA("XXS4",'xuanson (2016)'!$A$3,"MA_HT","DGT","MA_QH","CLN")</f>
        <v>0</v>
      </c>
      <c r="L29" s="74">
        <f>+GETPIVOTDATA("XXS4",'xuanson (2016)'!$A$3,"MA_HT","DGT","MA_QH","RSX")</f>
        <v>0</v>
      </c>
      <c r="M29" s="74">
        <f>+GETPIVOTDATA("XXS4",'xuanson (2016)'!$A$3,"MA_HT","DGT","MA_QH","RPH")</f>
        <v>0</v>
      </c>
      <c r="N29" s="74">
        <f>+GETPIVOTDATA("XXS4",'xuanson (2016)'!$A$3,"MA_HT","DGT","MA_QH","RDD")</f>
        <v>0</v>
      </c>
      <c r="O29" s="74">
        <f>+GETPIVOTDATA("XXS4",'xuanson (2016)'!$A$3,"MA_HT","DGT","MA_QH","NTS")</f>
        <v>0</v>
      </c>
      <c r="P29" s="74">
        <f>+GETPIVOTDATA("XXS4",'xuanson (2016)'!$A$3,"MA_HT","DGT","MA_QH","LMU")</f>
        <v>0</v>
      </c>
      <c r="Q29" s="74">
        <f>+GETPIVOTDATA("XXS4",'xuanson (2016)'!$A$3,"MA_HT","DGT","MA_QH","NKH")</f>
        <v>0</v>
      </c>
      <c r="R29" s="72">
        <f>SUM(S29:AA29,AN29:BD29)</f>
        <v>0</v>
      </c>
      <c r="S29" s="74">
        <f>+GETPIVOTDATA("XXS4",'xuanson (2016)'!$A$3,"MA_HT","DGT","MA_QH","CQP")</f>
        <v>0</v>
      </c>
      <c r="T29" s="74">
        <f>+GETPIVOTDATA("XXS4",'xuanson (2016)'!$A$3,"MA_HT","DGT","MA_QH","CAN")</f>
        <v>0</v>
      </c>
      <c r="U29" s="74">
        <f>+GETPIVOTDATA("XXS4",'xuanson (2016)'!$A$3,"MA_HT","DGT","MA_QH","SKK")</f>
        <v>0</v>
      </c>
      <c r="V29" s="74">
        <f>+GETPIVOTDATA("XXS4",'xuanson (2016)'!$A$3,"MA_HT","DGT","MA_QH","SKT")</f>
        <v>0</v>
      </c>
      <c r="W29" s="74">
        <f>+GETPIVOTDATA("XXS4",'xuanson (2016)'!$A$3,"MA_HT","DGT","MA_QH","SKN")</f>
        <v>0</v>
      </c>
      <c r="X29" s="74">
        <f>+GETPIVOTDATA("XXS4",'xuanson (2016)'!$A$3,"MA_HT","DGT","MA_QH","TMD")</f>
        <v>0</v>
      </c>
      <c r="Y29" s="74">
        <f>+GETPIVOTDATA("XXS4",'xuanson (2016)'!$A$3,"MA_HT","DGT","MA_QH","SKC")</f>
        <v>0</v>
      </c>
      <c r="Z29" s="74">
        <f>+GETPIVOTDATA("XXS4",'xuanson (2016)'!$A$3,"MA_HT","DGT","MA_QH","SKS")</f>
        <v>0</v>
      </c>
      <c r="AA29" s="64">
        <f>+SUM(AC29:AM29)</f>
        <v>0</v>
      </c>
      <c r="AB29" s="100" t="e">
        <f>$D29-$BF29</f>
        <v>#REF!</v>
      </c>
      <c r="AC29" s="74">
        <f>+GETPIVOTDATA("XXS4",'xuanson (2016)'!$A$3,"MA_HT","DGT","MA_QH","DTL")</f>
        <v>0</v>
      </c>
      <c r="AD29" s="74">
        <f>+GETPIVOTDATA("XXS4",'xuanson (2016)'!$A$3,"MA_HT","DGT","MA_QH","DNL")</f>
        <v>0</v>
      </c>
      <c r="AE29" s="74">
        <f>+GETPIVOTDATA("XXS4",'xuanson (2016)'!$A$3,"MA_HT","DGT","MA_QH","DBV")</f>
        <v>0</v>
      </c>
      <c r="AF29" s="74">
        <f>+GETPIVOTDATA("XXS4",'xuanson (2016)'!$A$3,"MA_HT","DGT","MA_QH","DVH")</f>
        <v>0</v>
      </c>
      <c r="AG29" s="74">
        <f>+GETPIVOTDATA("XXS4",'xuanson (2016)'!$A$3,"MA_HT","DGT","MA_QH","DYT")</f>
        <v>0</v>
      </c>
      <c r="AH29" s="74">
        <f>+GETPIVOTDATA("XXS4",'xuanson (2016)'!$A$3,"MA_HT","DGT","MA_QH","DGD")</f>
        <v>0</v>
      </c>
      <c r="AI29" s="74">
        <f>+GETPIVOTDATA("XXS4",'xuanson (2016)'!$A$3,"MA_HT","DGT","MA_QH","DTT")</f>
        <v>0</v>
      </c>
      <c r="AJ29" s="74">
        <f>+GETPIVOTDATA("XXS4",'xuanson (2016)'!$A$3,"MA_HT","DGT","MA_QH","NCK")</f>
        <v>0</v>
      </c>
      <c r="AK29" s="74">
        <f>+GETPIVOTDATA("XXS4",'xuanson (2016)'!$A$3,"MA_HT","DGT","MA_QH","DXH")</f>
        <v>0</v>
      </c>
      <c r="AL29" s="74">
        <f>+GETPIVOTDATA("XXS4",'xuanson (2016)'!$A$3,"MA_HT","DGT","MA_QH","DCH")</f>
        <v>0</v>
      </c>
      <c r="AM29" s="74">
        <f>+GETPIVOTDATA("XXS4",'xuanson (2016)'!$A$3,"MA_HT","DGT","MA_QH","DKG")</f>
        <v>0</v>
      </c>
      <c r="AN29" s="74">
        <f>+GETPIVOTDATA("XXS4",'xuanson (2016)'!$A$3,"MA_HT","DGT","MA_QH","DDT")</f>
        <v>0</v>
      </c>
      <c r="AO29" s="74">
        <f>+GETPIVOTDATA("XXS4",'xuanson (2016)'!$A$3,"MA_HT","DGT","MA_QH","DDL")</f>
        <v>0</v>
      </c>
      <c r="AP29" s="74">
        <f>+GETPIVOTDATA("XXS4",'xuanson (2016)'!$A$3,"MA_HT","DGT","MA_QH","DRA")</f>
        <v>0</v>
      </c>
      <c r="AQ29" s="74">
        <f>+GETPIVOTDATA("XXS4",'xuanson (2016)'!$A$3,"MA_HT","DGT","MA_QH","ONT")</f>
        <v>0</v>
      </c>
      <c r="AR29" s="74">
        <f>+GETPIVOTDATA("XXS4",'xuanson (2016)'!$A$3,"MA_HT","DGT","MA_QH","ODT")</f>
        <v>0</v>
      </c>
      <c r="AS29" s="74">
        <f>+GETPIVOTDATA("XXS4",'xuanson (2016)'!$A$3,"MA_HT","DGT","MA_QH","TSC")</f>
        <v>0</v>
      </c>
      <c r="AT29" s="74">
        <f>+GETPIVOTDATA("XXS4",'xuanson (2016)'!$A$3,"MA_HT","DGT","MA_QH","DTS")</f>
        <v>0</v>
      </c>
      <c r="AU29" s="74">
        <f>+GETPIVOTDATA("XXS4",'xuanson (2016)'!$A$3,"MA_HT","DGT","MA_QH","DNG")</f>
        <v>0</v>
      </c>
      <c r="AV29" s="74">
        <f>+GETPIVOTDATA("XXS4",'xuanson (2016)'!$A$3,"MA_HT","DGT","MA_QH","TON")</f>
        <v>0</v>
      </c>
      <c r="AW29" s="74">
        <f>+GETPIVOTDATA("XXS4",'xuanson (2016)'!$A$3,"MA_HT","DGT","MA_QH","NTD")</f>
        <v>0</v>
      </c>
      <c r="AX29" s="74">
        <f>+GETPIVOTDATA("XXS4",'xuanson (2016)'!$A$3,"MA_HT","DGT","MA_QH","SKX")</f>
        <v>0</v>
      </c>
      <c r="AY29" s="74">
        <f>+GETPIVOTDATA("XXS4",'xuanson (2016)'!$A$3,"MA_HT","DGT","MA_QH","DSH")</f>
        <v>0</v>
      </c>
      <c r="AZ29" s="74">
        <f>+GETPIVOTDATA("XXS4",'xuanson (2016)'!$A$3,"MA_HT","DGT","MA_QH","DKV")</f>
        <v>0</v>
      </c>
      <c r="BA29" s="139">
        <f>+GETPIVOTDATA("XXS4",'xuanson (2016)'!$A$3,"MA_HT","DGT","MA_QH","TIN")</f>
        <v>0</v>
      </c>
      <c r="BB29" s="74">
        <f>+GETPIVOTDATA("XXS4",'xuanson (2016)'!$A$3,"MA_HT","DGT","MA_QH","SON")</f>
        <v>0</v>
      </c>
      <c r="BC29" s="74">
        <f>+GETPIVOTDATA("XXS4",'xuanson (2016)'!$A$3,"MA_HT","DGT","MA_QH","MNC")</f>
        <v>0</v>
      </c>
      <c r="BD29" s="74">
        <f>+GETPIVOTDATA("XXS4",'xuanson (2016)'!$A$3,"MA_HT","DGT","MA_QH","PNK")</f>
        <v>0</v>
      </c>
      <c r="BE29" s="102">
        <f>+GETPIVOTDATA("XXS4",'xuanson (2016)'!$A$3,"MA_HT","DGT","MA_QH","CSD")</f>
        <v>0</v>
      </c>
      <c r="BF29" s="75">
        <f t="shared" si="13"/>
        <v>0</v>
      </c>
      <c r="BG29" s="76">
        <f>AB$59-$BF29</f>
        <v>0</v>
      </c>
      <c r="BH29" s="71" t="e">
        <f t="shared" si="14"/>
        <v>#REF!</v>
      </c>
      <c r="BI29" s="7"/>
      <c r="BJ29" s="7" t="e">
        <f>#REF!</f>
        <v>#REF!</v>
      </c>
      <c r="BK29" s="82" t="e">
        <f t="shared" ref="BK29:BK39" si="19">BH29-BJ29</f>
        <v>#REF!</v>
      </c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</row>
    <row r="30" spans="1:79" s="77" customFormat="1" ht="16.5" customHeight="1">
      <c r="A30" s="68" t="s">
        <v>224</v>
      </c>
      <c r="B30" s="68" t="s">
        <v>121</v>
      </c>
      <c r="C30" s="70" t="s">
        <v>122</v>
      </c>
      <c r="D30" s="71" t="e">
        <f>+#REF!</f>
        <v>#REF!</v>
      </c>
      <c r="E30" s="63">
        <f t="shared" si="15"/>
        <v>0</v>
      </c>
      <c r="F30" s="64">
        <f t="shared" si="9"/>
        <v>0</v>
      </c>
      <c r="G30" s="74">
        <f>+GETPIVOTDATA("XXS4",'xuanson (2016)'!$A$3,"MA_HT","DTL","MA_QH","LUC")</f>
        <v>0</v>
      </c>
      <c r="H30" s="74">
        <f>+GETPIVOTDATA("XXS4",'xuanson (2016)'!$A$3,"MA_HT","DTL","MA_QH","LUK")</f>
        <v>0</v>
      </c>
      <c r="I30" s="74">
        <f>+GETPIVOTDATA("XXS4",'xuanson (2016)'!$A$3,"MA_HT","DTL","MA_QH","LUN")</f>
        <v>0</v>
      </c>
      <c r="J30" s="74">
        <f>+GETPIVOTDATA("XXS4",'xuanson (2016)'!$A$3,"MA_HT","DTL","MA_QH","HNK")</f>
        <v>0</v>
      </c>
      <c r="K30" s="74">
        <f>+GETPIVOTDATA("XXS4",'xuanson (2016)'!$A$3,"MA_HT","DTL","MA_QH","CLN")</f>
        <v>0</v>
      </c>
      <c r="L30" s="74">
        <f>+GETPIVOTDATA("XXS4",'xuanson (2016)'!$A$3,"MA_HT","DTL","MA_QH","RSX")</f>
        <v>0</v>
      </c>
      <c r="M30" s="74">
        <f>+GETPIVOTDATA("XXS4",'xuanson (2016)'!$A$3,"MA_HT","DTL","MA_QH","RPH")</f>
        <v>0</v>
      </c>
      <c r="N30" s="74">
        <f>+GETPIVOTDATA("XXS4",'xuanson (2016)'!$A$3,"MA_HT","DTL","MA_QH","RDD")</f>
        <v>0</v>
      </c>
      <c r="O30" s="74">
        <f>+GETPIVOTDATA("XXS4",'xuanson (2016)'!$A$3,"MA_HT","DTL","MA_QH","NTS")</f>
        <v>0</v>
      </c>
      <c r="P30" s="74">
        <f>+GETPIVOTDATA("XXS4",'xuanson (2016)'!$A$3,"MA_HT","DTL","MA_QH","LMU")</f>
        <v>0</v>
      </c>
      <c r="Q30" s="74">
        <f>+GETPIVOTDATA("XXS4",'xuanson (2016)'!$A$3,"MA_HT","DTL","MA_QH","NKH")</f>
        <v>0</v>
      </c>
      <c r="R30" s="72">
        <f t="shared" ref="R30:R39" si="20">SUM(S30:AA30,AN30:BD30)</f>
        <v>0</v>
      </c>
      <c r="S30" s="74">
        <f>+GETPIVOTDATA("XXS4",'xuanson (2016)'!$A$3,"MA_HT","DTL","MA_QH","CQP")</f>
        <v>0</v>
      </c>
      <c r="T30" s="74">
        <f>+GETPIVOTDATA("XXS4",'xuanson (2016)'!$A$3,"MA_HT","DTL","MA_QH","CAN")</f>
        <v>0</v>
      </c>
      <c r="U30" s="74">
        <f>+GETPIVOTDATA("XXS4",'xuanson (2016)'!$A$3,"MA_HT","DTL","MA_QH","SKK")</f>
        <v>0</v>
      </c>
      <c r="V30" s="74">
        <f>+GETPIVOTDATA("XXS4",'xuanson (2016)'!$A$3,"MA_HT","DTL","MA_QH","SKT")</f>
        <v>0</v>
      </c>
      <c r="W30" s="74">
        <f>+GETPIVOTDATA("XXS4",'xuanson (2016)'!$A$3,"MA_HT","DTL","MA_QH","SKN")</f>
        <v>0</v>
      </c>
      <c r="X30" s="74">
        <f>+GETPIVOTDATA("XXS4",'xuanson (2016)'!$A$3,"MA_HT","DTL","MA_QH","TMD")</f>
        <v>0</v>
      </c>
      <c r="Y30" s="74">
        <f>+GETPIVOTDATA("XXS4",'xuanson (2016)'!$A$3,"MA_HT","DTL","MA_QH","SKC")</f>
        <v>0</v>
      </c>
      <c r="Z30" s="74">
        <f>+GETPIVOTDATA("XXS4",'xuanson (2016)'!$A$3,"MA_HT","DTL","MA_QH","SKS")</f>
        <v>0</v>
      </c>
      <c r="AA30" s="64">
        <f>+SUM(AB30,AD30:AM30)</f>
        <v>0</v>
      </c>
      <c r="AB30" s="74">
        <f>+GETPIVOTDATA("XXS4",'xuanson (2016)'!$A$3,"MA_HT","DTL","MA_QH","DGT")</f>
        <v>0</v>
      </c>
      <c r="AC30" s="100" t="e">
        <f>$D30-$BF30</f>
        <v>#REF!</v>
      </c>
      <c r="AD30" s="74">
        <f>+GETPIVOTDATA("XXS4",'xuanson (2016)'!$A$3,"MA_HT","DTL","MA_QH","DNL")</f>
        <v>0</v>
      </c>
      <c r="AE30" s="74">
        <f>+GETPIVOTDATA("XXS4",'xuanson (2016)'!$A$3,"MA_HT","DTL","MA_QH","DBV")</f>
        <v>0</v>
      </c>
      <c r="AF30" s="74">
        <f>+GETPIVOTDATA("XXS4",'xuanson (2016)'!$A$3,"MA_HT","DTL","MA_QH","DVH")</f>
        <v>0</v>
      </c>
      <c r="AG30" s="74">
        <f>+GETPIVOTDATA("XXS4",'xuanson (2016)'!$A$3,"MA_HT","DTL","MA_QH","DYT")</f>
        <v>0</v>
      </c>
      <c r="AH30" s="74">
        <f>+GETPIVOTDATA("XXS4",'xuanson (2016)'!$A$3,"MA_HT","DTL","MA_QH","DGD")</f>
        <v>0</v>
      </c>
      <c r="AI30" s="74">
        <f>+GETPIVOTDATA("XXS4",'xuanson (2016)'!$A$3,"MA_HT","DTL","MA_QH","DTT")</f>
        <v>0</v>
      </c>
      <c r="AJ30" s="74">
        <f>+GETPIVOTDATA("XXS4",'xuanson (2016)'!$A$3,"MA_HT","DTL","MA_QH","NCK")</f>
        <v>0</v>
      </c>
      <c r="AK30" s="74">
        <f>+GETPIVOTDATA("XXS4",'xuanson (2016)'!$A$3,"MA_HT","DTL","MA_QH","DXH")</f>
        <v>0</v>
      </c>
      <c r="AL30" s="74">
        <f>+GETPIVOTDATA("XXS4",'xuanson (2016)'!$A$3,"MA_HT","DTL","MA_QH","DCH")</f>
        <v>0</v>
      </c>
      <c r="AM30" s="74">
        <f>+GETPIVOTDATA("XXS4",'xuanson (2016)'!$A$3,"MA_HT","DTL","MA_QH","DKG")</f>
        <v>0</v>
      </c>
      <c r="AN30" s="74">
        <f>+GETPIVOTDATA("XXS4",'xuanson (2016)'!$A$3,"MA_HT","DTL","MA_QH","DDT")</f>
        <v>0</v>
      </c>
      <c r="AO30" s="74">
        <f>+GETPIVOTDATA("XXS4",'xuanson (2016)'!$A$3,"MA_HT","DTL","MA_QH","DDL")</f>
        <v>0</v>
      </c>
      <c r="AP30" s="74">
        <f>+GETPIVOTDATA("XXS4",'xuanson (2016)'!$A$3,"MA_HT","DTL","MA_QH","DRA")</f>
        <v>0</v>
      </c>
      <c r="AQ30" s="74">
        <f>+GETPIVOTDATA("XXS4",'xuanson (2016)'!$A$3,"MA_HT","DTL","MA_QH","ONT")</f>
        <v>0</v>
      </c>
      <c r="AR30" s="74">
        <f>+GETPIVOTDATA("XXS4",'xuanson (2016)'!$A$3,"MA_HT","DTL","MA_QH","ODT")</f>
        <v>0</v>
      </c>
      <c r="AS30" s="74">
        <f>+GETPIVOTDATA("XXS4",'xuanson (2016)'!$A$3,"MA_HT","DTL","MA_QH","TSC")</f>
        <v>0</v>
      </c>
      <c r="AT30" s="74">
        <f>+GETPIVOTDATA("XXS4",'xuanson (2016)'!$A$3,"MA_HT","DTL","MA_QH","DTS")</f>
        <v>0</v>
      </c>
      <c r="AU30" s="74">
        <f>+GETPIVOTDATA("XXS4",'xuanson (2016)'!$A$3,"MA_HT","DTL","MA_QH","DNG")</f>
        <v>0</v>
      </c>
      <c r="AV30" s="74">
        <f>+GETPIVOTDATA("XXS4",'xuanson (2016)'!$A$3,"MA_HT","DTL","MA_QH","TON")</f>
        <v>0</v>
      </c>
      <c r="AW30" s="74">
        <f>+GETPIVOTDATA("XXS4",'xuanson (2016)'!$A$3,"MA_HT","DTL","MA_QH","NTD")</f>
        <v>0</v>
      </c>
      <c r="AX30" s="74">
        <f>+GETPIVOTDATA("XXS4",'xuanson (2016)'!$A$3,"MA_HT","DTL","MA_QH","SKX")</f>
        <v>0</v>
      </c>
      <c r="AY30" s="74">
        <f>+GETPIVOTDATA("XXS4",'xuanson (2016)'!$A$3,"MA_HT","DTL","MA_QH","DSH")</f>
        <v>0</v>
      </c>
      <c r="AZ30" s="74">
        <f>+GETPIVOTDATA("XXS4",'xuanson (2016)'!$A$3,"MA_HT","DTL","MA_QH","DKV")</f>
        <v>0</v>
      </c>
      <c r="BA30" s="139">
        <f>+GETPIVOTDATA("XXS4",'xuanson (2016)'!$A$3,"MA_HT","DTL","MA_QH","TIN")</f>
        <v>0</v>
      </c>
      <c r="BB30" s="74">
        <f>+GETPIVOTDATA("XXS4",'xuanson (2016)'!$A$3,"MA_HT","DTL","MA_QH","SON")</f>
        <v>0</v>
      </c>
      <c r="BC30" s="74">
        <f>+GETPIVOTDATA("XXS4",'xuanson (2016)'!$A$3,"MA_HT","DTL","MA_QH","MNC")</f>
        <v>0</v>
      </c>
      <c r="BD30" s="74">
        <f>+GETPIVOTDATA("XXS4",'xuanson (2016)'!$A$3,"MA_HT","DTL","MA_QH","PNK")</f>
        <v>0</v>
      </c>
      <c r="BE30" s="102">
        <f>+GETPIVOTDATA("XXS4",'xuanson (2016)'!$A$3,"MA_HT","DTL","MA_QH","CSD")</f>
        <v>0</v>
      </c>
      <c r="BF30" s="75">
        <f t="shared" si="13"/>
        <v>0</v>
      </c>
      <c r="BG30" s="76">
        <f>AC$59-$BF30</f>
        <v>0</v>
      </c>
      <c r="BH30" s="71" t="e">
        <f t="shared" si="14"/>
        <v>#REF!</v>
      </c>
      <c r="BI30" s="7"/>
      <c r="BJ30" s="7" t="e">
        <f>#REF!</f>
        <v>#REF!</v>
      </c>
      <c r="BK30" s="82" t="e">
        <f t="shared" si="19"/>
        <v>#REF!</v>
      </c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</row>
    <row r="31" spans="1:79" s="77" customFormat="1" ht="16.5" customHeight="1">
      <c r="A31" s="68" t="s">
        <v>225</v>
      </c>
      <c r="B31" s="68" t="s">
        <v>123</v>
      </c>
      <c r="C31" s="70" t="s">
        <v>124</v>
      </c>
      <c r="D31" s="71" t="e">
        <f>+#REF!</f>
        <v>#REF!</v>
      </c>
      <c r="E31" s="63">
        <f t="shared" si="15"/>
        <v>0</v>
      </c>
      <c r="F31" s="64">
        <f t="shared" si="9"/>
        <v>0</v>
      </c>
      <c r="G31" s="74">
        <f>+GETPIVOTDATA("XXS4",'xuanson (2016)'!$A$3,"MA_HT","DNL","MA_QH","LUC")</f>
        <v>0</v>
      </c>
      <c r="H31" s="74">
        <f>+GETPIVOTDATA("XXS4",'xuanson (2016)'!$A$3,"MA_HT","DNL","MA_QH","LUK")</f>
        <v>0</v>
      </c>
      <c r="I31" s="74">
        <f>+GETPIVOTDATA("XXS4",'xuanson (2016)'!$A$3,"MA_HT","DNL","MA_QH","LUN")</f>
        <v>0</v>
      </c>
      <c r="J31" s="74">
        <f>+GETPIVOTDATA("XXS4",'xuanson (2016)'!$A$3,"MA_HT","DNL","MA_QH","HNK")</f>
        <v>0</v>
      </c>
      <c r="K31" s="74">
        <f>+GETPIVOTDATA("XXS4",'xuanson (2016)'!$A$3,"MA_HT","DNL","MA_QH","CLN")</f>
        <v>0</v>
      </c>
      <c r="L31" s="74">
        <f>+GETPIVOTDATA("XXS4",'xuanson (2016)'!$A$3,"MA_HT","DNL","MA_QH","RSX")</f>
        <v>0</v>
      </c>
      <c r="M31" s="74">
        <f>+GETPIVOTDATA("XXS4",'xuanson (2016)'!$A$3,"MA_HT","DNL","MA_QH","RPH")</f>
        <v>0</v>
      </c>
      <c r="N31" s="74">
        <f>+GETPIVOTDATA("XXS4",'xuanson (2016)'!$A$3,"MA_HT","DNL","MA_QH","RDD")</f>
        <v>0</v>
      </c>
      <c r="O31" s="74">
        <f>+GETPIVOTDATA("XXS4",'xuanson (2016)'!$A$3,"MA_HT","DNL","MA_QH","NTS")</f>
        <v>0</v>
      </c>
      <c r="P31" s="74">
        <f>+GETPIVOTDATA("XXS4",'xuanson (2016)'!$A$3,"MA_HT","DNL","MA_QH","LMU")</f>
        <v>0</v>
      </c>
      <c r="Q31" s="74">
        <f>+GETPIVOTDATA("XXS4",'xuanson (2016)'!$A$3,"MA_HT","DNL","MA_QH","NKH")</f>
        <v>0</v>
      </c>
      <c r="R31" s="72">
        <f t="shared" si="20"/>
        <v>0</v>
      </c>
      <c r="S31" s="74">
        <f>+GETPIVOTDATA("XXS4",'xuanson (2016)'!$A$3,"MA_HT","DNL","MA_QH","CQP")</f>
        <v>0</v>
      </c>
      <c r="T31" s="74">
        <f>+GETPIVOTDATA("XXS4",'xuanson (2016)'!$A$3,"MA_HT","DNL","MA_QH","CAN")</f>
        <v>0</v>
      </c>
      <c r="U31" s="74">
        <f>+GETPIVOTDATA("XXS4",'xuanson (2016)'!$A$3,"MA_HT","DNL","MA_QH","SKK")</f>
        <v>0</v>
      </c>
      <c r="V31" s="74">
        <f>+GETPIVOTDATA("XXS4",'xuanson (2016)'!$A$3,"MA_HT","DNL","MA_QH","SKT")</f>
        <v>0</v>
      </c>
      <c r="W31" s="74">
        <f>+GETPIVOTDATA("XXS4",'xuanson (2016)'!$A$3,"MA_HT","DNL","MA_QH","SKN")</f>
        <v>0</v>
      </c>
      <c r="X31" s="74">
        <f>+GETPIVOTDATA("XXS4",'xuanson (2016)'!$A$3,"MA_HT","DNL","MA_QH","TMD")</f>
        <v>0</v>
      </c>
      <c r="Y31" s="74">
        <f>+GETPIVOTDATA("XXS4",'xuanson (2016)'!$A$3,"MA_HT","DNL","MA_QH","SKC")</f>
        <v>0</v>
      </c>
      <c r="Z31" s="74">
        <f>+GETPIVOTDATA("XXS4",'xuanson (2016)'!$A$3,"MA_HT","DNL","MA_QH","SKS")</f>
        <v>0</v>
      </c>
      <c r="AA31" s="64">
        <f>+SUM(AB31:AC31,AE31:AM31)</f>
        <v>0</v>
      </c>
      <c r="AB31" s="74">
        <f>+GETPIVOTDATA("XXS4",'xuanson (2016)'!$A$3,"MA_HT","DNL","MA_QH","DGT")</f>
        <v>0</v>
      </c>
      <c r="AC31" s="74">
        <f>+GETPIVOTDATA("XXS4",'xuanson (2016)'!$A$3,"MA_HT","DNL","MA_QH","DTL")</f>
        <v>0</v>
      </c>
      <c r="AD31" s="100" t="e">
        <f>$D31-$BF31</f>
        <v>#REF!</v>
      </c>
      <c r="AE31" s="74">
        <f>+GETPIVOTDATA("XXS4",'xuanson (2016)'!$A$3,"MA_HT","DNL","MA_QH","DBV")</f>
        <v>0</v>
      </c>
      <c r="AF31" s="74">
        <f>+GETPIVOTDATA("XXS4",'xuanson (2016)'!$A$3,"MA_HT","DNL","MA_QH","DVH")</f>
        <v>0</v>
      </c>
      <c r="AG31" s="74">
        <f>+GETPIVOTDATA("XXS4",'xuanson (2016)'!$A$3,"MA_HT","DNL","MA_QH","DYT")</f>
        <v>0</v>
      </c>
      <c r="AH31" s="74">
        <f>+GETPIVOTDATA("XXS4",'xuanson (2016)'!$A$3,"MA_HT","DNL","MA_QH","DGD")</f>
        <v>0</v>
      </c>
      <c r="AI31" s="74">
        <f>+GETPIVOTDATA("XXS4",'xuanson (2016)'!$A$3,"MA_HT","DNL","MA_QH","DTT")</f>
        <v>0</v>
      </c>
      <c r="AJ31" s="74">
        <f>+GETPIVOTDATA("XXS4",'xuanson (2016)'!$A$3,"MA_HT","DNL","MA_QH","NCK")</f>
        <v>0</v>
      </c>
      <c r="AK31" s="74">
        <f>+GETPIVOTDATA("XXS4",'xuanson (2016)'!$A$3,"MA_HT","DNL","MA_QH","DXH")</f>
        <v>0</v>
      </c>
      <c r="AL31" s="74">
        <f>+GETPIVOTDATA("XXS4",'xuanson (2016)'!$A$3,"MA_HT","DNL","MA_QH","DCH")</f>
        <v>0</v>
      </c>
      <c r="AM31" s="74">
        <f>+GETPIVOTDATA("XXS4",'xuanson (2016)'!$A$3,"MA_HT","DNL","MA_QH","DKG")</f>
        <v>0</v>
      </c>
      <c r="AN31" s="74">
        <f>+GETPIVOTDATA("XXS4",'xuanson (2016)'!$A$3,"MA_HT","DNL","MA_QH","DDT")</f>
        <v>0</v>
      </c>
      <c r="AO31" s="74">
        <f>+GETPIVOTDATA("XXS4",'xuanson (2016)'!$A$3,"MA_HT","DNL","MA_QH","DDL")</f>
        <v>0</v>
      </c>
      <c r="AP31" s="74">
        <f>+GETPIVOTDATA("XXS4",'xuanson (2016)'!$A$3,"MA_HT","DNL","MA_QH","DRA")</f>
        <v>0</v>
      </c>
      <c r="AQ31" s="74">
        <f>+GETPIVOTDATA("XXS4",'xuanson (2016)'!$A$3,"MA_HT","DNL","MA_QH","ONT")</f>
        <v>0</v>
      </c>
      <c r="AR31" s="74">
        <f>+GETPIVOTDATA("XXS4",'xuanson (2016)'!$A$3,"MA_HT","DNL","MA_QH","ODT")</f>
        <v>0</v>
      </c>
      <c r="AS31" s="74">
        <f>+GETPIVOTDATA("XXS4",'xuanson (2016)'!$A$3,"MA_HT","DNL","MA_QH","TSC")</f>
        <v>0</v>
      </c>
      <c r="AT31" s="74">
        <f>+GETPIVOTDATA("XXS4",'xuanson (2016)'!$A$3,"MA_HT","DNL","MA_QH","DTS")</f>
        <v>0</v>
      </c>
      <c r="AU31" s="74">
        <f>+GETPIVOTDATA("XXS4",'xuanson (2016)'!$A$3,"MA_HT","DNL","MA_QH","DNG")</f>
        <v>0</v>
      </c>
      <c r="AV31" s="74">
        <f>+GETPIVOTDATA("XXS4",'xuanson (2016)'!$A$3,"MA_HT","DNL","MA_QH","TON")</f>
        <v>0</v>
      </c>
      <c r="AW31" s="74">
        <f>+GETPIVOTDATA("XXS4",'xuanson (2016)'!$A$3,"MA_HT","DNL","MA_QH","NTD")</f>
        <v>0</v>
      </c>
      <c r="AX31" s="74">
        <f>+GETPIVOTDATA("XXS4",'xuanson (2016)'!$A$3,"MA_HT","DNL","MA_QH","SKX")</f>
        <v>0</v>
      </c>
      <c r="AY31" s="74">
        <f>+GETPIVOTDATA("XXS4",'xuanson (2016)'!$A$3,"MA_HT","DNL","MA_QH","DSH")</f>
        <v>0</v>
      </c>
      <c r="AZ31" s="74">
        <f>+GETPIVOTDATA("XXS4",'xuanson (2016)'!$A$3,"MA_HT","DNL","MA_QH","DKV")</f>
        <v>0</v>
      </c>
      <c r="BA31" s="139">
        <f>+GETPIVOTDATA("XXS4",'xuanson (2016)'!$A$3,"MA_HT","DNL","MA_QH","TIN")</f>
        <v>0</v>
      </c>
      <c r="BB31" s="74">
        <f>+GETPIVOTDATA("XXS4",'xuanson (2016)'!$A$3,"MA_HT","DNL","MA_QH","SON")</f>
        <v>0</v>
      </c>
      <c r="BC31" s="74">
        <f>+GETPIVOTDATA("XXS4",'xuanson (2016)'!$A$3,"MA_HT","DNL","MA_QH","MNC")</f>
        <v>0</v>
      </c>
      <c r="BD31" s="74">
        <f>+GETPIVOTDATA("XXS4",'xuanson (2016)'!$A$3,"MA_HT","DNL","MA_QH","PNK")</f>
        <v>0</v>
      </c>
      <c r="BE31" s="102">
        <f>+GETPIVOTDATA("XXS4",'xuanson (2016)'!$A$3,"MA_HT","DNL","MA_QH","CSD")</f>
        <v>0</v>
      </c>
      <c r="BF31" s="75">
        <f t="shared" si="13"/>
        <v>0</v>
      </c>
      <c r="BG31" s="76">
        <f>AD$59-$BF31</f>
        <v>0</v>
      </c>
      <c r="BH31" s="71" t="e">
        <f t="shared" si="14"/>
        <v>#REF!</v>
      </c>
      <c r="BI31" s="7"/>
      <c r="BJ31" s="7" t="e">
        <f>#REF!</f>
        <v>#REF!</v>
      </c>
      <c r="BK31" s="82" t="e">
        <f t="shared" si="19"/>
        <v>#REF!</v>
      </c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</row>
    <row r="32" spans="1:79" s="77" customFormat="1" ht="16.5" customHeight="1">
      <c r="A32" s="68" t="s">
        <v>226</v>
      </c>
      <c r="B32" s="68" t="s">
        <v>125</v>
      </c>
      <c r="C32" s="70" t="s">
        <v>126</v>
      </c>
      <c r="D32" s="71" t="e">
        <f>+#REF!</f>
        <v>#REF!</v>
      </c>
      <c r="E32" s="63">
        <f t="shared" si="15"/>
        <v>0</v>
      </c>
      <c r="F32" s="64">
        <f t="shared" si="9"/>
        <v>0</v>
      </c>
      <c r="G32" s="74">
        <f>+GETPIVOTDATA("XXS4",'xuanson (2016)'!$A$3,"MA_HT","DBV","MA_QH","LUC")</f>
        <v>0</v>
      </c>
      <c r="H32" s="74">
        <f>+GETPIVOTDATA("XXS4",'xuanson (2016)'!$A$3,"MA_HT","DBV","MA_QH","LUK")</f>
        <v>0</v>
      </c>
      <c r="I32" s="74">
        <f>+GETPIVOTDATA("XXS4",'xuanson (2016)'!$A$3,"MA_HT","DBV","MA_QH","LUN")</f>
        <v>0</v>
      </c>
      <c r="J32" s="74">
        <f>+GETPIVOTDATA("XXS4",'xuanson (2016)'!$A$3,"MA_HT","DBV","MA_QH","HNK")</f>
        <v>0</v>
      </c>
      <c r="K32" s="74">
        <f>+GETPIVOTDATA("XXS4",'xuanson (2016)'!$A$3,"MA_HT","DBV","MA_QH","CLN")</f>
        <v>0</v>
      </c>
      <c r="L32" s="74">
        <f>+GETPIVOTDATA("XXS4",'xuanson (2016)'!$A$3,"MA_HT","DBV","MA_QH","RSX")</f>
        <v>0</v>
      </c>
      <c r="M32" s="74">
        <f>+GETPIVOTDATA("XXS4",'xuanson (2016)'!$A$3,"MA_HT","DBV","MA_QH","RPH")</f>
        <v>0</v>
      </c>
      <c r="N32" s="74">
        <f>+GETPIVOTDATA("XXS4",'xuanson (2016)'!$A$3,"MA_HT","DBV","MA_QH","RDD")</f>
        <v>0</v>
      </c>
      <c r="O32" s="74">
        <f>+GETPIVOTDATA("XXS4",'xuanson (2016)'!$A$3,"MA_HT","DBV","MA_QH","NTS")</f>
        <v>0</v>
      </c>
      <c r="P32" s="74">
        <f>+GETPIVOTDATA("XXS4",'xuanson (2016)'!$A$3,"MA_HT","DBV","MA_QH","LMU")</f>
        <v>0</v>
      </c>
      <c r="Q32" s="74">
        <f>+GETPIVOTDATA("XXS4",'xuanson (2016)'!$A$3,"MA_HT","DBV","MA_QH","NKH")</f>
        <v>0</v>
      </c>
      <c r="R32" s="72">
        <f t="shared" si="20"/>
        <v>0</v>
      </c>
      <c r="S32" s="74">
        <f>+GETPIVOTDATA("XXS4",'xuanson (2016)'!$A$3,"MA_HT","DBV","MA_QH","CQP")</f>
        <v>0</v>
      </c>
      <c r="T32" s="74">
        <f>+GETPIVOTDATA("XXS4",'xuanson (2016)'!$A$3,"MA_HT","DBV","MA_QH","CAN")</f>
        <v>0</v>
      </c>
      <c r="U32" s="74">
        <f>+GETPIVOTDATA("XXS4",'xuanson (2016)'!$A$3,"MA_HT","DBV","MA_QH","SKK")</f>
        <v>0</v>
      </c>
      <c r="V32" s="74">
        <f>+GETPIVOTDATA("XXS4",'xuanson (2016)'!$A$3,"MA_HT","DBV","MA_QH","SKT")</f>
        <v>0</v>
      </c>
      <c r="W32" s="74">
        <f>+GETPIVOTDATA("XXS4",'xuanson (2016)'!$A$3,"MA_HT","DBV","MA_QH","SKN")</f>
        <v>0</v>
      </c>
      <c r="X32" s="74">
        <f>+GETPIVOTDATA("XXS4",'xuanson (2016)'!$A$3,"MA_HT","DBV","MA_QH","TMD")</f>
        <v>0</v>
      </c>
      <c r="Y32" s="74">
        <f>+GETPIVOTDATA("XXS4",'xuanson (2016)'!$A$3,"MA_HT","DBV","MA_QH","SKC")</f>
        <v>0</v>
      </c>
      <c r="Z32" s="74">
        <f>+GETPIVOTDATA("XXS4",'xuanson (2016)'!$A$3,"MA_HT","DBV","MA_QH","SKS")</f>
        <v>0</v>
      </c>
      <c r="AA32" s="64">
        <f>+SUM(AB32:AD32,AF32:AM32)</f>
        <v>0</v>
      </c>
      <c r="AB32" s="74">
        <f>+GETPIVOTDATA("XXS4",'xuanson (2016)'!$A$3,"MA_HT","DBV","MA_QH","DGT")</f>
        <v>0</v>
      </c>
      <c r="AC32" s="74">
        <f>+GETPIVOTDATA("XXS4",'xuanson (2016)'!$A$3,"MA_HT","DBV","MA_QH","DTL")</f>
        <v>0</v>
      </c>
      <c r="AD32" s="74">
        <f>+GETPIVOTDATA("XXS4",'xuanson (2016)'!$A$3,"MA_HT","DBV","MA_QH","DNL")</f>
        <v>0</v>
      </c>
      <c r="AE32" s="100" t="e">
        <f>$D32-$BF32</f>
        <v>#REF!</v>
      </c>
      <c r="AF32" s="74">
        <f>+GETPIVOTDATA("XXS4",'xuanson (2016)'!$A$3,"MA_HT","DBV","MA_QH","DVH")</f>
        <v>0</v>
      </c>
      <c r="AG32" s="74">
        <f>+GETPIVOTDATA("XXS4",'xuanson (2016)'!$A$3,"MA_HT","DBV","MA_QH","DYT")</f>
        <v>0</v>
      </c>
      <c r="AH32" s="74">
        <f>+GETPIVOTDATA("XXS4",'xuanson (2016)'!$A$3,"MA_HT","DBV","MA_QH","DGD")</f>
        <v>0</v>
      </c>
      <c r="AI32" s="74">
        <f>+GETPIVOTDATA("XXS4",'xuanson (2016)'!$A$3,"MA_HT","DBV","MA_QH","DTT")</f>
        <v>0</v>
      </c>
      <c r="AJ32" s="74">
        <f>+GETPIVOTDATA("XXS4",'xuanson (2016)'!$A$3,"MA_HT","DBV","MA_QH","NCK")</f>
        <v>0</v>
      </c>
      <c r="AK32" s="74">
        <f>+GETPIVOTDATA("XXS4",'xuanson (2016)'!$A$3,"MA_HT","DBV","MA_QH","DXH")</f>
        <v>0</v>
      </c>
      <c r="AL32" s="74">
        <f>+GETPIVOTDATA("XXS4",'xuanson (2016)'!$A$3,"MA_HT","DBV","MA_QH","DCH")</f>
        <v>0</v>
      </c>
      <c r="AM32" s="74">
        <f>+GETPIVOTDATA("XXS4",'xuanson (2016)'!$A$3,"MA_HT","DBV","MA_QH","DKG")</f>
        <v>0</v>
      </c>
      <c r="AN32" s="74">
        <f>+GETPIVOTDATA("XXS4",'xuanson (2016)'!$A$3,"MA_HT","DBV","MA_QH","DDT")</f>
        <v>0</v>
      </c>
      <c r="AO32" s="74">
        <f>+GETPIVOTDATA("XXS4",'xuanson (2016)'!$A$3,"MA_HT","DBV","MA_QH","DDL")</f>
        <v>0</v>
      </c>
      <c r="AP32" s="74">
        <f>+GETPIVOTDATA("XXS4",'xuanson (2016)'!$A$3,"MA_HT","DBV","MA_QH","DRA")</f>
        <v>0</v>
      </c>
      <c r="AQ32" s="74">
        <f>+GETPIVOTDATA("XXS4",'xuanson (2016)'!$A$3,"MA_HT","DBV","MA_QH","ONT")</f>
        <v>0</v>
      </c>
      <c r="AR32" s="74">
        <f>+GETPIVOTDATA("XXS4",'xuanson (2016)'!$A$3,"MA_HT","DBV","MA_QH","ODT")</f>
        <v>0</v>
      </c>
      <c r="AS32" s="74">
        <f>+GETPIVOTDATA("XXS4",'xuanson (2016)'!$A$3,"MA_HT","DBV","MA_QH","TSC")</f>
        <v>0</v>
      </c>
      <c r="AT32" s="74">
        <f>+GETPIVOTDATA("XXS4",'xuanson (2016)'!$A$3,"MA_HT","DBV","MA_QH","DTS")</f>
        <v>0</v>
      </c>
      <c r="AU32" s="74">
        <f>+GETPIVOTDATA("XXS4",'xuanson (2016)'!$A$3,"MA_HT","DBV","MA_QH","DNG")</f>
        <v>0</v>
      </c>
      <c r="AV32" s="74">
        <f>+GETPIVOTDATA("XXS4",'xuanson (2016)'!$A$3,"MA_HT","DBV","MA_QH","TON")</f>
        <v>0</v>
      </c>
      <c r="AW32" s="74">
        <f>+GETPIVOTDATA("XXS4",'xuanson (2016)'!$A$3,"MA_HT","DBV","MA_QH","NTD")</f>
        <v>0</v>
      </c>
      <c r="AX32" s="74">
        <f>+GETPIVOTDATA("XXS4",'xuanson (2016)'!$A$3,"MA_HT","DBV","MA_QH","SKX")</f>
        <v>0</v>
      </c>
      <c r="AY32" s="74">
        <f>+GETPIVOTDATA("XXS4",'xuanson (2016)'!$A$3,"MA_HT","DBV","MA_QH","DSH")</f>
        <v>0</v>
      </c>
      <c r="AZ32" s="74">
        <f>+GETPIVOTDATA("XXS4",'xuanson (2016)'!$A$3,"MA_HT","DBV","MA_QH","DKV")</f>
        <v>0</v>
      </c>
      <c r="BA32" s="139">
        <f>+GETPIVOTDATA("XXS4",'xuanson (2016)'!$A$3,"MA_HT","DBV","MA_QH","TIN")</f>
        <v>0</v>
      </c>
      <c r="BB32" s="74">
        <f>+GETPIVOTDATA("XXS4",'xuanson (2016)'!$A$3,"MA_HT","DBV","MA_QH","SON")</f>
        <v>0</v>
      </c>
      <c r="BC32" s="74">
        <f>+GETPIVOTDATA("XXS4",'xuanson (2016)'!$A$3,"MA_HT","DBV","MA_QH","MNC")</f>
        <v>0</v>
      </c>
      <c r="BD32" s="74">
        <f>+GETPIVOTDATA("XXS4",'xuanson (2016)'!$A$3,"MA_HT","DBV","MA_QH","PNK")</f>
        <v>0</v>
      </c>
      <c r="BE32" s="102">
        <f>+GETPIVOTDATA("XXS4",'xuanson (2016)'!$A$3,"MA_HT","DBV","MA_QH","CSD")</f>
        <v>0</v>
      </c>
      <c r="BF32" s="75">
        <f t="shared" si="13"/>
        <v>0</v>
      </c>
      <c r="BG32" s="76">
        <f>AE$59-$BF32</f>
        <v>0</v>
      </c>
      <c r="BH32" s="71" t="e">
        <f t="shared" si="14"/>
        <v>#REF!</v>
      </c>
      <c r="BI32" s="7"/>
      <c r="BJ32" s="7" t="e">
        <f>#REF!</f>
        <v>#REF!</v>
      </c>
      <c r="BK32" s="82" t="e">
        <f t="shared" si="19"/>
        <v>#REF!</v>
      </c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</row>
    <row r="33" spans="1:79" s="77" customFormat="1" ht="16.5" customHeight="1">
      <c r="A33" s="68" t="s">
        <v>227</v>
      </c>
      <c r="B33" s="68" t="s">
        <v>127</v>
      </c>
      <c r="C33" s="70" t="s">
        <v>128</v>
      </c>
      <c r="D33" s="71" t="e">
        <f>+#REF!</f>
        <v>#REF!</v>
      </c>
      <c r="E33" s="63">
        <f t="shared" si="15"/>
        <v>0</v>
      </c>
      <c r="F33" s="64">
        <f t="shared" si="9"/>
        <v>0</v>
      </c>
      <c r="G33" s="74">
        <f>+GETPIVOTDATA("XXS4",'xuanson (2016)'!$A$3,"MA_HT","DVH","MA_QH","LUC")</f>
        <v>0</v>
      </c>
      <c r="H33" s="74">
        <f>+GETPIVOTDATA("XXS4",'xuanson (2016)'!$A$3,"MA_HT","DVH","MA_QH","LUK")</f>
        <v>0</v>
      </c>
      <c r="I33" s="74">
        <f>+GETPIVOTDATA("XXS4",'xuanson (2016)'!$A$3,"MA_HT","DVH","MA_QH","LUN")</f>
        <v>0</v>
      </c>
      <c r="J33" s="74">
        <f>+GETPIVOTDATA("XXS4",'xuanson (2016)'!$A$3,"MA_HT","DVH","MA_QH","HNK")</f>
        <v>0</v>
      </c>
      <c r="K33" s="74">
        <f>+GETPIVOTDATA("XXS4",'xuanson (2016)'!$A$3,"MA_HT","DVH","MA_QH","CLN")</f>
        <v>0</v>
      </c>
      <c r="L33" s="74">
        <f>+GETPIVOTDATA("XXS4",'xuanson (2016)'!$A$3,"MA_HT","DVH","MA_QH","RSX")</f>
        <v>0</v>
      </c>
      <c r="M33" s="74">
        <f>+GETPIVOTDATA("XXS4",'xuanson (2016)'!$A$3,"MA_HT","DVH","MA_QH","RPH")</f>
        <v>0</v>
      </c>
      <c r="N33" s="74">
        <f>+GETPIVOTDATA("XXS4",'xuanson (2016)'!$A$3,"MA_HT","DVH","MA_QH","RDD")</f>
        <v>0</v>
      </c>
      <c r="O33" s="74">
        <f>+GETPIVOTDATA("XXS4",'xuanson (2016)'!$A$3,"MA_HT","DVH","MA_QH","NTS")</f>
        <v>0</v>
      </c>
      <c r="P33" s="74">
        <f>+GETPIVOTDATA("XXS4",'xuanson (2016)'!$A$3,"MA_HT","DVH","MA_QH","LMU")</f>
        <v>0</v>
      </c>
      <c r="Q33" s="74">
        <f>+GETPIVOTDATA("XXS4",'xuanson (2016)'!$A$3,"MA_HT","DVH","MA_QH","NKH")</f>
        <v>0</v>
      </c>
      <c r="R33" s="72">
        <f t="shared" si="20"/>
        <v>0</v>
      </c>
      <c r="S33" s="74">
        <f>+GETPIVOTDATA("XXS4",'xuanson (2016)'!$A$3,"MA_HT","DVH","MA_QH","CQP")</f>
        <v>0</v>
      </c>
      <c r="T33" s="74">
        <f>+GETPIVOTDATA("XXS4",'xuanson (2016)'!$A$3,"MA_HT","DVH","MA_QH","CAN")</f>
        <v>0</v>
      </c>
      <c r="U33" s="74">
        <f>+GETPIVOTDATA("XXS4",'xuanson (2016)'!$A$3,"MA_HT","DVH","MA_QH","SKK")</f>
        <v>0</v>
      </c>
      <c r="V33" s="74">
        <f>+GETPIVOTDATA("XXS4",'xuanson (2016)'!$A$3,"MA_HT","DVH","MA_QH","SKT")</f>
        <v>0</v>
      </c>
      <c r="W33" s="74">
        <f>+GETPIVOTDATA("XXS4",'xuanson (2016)'!$A$3,"MA_HT","DVH","MA_QH","SKN")</f>
        <v>0</v>
      </c>
      <c r="X33" s="74">
        <f>+GETPIVOTDATA("XXS4",'xuanson (2016)'!$A$3,"MA_HT","DVH","MA_QH","TMD")</f>
        <v>0</v>
      </c>
      <c r="Y33" s="74">
        <f>+GETPIVOTDATA("XXS4",'xuanson (2016)'!$A$3,"MA_HT","DVH","MA_QH","SKC")</f>
        <v>0</v>
      </c>
      <c r="Z33" s="74">
        <f>+GETPIVOTDATA("XXS4",'xuanson (2016)'!$A$3,"MA_HT","DVH","MA_QH","SKS")</f>
        <v>0</v>
      </c>
      <c r="AA33" s="64">
        <f>+SUM(AB33:AE33,AG33:AM33)</f>
        <v>0</v>
      </c>
      <c r="AB33" s="74">
        <f>+GETPIVOTDATA("XXS4",'xuanson (2016)'!$A$3,"MA_HT","DVH","MA_QH","DGT")</f>
        <v>0</v>
      </c>
      <c r="AC33" s="74">
        <f>+GETPIVOTDATA("XXS4",'xuanson (2016)'!$A$3,"MA_HT","DVH","MA_QH","DTL")</f>
        <v>0</v>
      </c>
      <c r="AD33" s="74">
        <f>+GETPIVOTDATA("XXS4",'xuanson (2016)'!$A$3,"MA_HT","DVH","MA_QH","DNL")</f>
        <v>0</v>
      </c>
      <c r="AE33" s="74">
        <f>+GETPIVOTDATA("XXS4",'xuanson (2016)'!$A$3,"MA_HT","DVH","MA_QH","DBV")</f>
        <v>0</v>
      </c>
      <c r="AF33" s="100" t="e">
        <f>$D33-$BF33</f>
        <v>#REF!</v>
      </c>
      <c r="AG33" s="74">
        <f>+GETPIVOTDATA("XXS4",'xuanson (2016)'!$A$3,"MA_HT","DVH","MA_QH","DYT")</f>
        <v>0</v>
      </c>
      <c r="AH33" s="74">
        <f>+GETPIVOTDATA("XXS4",'xuanson (2016)'!$A$3,"MA_HT","DVH","MA_QH","DGD")</f>
        <v>0</v>
      </c>
      <c r="AI33" s="74">
        <f>+GETPIVOTDATA("XXS4",'xuanson (2016)'!$A$3,"MA_HT","DVH","MA_QH","DTT")</f>
        <v>0</v>
      </c>
      <c r="AJ33" s="74">
        <f>+GETPIVOTDATA("XXS4",'xuanson (2016)'!$A$3,"MA_HT","DVH","MA_QH","NCK")</f>
        <v>0</v>
      </c>
      <c r="AK33" s="74">
        <f>+GETPIVOTDATA("XXS4",'xuanson (2016)'!$A$3,"MA_HT","DVH","MA_QH","DXH")</f>
        <v>0</v>
      </c>
      <c r="AL33" s="74">
        <f>+GETPIVOTDATA("XXS4",'xuanson (2016)'!$A$3,"MA_HT","DVH","MA_QH","DCH")</f>
        <v>0</v>
      </c>
      <c r="AM33" s="74">
        <f>+GETPIVOTDATA("XXS4",'xuanson (2016)'!$A$3,"MA_HT","DVH","MA_QH","DKG")</f>
        <v>0</v>
      </c>
      <c r="AN33" s="74">
        <f>+GETPIVOTDATA("XXS4",'xuanson (2016)'!$A$3,"MA_HT","DVH","MA_QH","DDT")</f>
        <v>0</v>
      </c>
      <c r="AO33" s="74">
        <f>+GETPIVOTDATA("XXS4",'xuanson (2016)'!$A$3,"MA_HT","DVH","MA_QH","DDL")</f>
        <v>0</v>
      </c>
      <c r="AP33" s="74">
        <f>+GETPIVOTDATA("XXS4",'xuanson (2016)'!$A$3,"MA_HT","DVH","MA_QH","DRA")</f>
        <v>0</v>
      </c>
      <c r="AQ33" s="74">
        <f>+GETPIVOTDATA("XXS4",'xuanson (2016)'!$A$3,"MA_HT","DVH","MA_QH","ONT")</f>
        <v>0</v>
      </c>
      <c r="AR33" s="74">
        <f>+GETPIVOTDATA("XXS4",'xuanson (2016)'!$A$3,"MA_HT","DVH","MA_QH","ODT")</f>
        <v>0</v>
      </c>
      <c r="AS33" s="74">
        <f>+GETPIVOTDATA("XXS4",'xuanson (2016)'!$A$3,"MA_HT","DVH","MA_QH","TSC")</f>
        <v>0</v>
      </c>
      <c r="AT33" s="74">
        <f>+GETPIVOTDATA("XXS4",'xuanson (2016)'!$A$3,"MA_HT","DVH","MA_QH","DTS")</f>
        <v>0</v>
      </c>
      <c r="AU33" s="74">
        <f>+GETPIVOTDATA("XXS4",'xuanson (2016)'!$A$3,"MA_HT","DVH","MA_QH","DNG")</f>
        <v>0</v>
      </c>
      <c r="AV33" s="74">
        <f>+GETPIVOTDATA("XXS4",'xuanson (2016)'!$A$3,"MA_HT","DVH","MA_QH","TON")</f>
        <v>0</v>
      </c>
      <c r="AW33" s="74">
        <f>+GETPIVOTDATA("XXS4",'xuanson (2016)'!$A$3,"MA_HT","DVH","MA_QH","NTD")</f>
        <v>0</v>
      </c>
      <c r="AX33" s="74">
        <f>+GETPIVOTDATA("XXS4",'xuanson (2016)'!$A$3,"MA_HT","DVH","MA_QH","SKX")</f>
        <v>0</v>
      </c>
      <c r="AY33" s="74">
        <f>+GETPIVOTDATA("XXS4",'xuanson (2016)'!$A$3,"MA_HT","DVH","MA_QH","DSH")</f>
        <v>0</v>
      </c>
      <c r="AZ33" s="74">
        <f>+GETPIVOTDATA("XXS4",'xuanson (2016)'!$A$3,"MA_HT","DVH","MA_QH","DKV")</f>
        <v>0</v>
      </c>
      <c r="BA33" s="139">
        <f>+GETPIVOTDATA("XXS4",'xuanson (2016)'!$A$3,"MA_HT","DVH","MA_QH","TIN")</f>
        <v>0</v>
      </c>
      <c r="BB33" s="74">
        <f>+GETPIVOTDATA("XXS4",'xuanson (2016)'!$A$3,"MA_HT","DVH","MA_QH","SON")</f>
        <v>0</v>
      </c>
      <c r="BC33" s="74">
        <f>+GETPIVOTDATA("XXS4",'xuanson (2016)'!$A$3,"MA_HT","DVH","MA_QH","MNC")</f>
        <v>0</v>
      </c>
      <c r="BD33" s="74">
        <f>+GETPIVOTDATA("XXS4",'xuanson (2016)'!$A$3,"MA_HT","DVH","MA_QH","PNK")</f>
        <v>0</v>
      </c>
      <c r="BE33" s="102">
        <f>+GETPIVOTDATA("XXS4",'xuanson (2016)'!$A$3,"MA_HT","DVH","MA_QH","CSD")</f>
        <v>0</v>
      </c>
      <c r="BF33" s="75">
        <f t="shared" si="13"/>
        <v>0</v>
      </c>
      <c r="BG33" s="76">
        <f>AF$59-$BF33</f>
        <v>0</v>
      </c>
      <c r="BH33" s="71" t="e">
        <f t="shared" si="14"/>
        <v>#REF!</v>
      </c>
      <c r="BI33" s="7"/>
      <c r="BJ33" s="7" t="e">
        <f>#REF!</f>
        <v>#REF!</v>
      </c>
      <c r="BK33" s="82" t="e">
        <f t="shared" si="19"/>
        <v>#REF!</v>
      </c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</row>
    <row r="34" spans="1:79" s="77" customFormat="1" ht="16.5" customHeight="1">
      <c r="A34" s="68" t="s">
        <v>228</v>
      </c>
      <c r="B34" s="68" t="s">
        <v>129</v>
      </c>
      <c r="C34" s="70" t="s">
        <v>130</v>
      </c>
      <c r="D34" s="71" t="e">
        <f>+#REF!</f>
        <v>#REF!</v>
      </c>
      <c r="E34" s="63">
        <f t="shared" si="15"/>
        <v>0</v>
      </c>
      <c r="F34" s="64">
        <f t="shared" si="9"/>
        <v>0</v>
      </c>
      <c r="G34" s="74">
        <f>+GETPIVOTDATA("XXS4",'xuanson (2016)'!$A$3,"MA_HT","DYT","MA_QH","LUC")</f>
        <v>0</v>
      </c>
      <c r="H34" s="74">
        <f>+GETPIVOTDATA("XXS4",'xuanson (2016)'!$A$3,"MA_HT","DYT","MA_QH","LUK")</f>
        <v>0</v>
      </c>
      <c r="I34" s="74">
        <f>+GETPIVOTDATA("XXS4",'xuanson (2016)'!$A$3,"MA_HT","DYT","MA_QH","LUN")</f>
        <v>0</v>
      </c>
      <c r="J34" s="74">
        <f>+GETPIVOTDATA("XXS4",'xuanson (2016)'!$A$3,"MA_HT","DYT","MA_QH","HNK")</f>
        <v>0</v>
      </c>
      <c r="K34" s="74">
        <f>+GETPIVOTDATA("XXS4",'xuanson (2016)'!$A$3,"MA_HT","DYT","MA_QH","CLN")</f>
        <v>0</v>
      </c>
      <c r="L34" s="74">
        <f>+GETPIVOTDATA("XXS4",'xuanson (2016)'!$A$3,"MA_HT","DYT","MA_QH","RSX")</f>
        <v>0</v>
      </c>
      <c r="M34" s="74">
        <f>+GETPIVOTDATA("XXS4",'xuanson (2016)'!$A$3,"MA_HT","DYT","MA_QH","RPH")</f>
        <v>0</v>
      </c>
      <c r="N34" s="74">
        <f>+GETPIVOTDATA("XXS4",'xuanson (2016)'!$A$3,"MA_HT","DYT","MA_QH","RDD")</f>
        <v>0</v>
      </c>
      <c r="O34" s="74">
        <f>+GETPIVOTDATA("XXS4",'xuanson (2016)'!$A$3,"MA_HT","DYT","MA_QH","NTS")</f>
        <v>0</v>
      </c>
      <c r="P34" s="74">
        <f>+GETPIVOTDATA("XXS4",'xuanson (2016)'!$A$3,"MA_HT","DYT","MA_QH","LMU")</f>
        <v>0</v>
      </c>
      <c r="Q34" s="74">
        <f>+GETPIVOTDATA("XXS4",'xuanson (2016)'!$A$3,"MA_HT","DYT","MA_QH","NKH")</f>
        <v>0</v>
      </c>
      <c r="R34" s="72">
        <f t="shared" si="20"/>
        <v>0</v>
      </c>
      <c r="S34" s="74">
        <f>+GETPIVOTDATA("XXS4",'xuanson (2016)'!$A$3,"MA_HT","DYT","MA_QH","CQP")</f>
        <v>0</v>
      </c>
      <c r="T34" s="74">
        <f>+GETPIVOTDATA("XXS4",'xuanson (2016)'!$A$3,"MA_HT","DYT","MA_QH","CAN")</f>
        <v>0</v>
      </c>
      <c r="U34" s="74">
        <f>+GETPIVOTDATA("XXS4",'xuanson (2016)'!$A$3,"MA_HT","DYT","MA_QH","SKK")</f>
        <v>0</v>
      </c>
      <c r="V34" s="74">
        <f>+GETPIVOTDATA("XXS4",'xuanson (2016)'!$A$3,"MA_HT","DYT","MA_QH","SKT")</f>
        <v>0</v>
      </c>
      <c r="W34" s="74">
        <f>+GETPIVOTDATA("XXS4",'xuanson (2016)'!$A$3,"MA_HT","DYT","MA_QH","SKN")</f>
        <v>0</v>
      </c>
      <c r="X34" s="74">
        <f>+GETPIVOTDATA("XXS4",'xuanson (2016)'!$A$3,"MA_HT","DYT","MA_QH","TMD")</f>
        <v>0</v>
      </c>
      <c r="Y34" s="74">
        <f>+GETPIVOTDATA("XXS4",'xuanson (2016)'!$A$3,"MA_HT","DYT","MA_QH","SKC")</f>
        <v>0</v>
      </c>
      <c r="Z34" s="74">
        <f>+GETPIVOTDATA("XXS4",'xuanson (2016)'!$A$3,"MA_HT","DYT","MA_QH","SKS")</f>
        <v>0</v>
      </c>
      <c r="AA34" s="64">
        <f>+SUM(AB34:AF34,AH34:AM34)</f>
        <v>0</v>
      </c>
      <c r="AB34" s="74">
        <f>+GETPIVOTDATA("XXS4",'xuanson (2016)'!$A$3,"MA_HT","DYT","MA_QH","DGT")</f>
        <v>0</v>
      </c>
      <c r="AC34" s="74">
        <f>+GETPIVOTDATA("XXS4",'xuanson (2016)'!$A$3,"MA_HT","DYT","MA_QH","DTL")</f>
        <v>0</v>
      </c>
      <c r="AD34" s="74">
        <f>+GETPIVOTDATA("XXS4",'xuanson (2016)'!$A$3,"MA_HT","DYT","MA_QH","DNL")</f>
        <v>0</v>
      </c>
      <c r="AE34" s="74">
        <f>+GETPIVOTDATA("XXS4",'xuanson (2016)'!$A$3,"MA_HT","DYT","MA_QH","DBV")</f>
        <v>0</v>
      </c>
      <c r="AF34" s="74">
        <f>+GETPIVOTDATA("XXS4",'xuanson (2016)'!$A$3,"MA_HT","DYT","MA_QH","DVH")</f>
        <v>0</v>
      </c>
      <c r="AG34" s="100" t="e">
        <f>$D34-$BF34</f>
        <v>#REF!</v>
      </c>
      <c r="AH34" s="74">
        <f>+GETPIVOTDATA("XXS4",'xuanson (2016)'!$A$3,"MA_HT","DYT","MA_QH","DGD")</f>
        <v>0</v>
      </c>
      <c r="AI34" s="74">
        <f>+GETPIVOTDATA("XXS4",'xuanson (2016)'!$A$3,"MA_HT","DYT","MA_QH","DTT")</f>
        <v>0</v>
      </c>
      <c r="AJ34" s="74">
        <f>+GETPIVOTDATA("XXS4",'xuanson (2016)'!$A$3,"MA_HT","DYT","MA_QH","NCK")</f>
        <v>0</v>
      </c>
      <c r="AK34" s="74">
        <f>+GETPIVOTDATA("XXS4",'xuanson (2016)'!$A$3,"MA_HT","DYT","MA_QH","DXH")</f>
        <v>0</v>
      </c>
      <c r="AL34" s="74">
        <f>+GETPIVOTDATA("XXS4",'xuanson (2016)'!$A$3,"MA_HT","DYT","MA_QH","DCH")</f>
        <v>0</v>
      </c>
      <c r="AM34" s="74">
        <f>+GETPIVOTDATA("XXS4",'xuanson (2016)'!$A$3,"MA_HT","DYT","MA_QH","DKG")</f>
        <v>0</v>
      </c>
      <c r="AN34" s="74">
        <f>+GETPIVOTDATA("XXS4",'xuanson (2016)'!$A$3,"MA_HT","DYT","MA_QH","DDT")</f>
        <v>0</v>
      </c>
      <c r="AO34" s="74">
        <f>+GETPIVOTDATA("XXS4",'xuanson (2016)'!$A$3,"MA_HT","DYT","MA_QH","DDL")</f>
        <v>0</v>
      </c>
      <c r="AP34" s="74">
        <f>+GETPIVOTDATA("XXS4",'xuanson (2016)'!$A$3,"MA_HT","DYT","MA_QH","DRA")</f>
        <v>0</v>
      </c>
      <c r="AQ34" s="74">
        <f>+GETPIVOTDATA("XXS4",'xuanson (2016)'!$A$3,"MA_HT","DYT","MA_QH","ONT")</f>
        <v>0</v>
      </c>
      <c r="AR34" s="74">
        <f>+GETPIVOTDATA("XXS4",'xuanson (2016)'!$A$3,"MA_HT","DYT","MA_QH","ODT")</f>
        <v>0</v>
      </c>
      <c r="AS34" s="74">
        <f>+GETPIVOTDATA("XXS4",'xuanson (2016)'!$A$3,"MA_HT","DYT","MA_QH","TSC")</f>
        <v>0</v>
      </c>
      <c r="AT34" s="74">
        <f>+GETPIVOTDATA("XXS4",'xuanson (2016)'!$A$3,"MA_HT","DYT","MA_QH","DTS")</f>
        <v>0</v>
      </c>
      <c r="AU34" s="74">
        <f>+GETPIVOTDATA("XXS4",'xuanson (2016)'!$A$3,"MA_HT","DYT","MA_QH","DNG")</f>
        <v>0</v>
      </c>
      <c r="AV34" s="74">
        <f>+GETPIVOTDATA("XXS4",'xuanson (2016)'!$A$3,"MA_HT","DYT","MA_QH","TON")</f>
        <v>0</v>
      </c>
      <c r="AW34" s="74">
        <f>+GETPIVOTDATA("XXS4",'xuanson (2016)'!$A$3,"MA_HT","DYT","MA_QH","NTD")</f>
        <v>0</v>
      </c>
      <c r="AX34" s="74">
        <f>+GETPIVOTDATA("XXS4",'xuanson (2016)'!$A$3,"MA_HT","DYT","MA_QH","SKX")</f>
        <v>0</v>
      </c>
      <c r="AY34" s="74">
        <f>+GETPIVOTDATA("XXS4",'xuanson (2016)'!$A$3,"MA_HT","DYT","MA_QH","DSH")</f>
        <v>0</v>
      </c>
      <c r="AZ34" s="74">
        <f>+GETPIVOTDATA("XXS4",'xuanson (2016)'!$A$3,"MA_HT","DYT","MA_QH","DKV")</f>
        <v>0</v>
      </c>
      <c r="BA34" s="139">
        <f>+GETPIVOTDATA("XXS4",'xuanson (2016)'!$A$3,"MA_HT","DYT","MA_QH","TIN")</f>
        <v>0</v>
      </c>
      <c r="BB34" s="74">
        <f>+GETPIVOTDATA("XXS4",'xuanson (2016)'!$A$3,"MA_HT","DYT","MA_QH","SON")</f>
        <v>0</v>
      </c>
      <c r="BC34" s="74">
        <f>+GETPIVOTDATA("XXS4",'xuanson (2016)'!$A$3,"MA_HT","DYT","MA_QH","MNC")</f>
        <v>0</v>
      </c>
      <c r="BD34" s="74">
        <f>+GETPIVOTDATA("XXS4",'xuanson (2016)'!$A$3,"MA_HT","DYT","MA_QH","PNK")</f>
        <v>0</v>
      </c>
      <c r="BE34" s="102">
        <f>+GETPIVOTDATA("XXS4",'xuanson (2016)'!$A$3,"MA_HT","DYT","MA_QH","CSD")</f>
        <v>0</v>
      </c>
      <c r="BF34" s="75">
        <f t="shared" si="13"/>
        <v>0</v>
      </c>
      <c r="BG34" s="76">
        <f>AG$59-$BF34</f>
        <v>0</v>
      </c>
      <c r="BH34" s="71" t="e">
        <f t="shared" si="14"/>
        <v>#REF!</v>
      </c>
      <c r="BI34" s="7"/>
      <c r="BJ34" s="7" t="e">
        <f>#REF!</f>
        <v>#REF!</v>
      </c>
      <c r="BK34" s="82" t="e">
        <f t="shared" si="19"/>
        <v>#REF!</v>
      </c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</row>
    <row r="35" spans="1:79" s="77" customFormat="1" ht="16.5" customHeight="1">
      <c r="A35" s="68" t="s">
        <v>229</v>
      </c>
      <c r="B35" s="68" t="s">
        <v>131</v>
      </c>
      <c r="C35" s="70" t="s">
        <v>132</v>
      </c>
      <c r="D35" s="71" t="e">
        <f>+#REF!</f>
        <v>#REF!</v>
      </c>
      <c r="E35" s="63">
        <f t="shared" si="15"/>
        <v>0</v>
      </c>
      <c r="F35" s="64">
        <f t="shared" si="9"/>
        <v>0</v>
      </c>
      <c r="G35" s="74">
        <f>+GETPIVOTDATA("XXS4",'xuanson (2016)'!$A$3,"MA_HT","DGD","MA_QH","LUC")</f>
        <v>0</v>
      </c>
      <c r="H35" s="74">
        <f>+GETPIVOTDATA("XXS4",'xuanson (2016)'!$A$3,"MA_HT","DGD","MA_QH","LUK")</f>
        <v>0</v>
      </c>
      <c r="I35" s="74">
        <f>+GETPIVOTDATA("XXS4",'xuanson (2016)'!$A$3,"MA_HT","DGD","MA_QH","LUN")</f>
        <v>0</v>
      </c>
      <c r="J35" s="74">
        <f>+GETPIVOTDATA("XXS4",'xuanson (2016)'!$A$3,"MA_HT","DGD","MA_QH","HNK")</f>
        <v>0</v>
      </c>
      <c r="K35" s="74">
        <f>+GETPIVOTDATA("XXS4",'xuanson (2016)'!$A$3,"MA_HT","DGD","MA_QH","CLN")</f>
        <v>0</v>
      </c>
      <c r="L35" s="74">
        <f>+GETPIVOTDATA("XXS4",'xuanson (2016)'!$A$3,"MA_HT","DGD","MA_QH","RSX")</f>
        <v>0</v>
      </c>
      <c r="M35" s="74">
        <f>+GETPIVOTDATA("XXS4",'xuanson (2016)'!$A$3,"MA_HT","DGD","MA_QH","RPH")</f>
        <v>0</v>
      </c>
      <c r="N35" s="74">
        <f>+GETPIVOTDATA("XXS4",'xuanson (2016)'!$A$3,"MA_HT","DGD","MA_QH","RDD")</f>
        <v>0</v>
      </c>
      <c r="O35" s="74">
        <f>+GETPIVOTDATA("XXS4",'xuanson (2016)'!$A$3,"MA_HT","DGD","MA_QH","NTS")</f>
        <v>0</v>
      </c>
      <c r="P35" s="74">
        <f>+GETPIVOTDATA("XXS4",'xuanson (2016)'!$A$3,"MA_HT","DGD","MA_QH","LMU")</f>
        <v>0</v>
      </c>
      <c r="Q35" s="74">
        <f>+GETPIVOTDATA("XXS4",'xuanson (2016)'!$A$3,"MA_HT","DGD","MA_QH","NKH")</f>
        <v>0</v>
      </c>
      <c r="R35" s="72">
        <f t="shared" si="20"/>
        <v>0</v>
      </c>
      <c r="S35" s="74">
        <f>+GETPIVOTDATA("XXS4",'xuanson (2016)'!$A$3,"MA_HT","DGD","MA_QH","CQP")</f>
        <v>0</v>
      </c>
      <c r="T35" s="74">
        <f>+GETPIVOTDATA("XXS4",'xuanson (2016)'!$A$3,"MA_HT","DGD","MA_QH","CAN")</f>
        <v>0</v>
      </c>
      <c r="U35" s="74">
        <f>+GETPIVOTDATA("XXS4",'xuanson (2016)'!$A$3,"MA_HT","DGD","MA_QH","SKK")</f>
        <v>0</v>
      </c>
      <c r="V35" s="74">
        <f>+GETPIVOTDATA("XXS4",'xuanson (2016)'!$A$3,"MA_HT","DGD","MA_QH","SKT")</f>
        <v>0</v>
      </c>
      <c r="W35" s="74">
        <f>+GETPIVOTDATA("XXS4",'xuanson (2016)'!$A$3,"MA_HT","DGD","MA_QH","SKN")</f>
        <v>0</v>
      </c>
      <c r="X35" s="74">
        <f>+GETPIVOTDATA("XXS4",'xuanson (2016)'!$A$3,"MA_HT","DGD","MA_QH","TMD")</f>
        <v>0</v>
      </c>
      <c r="Y35" s="74">
        <f>+GETPIVOTDATA("XXS4",'xuanson (2016)'!$A$3,"MA_HT","DGD","MA_QH","SKC")</f>
        <v>0</v>
      </c>
      <c r="Z35" s="74">
        <f>+GETPIVOTDATA("XXS4",'xuanson (2016)'!$A$3,"MA_HT","DGD","MA_QH","SKS")</f>
        <v>0</v>
      </c>
      <c r="AA35" s="64">
        <f>+SUM(AB35:AG35,AI35:AM35)</f>
        <v>0</v>
      </c>
      <c r="AB35" s="74">
        <f>+GETPIVOTDATA("XXS4",'xuanson (2016)'!$A$3,"MA_HT","DGD","MA_QH","DGT")</f>
        <v>0</v>
      </c>
      <c r="AC35" s="74">
        <f>+GETPIVOTDATA("XXS4",'xuanson (2016)'!$A$3,"MA_HT","DGD","MA_QH","DTL")</f>
        <v>0</v>
      </c>
      <c r="AD35" s="74">
        <f>+GETPIVOTDATA("XXS4",'xuanson (2016)'!$A$3,"MA_HT","DGD","MA_QH","DNL")</f>
        <v>0</v>
      </c>
      <c r="AE35" s="74">
        <f>+GETPIVOTDATA("XXS4",'xuanson (2016)'!$A$3,"MA_HT","DGD","MA_QH","DBV")</f>
        <v>0</v>
      </c>
      <c r="AF35" s="74">
        <f>+GETPIVOTDATA("XXS4",'xuanson (2016)'!$A$3,"MA_HT","DGD","MA_QH","DVH")</f>
        <v>0</v>
      </c>
      <c r="AG35" s="74">
        <f>+GETPIVOTDATA("XXS4",'xuanson (2016)'!$A$3,"MA_HT","DGD","MA_QH","DYT")</f>
        <v>0</v>
      </c>
      <c r="AH35" s="100" t="e">
        <f>$D35-$BF35</f>
        <v>#REF!</v>
      </c>
      <c r="AI35" s="74">
        <f>+GETPIVOTDATA("XXS4",'xuanson (2016)'!$A$3,"MA_HT","DGD","MA_QH","DTT")</f>
        <v>0</v>
      </c>
      <c r="AJ35" s="74">
        <f>+GETPIVOTDATA("XXS4",'xuanson (2016)'!$A$3,"MA_HT","DGD","MA_QH","NCK")</f>
        <v>0</v>
      </c>
      <c r="AK35" s="74">
        <f>+GETPIVOTDATA("XXS4",'xuanson (2016)'!$A$3,"MA_HT","DGD","MA_QH","DXH")</f>
        <v>0</v>
      </c>
      <c r="AL35" s="74">
        <f>+GETPIVOTDATA("XXS4",'xuanson (2016)'!$A$3,"MA_HT","DGD","MA_QH","DCH")</f>
        <v>0</v>
      </c>
      <c r="AM35" s="74">
        <f>+GETPIVOTDATA("XXS4",'xuanson (2016)'!$A$3,"MA_HT","DGD","MA_QH","DKG")</f>
        <v>0</v>
      </c>
      <c r="AN35" s="74">
        <f>+GETPIVOTDATA("XXS4",'xuanson (2016)'!$A$3,"MA_HT","DGD","MA_QH","DDT")</f>
        <v>0</v>
      </c>
      <c r="AO35" s="74">
        <f>+GETPIVOTDATA("XXS4",'xuanson (2016)'!$A$3,"MA_HT","DGD","MA_QH","DDL")</f>
        <v>0</v>
      </c>
      <c r="AP35" s="74">
        <f>+GETPIVOTDATA("XXS4",'xuanson (2016)'!$A$3,"MA_HT","DGD","MA_QH","DRA")</f>
        <v>0</v>
      </c>
      <c r="AQ35" s="74">
        <f>+GETPIVOTDATA("XXS4",'xuanson (2016)'!$A$3,"MA_HT","DGD","MA_QH","ONT")</f>
        <v>0</v>
      </c>
      <c r="AR35" s="74">
        <f>+GETPIVOTDATA("XXS4",'xuanson (2016)'!$A$3,"MA_HT","DGD","MA_QH","ODT")</f>
        <v>0</v>
      </c>
      <c r="AS35" s="74">
        <f>+GETPIVOTDATA("XXS4",'xuanson (2016)'!$A$3,"MA_HT","DGD","MA_QH","TSC")</f>
        <v>0</v>
      </c>
      <c r="AT35" s="74">
        <f>+GETPIVOTDATA("XXS4",'xuanson (2016)'!$A$3,"MA_HT","DGD","MA_QH","DTS")</f>
        <v>0</v>
      </c>
      <c r="AU35" s="74">
        <f>+GETPIVOTDATA("XXS4",'xuanson (2016)'!$A$3,"MA_HT","DGD","MA_QH","DNG")</f>
        <v>0</v>
      </c>
      <c r="AV35" s="74">
        <f>+GETPIVOTDATA("XXS4",'xuanson (2016)'!$A$3,"MA_HT","DGD","MA_QH","TON")</f>
        <v>0</v>
      </c>
      <c r="AW35" s="74">
        <f>+GETPIVOTDATA("XXS4",'xuanson (2016)'!$A$3,"MA_HT","DGD","MA_QH","NTD")</f>
        <v>0</v>
      </c>
      <c r="AX35" s="74">
        <f>+GETPIVOTDATA("XXS4",'xuanson (2016)'!$A$3,"MA_HT","DGD","MA_QH","SKX")</f>
        <v>0</v>
      </c>
      <c r="AY35" s="74">
        <f>+GETPIVOTDATA("XXS4",'xuanson (2016)'!$A$3,"MA_HT","DGD","MA_QH","DSH")</f>
        <v>0</v>
      </c>
      <c r="AZ35" s="74">
        <f>+GETPIVOTDATA("XXS4",'xuanson (2016)'!$A$3,"MA_HT","DGD","MA_QH","DKV")</f>
        <v>0</v>
      </c>
      <c r="BA35" s="139">
        <f>+GETPIVOTDATA("XXS4",'xuanson (2016)'!$A$3,"MA_HT","DGD","MA_QH","TIN")</f>
        <v>0</v>
      </c>
      <c r="BB35" s="74">
        <f>+GETPIVOTDATA("XXS4",'xuanson (2016)'!$A$3,"MA_HT","DGD","MA_QH","SON")</f>
        <v>0</v>
      </c>
      <c r="BC35" s="74">
        <f>+GETPIVOTDATA("XXS4",'xuanson (2016)'!$A$3,"MA_HT","DGD","MA_QH","MNC")</f>
        <v>0</v>
      </c>
      <c r="BD35" s="74">
        <f>+GETPIVOTDATA("XXS4",'xuanson (2016)'!$A$3,"MA_HT","DGD","MA_QH","PNK")</f>
        <v>0</v>
      </c>
      <c r="BE35" s="102">
        <f>+GETPIVOTDATA("XXS4",'xuanson (2016)'!$A$3,"MA_HT","DGD","MA_QH","CSD")</f>
        <v>0</v>
      </c>
      <c r="BF35" s="75">
        <f t="shared" si="13"/>
        <v>0</v>
      </c>
      <c r="BG35" s="76">
        <f>AH$59-$BF35</f>
        <v>0</v>
      </c>
      <c r="BH35" s="71" t="e">
        <f t="shared" si="14"/>
        <v>#REF!</v>
      </c>
      <c r="BI35" s="7"/>
      <c r="BJ35" s="7" t="e">
        <f>#REF!</f>
        <v>#REF!</v>
      </c>
      <c r="BK35" s="82" t="e">
        <f t="shared" si="19"/>
        <v>#REF!</v>
      </c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</row>
    <row r="36" spans="1:79" s="77" customFormat="1" ht="16.5" customHeight="1">
      <c r="A36" s="68" t="s">
        <v>230</v>
      </c>
      <c r="B36" s="68" t="s">
        <v>133</v>
      </c>
      <c r="C36" s="70" t="s">
        <v>134</v>
      </c>
      <c r="D36" s="71" t="e">
        <f>+#REF!</f>
        <v>#REF!</v>
      </c>
      <c r="E36" s="63">
        <f t="shared" si="15"/>
        <v>0</v>
      </c>
      <c r="F36" s="64">
        <f t="shared" si="9"/>
        <v>0</v>
      </c>
      <c r="G36" s="74">
        <f>+GETPIVOTDATA("XXS4",'xuanson (2016)'!$A$3,"MA_HT","DTT","MA_QH","LUC")</f>
        <v>0</v>
      </c>
      <c r="H36" s="74">
        <f>+GETPIVOTDATA("XXS4",'xuanson (2016)'!$A$3,"MA_HT","DTT","MA_QH","LUK")</f>
        <v>0</v>
      </c>
      <c r="I36" s="74">
        <f>+GETPIVOTDATA("XXS4",'xuanson (2016)'!$A$3,"MA_HT","DTT","MA_QH","LUN")</f>
        <v>0</v>
      </c>
      <c r="J36" s="74">
        <f>+GETPIVOTDATA("XXS4",'xuanson (2016)'!$A$3,"MA_HT","DTT","MA_QH","HNK")</f>
        <v>0</v>
      </c>
      <c r="K36" s="74">
        <f>+GETPIVOTDATA("XXS4",'xuanson (2016)'!$A$3,"MA_HT","DTT","MA_QH","CLN")</f>
        <v>0</v>
      </c>
      <c r="L36" s="74">
        <f>+GETPIVOTDATA("XXS4",'xuanson (2016)'!$A$3,"MA_HT","DTT","MA_QH","RSX")</f>
        <v>0</v>
      </c>
      <c r="M36" s="74">
        <f>+GETPIVOTDATA("XXS4",'xuanson (2016)'!$A$3,"MA_HT","DTT","MA_QH","RPH")</f>
        <v>0</v>
      </c>
      <c r="N36" s="74">
        <f>+GETPIVOTDATA("XXS4",'xuanson (2016)'!$A$3,"MA_HT","DTT","MA_QH","RDD")</f>
        <v>0</v>
      </c>
      <c r="O36" s="74">
        <f>+GETPIVOTDATA("XXS4",'xuanson (2016)'!$A$3,"MA_HT","DTT","MA_QH","NTS")</f>
        <v>0</v>
      </c>
      <c r="P36" s="74">
        <f>+GETPIVOTDATA("XXS4",'xuanson (2016)'!$A$3,"MA_HT","DTT","MA_QH","LMU")</f>
        <v>0</v>
      </c>
      <c r="Q36" s="74">
        <f>+GETPIVOTDATA("XXS4",'xuanson (2016)'!$A$3,"MA_HT","DTT","MA_QH","NKH")</f>
        <v>0</v>
      </c>
      <c r="R36" s="72">
        <f>SUM(S36:AA36,AN36:BD36)</f>
        <v>0</v>
      </c>
      <c r="S36" s="74">
        <f>+GETPIVOTDATA("XXS4",'xuanson (2016)'!$A$3,"MA_HT","DTT","MA_QH","CQP")</f>
        <v>0</v>
      </c>
      <c r="T36" s="74">
        <f>+GETPIVOTDATA("XXS4",'xuanson (2016)'!$A$3,"MA_HT","DTT","MA_QH","CAN")</f>
        <v>0</v>
      </c>
      <c r="U36" s="74">
        <f>+GETPIVOTDATA("XXS4",'xuanson (2016)'!$A$3,"MA_HT","DTT","MA_QH","SKK")</f>
        <v>0</v>
      </c>
      <c r="V36" s="74">
        <f>+GETPIVOTDATA("XXS4",'xuanson (2016)'!$A$3,"MA_HT","DTT","MA_QH","SKT")</f>
        <v>0</v>
      </c>
      <c r="W36" s="74">
        <f>+GETPIVOTDATA("XXS4",'xuanson (2016)'!$A$3,"MA_HT","DTT","MA_QH","SKN")</f>
        <v>0</v>
      </c>
      <c r="X36" s="74">
        <f>+GETPIVOTDATA("XXS4",'xuanson (2016)'!$A$3,"MA_HT","DTT","MA_QH","TMD")</f>
        <v>0</v>
      </c>
      <c r="Y36" s="74">
        <f>+GETPIVOTDATA("XXS4",'xuanson (2016)'!$A$3,"MA_HT","DTT","MA_QH","SKC")</f>
        <v>0</v>
      </c>
      <c r="Z36" s="74">
        <f>+GETPIVOTDATA("XXS4",'xuanson (2016)'!$A$3,"MA_HT","DTT","MA_QH","SKS")</f>
        <v>0</v>
      </c>
      <c r="AA36" s="64">
        <f>+SUM(AB36:AH36,AJ36:AM36)</f>
        <v>0</v>
      </c>
      <c r="AB36" s="74">
        <f>+GETPIVOTDATA("XXS4",'xuanson (2016)'!$A$3,"MA_HT","DTT","MA_QH","DGT")</f>
        <v>0</v>
      </c>
      <c r="AC36" s="74">
        <f>+GETPIVOTDATA("XXS4",'xuanson (2016)'!$A$3,"MA_HT","DTT","MA_QH","DTL")</f>
        <v>0</v>
      </c>
      <c r="AD36" s="74">
        <f>+GETPIVOTDATA("XXS4",'xuanson (2016)'!$A$3,"MA_HT","DTT","MA_QH","DNL")</f>
        <v>0</v>
      </c>
      <c r="AE36" s="74">
        <f>+GETPIVOTDATA("XXS4",'xuanson (2016)'!$A$3,"MA_HT","DTT","MA_QH","DBV")</f>
        <v>0</v>
      </c>
      <c r="AF36" s="74">
        <f>+GETPIVOTDATA("XXS4",'xuanson (2016)'!$A$3,"MA_HT","DTT","MA_QH","DVH")</f>
        <v>0</v>
      </c>
      <c r="AG36" s="74">
        <f>+GETPIVOTDATA("XXS4",'xuanson (2016)'!$A$3,"MA_HT","DTT","MA_QH","DYT")</f>
        <v>0</v>
      </c>
      <c r="AH36" s="74">
        <f>+GETPIVOTDATA("XXS4",'xuanson (2016)'!$A$3,"MA_HT","DTT","MA_QH","DGD")</f>
        <v>0</v>
      </c>
      <c r="AI36" s="100" t="e">
        <f>$D36-$BF36</f>
        <v>#REF!</v>
      </c>
      <c r="AJ36" s="74">
        <f>+GETPIVOTDATA("XXS4",'xuanson (2016)'!$A$3,"MA_HT","DTT","MA_QH","NCK")</f>
        <v>0</v>
      </c>
      <c r="AK36" s="74">
        <f>+GETPIVOTDATA("XXS4",'xuanson (2016)'!$A$3,"MA_HT","DTT","MA_QH","DXH")</f>
        <v>0</v>
      </c>
      <c r="AL36" s="74">
        <f>+GETPIVOTDATA("XXS4",'xuanson (2016)'!$A$3,"MA_HT","DTT","MA_QH","DCH")</f>
        <v>0</v>
      </c>
      <c r="AM36" s="74">
        <f>+GETPIVOTDATA("XXS4",'xuanson (2016)'!$A$3,"MA_HT","DTT","MA_QH","DKG")</f>
        <v>0</v>
      </c>
      <c r="AN36" s="74">
        <f>+GETPIVOTDATA("XXS4",'xuanson (2016)'!$A$3,"MA_HT","DTT","MA_QH","DDT")</f>
        <v>0</v>
      </c>
      <c r="AO36" s="74">
        <f>+GETPIVOTDATA("XXS4",'xuanson (2016)'!$A$3,"MA_HT","DTT","MA_QH","DDL")</f>
        <v>0</v>
      </c>
      <c r="AP36" s="74">
        <f>+GETPIVOTDATA("XXS4",'xuanson (2016)'!$A$3,"MA_HT","DTT","MA_QH","DRA")</f>
        <v>0</v>
      </c>
      <c r="AQ36" s="74">
        <f>+GETPIVOTDATA("XXS4",'xuanson (2016)'!$A$3,"MA_HT","DTT","MA_QH","ONT")</f>
        <v>0</v>
      </c>
      <c r="AR36" s="74">
        <f>+GETPIVOTDATA("XXS4",'xuanson (2016)'!$A$3,"MA_HT","DTT","MA_QH","ODT")</f>
        <v>0</v>
      </c>
      <c r="AS36" s="74">
        <f>+GETPIVOTDATA("XXS4",'xuanson (2016)'!$A$3,"MA_HT","DTT","MA_QH","TSC")</f>
        <v>0</v>
      </c>
      <c r="AT36" s="74">
        <f>+GETPIVOTDATA("XXS4",'xuanson (2016)'!$A$3,"MA_HT","DTT","MA_QH","DTS")</f>
        <v>0</v>
      </c>
      <c r="AU36" s="74">
        <f>+GETPIVOTDATA("XXS4",'xuanson (2016)'!$A$3,"MA_HT","DTT","MA_QH","DNG")</f>
        <v>0</v>
      </c>
      <c r="AV36" s="74">
        <f>+GETPIVOTDATA("XXS4",'xuanson (2016)'!$A$3,"MA_HT","DTT","MA_QH","TON")</f>
        <v>0</v>
      </c>
      <c r="AW36" s="74">
        <f>+GETPIVOTDATA("XXS4",'xuanson (2016)'!$A$3,"MA_HT","DTT","MA_QH","NTD")</f>
        <v>0</v>
      </c>
      <c r="AX36" s="74">
        <f>+GETPIVOTDATA("XXS4",'xuanson (2016)'!$A$3,"MA_HT","DTT","MA_QH","SKX")</f>
        <v>0</v>
      </c>
      <c r="AY36" s="74">
        <f>+GETPIVOTDATA("XXS4",'xuanson (2016)'!$A$3,"MA_HT","DTT","MA_QH","DSH")</f>
        <v>0</v>
      </c>
      <c r="AZ36" s="74">
        <f>+GETPIVOTDATA("XXS4",'xuanson (2016)'!$A$3,"MA_HT","DTT","MA_QH","DKV")</f>
        <v>0</v>
      </c>
      <c r="BA36" s="139">
        <f>+GETPIVOTDATA("XXS4",'xuanson (2016)'!$A$3,"MA_HT","DTT","MA_QH","TIN")</f>
        <v>0</v>
      </c>
      <c r="BB36" s="74">
        <f>+GETPIVOTDATA("XXS4",'xuanson (2016)'!$A$3,"MA_HT","DTT","MA_QH","SON")</f>
        <v>0</v>
      </c>
      <c r="BC36" s="74">
        <f>+GETPIVOTDATA("XXS4",'xuanson (2016)'!$A$3,"MA_HT","DTT","MA_QH","MNC")</f>
        <v>0</v>
      </c>
      <c r="BD36" s="74">
        <f>+GETPIVOTDATA("XXS4",'xuanson (2016)'!$A$3,"MA_HT","DTT","MA_QH","PNK")</f>
        <v>0</v>
      </c>
      <c r="BE36" s="102">
        <f>+GETPIVOTDATA("XXS4",'xuanson (2016)'!$A$3,"MA_HT","DTT","MA_QH","CSD")</f>
        <v>0</v>
      </c>
      <c r="BF36" s="75">
        <f t="shared" si="13"/>
        <v>0</v>
      </c>
      <c r="BG36" s="76">
        <f>AI$59-$BF36</f>
        <v>0</v>
      </c>
      <c r="BH36" s="71" t="e">
        <f t="shared" si="14"/>
        <v>#REF!</v>
      </c>
      <c r="BI36" s="7"/>
      <c r="BJ36" s="7" t="e">
        <f>#REF!</f>
        <v>#REF!</v>
      </c>
      <c r="BK36" s="82" t="e">
        <f t="shared" si="19"/>
        <v>#REF!</v>
      </c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</row>
    <row r="37" spans="1:79" s="77" customFormat="1" ht="16.5" customHeight="1">
      <c r="A37" s="68" t="s">
        <v>231</v>
      </c>
      <c r="B37" s="68" t="s">
        <v>135</v>
      </c>
      <c r="C37" s="70" t="s">
        <v>244</v>
      </c>
      <c r="D37" s="71" t="e">
        <f>+#REF!</f>
        <v>#REF!</v>
      </c>
      <c r="E37" s="63">
        <f t="shared" si="15"/>
        <v>0</v>
      </c>
      <c r="F37" s="64">
        <f t="shared" si="9"/>
        <v>0</v>
      </c>
      <c r="G37" s="74">
        <f>+GETPIVOTDATA("XXS4",'xuanson (2016)'!$A$3,"MA_HT","NCK","MA_QH","LUC")</f>
        <v>0</v>
      </c>
      <c r="H37" s="74">
        <f>+GETPIVOTDATA("XXS4",'xuanson (2016)'!$A$3,"MA_HT","NCK","MA_QH","LUK")</f>
        <v>0</v>
      </c>
      <c r="I37" s="74">
        <f>+GETPIVOTDATA("XXS4",'xuanson (2016)'!$A$3,"MA_HT","NCK","MA_QH","LUN")</f>
        <v>0</v>
      </c>
      <c r="J37" s="74">
        <f>+GETPIVOTDATA("XXS4",'xuanson (2016)'!$A$3,"MA_HT","NCK","MA_QH","HNK")</f>
        <v>0</v>
      </c>
      <c r="K37" s="74">
        <f>+GETPIVOTDATA("XXS4",'xuanson (2016)'!$A$3,"MA_HT","NCK","MA_QH","CLN")</f>
        <v>0</v>
      </c>
      <c r="L37" s="74">
        <f>+GETPIVOTDATA("XXS4",'xuanson (2016)'!$A$3,"MA_HT","NCK","MA_QH","RSX")</f>
        <v>0</v>
      </c>
      <c r="M37" s="74">
        <f>+GETPIVOTDATA("XXS4",'xuanson (2016)'!$A$3,"MA_HT","NCK","MA_QH","RPH")</f>
        <v>0</v>
      </c>
      <c r="N37" s="74">
        <f>+GETPIVOTDATA("XXS4",'xuanson (2016)'!$A$3,"MA_HT","NCK","MA_QH","RDD")</f>
        <v>0</v>
      </c>
      <c r="O37" s="74">
        <f>+GETPIVOTDATA("XXS4",'xuanson (2016)'!$A$3,"MA_HT","NCK","MA_QH","NTS")</f>
        <v>0</v>
      </c>
      <c r="P37" s="74">
        <f>+GETPIVOTDATA("XXS4",'xuanson (2016)'!$A$3,"MA_HT","NCK","MA_QH","LMU")</f>
        <v>0</v>
      </c>
      <c r="Q37" s="74">
        <f>+GETPIVOTDATA("XXS4",'xuanson (2016)'!$A$3,"MA_HT","NCK","MA_QH","NKH")</f>
        <v>0</v>
      </c>
      <c r="R37" s="72">
        <f t="shared" si="20"/>
        <v>0</v>
      </c>
      <c r="S37" s="74">
        <f>+GETPIVOTDATA("XXS4",'xuanson (2016)'!$A$3,"MA_HT","NCK","MA_QH","CQP")</f>
        <v>0</v>
      </c>
      <c r="T37" s="74">
        <f>+GETPIVOTDATA("XXS4",'xuanson (2016)'!$A$3,"MA_HT","NCK","MA_QH","CAN")</f>
        <v>0</v>
      </c>
      <c r="U37" s="74">
        <f>+GETPIVOTDATA("XXS4",'xuanson (2016)'!$A$3,"MA_HT","NCK","MA_QH","SKK")</f>
        <v>0</v>
      </c>
      <c r="V37" s="74">
        <f>+GETPIVOTDATA("XXS4",'xuanson (2016)'!$A$3,"MA_HT","NCK","MA_QH","SKT")</f>
        <v>0</v>
      </c>
      <c r="W37" s="74">
        <f>+GETPIVOTDATA("XXS4",'xuanson (2016)'!$A$3,"MA_HT","NCK","MA_QH","SKN")</f>
        <v>0</v>
      </c>
      <c r="X37" s="74">
        <f>+GETPIVOTDATA("XXS4",'xuanson (2016)'!$A$3,"MA_HT","NCK","MA_QH","TMD")</f>
        <v>0</v>
      </c>
      <c r="Y37" s="74">
        <f>+GETPIVOTDATA("XXS4",'xuanson (2016)'!$A$3,"MA_HT","NCK","MA_QH","SKC")</f>
        <v>0</v>
      </c>
      <c r="Z37" s="74">
        <f>+GETPIVOTDATA("XXS4",'xuanson (2016)'!$A$3,"MA_HT","NCK","MA_QH","SKS")</f>
        <v>0</v>
      </c>
      <c r="AA37" s="64">
        <f>+SUM(AB37:AI37,AK37:AM37)</f>
        <v>0</v>
      </c>
      <c r="AB37" s="74">
        <f>+GETPIVOTDATA("XXS4",'xuanson (2016)'!$A$3,"MA_HT","NCK","MA_QH","DGT")</f>
        <v>0</v>
      </c>
      <c r="AC37" s="74">
        <f>+GETPIVOTDATA("XXS4",'xuanson (2016)'!$A$3,"MA_HT","NCK","MA_QH","DTL")</f>
        <v>0</v>
      </c>
      <c r="AD37" s="74">
        <f>+GETPIVOTDATA("XXS4",'xuanson (2016)'!$A$3,"MA_HT","NCK","MA_QH","DNL")</f>
        <v>0</v>
      </c>
      <c r="AE37" s="74">
        <f>+GETPIVOTDATA("XXS4",'xuanson (2016)'!$A$3,"MA_HT","NCK","MA_QH","DBV")</f>
        <v>0</v>
      </c>
      <c r="AF37" s="74">
        <f>+GETPIVOTDATA("XXS4",'xuanson (2016)'!$A$3,"MA_HT","NCK","MA_QH","DVH")</f>
        <v>0</v>
      </c>
      <c r="AG37" s="74">
        <f>+GETPIVOTDATA("XXS4",'xuanson (2016)'!$A$3,"MA_HT","NCK","MA_QH","DYT")</f>
        <v>0</v>
      </c>
      <c r="AH37" s="74">
        <f>+GETPIVOTDATA("XXS4",'xuanson (2016)'!$A$3,"MA_HT","NCK","MA_QH","DGD")</f>
        <v>0</v>
      </c>
      <c r="AI37" s="74">
        <f>+GETPIVOTDATA("XXS4",'xuanson (2016)'!$A$3,"MA_HT","NCK","MA_QH","DTT")</f>
        <v>0</v>
      </c>
      <c r="AJ37" s="100" t="e">
        <f>$D37-$BF37</f>
        <v>#REF!</v>
      </c>
      <c r="AK37" s="74">
        <f>+GETPIVOTDATA("XXS4",'xuanson (2016)'!$A$3,"MA_HT","NCK","MA_QH","DXH")</f>
        <v>0</v>
      </c>
      <c r="AL37" s="74">
        <f>+GETPIVOTDATA("XXS4",'xuanson (2016)'!$A$3,"MA_HT","NCK","MA_QH","DCH")</f>
        <v>0</v>
      </c>
      <c r="AM37" s="74">
        <f>+GETPIVOTDATA("XXS4",'xuanson (2016)'!$A$3,"MA_HT","NCK","MA_QH","DKG")</f>
        <v>0</v>
      </c>
      <c r="AN37" s="74">
        <f>+GETPIVOTDATA("XXS4",'xuanson (2016)'!$A$3,"MA_HT","NCK","MA_QH","DDT")</f>
        <v>0</v>
      </c>
      <c r="AO37" s="74">
        <f>+GETPIVOTDATA("XXS4",'xuanson (2016)'!$A$3,"MA_HT","NCK","MA_QH","DDL")</f>
        <v>0</v>
      </c>
      <c r="AP37" s="74">
        <f>+GETPIVOTDATA("XXS4",'xuanson (2016)'!$A$3,"MA_HT","NCK","MA_QH","DRA")</f>
        <v>0</v>
      </c>
      <c r="AQ37" s="74">
        <f>+GETPIVOTDATA("XXS4",'xuanson (2016)'!$A$3,"MA_HT","NCK","MA_QH","ONT")</f>
        <v>0</v>
      </c>
      <c r="AR37" s="74">
        <f>+GETPIVOTDATA("XXS4",'xuanson (2016)'!$A$3,"MA_HT","NCK","MA_QH","ODT")</f>
        <v>0</v>
      </c>
      <c r="AS37" s="74">
        <f>+GETPIVOTDATA("XXS4",'xuanson (2016)'!$A$3,"MA_HT","NCK","MA_QH","TSC")</f>
        <v>0</v>
      </c>
      <c r="AT37" s="74">
        <f>+GETPIVOTDATA("XXS4",'xuanson (2016)'!$A$3,"MA_HT","NCK","MA_QH","DTS")</f>
        <v>0</v>
      </c>
      <c r="AU37" s="74">
        <f>+GETPIVOTDATA("XXS4",'xuanson (2016)'!$A$3,"MA_HT","NCK","MA_QH","DNG")</f>
        <v>0</v>
      </c>
      <c r="AV37" s="74">
        <f>+GETPIVOTDATA("XXS4",'xuanson (2016)'!$A$3,"MA_HT","NCK","MA_QH","TON")</f>
        <v>0</v>
      </c>
      <c r="AW37" s="74">
        <f>+GETPIVOTDATA("XXS4",'xuanson (2016)'!$A$3,"MA_HT","NCK","MA_QH","NTD")</f>
        <v>0</v>
      </c>
      <c r="AX37" s="74">
        <f>+GETPIVOTDATA("XXS4",'xuanson (2016)'!$A$3,"MA_HT","NCK","MA_QH","SKX")</f>
        <v>0</v>
      </c>
      <c r="AY37" s="74">
        <f>+GETPIVOTDATA("XXS4",'xuanson (2016)'!$A$3,"MA_HT","NCK","MA_QH","DSH")</f>
        <v>0</v>
      </c>
      <c r="AZ37" s="74">
        <f>+GETPIVOTDATA("XXS4",'xuanson (2016)'!$A$3,"MA_HT","NCK","MA_QH","DKV")</f>
        <v>0</v>
      </c>
      <c r="BA37" s="139">
        <f>+GETPIVOTDATA("XXS4",'xuanson (2016)'!$A$3,"MA_HT","NCK","MA_QH","TIN")</f>
        <v>0</v>
      </c>
      <c r="BB37" s="74">
        <f>+GETPIVOTDATA("XXS4",'xuanson (2016)'!$A$3,"MA_HT","NCK","MA_QH","SON")</f>
        <v>0</v>
      </c>
      <c r="BC37" s="74">
        <f>+GETPIVOTDATA("XXS4",'xuanson (2016)'!$A$3,"MA_HT","NCK","MA_QH","MNC")</f>
        <v>0</v>
      </c>
      <c r="BD37" s="74">
        <f>+GETPIVOTDATA("XXS4",'xuanson (2016)'!$A$3,"MA_HT","NCK","MA_QH","PNK")</f>
        <v>0</v>
      </c>
      <c r="BE37" s="102">
        <f>+GETPIVOTDATA("XXS4",'xuanson (2016)'!$A$3,"MA_HT","NCK","MA_QH","CSD")</f>
        <v>0</v>
      </c>
      <c r="BF37" s="75">
        <f t="shared" si="13"/>
        <v>0</v>
      </c>
      <c r="BG37" s="76">
        <f>AJ$59-$BF37</f>
        <v>0</v>
      </c>
      <c r="BH37" s="71" t="e">
        <f t="shared" si="14"/>
        <v>#REF!</v>
      </c>
      <c r="BI37" s="7"/>
      <c r="BJ37" s="7" t="e">
        <f>#REF!</f>
        <v>#REF!</v>
      </c>
      <c r="BK37" s="82" t="e">
        <f t="shared" si="19"/>
        <v>#REF!</v>
      </c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</row>
    <row r="38" spans="1:79" s="77" customFormat="1" ht="16.5" customHeight="1">
      <c r="A38" s="68" t="s">
        <v>232</v>
      </c>
      <c r="B38" s="68" t="s">
        <v>137</v>
      </c>
      <c r="C38" s="70" t="s">
        <v>138</v>
      </c>
      <c r="D38" s="71" t="e">
        <f>+#REF!</f>
        <v>#REF!</v>
      </c>
      <c r="E38" s="63">
        <f t="shared" si="15"/>
        <v>0</v>
      </c>
      <c r="F38" s="64">
        <f t="shared" si="9"/>
        <v>0</v>
      </c>
      <c r="G38" s="74">
        <f>+GETPIVOTDATA("XXS4",'xuanson (2016)'!$A$3,"MA_HT","DXH","MA_QH","LUC")</f>
        <v>0</v>
      </c>
      <c r="H38" s="74">
        <f>+GETPIVOTDATA("XXS4",'xuanson (2016)'!$A$3,"MA_HT","DXH","MA_QH","LUK")</f>
        <v>0</v>
      </c>
      <c r="I38" s="74">
        <f>+GETPIVOTDATA("XXS4",'xuanson (2016)'!$A$3,"MA_HT","DXH","MA_QH","LUN")</f>
        <v>0</v>
      </c>
      <c r="J38" s="74">
        <f>+GETPIVOTDATA("XXS4",'xuanson (2016)'!$A$3,"MA_HT","DXH","MA_QH","HNK")</f>
        <v>0</v>
      </c>
      <c r="K38" s="74">
        <f>+GETPIVOTDATA("XXS4",'xuanson (2016)'!$A$3,"MA_HT","DXH","MA_QH","CLN")</f>
        <v>0</v>
      </c>
      <c r="L38" s="74">
        <f>+GETPIVOTDATA("XXS4",'xuanson (2016)'!$A$3,"MA_HT","DXH","MA_QH","RSX")</f>
        <v>0</v>
      </c>
      <c r="M38" s="74">
        <f>+GETPIVOTDATA("XXS4",'xuanson (2016)'!$A$3,"MA_HT","DXH","MA_QH","RPH")</f>
        <v>0</v>
      </c>
      <c r="N38" s="74">
        <f>+GETPIVOTDATA("XXS4",'xuanson (2016)'!$A$3,"MA_HT","DXH","MA_QH","RDD")</f>
        <v>0</v>
      </c>
      <c r="O38" s="74">
        <f>+GETPIVOTDATA("XXS4",'xuanson (2016)'!$A$3,"MA_HT","DXH","MA_QH","NTS")</f>
        <v>0</v>
      </c>
      <c r="P38" s="74">
        <f>+GETPIVOTDATA("XXS4",'xuanson (2016)'!$A$3,"MA_HT","DXH","MA_QH","LMU")</f>
        <v>0</v>
      </c>
      <c r="Q38" s="74">
        <f>+GETPIVOTDATA("XXS4",'xuanson (2016)'!$A$3,"MA_HT","DXH","MA_QH","NKH")</f>
        <v>0</v>
      </c>
      <c r="R38" s="72">
        <f t="shared" si="20"/>
        <v>0</v>
      </c>
      <c r="S38" s="74">
        <f>+GETPIVOTDATA("XXS4",'xuanson (2016)'!$A$3,"MA_HT","DXH","MA_QH","CQP")</f>
        <v>0</v>
      </c>
      <c r="T38" s="74">
        <f>+GETPIVOTDATA("XXS4",'xuanson (2016)'!$A$3,"MA_HT","DXH","MA_QH","CAN")</f>
        <v>0</v>
      </c>
      <c r="U38" s="74">
        <f>+GETPIVOTDATA("XXS4",'xuanson (2016)'!$A$3,"MA_HT","DXH","MA_QH","SKK")</f>
        <v>0</v>
      </c>
      <c r="V38" s="74">
        <f>+GETPIVOTDATA("XXS4",'xuanson (2016)'!$A$3,"MA_HT","DXH","MA_QH","SKT")</f>
        <v>0</v>
      </c>
      <c r="W38" s="74">
        <f>+GETPIVOTDATA("XXS4",'xuanson (2016)'!$A$3,"MA_HT","DXH","MA_QH","SKN")</f>
        <v>0</v>
      </c>
      <c r="X38" s="74">
        <f>+GETPIVOTDATA("XXS4",'xuanson (2016)'!$A$3,"MA_HT","DXH","MA_QH","TMD")</f>
        <v>0</v>
      </c>
      <c r="Y38" s="74">
        <f>+GETPIVOTDATA("XXS4",'xuanson (2016)'!$A$3,"MA_HT","DXH","MA_QH","SKC")</f>
        <v>0</v>
      </c>
      <c r="Z38" s="74">
        <f>+GETPIVOTDATA("XXS4",'xuanson (2016)'!$A$3,"MA_HT","DXH","MA_QH","SKS")</f>
        <v>0</v>
      </c>
      <c r="AA38" s="64">
        <f>+SUM(AB38:AJ38,AL38:AM38)</f>
        <v>0</v>
      </c>
      <c r="AB38" s="74">
        <f>+GETPIVOTDATA("XXS4",'xuanson (2016)'!$A$3,"MA_HT","DXH","MA_QH","DGT")</f>
        <v>0</v>
      </c>
      <c r="AC38" s="74">
        <f>+GETPIVOTDATA("XXS4",'xuanson (2016)'!$A$3,"MA_HT","DXH","MA_QH","DTL")</f>
        <v>0</v>
      </c>
      <c r="AD38" s="74">
        <f>+GETPIVOTDATA("XXS4",'xuanson (2016)'!$A$3,"MA_HT","DXH","MA_QH","DNL")</f>
        <v>0</v>
      </c>
      <c r="AE38" s="74">
        <f>+GETPIVOTDATA("XXS4",'xuanson (2016)'!$A$3,"MA_HT","DXH","MA_QH","DBV")</f>
        <v>0</v>
      </c>
      <c r="AF38" s="74">
        <f>+GETPIVOTDATA("XXS4",'xuanson (2016)'!$A$3,"MA_HT","DXH","MA_QH","DVH")</f>
        <v>0</v>
      </c>
      <c r="AG38" s="74">
        <f>+GETPIVOTDATA("XXS4",'xuanson (2016)'!$A$3,"MA_HT","DXH","MA_QH","DYT")</f>
        <v>0</v>
      </c>
      <c r="AH38" s="74">
        <f>+GETPIVOTDATA("XXS4",'xuanson (2016)'!$A$3,"MA_HT","DXH","MA_QH","DGD")</f>
        <v>0</v>
      </c>
      <c r="AI38" s="74">
        <f>+GETPIVOTDATA("XXS4",'xuanson (2016)'!$A$3,"MA_HT","DXH","MA_QH","DTT")</f>
        <v>0</v>
      </c>
      <c r="AJ38" s="74">
        <f>+GETPIVOTDATA("XXS4",'xuanson (2016)'!$A$3,"MA_HT","DXH","MA_QH","NCK")</f>
        <v>0</v>
      </c>
      <c r="AK38" s="100" t="e">
        <f>$D38-$BF38</f>
        <v>#REF!</v>
      </c>
      <c r="AL38" s="74">
        <f>+GETPIVOTDATA("XXS4",'xuanson (2016)'!$A$3,"MA_HT","DXH","MA_QH","DCH")</f>
        <v>0</v>
      </c>
      <c r="AM38" s="74">
        <f>+GETPIVOTDATA("XXS4",'xuanson (2016)'!$A$3,"MA_HT","DXH","MA_QH","DKG")</f>
        <v>0</v>
      </c>
      <c r="AN38" s="74">
        <f>+GETPIVOTDATA("XXS4",'xuanson (2016)'!$A$3,"MA_HT","DXH","MA_QH","DDT")</f>
        <v>0</v>
      </c>
      <c r="AO38" s="74">
        <f>+GETPIVOTDATA("XXS4",'xuanson (2016)'!$A$3,"MA_HT","DXH","MA_QH","DDL")</f>
        <v>0</v>
      </c>
      <c r="AP38" s="74">
        <f>+GETPIVOTDATA("XXS4",'xuanson (2016)'!$A$3,"MA_HT","DXH","MA_QH","DRA")</f>
        <v>0</v>
      </c>
      <c r="AQ38" s="74">
        <f>+GETPIVOTDATA("XXS4",'xuanson (2016)'!$A$3,"MA_HT","DXH","MA_QH","ONT")</f>
        <v>0</v>
      </c>
      <c r="AR38" s="74">
        <f>+GETPIVOTDATA("XXS4",'xuanson (2016)'!$A$3,"MA_HT","DXH","MA_QH","ODT")</f>
        <v>0</v>
      </c>
      <c r="AS38" s="74">
        <f>+GETPIVOTDATA("XXS4",'xuanson (2016)'!$A$3,"MA_HT","DXH","MA_QH","TSC")</f>
        <v>0</v>
      </c>
      <c r="AT38" s="74">
        <f>+GETPIVOTDATA("XXS4",'xuanson (2016)'!$A$3,"MA_HT","DXH","MA_QH","DTS")</f>
        <v>0</v>
      </c>
      <c r="AU38" s="74">
        <f>+GETPIVOTDATA("XXS4",'xuanson (2016)'!$A$3,"MA_HT","DXH","MA_QH","DNG")</f>
        <v>0</v>
      </c>
      <c r="AV38" s="74">
        <f>+GETPIVOTDATA("XXS4",'xuanson (2016)'!$A$3,"MA_HT","DXH","MA_QH","TON")</f>
        <v>0</v>
      </c>
      <c r="AW38" s="74">
        <f>+GETPIVOTDATA("XXS4",'xuanson (2016)'!$A$3,"MA_HT","DXH","MA_QH","NTD")</f>
        <v>0</v>
      </c>
      <c r="AX38" s="74">
        <f>+GETPIVOTDATA("XXS4",'xuanson (2016)'!$A$3,"MA_HT","DXH","MA_QH","SKX")</f>
        <v>0</v>
      </c>
      <c r="AY38" s="74">
        <f>+GETPIVOTDATA("XXS4",'xuanson (2016)'!$A$3,"MA_HT","DXH","MA_QH","DSH")</f>
        <v>0</v>
      </c>
      <c r="AZ38" s="74">
        <f>+GETPIVOTDATA("XXS4",'xuanson (2016)'!$A$3,"MA_HT","DXH","MA_QH","DKV")</f>
        <v>0</v>
      </c>
      <c r="BA38" s="139">
        <f>+GETPIVOTDATA("XXS4",'xuanson (2016)'!$A$3,"MA_HT","DXH","MA_QH","TIN")</f>
        <v>0</v>
      </c>
      <c r="BB38" s="74">
        <f>+GETPIVOTDATA("XXS4",'xuanson (2016)'!$A$3,"MA_HT","DXH","MA_QH","SON")</f>
        <v>0</v>
      </c>
      <c r="BC38" s="74">
        <f>+GETPIVOTDATA("XXS4",'xuanson (2016)'!$A$3,"MA_HT","DXH","MA_QH","MNC")</f>
        <v>0</v>
      </c>
      <c r="BD38" s="74">
        <f>+GETPIVOTDATA("XXS4",'xuanson (2016)'!$A$3,"MA_HT","DXH","MA_QH","PNK")</f>
        <v>0</v>
      </c>
      <c r="BE38" s="102">
        <f>+GETPIVOTDATA("XXS4",'xuanson (2016)'!$A$3,"MA_HT","DXH","MA_QH","CSD")</f>
        <v>0</v>
      </c>
      <c r="BF38" s="75">
        <f t="shared" si="13"/>
        <v>0</v>
      </c>
      <c r="BG38" s="76">
        <f>AK$59-$BF38</f>
        <v>0</v>
      </c>
      <c r="BH38" s="71" t="e">
        <f t="shared" si="14"/>
        <v>#REF!</v>
      </c>
      <c r="BI38" s="7"/>
      <c r="BJ38" s="7" t="e">
        <f>#REF!</f>
        <v>#REF!</v>
      </c>
      <c r="BK38" s="82" t="e">
        <f t="shared" si="19"/>
        <v>#REF!</v>
      </c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</row>
    <row r="39" spans="1:79" s="134" customFormat="1" ht="16.5" customHeight="1">
      <c r="A39" s="68" t="s">
        <v>233</v>
      </c>
      <c r="B39" s="68" t="s">
        <v>139</v>
      </c>
      <c r="C39" s="70" t="s">
        <v>140</v>
      </c>
      <c r="D39" s="71" t="e">
        <f>+#REF!</f>
        <v>#REF!</v>
      </c>
      <c r="E39" s="63">
        <f t="shared" si="15"/>
        <v>0</v>
      </c>
      <c r="F39" s="64">
        <f t="shared" si="9"/>
        <v>0</v>
      </c>
      <c r="G39" s="74">
        <f>+GETPIVOTDATA("XXS4",'xuanson (2016)'!$A$3,"MA_HT","DCH","MA_QH","LUC")</f>
        <v>0</v>
      </c>
      <c r="H39" s="74">
        <f>+GETPIVOTDATA("XXS4",'xuanson (2016)'!$A$3,"MA_HT","DCH","MA_QH","LUK")</f>
        <v>0</v>
      </c>
      <c r="I39" s="74">
        <f>+GETPIVOTDATA("XXS4",'xuanson (2016)'!$A$3,"MA_HT","DCH","MA_QH","LUN")</f>
        <v>0</v>
      </c>
      <c r="J39" s="74">
        <f>+GETPIVOTDATA("XXS4",'xuanson (2016)'!$A$3,"MA_HT","DCH","MA_QH","HNK")</f>
        <v>0</v>
      </c>
      <c r="K39" s="74">
        <f>+GETPIVOTDATA("XXS4",'xuanson (2016)'!$A$3,"MA_HT","DCH","MA_QH","CLN")</f>
        <v>0</v>
      </c>
      <c r="L39" s="74">
        <f>+GETPIVOTDATA("XXS4",'xuanson (2016)'!$A$3,"MA_HT","DCH","MA_QH","RSX")</f>
        <v>0</v>
      </c>
      <c r="M39" s="74">
        <f>+GETPIVOTDATA("XXS4",'xuanson (2016)'!$A$3,"MA_HT","DCH","MA_QH","RPH")</f>
        <v>0</v>
      </c>
      <c r="N39" s="74">
        <f>+GETPIVOTDATA("XXS4",'xuanson (2016)'!$A$3,"MA_HT","DCH","MA_QH","RDD")</f>
        <v>0</v>
      </c>
      <c r="O39" s="74">
        <f>+GETPIVOTDATA("XXS4",'xuanson (2016)'!$A$3,"MA_HT","DCH","MA_QH","NTS")</f>
        <v>0</v>
      </c>
      <c r="P39" s="74">
        <f>+GETPIVOTDATA("XXS4",'xuanson (2016)'!$A$3,"MA_HT","DCH","MA_QH","LMU")</f>
        <v>0</v>
      </c>
      <c r="Q39" s="74">
        <f>+GETPIVOTDATA("XXS4",'xuanson (2016)'!$A$3,"MA_HT","DCH","MA_QH","NKH")</f>
        <v>0</v>
      </c>
      <c r="R39" s="72">
        <f t="shared" si="20"/>
        <v>0</v>
      </c>
      <c r="S39" s="74">
        <f>+GETPIVOTDATA("XXS4",'xuanson (2016)'!$A$3,"MA_HT","DCH","MA_QH","CQP")</f>
        <v>0</v>
      </c>
      <c r="T39" s="74">
        <f>+GETPIVOTDATA("XXS4",'xuanson (2016)'!$A$3,"MA_HT","DCH","MA_QH","CAN")</f>
        <v>0</v>
      </c>
      <c r="U39" s="74">
        <f>+GETPIVOTDATA("XXS4",'xuanson (2016)'!$A$3,"MA_HT","DCH","MA_QH","SKK")</f>
        <v>0</v>
      </c>
      <c r="V39" s="74">
        <f>+GETPIVOTDATA("XXS4",'xuanson (2016)'!$A$3,"MA_HT","DCH","MA_QH","SKT")</f>
        <v>0</v>
      </c>
      <c r="W39" s="74">
        <f>+GETPIVOTDATA("XXS4",'xuanson (2016)'!$A$3,"MA_HT","DCH","MA_QH","SKN")</f>
        <v>0</v>
      </c>
      <c r="X39" s="74">
        <f>+GETPIVOTDATA("XXS4",'xuanson (2016)'!$A$3,"MA_HT","DCH","MA_QH","TMD")</f>
        <v>0</v>
      </c>
      <c r="Y39" s="74">
        <f>+GETPIVOTDATA("XXS4",'xuanson (2016)'!$A$3,"MA_HT","DCH","MA_QH","SKC")</f>
        <v>0</v>
      </c>
      <c r="Z39" s="74">
        <f>+GETPIVOTDATA("XXS4",'xuanson (2016)'!$A$3,"MA_HT","DCH","MA_QH","SKS")</f>
        <v>0</v>
      </c>
      <c r="AA39" s="64">
        <f>+SUM(AB39:AK39,AM39)</f>
        <v>0</v>
      </c>
      <c r="AB39" s="74">
        <f>+GETPIVOTDATA("XXS4",'xuanson (2016)'!$A$3,"MA_HT","DCH","MA_QH","DGT")</f>
        <v>0</v>
      </c>
      <c r="AC39" s="74">
        <f>+GETPIVOTDATA("XXS4",'xuanson (2016)'!$A$3,"MA_HT","DCH","MA_QH","DTL")</f>
        <v>0</v>
      </c>
      <c r="AD39" s="74">
        <f>+GETPIVOTDATA("XXS4",'xuanson (2016)'!$A$3,"MA_HT","DCH","MA_QH","DNL")</f>
        <v>0</v>
      </c>
      <c r="AE39" s="74">
        <f>+GETPIVOTDATA("XXS4",'xuanson (2016)'!$A$3,"MA_HT","DCH","MA_QH","DBV")</f>
        <v>0</v>
      </c>
      <c r="AF39" s="74">
        <f>+GETPIVOTDATA("XXS4",'xuanson (2016)'!$A$3,"MA_HT","DCH","MA_QH","DVH")</f>
        <v>0</v>
      </c>
      <c r="AG39" s="74">
        <f>+GETPIVOTDATA("XXS4",'xuanson (2016)'!$A$3,"MA_HT","DCH","MA_QH","DYT")</f>
        <v>0</v>
      </c>
      <c r="AH39" s="74">
        <f>+GETPIVOTDATA("XXS4",'xuanson (2016)'!$A$3,"MA_HT","DCH","MA_QH","DGD")</f>
        <v>0</v>
      </c>
      <c r="AI39" s="74">
        <f>+GETPIVOTDATA("XXS4",'xuanson (2016)'!$A$3,"MA_HT","DCH","MA_QH","DTT")</f>
        <v>0</v>
      </c>
      <c r="AJ39" s="74">
        <f>+GETPIVOTDATA("XXS4",'xuanson (2016)'!$A$3,"MA_HT","DCH","MA_QH","NCK")</f>
        <v>0</v>
      </c>
      <c r="AK39" s="74">
        <f>+GETPIVOTDATA("XXS4",'xuanson (2016)'!$A$3,"MA_HT","DCH","MA_QH","DXH")</f>
        <v>0</v>
      </c>
      <c r="AL39" s="100" t="e">
        <f>$D39-$BF39</f>
        <v>#REF!</v>
      </c>
      <c r="AM39" s="74">
        <f>+GETPIVOTDATA("XXS4",'xuanson (2016)'!$A$3,"MA_HT","DXH","MA_QH","DKG")</f>
        <v>0</v>
      </c>
      <c r="AN39" s="74">
        <f>+GETPIVOTDATA("XXS4",'xuanson (2016)'!$A$3,"MA_HT","DCH","MA_QH","DDT")</f>
        <v>0</v>
      </c>
      <c r="AO39" s="74">
        <f>+GETPIVOTDATA("XXS4",'xuanson (2016)'!$A$3,"MA_HT","DCH","MA_QH","DDL")</f>
        <v>0</v>
      </c>
      <c r="AP39" s="74">
        <f>+GETPIVOTDATA("XXS4",'xuanson (2016)'!$A$3,"MA_HT","DCH","MA_QH","DRA")</f>
        <v>0</v>
      </c>
      <c r="AQ39" s="74">
        <f>+GETPIVOTDATA("XXS4",'xuanson (2016)'!$A$3,"MA_HT","DCH","MA_QH","ONT")</f>
        <v>0</v>
      </c>
      <c r="AR39" s="74">
        <f>+GETPIVOTDATA("XXS4",'xuanson (2016)'!$A$3,"MA_HT","DCH","MA_QH","ODT")</f>
        <v>0</v>
      </c>
      <c r="AS39" s="74">
        <f>+GETPIVOTDATA("XXS4",'xuanson (2016)'!$A$3,"MA_HT","DCH","MA_QH","TSC")</f>
        <v>0</v>
      </c>
      <c r="AT39" s="74">
        <f>+GETPIVOTDATA("XXS4",'xuanson (2016)'!$A$3,"MA_HT","DCH","MA_QH","DTS")</f>
        <v>0</v>
      </c>
      <c r="AU39" s="74">
        <f>+GETPIVOTDATA("XXS4",'xuanson (2016)'!$A$3,"MA_HT","DCH","MA_QH","DNG")</f>
        <v>0</v>
      </c>
      <c r="AV39" s="74">
        <f>+GETPIVOTDATA("XXS4",'xuanson (2016)'!$A$3,"MA_HT","DCH","MA_QH","TON")</f>
        <v>0</v>
      </c>
      <c r="AW39" s="74">
        <f>+GETPIVOTDATA("XXS4",'xuanson (2016)'!$A$3,"MA_HT","DCH","MA_QH","NTD")</f>
        <v>0</v>
      </c>
      <c r="AX39" s="74">
        <f>+GETPIVOTDATA("XXS4",'xuanson (2016)'!$A$3,"MA_HT","DCH","MA_QH","SKX")</f>
        <v>0</v>
      </c>
      <c r="AY39" s="74">
        <f>+GETPIVOTDATA("XXS4",'xuanson (2016)'!$A$3,"MA_HT","DCH","MA_QH","DSH")</f>
        <v>0</v>
      </c>
      <c r="AZ39" s="74">
        <f>+GETPIVOTDATA("XXS4",'xuanson (2016)'!$A$3,"MA_HT","DCH","MA_QH","DKV")</f>
        <v>0</v>
      </c>
      <c r="BA39" s="139">
        <f>+GETPIVOTDATA("XXS4",'xuanson (2016)'!$A$3,"MA_HT","DCH","MA_QH","TIN")</f>
        <v>0</v>
      </c>
      <c r="BB39" s="74">
        <f>+GETPIVOTDATA("XXS4",'xuanson (2016)'!$A$3,"MA_HT","DCH","MA_QH","SON")</f>
        <v>0</v>
      </c>
      <c r="BC39" s="74">
        <f>+GETPIVOTDATA("XXS4",'xuanson (2016)'!$A$3,"MA_HT","DCH","MA_QH","MNC")</f>
        <v>0</v>
      </c>
      <c r="BD39" s="74">
        <f>+GETPIVOTDATA("XXS4",'xuanson (2016)'!$A$3,"MA_HT","DCH","MA_QH","PNK")</f>
        <v>0</v>
      </c>
      <c r="BE39" s="102">
        <f>+GETPIVOTDATA("XXS4",'xuanson (2016)'!$A$3,"MA_HT","DCH","MA_QH","CSD")</f>
        <v>0</v>
      </c>
      <c r="BF39" s="75">
        <f t="shared" si="13"/>
        <v>0</v>
      </c>
      <c r="BG39" s="76">
        <f>AL$59-$BF39</f>
        <v>0</v>
      </c>
      <c r="BH39" s="71" t="e">
        <f t="shared" si="14"/>
        <v>#REF!</v>
      </c>
      <c r="BI39" s="132"/>
      <c r="BJ39" s="132" t="e">
        <f>#REF!</f>
        <v>#REF!</v>
      </c>
      <c r="BK39" s="133" t="e">
        <f t="shared" si="19"/>
        <v>#REF!</v>
      </c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</row>
    <row r="40" spans="1:79" s="134" customFormat="1" ht="16.5" customHeight="1">
      <c r="A40" s="68" t="s">
        <v>325</v>
      </c>
      <c r="B40" s="68" t="s">
        <v>302</v>
      </c>
      <c r="C40" s="70" t="s">
        <v>305</v>
      </c>
      <c r="D40" s="71" t="e">
        <f>+#REF!</f>
        <v>#REF!</v>
      </c>
      <c r="E40" s="63">
        <f>SUM(F40,J40:Q40)</f>
        <v>0</v>
      </c>
      <c r="F40" s="64">
        <f>SUM(G40:I40)</f>
        <v>0</v>
      </c>
      <c r="G40" s="74">
        <f>+GETPIVOTDATA("XXS4",'xuanson (2016)'!$A$3,"MA_HT","DKG","MA_QH","LUC")</f>
        <v>0</v>
      </c>
      <c r="H40" s="74">
        <f>+GETPIVOTDATA("XXS4",'xuanson (2016)'!$A$3,"MA_HT","DKG","MA_QH","LUK")</f>
        <v>0</v>
      </c>
      <c r="I40" s="74">
        <f>+GETPIVOTDATA("XXS4",'xuanson (2016)'!$A$3,"MA_HT","DKG","MA_QH","LUN")</f>
        <v>0</v>
      </c>
      <c r="J40" s="74">
        <f>+GETPIVOTDATA("XXS4",'xuanson (2016)'!$A$3,"MA_HT","DKG","MA_QH","HNK")</f>
        <v>0</v>
      </c>
      <c r="K40" s="74">
        <f>+GETPIVOTDATA("XXS4",'xuanson (2016)'!$A$3,"MA_HT","DKG","MA_QH","CLN")</f>
        <v>0</v>
      </c>
      <c r="L40" s="74">
        <f>+GETPIVOTDATA("XXS4",'xuanson (2016)'!$A$3,"MA_HT","DKG","MA_QH","RSX")</f>
        <v>0</v>
      </c>
      <c r="M40" s="74">
        <f>+GETPIVOTDATA("XXS4",'xuanson (2016)'!$A$3,"MA_HT","DKG","MA_QH","RPH")</f>
        <v>0</v>
      </c>
      <c r="N40" s="74">
        <f>+GETPIVOTDATA("XXS4",'xuanson (2016)'!$A$3,"MA_HT","DKG","MA_QH","RDD")</f>
        <v>0</v>
      </c>
      <c r="O40" s="74">
        <f>+GETPIVOTDATA("XXS4",'xuanson (2016)'!$A$3,"MA_HT","DKG","MA_QH","NTS")</f>
        <v>0</v>
      </c>
      <c r="P40" s="74">
        <f>+GETPIVOTDATA("XXS4",'xuanson (2016)'!$A$3,"MA_HT","DKG","MA_QH","LMU")</f>
        <v>0</v>
      </c>
      <c r="Q40" s="74">
        <f>+GETPIVOTDATA("XXS4",'xuanson (2016)'!$A$3,"MA_HT","DKG","MA_QH","NKH")</f>
        <v>0</v>
      </c>
      <c r="R40" s="72">
        <f>SUM(S40:AA40,AN40:BD40)</f>
        <v>0</v>
      </c>
      <c r="S40" s="74">
        <f>+GETPIVOTDATA("XXS4",'xuanson (2016)'!$A$3,"MA_HT","DKG","MA_QH","CQP")</f>
        <v>0</v>
      </c>
      <c r="T40" s="74">
        <f>+GETPIVOTDATA("XXS4",'xuanson (2016)'!$A$3,"MA_HT","DKG","MA_QH","CAN")</f>
        <v>0</v>
      </c>
      <c r="U40" s="74">
        <f>+GETPIVOTDATA("XXS4",'xuanson (2016)'!$A$3,"MA_HT","DKG","MA_QH","SKK")</f>
        <v>0</v>
      </c>
      <c r="V40" s="74">
        <f>+GETPIVOTDATA("XXS4",'xuanson (2016)'!$A$3,"MA_HT","DKG","MA_QH","SKT")</f>
        <v>0</v>
      </c>
      <c r="W40" s="74">
        <f>+GETPIVOTDATA("XXS4",'xuanson (2016)'!$A$3,"MA_HT","DKG","MA_QH","SKN")</f>
        <v>0</v>
      </c>
      <c r="X40" s="74">
        <f>+GETPIVOTDATA("XXS4",'xuanson (2016)'!$A$3,"MA_HT","DKG","MA_QH","TMD")</f>
        <v>0</v>
      </c>
      <c r="Y40" s="74">
        <f>+GETPIVOTDATA("XXS4",'xuanson (2016)'!$A$3,"MA_HT","DKG","MA_QH","SKC")</f>
        <v>0</v>
      </c>
      <c r="Z40" s="74">
        <f>+GETPIVOTDATA("XXS4",'xuanson (2016)'!$A$3,"MA_HT","DKG","MA_QH","SKS")</f>
        <v>0</v>
      </c>
      <c r="AA40" s="64">
        <f>+SUM(AB40:AL40)</f>
        <v>0</v>
      </c>
      <c r="AB40" s="74">
        <f>+GETPIVOTDATA("XXS4",'xuanson (2016)'!$A$3,"MA_HT","DKG","MA_QH","DGT")</f>
        <v>0</v>
      </c>
      <c r="AC40" s="74">
        <f>+GETPIVOTDATA("XXS4",'xuanson (2016)'!$A$3,"MA_HT","DKG","MA_QH","DTL")</f>
        <v>0</v>
      </c>
      <c r="AD40" s="74">
        <f>+GETPIVOTDATA("XXS4",'xuanson (2016)'!$A$3,"MA_HT","DKG","MA_QH","DNL")</f>
        <v>0</v>
      </c>
      <c r="AE40" s="74">
        <f>+GETPIVOTDATA("XXS4",'xuanson (2016)'!$A$3,"MA_HT","DKG","MA_QH","DBV")</f>
        <v>0</v>
      </c>
      <c r="AF40" s="74">
        <f>+GETPIVOTDATA("XXS4",'xuanson (2016)'!$A$3,"MA_HT","DKG","MA_QH","DVH")</f>
        <v>0</v>
      </c>
      <c r="AG40" s="74">
        <f>+GETPIVOTDATA("XXS4",'xuanson (2016)'!$A$3,"MA_HT","DKG","MA_QH","DYT")</f>
        <v>0</v>
      </c>
      <c r="AH40" s="74">
        <f>+GETPIVOTDATA("XXS4",'xuanson (2016)'!$A$3,"MA_HT","DKG","MA_QH","DGD")</f>
        <v>0</v>
      </c>
      <c r="AI40" s="74">
        <f>+GETPIVOTDATA("XXS4",'xuanson (2016)'!$A$3,"MA_HT","DKG","MA_QH","DTT")</f>
        <v>0</v>
      </c>
      <c r="AJ40" s="74">
        <f>+GETPIVOTDATA("XXS4",'xuanson (2016)'!$A$3,"MA_HT","DKG","MA_QH","NCK")</f>
        <v>0</v>
      </c>
      <c r="AK40" s="74">
        <f>+GETPIVOTDATA("XXS4",'xuanson (2016)'!$A$3,"MA_HT","DKG","MA_QH","DXH")</f>
        <v>0</v>
      </c>
      <c r="AL40" s="122">
        <f>+GETPIVOTDATA("XXS4",'xuanson (2016)'!$A$3,"MA_HT","DDT","MA_QH","DKG")</f>
        <v>0</v>
      </c>
      <c r="AM40" s="100" t="e">
        <f>$D40-$BF40</f>
        <v>#REF!</v>
      </c>
      <c r="AN40" s="74">
        <f>+GETPIVOTDATA("XXS4",'xuanson (2016)'!$A$3,"MA_HT","DKG","MA_QH","DDT")</f>
        <v>0</v>
      </c>
      <c r="AO40" s="74">
        <f>+GETPIVOTDATA("XXS4",'xuanson (2016)'!$A$3,"MA_HT","DKG","MA_QH","DDL")</f>
        <v>0</v>
      </c>
      <c r="AP40" s="74">
        <f>+GETPIVOTDATA("XXS4",'xuanson (2016)'!$A$3,"MA_HT","DKG","MA_QH","DRA")</f>
        <v>0</v>
      </c>
      <c r="AQ40" s="74">
        <f>+GETPIVOTDATA("XXS4",'xuanson (2016)'!$A$3,"MA_HT","DKG","MA_QH","ONT")</f>
        <v>0</v>
      </c>
      <c r="AR40" s="74">
        <f>+GETPIVOTDATA("XXS4",'xuanson (2016)'!$A$3,"MA_HT","DKG","MA_QH","ODT")</f>
        <v>0</v>
      </c>
      <c r="AS40" s="74">
        <f>+GETPIVOTDATA("XXS4",'xuanson (2016)'!$A$3,"MA_HT","DKG","MA_QH","TSC")</f>
        <v>0</v>
      </c>
      <c r="AT40" s="74">
        <f>+GETPIVOTDATA("XXS4",'xuanson (2016)'!$A$3,"MA_HT","DKG","MA_QH","DTS")</f>
        <v>0</v>
      </c>
      <c r="AU40" s="74">
        <f>+GETPIVOTDATA("XXS4",'xuanson (2016)'!$A$3,"MA_HT","DKG","MA_QH","DNG")</f>
        <v>0</v>
      </c>
      <c r="AV40" s="74">
        <f>+GETPIVOTDATA("XXS4",'xuanson (2016)'!$A$3,"MA_HT","DKG","MA_QH","TON")</f>
        <v>0</v>
      </c>
      <c r="AW40" s="74">
        <f>+GETPIVOTDATA("XXS4",'xuanson (2016)'!$A$3,"MA_HT","DKG","MA_QH","NTD")</f>
        <v>0</v>
      </c>
      <c r="AX40" s="74">
        <f>+GETPIVOTDATA("XXS4",'xuanson (2016)'!$A$3,"MA_HT","DKG","MA_QH","SKX")</f>
        <v>0</v>
      </c>
      <c r="AY40" s="74">
        <f>+GETPIVOTDATA("XXS4",'xuanson (2016)'!$A$3,"MA_HT","DKG","MA_QH","DSH")</f>
        <v>0</v>
      </c>
      <c r="AZ40" s="74">
        <f>+GETPIVOTDATA("XXS4",'xuanson (2016)'!$A$3,"MA_HT","DKG","MA_QH","DKV")</f>
        <v>0</v>
      </c>
      <c r="BA40" s="139">
        <f>+GETPIVOTDATA("XXS4",'xuanson (2016)'!$A$3,"MA_HT","DKG","MA_QH","TIN")</f>
        <v>0</v>
      </c>
      <c r="BB40" s="74">
        <f>+GETPIVOTDATA("XXS4",'xuanson (2016)'!$A$3,"MA_HT","DKG","MA_QH","SON")</f>
        <v>0</v>
      </c>
      <c r="BC40" s="74">
        <f>+GETPIVOTDATA("XXS4",'xuanson (2016)'!$A$3,"MA_HT","DKG","MA_QH","MNC")</f>
        <v>0</v>
      </c>
      <c r="BD40" s="74">
        <f>+GETPIVOTDATA("XXS4",'xuanson (2016)'!$A$3,"MA_HT","DKG","MA_QH","PNK")</f>
        <v>0</v>
      </c>
      <c r="BE40" s="102">
        <f>+GETPIVOTDATA("XXS4",'xuanson (2016)'!$A$3,"MA_HT","DKG","MA_QH","CSD")</f>
        <v>0</v>
      </c>
      <c r="BF40" s="75">
        <f>BE40+R40+E40</f>
        <v>0</v>
      </c>
      <c r="BG40" s="76">
        <f>AM$59-$BF40</f>
        <v>0</v>
      </c>
      <c r="BH40" s="71" t="e">
        <f>BG40+D40</f>
        <v>#REF!</v>
      </c>
      <c r="BI40" s="132"/>
      <c r="BJ40" s="132" t="e">
        <f>#REF!</f>
        <v>#REF!</v>
      </c>
      <c r="BK40" s="133" t="e">
        <f>BH40-BJ40</f>
        <v>#REF!</v>
      </c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</row>
    <row r="41" spans="1:79" s="131" customFormat="1" ht="15.75" customHeight="1">
      <c r="A41" s="116" t="s">
        <v>82</v>
      </c>
      <c r="B41" s="117" t="s">
        <v>237</v>
      </c>
      <c r="C41" s="118" t="s">
        <v>97</v>
      </c>
      <c r="D41" s="119" t="e">
        <f>+#REF!</f>
        <v>#REF!</v>
      </c>
      <c r="E41" s="120">
        <f t="shared" si="15"/>
        <v>0</v>
      </c>
      <c r="F41" s="121">
        <f t="shared" si="9"/>
        <v>0</v>
      </c>
      <c r="G41" s="122">
        <f>+GETPIVOTDATA("XXS4",'xuanson (2016)'!$A$3,"MA_HT","DDT","MA_QH","LUC")</f>
        <v>0</v>
      </c>
      <c r="H41" s="122">
        <f>+GETPIVOTDATA("XXS4",'xuanson (2016)'!$A$3,"MA_HT","DDT","MA_QH","LUK")</f>
        <v>0</v>
      </c>
      <c r="I41" s="122">
        <f>+GETPIVOTDATA("XXS4",'xuanson (2016)'!$A$3,"MA_HT","DDT","MA_QH","LUN")</f>
        <v>0</v>
      </c>
      <c r="J41" s="122">
        <f>+GETPIVOTDATA("XXS4",'xuanson (2016)'!$A$3,"MA_HT","DDT","MA_QH","HNK")</f>
        <v>0</v>
      </c>
      <c r="K41" s="122">
        <f>+GETPIVOTDATA("XXS4",'xuanson (2016)'!$A$3,"MA_HT","DDT","MA_QH","CLN")</f>
        <v>0</v>
      </c>
      <c r="L41" s="122">
        <f>+GETPIVOTDATA("XXS4",'xuanson (2016)'!$A$3,"MA_HT","DDT","MA_QH","RSX")</f>
        <v>0</v>
      </c>
      <c r="M41" s="122">
        <f>+GETPIVOTDATA("XXS4",'xuanson (2016)'!$A$3,"MA_HT","DDT","MA_QH","RPH")</f>
        <v>0</v>
      </c>
      <c r="N41" s="122">
        <f>+GETPIVOTDATA("XXS4",'xuanson (2016)'!$A$3,"MA_HT","DDT","MA_QH","RDD")</f>
        <v>0</v>
      </c>
      <c r="O41" s="122">
        <f>+GETPIVOTDATA("XXS4",'xuanson (2016)'!$A$3,"MA_HT","DDT","MA_QH","NTS")</f>
        <v>0</v>
      </c>
      <c r="P41" s="122">
        <f>+GETPIVOTDATA("XXS4",'xuanson (2016)'!$A$3,"MA_HT","DDT","MA_QH","LMU")</f>
        <v>0</v>
      </c>
      <c r="Q41" s="122">
        <f>+GETPIVOTDATA("XXS4",'xuanson (2016)'!$A$3,"MA_HT","DDT","MA_QH","NKH")</f>
        <v>0</v>
      </c>
      <c r="R41" s="123">
        <f>SUM(S41:AA41,AO41:BD41)</f>
        <v>0</v>
      </c>
      <c r="S41" s="122">
        <f>+GETPIVOTDATA("XXS4",'xuanson (2016)'!$A$3,"MA_HT","DDT","MA_QH","CQP")</f>
        <v>0</v>
      </c>
      <c r="T41" s="122">
        <f>+GETPIVOTDATA("XXS4",'xuanson (2016)'!$A$3,"MA_HT","DDT","MA_QH","CAN")</f>
        <v>0</v>
      </c>
      <c r="U41" s="122">
        <f>+GETPIVOTDATA("XXS4",'xuanson (2016)'!$A$3,"MA_HT","DDT","MA_QH","SKK")</f>
        <v>0</v>
      </c>
      <c r="V41" s="122">
        <f>+GETPIVOTDATA("XXS4",'xuanson (2016)'!$A$3,"MA_HT","DDT","MA_QH","SKT")</f>
        <v>0</v>
      </c>
      <c r="W41" s="122">
        <f>+GETPIVOTDATA("XXS4",'xuanson (2016)'!$A$3,"MA_HT","DDT","MA_QH","SKN")</f>
        <v>0</v>
      </c>
      <c r="X41" s="122">
        <f>+GETPIVOTDATA("XXS4",'xuanson (2016)'!$A$3,"MA_HT","DDT","MA_QH","TMD")</f>
        <v>0</v>
      </c>
      <c r="Y41" s="122">
        <f>+GETPIVOTDATA("XXS4",'xuanson (2016)'!$A$3,"MA_HT","DDT","MA_QH","SKC")</f>
        <v>0</v>
      </c>
      <c r="Z41" s="122">
        <f>+GETPIVOTDATA("XXS4",'xuanson (2016)'!$A$3,"MA_HT","DDT","MA_QH","SKS")</f>
        <v>0</v>
      </c>
      <c r="AA41" s="121">
        <f t="shared" ref="AA41:AA58" si="21">+SUM(AB41:AM41)</f>
        <v>0</v>
      </c>
      <c r="AB41" s="122">
        <f>+GETPIVOTDATA("XXS4",'xuanson (2016)'!$A$3,"MA_HT","DDT","MA_QH","DGT")</f>
        <v>0</v>
      </c>
      <c r="AC41" s="122">
        <f>+GETPIVOTDATA("XXS4",'xuanson (2016)'!$A$3,"MA_HT","DDT","MA_QH","DTL")</f>
        <v>0</v>
      </c>
      <c r="AD41" s="122">
        <f>+GETPIVOTDATA("XXS4",'xuanson (2016)'!$A$3,"MA_HT","DDT","MA_QH","DNL")</f>
        <v>0</v>
      </c>
      <c r="AE41" s="122">
        <f>+GETPIVOTDATA("XXS4",'xuanson (2016)'!$A$3,"MA_HT","DDT","MA_QH","DBV")</f>
        <v>0</v>
      </c>
      <c r="AF41" s="122">
        <f>+GETPIVOTDATA("XXS4",'xuanson (2016)'!$A$3,"MA_HT","DDT","MA_QH","DVH")</f>
        <v>0</v>
      </c>
      <c r="AG41" s="122">
        <f>+GETPIVOTDATA("XXS4",'xuanson (2016)'!$A$3,"MA_HT","DDT","MA_QH","DYT")</f>
        <v>0</v>
      </c>
      <c r="AH41" s="122">
        <f>+GETPIVOTDATA("XXS4",'xuanson (2016)'!$A$3,"MA_HT","DDT","MA_QH","DGD")</f>
        <v>0</v>
      </c>
      <c r="AI41" s="122">
        <f>+GETPIVOTDATA("XXS4",'xuanson (2016)'!$A$3,"MA_HT","DDT","MA_QH","DTT")</f>
        <v>0</v>
      </c>
      <c r="AJ41" s="122">
        <f>+GETPIVOTDATA("XXS4",'xuanson (2016)'!$A$3,"MA_HT","DDT","MA_QH","NCK")</f>
        <v>0</v>
      </c>
      <c r="AK41" s="122">
        <f>+GETPIVOTDATA("XXS4",'xuanson (2016)'!$A$3,"MA_HT","DDT","MA_QH","DXH")</f>
        <v>0</v>
      </c>
      <c r="AL41" s="122">
        <f>+GETPIVOTDATA("XXS4",'xuanson (2016)'!$A$3,"MA_HT","DDT","MA_QH","DCH")</f>
        <v>0</v>
      </c>
      <c r="AM41" s="122">
        <f>+GETPIVOTDATA("XXS4",'xuanson (2016)'!$A$3,"MA_HT","DDT","MA_QH","DKG")</f>
        <v>0</v>
      </c>
      <c r="AN41" s="124" t="e">
        <f>$D41-$BF41</f>
        <v>#REF!</v>
      </c>
      <c r="AO41" s="122">
        <f>+GETPIVOTDATA("XXS4",'xuanson (2016)'!$A$3,"MA_HT","DDT","MA_QH","DDL")</f>
        <v>0</v>
      </c>
      <c r="AP41" s="122">
        <f>+GETPIVOTDATA("XXS4",'xuanson (2016)'!$A$3,"MA_HT","DDT","MA_QH","DRA")</f>
        <v>0</v>
      </c>
      <c r="AQ41" s="122">
        <f>+GETPIVOTDATA("XXS4",'xuanson (2016)'!$A$3,"MA_HT","DDT","MA_QH","ONT")</f>
        <v>0</v>
      </c>
      <c r="AR41" s="122">
        <f>+GETPIVOTDATA("XXS4",'xuanson (2016)'!$A$3,"MA_HT","DDT","MA_QH","ODT")</f>
        <v>0</v>
      </c>
      <c r="AS41" s="122">
        <f>+GETPIVOTDATA("XXS4",'xuanson (2016)'!$A$3,"MA_HT","DDT","MA_QH","TSC")</f>
        <v>0</v>
      </c>
      <c r="AT41" s="122">
        <f>+GETPIVOTDATA("XXS4",'xuanson (2016)'!$A$3,"MA_HT","DDT","MA_QH","DTS")</f>
        <v>0</v>
      </c>
      <c r="AU41" s="122">
        <f>+GETPIVOTDATA("XXS4",'xuanson (2016)'!$A$3,"MA_HT","DDT","MA_QH","DNG")</f>
        <v>0</v>
      </c>
      <c r="AV41" s="122">
        <f>+GETPIVOTDATA("XXS4",'xuanson (2016)'!$A$3,"MA_HT","DDT","MA_QH","TON")</f>
        <v>0</v>
      </c>
      <c r="AW41" s="122">
        <f>+GETPIVOTDATA("XXS4",'xuanson (2016)'!$A$3,"MA_HT","DDT","MA_QH","NTD")</f>
        <v>0</v>
      </c>
      <c r="AX41" s="122">
        <f>+GETPIVOTDATA("XXS4",'xuanson (2016)'!$A$3,"MA_HT","DDT","MA_QH","SKX")</f>
        <v>0</v>
      </c>
      <c r="AY41" s="122">
        <f>+GETPIVOTDATA("XXS4",'xuanson (2016)'!$A$3,"MA_HT","DDT","MA_QH","DSH")</f>
        <v>0</v>
      </c>
      <c r="AZ41" s="122">
        <f>+GETPIVOTDATA("XXS4",'xuanson (2016)'!$A$3,"MA_HT","DDT","MA_QH","DKV")</f>
        <v>0</v>
      </c>
      <c r="BA41" s="141">
        <f>+GETPIVOTDATA("XXS4",'xuanson (2016)'!$A$3,"MA_HT","DDT","MA_QH","TIN")</f>
        <v>0</v>
      </c>
      <c r="BB41" s="125">
        <f>+GETPIVOTDATA("XXS4",'xuanson (2016)'!$A$3,"MA_HT","DDT","MA_QH","SON")</f>
        <v>0</v>
      </c>
      <c r="BC41" s="125">
        <f>+GETPIVOTDATA("XXS4",'xuanson (2016)'!$A$3,"MA_HT","DDT","MA_QH","MNC")</f>
        <v>0</v>
      </c>
      <c r="BD41" s="122">
        <f>+GETPIVOTDATA("XXS4",'xuanson (2016)'!$A$3,"MA_HT","DDT","MA_QH","PNK")</f>
        <v>0</v>
      </c>
      <c r="BE41" s="126">
        <f>+GETPIVOTDATA("XXS4",'xuanson (2016)'!$A$3,"MA_HT","DDT","MA_QH","CSD")</f>
        <v>0</v>
      </c>
      <c r="BF41" s="127">
        <f t="shared" si="13"/>
        <v>0</v>
      </c>
      <c r="BG41" s="128">
        <f>AN$59-$BF41</f>
        <v>0</v>
      </c>
      <c r="BH41" s="119" t="e">
        <f t="shared" si="14"/>
        <v>#REF!</v>
      </c>
      <c r="BI41" s="129"/>
      <c r="BJ41" s="130"/>
      <c r="BK41" s="130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</row>
    <row r="42" spans="1:79" s="41" customFormat="1" ht="15.75" customHeight="1">
      <c r="A42" s="60" t="s">
        <v>85</v>
      </c>
      <c r="B42" s="80" t="s">
        <v>99</v>
      </c>
      <c r="C42" s="61" t="s">
        <v>100</v>
      </c>
      <c r="D42" s="62" t="e">
        <f>+#REF!</f>
        <v>#REF!</v>
      </c>
      <c r="E42" s="63">
        <f t="shared" si="15"/>
        <v>0</v>
      </c>
      <c r="F42" s="64">
        <f t="shared" si="9"/>
        <v>0</v>
      </c>
      <c r="G42" s="35">
        <f>+GETPIVOTDATA("XXS4",'xuanson (2016)'!$A$3,"MA_HT","DDL","MA_QH","LUC")</f>
        <v>0</v>
      </c>
      <c r="H42" s="35">
        <f>+GETPIVOTDATA("XXS4",'xuanson (2016)'!$A$3,"MA_HT","DDL","MA_QH","LUK")</f>
        <v>0</v>
      </c>
      <c r="I42" s="35">
        <f>+GETPIVOTDATA("XXS4",'xuanson (2016)'!$A$3,"MA_HT","DDL","MA_QH","LUN")</f>
        <v>0</v>
      </c>
      <c r="J42" s="35">
        <f>+GETPIVOTDATA("XXS4",'xuanson (2016)'!$A$3,"MA_HT","DDL","MA_QH","HNK")</f>
        <v>0</v>
      </c>
      <c r="K42" s="35">
        <f>+GETPIVOTDATA("XXS4",'xuanson (2016)'!$A$3,"MA_HT","DDL","MA_QH","CLN")</f>
        <v>0</v>
      </c>
      <c r="L42" s="35">
        <f>+GETPIVOTDATA("XXS4",'xuanson (2016)'!$A$3,"MA_HT","DDL","MA_QH","RSX")</f>
        <v>0</v>
      </c>
      <c r="M42" s="35">
        <f>+GETPIVOTDATA("XXS4",'xuanson (2016)'!$A$3,"MA_HT","DDL","MA_QH","RPH")</f>
        <v>0</v>
      </c>
      <c r="N42" s="35">
        <f>+GETPIVOTDATA("XXS4",'xuanson (2016)'!$A$3,"MA_HT","DDL","MA_QH","RDD")</f>
        <v>0</v>
      </c>
      <c r="O42" s="35">
        <f>+GETPIVOTDATA("XXS4",'xuanson (2016)'!$A$3,"MA_HT","DDL","MA_QH","NTS")</f>
        <v>0</v>
      </c>
      <c r="P42" s="35">
        <f>+GETPIVOTDATA("XXS4",'xuanson (2016)'!$A$3,"MA_HT","DDL","MA_QH","LMU")</f>
        <v>0</v>
      </c>
      <c r="Q42" s="35">
        <f>+GETPIVOTDATA("XXS4",'xuanson (2016)'!$A$3,"MA_HT","DDL","MA_QH","NKH")</f>
        <v>0</v>
      </c>
      <c r="R42" s="106">
        <f>SUM(S42:AA42,AN42,AP42:BD42)</f>
        <v>0</v>
      </c>
      <c r="S42" s="35">
        <f>+GETPIVOTDATA("XXS4",'xuanson (2016)'!$A$3,"MA_HT","DDL","MA_QH","CQP")</f>
        <v>0</v>
      </c>
      <c r="T42" s="35">
        <f>+GETPIVOTDATA("XXS4",'xuanson (2016)'!$A$3,"MA_HT","DDL","MA_QH","CAN")</f>
        <v>0</v>
      </c>
      <c r="U42" s="35">
        <f>+GETPIVOTDATA("XXS4",'xuanson (2016)'!$A$3,"MA_HT","DDL","MA_QH","SKK")</f>
        <v>0</v>
      </c>
      <c r="V42" s="35">
        <f>+GETPIVOTDATA("XXS4",'xuanson (2016)'!$A$3,"MA_HT","DDL","MA_QH","SKT")</f>
        <v>0</v>
      </c>
      <c r="W42" s="35">
        <f>+GETPIVOTDATA("XXS4",'xuanson (2016)'!$A$3,"MA_HT","DDL","MA_QH","SKN")</f>
        <v>0</v>
      </c>
      <c r="X42" s="35">
        <f>+GETPIVOTDATA("XXS4",'xuanson (2016)'!$A$3,"MA_HT","DDL","MA_QH","TMD")</f>
        <v>0</v>
      </c>
      <c r="Y42" s="35">
        <f>+GETPIVOTDATA("XXS4",'xuanson (2016)'!$A$3,"MA_HT","DDL","MA_QH","SKC")</f>
        <v>0</v>
      </c>
      <c r="Z42" s="35">
        <f>+GETPIVOTDATA("XXS4",'xuanson (2016)'!$A$3,"MA_HT","DDL","MA_QH","SKS")</f>
        <v>0</v>
      </c>
      <c r="AA42" s="64">
        <f t="shared" si="21"/>
        <v>0</v>
      </c>
      <c r="AB42" s="35">
        <f>+GETPIVOTDATA("XXS4",'xuanson (2016)'!$A$3,"MA_HT","DDL","MA_QH","DGT")</f>
        <v>0</v>
      </c>
      <c r="AC42" s="35">
        <f>+GETPIVOTDATA("XXS4",'xuanson (2016)'!$A$3,"MA_HT","DDL","MA_QH","DTL")</f>
        <v>0</v>
      </c>
      <c r="AD42" s="35">
        <f>+GETPIVOTDATA("XXS4",'xuanson (2016)'!$A$3,"MA_HT","DDL","MA_QH","DNL")</f>
        <v>0</v>
      </c>
      <c r="AE42" s="35">
        <f>+GETPIVOTDATA("XXS4",'xuanson (2016)'!$A$3,"MA_HT","DDL","MA_QH","DBV")</f>
        <v>0</v>
      </c>
      <c r="AF42" s="35">
        <f>+GETPIVOTDATA("XXS4",'xuanson (2016)'!$A$3,"MA_HT","DDL","MA_QH","DVH")</f>
        <v>0</v>
      </c>
      <c r="AG42" s="35">
        <f>+GETPIVOTDATA("XXS4",'xuanson (2016)'!$A$3,"MA_HT","DDL","MA_QH","DYT")</f>
        <v>0</v>
      </c>
      <c r="AH42" s="35">
        <f>+GETPIVOTDATA("XXS4",'xuanson (2016)'!$A$3,"MA_HT","DDL","MA_QH","DGD")</f>
        <v>0</v>
      </c>
      <c r="AI42" s="35">
        <f>+GETPIVOTDATA("XXS4",'xuanson (2016)'!$A$3,"MA_HT","DDL","MA_QH","DTT")</f>
        <v>0</v>
      </c>
      <c r="AJ42" s="35">
        <f>+GETPIVOTDATA("XXS4",'xuanson (2016)'!$A$3,"MA_HT","DDL","MA_QH","NCK")</f>
        <v>0</v>
      </c>
      <c r="AK42" s="35">
        <f>+GETPIVOTDATA("XXS4",'xuanson (2016)'!$A$3,"MA_HT","DDL","MA_QH","DXH")</f>
        <v>0</v>
      </c>
      <c r="AL42" s="35">
        <f>+GETPIVOTDATA("XXS4",'xuanson (2016)'!$A$3,"MA_HT","DDL","MA_QH","DCH")</f>
        <v>0</v>
      </c>
      <c r="AM42" s="35">
        <f>+GETPIVOTDATA("XXS4",'xuanson (2016)'!$A$3,"MA_HT","DDL","MA_QH","DKG")</f>
        <v>0</v>
      </c>
      <c r="AN42" s="35">
        <f>+GETPIVOTDATA("XXS4",'xuanson (2016)'!$A$3,"MA_HT","DDL","MA_QH","DDT")</f>
        <v>0</v>
      </c>
      <c r="AO42" s="99" t="e">
        <f>$D42-$BF42</f>
        <v>#REF!</v>
      </c>
      <c r="AP42" s="35">
        <f>+GETPIVOTDATA("XXS4",'xuanson (2016)'!$A$3,"MA_HT","DDL","MA_QH","DRA")</f>
        <v>0</v>
      </c>
      <c r="AQ42" s="35">
        <f>+GETPIVOTDATA("XXS4",'xuanson (2016)'!$A$3,"MA_HT","DDL","MA_QH","ONT")</f>
        <v>0</v>
      </c>
      <c r="AR42" s="35">
        <f>+GETPIVOTDATA("XXS4",'xuanson (2016)'!$A$3,"MA_HT","DDL","MA_QH","ODT")</f>
        <v>0</v>
      </c>
      <c r="AS42" s="35">
        <f>+GETPIVOTDATA("XXS4",'xuanson (2016)'!$A$3,"MA_HT","DDL","MA_QH","TSC")</f>
        <v>0</v>
      </c>
      <c r="AT42" s="35">
        <f>+GETPIVOTDATA("XXS4",'xuanson (2016)'!$A$3,"MA_HT","DDL","MA_QH","DTS")</f>
        <v>0</v>
      </c>
      <c r="AU42" s="35">
        <f>+GETPIVOTDATA("XXS4",'xuanson (2016)'!$A$3,"MA_HT","DDL","MA_QH","DNG")</f>
        <v>0</v>
      </c>
      <c r="AV42" s="35">
        <f>+GETPIVOTDATA("XXS4",'xuanson (2016)'!$A$3,"MA_HT","DDL","MA_QH","TON")</f>
        <v>0</v>
      </c>
      <c r="AW42" s="35">
        <f>+GETPIVOTDATA("XXS4",'xuanson (2016)'!$A$3,"MA_HT","DDL","MA_QH","NTD")</f>
        <v>0</v>
      </c>
      <c r="AX42" s="35">
        <f>+GETPIVOTDATA("XXS4",'xuanson (2016)'!$A$3,"MA_HT","DDL","MA_QH","SKX")</f>
        <v>0</v>
      </c>
      <c r="AY42" s="35">
        <f>+GETPIVOTDATA("XXS4",'xuanson (2016)'!$A$3,"MA_HT","DDL","MA_QH","DSH")</f>
        <v>0</v>
      </c>
      <c r="AZ42" s="35">
        <f>+GETPIVOTDATA("XXS4",'xuanson (2016)'!$A$3,"MA_HT","DDL","MA_QH","DKV")</f>
        <v>0</v>
      </c>
      <c r="BA42" s="140">
        <f>+GETPIVOTDATA("XXS4",'xuanson (2016)'!$A$3,"MA_HT","DDL","MA_QH","TIN")</f>
        <v>0</v>
      </c>
      <c r="BB42" s="74">
        <f>+GETPIVOTDATA("XXS4",'xuanson (2016)'!$A$3,"MA_HT","DDL","MA_QH","SON")</f>
        <v>0</v>
      </c>
      <c r="BC42" s="74">
        <f>+GETPIVOTDATA("XXS4",'xuanson (2016)'!$A$3,"MA_HT","DDL","MA_QH","MNC")</f>
        <v>0</v>
      </c>
      <c r="BD42" s="35">
        <f>+GETPIVOTDATA("XXS4",'xuanson (2016)'!$A$3,"MA_HT","DDL","MA_QH","PNK")</f>
        <v>0</v>
      </c>
      <c r="BE42" s="58">
        <f>+GETPIVOTDATA("XXS4",'xuanson (2016)'!$A$3,"MA_HT","DDL","MA_QH","CSD")</f>
        <v>0</v>
      </c>
      <c r="BF42" s="66">
        <f t="shared" si="13"/>
        <v>0</v>
      </c>
      <c r="BG42" s="67">
        <f>AO$59-$BF42</f>
        <v>0</v>
      </c>
      <c r="BH42" s="62" t="e">
        <f t="shared" si="14"/>
        <v>#REF!</v>
      </c>
      <c r="BI42" s="5"/>
      <c r="BJ42" s="78"/>
      <c r="BK42" s="78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</row>
    <row r="43" spans="1:79" s="41" customFormat="1" ht="15.75" customHeight="1">
      <c r="A43" s="60" t="s">
        <v>88</v>
      </c>
      <c r="B43" s="80" t="s">
        <v>102</v>
      </c>
      <c r="C43" s="61" t="s">
        <v>103</v>
      </c>
      <c r="D43" s="62" t="e">
        <f>+#REF!</f>
        <v>#REF!</v>
      </c>
      <c r="E43" s="63">
        <f t="shared" si="15"/>
        <v>0</v>
      </c>
      <c r="F43" s="64">
        <f t="shared" si="9"/>
        <v>0</v>
      </c>
      <c r="G43" s="35">
        <f>+GETPIVOTDATA("XXS4",'xuanson (2016)'!$A$3,"MA_HT","DRA","MA_QH","LUC")</f>
        <v>0</v>
      </c>
      <c r="H43" s="35">
        <f>+GETPIVOTDATA("XXS4",'xuanson (2016)'!$A$3,"MA_HT","DRA","MA_QH","LUK")</f>
        <v>0</v>
      </c>
      <c r="I43" s="35">
        <f>+GETPIVOTDATA("XXS4",'xuanson (2016)'!$A$3,"MA_HT","DRA","MA_QH","LUN")</f>
        <v>0</v>
      </c>
      <c r="J43" s="35">
        <f>+GETPIVOTDATA("XXS4",'xuanson (2016)'!$A$3,"MA_HT","DRA","MA_QH","HNK")</f>
        <v>0</v>
      </c>
      <c r="K43" s="35">
        <f>+GETPIVOTDATA("XXS4",'xuanson (2016)'!$A$3,"MA_HT","DRA","MA_QH","CLN")</f>
        <v>0</v>
      </c>
      <c r="L43" s="35">
        <f>+GETPIVOTDATA("XXS4",'xuanson (2016)'!$A$3,"MA_HT","DRA","MA_QH","RSX")</f>
        <v>0</v>
      </c>
      <c r="M43" s="35">
        <f>+GETPIVOTDATA("XXS4",'xuanson (2016)'!$A$3,"MA_HT","DRA","MA_QH","RPH")</f>
        <v>0</v>
      </c>
      <c r="N43" s="35">
        <f>+GETPIVOTDATA("XXS4",'xuanson (2016)'!$A$3,"MA_HT","DRA","MA_QH","RDD")</f>
        <v>0</v>
      </c>
      <c r="O43" s="35">
        <f>+GETPIVOTDATA("XXS4",'xuanson (2016)'!$A$3,"MA_HT","DRA","MA_QH","NTS")</f>
        <v>0</v>
      </c>
      <c r="P43" s="35">
        <f>+GETPIVOTDATA("XXS4",'xuanson (2016)'!$A$3,"MA_HT","DRA","MA_QH","LMU")</f>
        <v>0</v>
      </c>
      <c r="Q43" s="35">
        <f>+GETPIVOTDATA("XXS4",'xuanson (2016)'!$A$3,"MA_HT","DRA","MA_QH","NKH")</f>
        <v>0</v>
      </c>
      <c r="R43" s="106">
        <f>SUM(S43:AA43,AN43:AO43,AQ43:BD43)</f>
        <v>0</v>
      </c>
      <c r="S43" s="35">
        <f>+GETPIVOTDATA("XXS4",'xuanson (2016)'!$A$3,"MA_HT","DRA","MA_QH","CQP")</f>
        <v>0</v>
      </c>
      <c r="T43" s="35">
        <f>+GETPIVOTDATA("XXS4",'xuanson (2016)'!$A$3,"MA_HT","DRA","MA_QH","CAN")</f>
        <v>0</v>
      </c>
      <c r="U43" s="35">
        <f>+GETPIVOTDATA("XXS4",'xuanson (2016)'!$A$3,"MA_HT","DRA","MA_QH","SKK")</f>
        <v>0</v>
      </c>
      <c r="V43" s="35">
        <f>+GETPIVOTDATA("XXS4",'xuanson (2016)'!$A$3,"MA_HT","DRA","MA_QH","SKT")</f>
        <v>0</v>
      </c>
      <c r="W43" s="35">
        <f>+GETPIVOTDATA("XXS4",'xuanson (2016)'!$A$3,"MA_HT","DRA","MA_QH","SKN")</f>
        <v>0</v>
      </c>
      <c r="X43" s="35">
        <f>+GETPIVOTDATA("XXS4",'xuanson (2016)'!$A$3,"MA_HT","DRA","MA_QH","TMD")</f>
        <v>0</v>
      </c>
      <c r="Y43" s="35">
        <f>+GETPIVOTDATA("XXS4",'xuanson (2016)'!$A$3,"MA_HT","DRA","MA_QH","SKC")</f>
        <v>0</v>
      </c>
      <c r="Z43" s="35">
        <f>+GETPIVOTDATA("XXS4",'xuanson (2016)'!$A$3,"MA_HT","DRA","MA_QH","SKS")</f>
        <v>0</v>
      </c>
      <c r="AA43" s="64">
        <f t="shared" si="21"/>
        <v>0</v>
      </c>
      <c r="AB43" s="35">
        <f>+GETPIVOTDATA("XXS4",'xuanson (2016)'!$A$3,"MA_HT","DRA","MA_QH","DGT")</f>
        <v>0</v>
      </c>
      <c r="AC43" s="35">
        <f>+GETPIVOTDATA("XXS4",'xuanson (2016)'!$A$3,"MA_HT","DRA","MA_QH","DTL")</f>
        <v>0</v>
      </c>
      <c r="AD43" s="35">
        <f>+GETPIVOTDATA("XXS4",'xuanson (2016)'!$A$3,"MA_HT","DRA","MA_QH","DNL")</f>
        <v>0</v>
      </c>
      <c r="AE43" s="35">
        <f>+GETPIVOTDATA("XXS4",'xuanson (2016)'!$A$3,"MA_HT","DRA","MA_QH","DBV")</f>
        <v>0</v>
      </c>
      <c r="AF43" s="35">
        <f>+GETPIVOTDATA("XXS4",'xuanson (2016)'!$A$3,"MA_HT","DRA","MA_QH","DVH")</f>
        <v>0</v>
      </c>
      <c r="AG43" s="35">
        <f>+GETPIVOTDATA("XXS4",'xuanson (2016)'!$A$3,"MA_HT","DRA","MA_QH","DYT")</f>
        <v>0</v>
      </c>
      <c r="AH43" s="35">
        <f>+GETPIVOTDATA("XXS4",'xuanson (2016)'!$A$3,"MA_HT","DRA","MA_QH","DGD")</f>
        <v>0</v>
      </c>
      <c r="AI43" s="35">
        <f>+GETPIVOTDATA("XXS4",'xuanson (2016)'!$A$3,"MA_HT","DRA","MA_QH","DTT")</f>
        <v>0</v>
      </c>
      <c r="AJ43" s="35">
        <f>+GETPIVOTDATA("XXS4",'xuanson (2016)'!$A$3,"MA_HT","DRA","MA_QH","NCK")</f>
        <v>0</v>
      </c>
      <c r="AK43" s="35">
        <f>+GETPIVOTDATA("XXS4",'xuanson (2016)'!$A$3,"MA_HT","DRA","MA_QH","DXH")</f>
        <v>0</v>
      </c>
      <c r="AL43" s="35">
        <f>+GETPIVOTDATA("XXS4",'xuanson (2016)'!$A$3,"MA_HT","DRA","MA_QH","DCH")</f>
        <v>0</v>
      </c>
      <c r="AM43" s="35">
        <f>+GETPIVOTDATA("XXS4",'xuanson (2016)'!$A$3,"MA_HT","DRA","MA_QH","DKG")</f>
        <v>0</v>
      </c>
      <c r="AN43" s="35">
        <f>+GETPIVOTDATA("XXS4",'xuanson (2016)'!$A$3,"MA_HT","DRA","MA_QH","DDT")</f>
        <v>0</v>
      </c>
      <c r="AO43" s="35">
        <f>+GETPIVOTDATA("XXS4",'xuanson (2016)'!$A$3,"MA_HT","DRA","MA_QH","DDL")</f>
        <v>0</v>
      </c>
      <c r="AP43" s="99" t="e">
        <f>$D43-$BF43</f>
        <v>#REF!</v>
      </c>
      <c r="AQ43" s="35">
        <f>+GETPIVOTDATA("XXS4",'xuanson (2016)'!$A$3,"MA_HT","DRA","MA_QH","ONT")</f>
        <v>0</v>
      </c>
      <c r="AR43" s="35">
        <f>+GETPIVOTDATA("XXS4",'xuanson (2016)'!$A$3,"MA_HT","DRA","MA_QH","ODT")</f>
        <v>0</v>
      </c>
      <c r="AS43" s="35">
        <f>+GETPIVOTDATA("XXS4",'xuanson (2016)'!$A$3,"MA_HT","DRA","MA_QH","TSC")</f>
        <v>0</v>
      </c>
      <c r="AT43" s="35">
        <f>+GETPIVOTDATA("XXS4",'xuanson (2016)'!$A$3,"MA_HT","DRA","MA_QH","DTS")</f>
        <v>0</v>
      </c>
      <c r="AU43" s="35">
        <f>+GETPIVOTDATA("XXS4",'xuanson (2016)'!$A$3,"MA_HT","DRA","MA_QH","DNG")</f>
        <v>0</v>
      </c>
      <c r="AV43" s="35">
        <f>+GETPIVOTDATA("XXS4",'xuanson (2016)'!$A$3,"MA_HT","DRA","MA_QH","TON")</f>
        <v>0</v>
      </c>
      <c r="AW43" s="35">
        <f>+GETPIVOTDATA("XXS4",'xuanson (2016)'!$A$3,"MA_HT","DRA","MA_QH","NTD")</f>
        <v>0</v>
      </c>
      <c r="AX43" s="35">
        <f>+GETPIVOTDATA("XXS4",'xuanson (2016)'!$A$3,"MA_HT","DRA","MA_QH","SKX")</f>
        <v>0</v>
      </c>
      <c r="AY43" s="35">
        <f>+GETPIVOTDATA("XXS4",'xuanson (2016)'!$A$3,"MA_HT","DRA","MA_QH","DSH")</f>
        <v>0</v>
      </c>
      <c r="AZ43" s="35">
        <f>+GETPIVOTDATA("XXS4",'xuanson (2016)'!$A$3,"MA_HT","DRA","MA_QH","DKV")</f>
        <v>0</v>
      </c>
      <c r="BA43" s="140">
        <f>+GETPIVOTDATA("XXS4",'xuanson (2016)'!$A$3,"MA_HT","DRA","MA_QH","TIN")</f>
        <v>0</v>
      </c>
      <c r="BB43" s="74">
        <f>+GETPIVOTDATA("XXS4",'xuanson (2016)'!$A$3,"MA_HT","DRA","MA_QH","SON")</f>
        <v>0</v>
      </c>
      <c r="BC43" s="74">
        <f>+GETPIVOTDATA("XXS4",'xuanson (2016)'!$A$3,"MA_HT","DRA","MA_QH","MNC")</f>
        <v>0</v>
      </c>
      <c r="BD43" s="35">
        <f>+GETPIVOTDATA("XXS4",'xuanson (2016)'!$A$3,"MA_HT","DRA","MA_QH","PNK")</f>
        <v>0</v>
      </c>
      <c r="BE43" s="58">
        <f>+GETPIVOTDATA("XXS4",'xuanson (2016)'!$A$3,"MA_HT","DRA","MA_QH","CSD")</f>
        <v>0</v>
      </c>
      <c r="BF43" s="66">
        <f t="shared" si="13"/>
        <v>0</v>
      </c>
      <c r="BG43" s="67">
        <f>AP$59-$BF43</f>
        <v>0</v>
      </c>
      <c r="BH43" s="62" t="e">
        <f t="shared" si="14"/>
        <v>#REF!</v>
      </c>
      <c r="BI43" s="5"/>
      <c r="BJ43" s="78" t="e">
        <f>#REF!</f>
        <v>#REF!</v>
      </c>
      <c r="BK43" s="78" t="e">
        <f>BH43-BJ43</f>
        <v>#REF!</v>
      </c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</row>
    <row r="44" spans="1:79" s="41" customFormat="1" ht="15.75" customHeight="1">
      <c r="A44" s="60" t="s">
        <v>91</v>
      </c>
      <c r="B44" s="80" t="s">
        <v>238</v>
      </c>
      <c r="C44" s="61" t="s">
        <v>58</v>
      </c>
      <c r="D44" s="62" t="e">
        <f>+#REF!</f>
        <v>#REF!</v>
      </c>
      <c r="E44" s="63">
        <f t="shared" si="15"/>
        <v>0</v>
      </c>
      <c r="F44" s="64">
        <f t="shared" si="9"/>
        <v>0</v>
      </c>
      <c r="G44" s="35">
        <f>+GETPIVOTDATA("XXS4",'xuanson (2016)'!$A$3,"MA_HT","ONT","MA_QH","LUC")</f>
        <v>0</v>
      </c>
      <c r="H44" s="35">
        <f>+GETPIVOTDATA("XXS4",'xuanson (2016)'!$A$3,"MA_HT","ONT","MA_QH","LUK")</f>
        <v>0</v>
      </c>
      <c r="I44" s="35">
        <f>+GETPIVOTDATA("XXS4",'xuanson (2016)'!$A$3,"MA_HT","ONT","MA_QH","LUN")</f>
        <v>0</v>
      </c>
      <c r="J44" s="35">
        <f>+GETPIVOTDATA("XXS4",'xuanson (2016)'!$A$3,"MA_HT","ONT","MA_QH","HNK")</f>
        <v>0</v>
      </c>
      <c r="K44" s="35">
        <f>+GETPIVOTDATA("XXS4",'xuanson (2016)'!$A$3,"MA_HT","ONT","MA_QH","CLN")</f>
        <v>0</v>
      </c>
      <c r="L44" s="35">
        <f>+GETPIVOTDATA("XXS4",'xuanson (2016)'!$A$3,"MA_HT","ONT","MA_QH","RSX")</f>
        <v>0</v>
      </c>
      <c r="M44" s="35">
        <f>+GETPIVOTDATA("XXS4",'xuanson (2016)'!$A$3,"MA_HT","ONT","MA_QH","RPH")</f>
        <v>0</v>
      </c>
      <c r="N44" s="35">
        <f>+GETPIVOTDATA("XXS4",'xuanson (2016)'!$A$3,"MA_HT","ONT","MA_QH","RDD")</f>
        <v>0</v>
      </c>
      <c r="O44" s="35">
        <f>+GETPIVOTDATA("XXS4",'xuanson (2016)'!$A$3,"MA_HT","ONT","MA_QH","NTS")</f>
        <v>0</v>
      </c>
      <c r="P44" s="35">
        <f>+GETPIVOTDATA("XXS4",'xuanson (2016)'!$A$3,"MA_HT","ONT","MA_QH","LMU")</f>
        <v>0</v>
      </c>
      <c r="Q44" s="35">
        <f>+GETPIVOTDATA("XXS4",'xuanson (2016)'!$A$3,"MA_HT","ONT","MA_QH","NKH")</f>
        <v>0</v>
      </c>
      <c r="R44" s="106">
        <f>SUM(S44:AA44,AN44:AP44,AR44:BD44)</f>
        <v>0</v>
      </c>
      <c r="S44" s="35">
        <f>+GETPIVOTDATA("XXS4",'xuanson (2016)'!$A$3,"MA_HT","ONT","MA_QH","CQP")</f>
        <v>0</v>
      </c>
      <c r="T44" s="35">
        <f>+GETPIVOTDATA("XXS4",'xuanson (2016)'!$A$3,"MA_HT","ONT","MA_QH","CAN")</f>
        <v>0</v>
      </c>
      <c r="U44" s="35">
        <f>+GETPIVOTDATA("XXS4",'xuanson (2016)'!$A$3,"MA_HT","ONT","MA_QH","SKK")</f>
        <v>0</v>
      </c>
      <c r="V44" s="35">
        <f>+GETPIVOTDATA("XXS4",'xuanson (2016)'!$A$3,"MA_HT","ONT","MA_QH","SKT")</f>
        <v>0</v>
      </c>
      <c r="W44" s="35">
        <f>+GETPIVOTDATA("XXS4",'xuanson (2016)'!$A$3,"MA_HT","ONT","MA_QH","SKN")</f>
        <v>0</v>
      </c>
      <c r="X44" s="35">
        <f>+GETPIVOTDATA("XXS4",'xuanson (2016)'!$A$3,"MA_HT","ONT","MA_QH","TMD")</f>
        <v>0</v>
      </c>
      <c r="Y44" s="35">
        <f>+GETPIVOTDATA("XXS4",'xuanson (2016)'!$A$3,"MA_HT","ONT","MA_QH","SKC")</f>
        <v>0</v>
      </c>
      <c r="Z44" s="35">
        <f>+GETPIVOTDATA("XXS4",'xuanson (2016)'!$A$3,"MA_HT","ONT","MA_QH","SKS")</f>
        <v>0</v>
      </c>
      <c r="AA44" s="64">
        <f t="shared" si="21"/>
        <v>0</v>
      </c>
      <c r="AB44" s="35">
        <f>+GETPIVOTDATA("XXS4",'xuanson (2016)'!$A$3,"MA_HT","ONT","MA_QH","DGT")</f>
        <v>0</v>
      </c>
      <c r="AC44" s="35">
        <f>+GETPIVOTDATA("XXS4",'xuanson (2016)'!$A$3,"MA_HT","ONT","MA_QH","DTL")</f>
        <v>0</v>
      </c>
      <c r="AD44" s="35">
        <f>+GETPIVOTDATA("XXS4",'xuanson (2016)'!$A$3,"MA_HT","ONT","MA_QH","DNL")</f>
        <v>0</v>
      </c>
      <c r="AE44" s="35">
        <f>+GETPIVOTDATA("XXS4",'xuanson (2016)'!$A$3,"MA_HT","ONT","MA_QH","DBV")</f>
        <v>0</v>
      </c>
      <c r="AF44" s="35">
        <f>+GETPIVOTDATA("XXS4",'xuanson (2016)'!$A$3,"MA_HT","ONT","MA_QH","DVH")</f>
        <v>0</v>
      </c>
      <c r="AG44" s="35">
        <f>+GETPIVOTDATA("XXS4",'xuanson (2016)'!$A$3,"MA_HT","ONT","MA_QH","DYT")</f>
        <v>0</v>
      </c>
      <c r="AH44" s="35">
        <f>+GETPIVOTDATA("XXS4",'xuanson (2016)'!$A$3,"MA_HT","ONT","MA_QH","DGD")</f>
        <v>0</v>
      </c>
      <c r="AI44" s="35">
        <f>+GETPIVOTDATA("XXS4",'xuanson (2016)'!$A$3,"MA_HT","ONT","MA_QH","DTT")</f>
        <v>0</v>
      </c>
      <c r="AJ44" s="35">
        <f>+GETPIVOTDATA("XXS4",'xuanson (2016)'!$A$3,"MA_HT","ONT","MA_QH","NCK")</f>
        <v>0</v>
      </c>
      <c r="AK44" s="35">
        <f>+GETPIVOTDATA("XXS4",'xuanson (2016)'!$A$3,"MA_HT","ONT","MA_QH","DXH")</f>
        <v>0</v>
      </c>
      <c r="AL44" s="35">
        <f>+GETPIVOTDATA("XXS4",'xuanson (2016)'!$A$3,"MA_HT","ONT","MA_QH","DCH")</f>
        <v>0</v>
      </c>
      <c r="AM44" s="35">
        <f>+GETPIVOTDATA("XXS4",'xuanson (2016)'!$A$3,"MA_HT","ONT","MA_QH","DKG")</f>
        <v>0</v>
      </c>
      <c r="AN44" s="35">
        <f>+GETPIVOTDATA("XXS4",'xuanson (2016)'!$A$3,"MA_HT","ONT","MA_QH","DDT")</f>
        <v>0</v>
      </c>
      <c r="AO44" s="35">
        <f>+GETPIVOTDATA("XXS4",'xuanson (2016)'!$A$3,"MA_HT","ONT","MA_QH","DDL")</f>
        <v>0</v>
      </c>
      <c r="AP44" s="35">
        <f>+GETPIVOTDATA("XXS4",'xuanson (2016)'!$A$3,"MA_HT","ONT","MA_QH","DRA")</f>
        <v>0</v>
      </c>
      <c r="AQ44" s="99" t="e">
        <f>$D44-$BF44</f>
        <v>#REF!</v>
      </c>
      <c r="AR44" s="35">
        <f>+GETPIVOTDATA("XXS4",'xuanson (2016)'!$A$3,"MA_HT","ONT","MA_QH","ODT")</f>
        <v>0</v>
      </c>
      <c r="AS44" s="35">
        <f>+GETPIVOTDATA("XXS4",'xuanson (2016)'!$A$3,"MA_HT","ONT","MA_QH","TSC")</f>
        <v>0</v>
      </c>
      <c r="AT44" s="35">
        <f>+GETPIVOTDATA("XXS4",'xuanson (2016)'!$A$3,"MA_HT","ONT","MA_QH","DTS")</f>
        <v>0</v>
      </c>
      <c r="AU44" s="35">
        <f>+GETPIVOTDATA("XXS4",'xuanson (2016)'!$A$3,"MA_HT","ONT","MA_QH","DNG")</f>
        <v>0</v>
      </c>
      <c r="AV44" s="35">
        <f>+GETPIVOTDATA("XXS4",'xuanson (2016)'!$A$3,"MA_HT","ONT","MA_QH","TON")</f>
        <v>0</v>
      </c>
      <c r="AW44" s="35">
        <f>+GETPIVOTDATA("XXS4",'xuanson (2016)'!$A$3,"MA_HT","ONT","MA_QH","NTD")</f>
        <v>0</v>
      </c>
      <c r="AX44" s="35">
        <f>+GETPIVOTDATA("XXS4",'xuanson (2016)'!$A$3,"MA_HT","ONT","MA_QH","SKX")</f>
        <v>0</v>
      </c>
      <c r="AY44" s="35">
        <f>+GETPIVOTDATA("XXS4",'xuanson (2016)'!$A$3,"MA_HT","ONT","MA_QH","DSH")</f>
        <v>0</v>
      </c>
      <c r="AZ44" s="35">
        <f>+GETPIVOTDATA("XXS4",'xuanson (2016)'!$A$3,"MA_HT","ONT","MA_QH","DKV")</f>
        <v>0</v>
      </c>
      <c r="BA44" s="140">
        <f>+GETPIVOTDATA("XXS4",'xuanson (2016)'!$A$3,"MA_HT","ONT","MA_QH","TIN")</f>
        <v>0</v>
      </c>
      <c r="BB44" s="74">
        <f>+GETPIVOTDATA("XXS4",'xuanson (2016)'!$A$3,"MA_HT","ONT","MA_QH","SON")</f>
        <v>0</v>
      </c>
      <c r="BC44" s="74">
        <f>+GETPIVOTDATA("XXS4",'xuanson (2016)'!$A$3,"MA_HT","ONT","MA_QH","MNC")</f>
        <v>0</v>
      </c>
      <c r="BD44" s="35">
        <f>+GETPIVOTDATA("XXS4",'xuanson (2016)'!$A$3,"MA_HT","ONT","MA_QH","PNK")</f>
        <v>0</v>
      </c>
      <c r="BE44" s="58">
        <f>+GETPIVOTDATA("XXS4",'xuanson (2016)'!$A$3,"MA_HT","ONT","MA_QH","CSD")</f>
        <v>0</v>
      </c>
      <c r="BF44" s="66">
        <f t="shared" si="13"/>
        <v>0</v>
      </c>
      <c r="BG44" s="67">
        <f>AQ$59-$BF44</f>
        <v>0</v>
      </c>
      <c r="BH44" s="62" t="e">
        <f t="shared" si="14"/>
        <v>#REF!</v>
      </c>
      <c r="BI44" s="5"/>
      <c r="BJ44" s="78" t="e">
        <f>#REF!</f>
        <v>#REF!</v>
      </c>
      <c r="BK44" s="78" t="e">
        <f>BH44-BJ44</f>
        <v>#REF!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</row>
    <row r="45" spans="1:79" s="41" customFormat="1" ht="15.75" customHeight="1">
      <c r="A45" s="107" t="s">
        <v>93</v>
      </c>
      <c r="B45" s="108" t="s">
        <v>239</v>
      </c>
      <c r="C45" s="109" t="s">
        <v>60</v>
      </c>
      <c r="D45" s="110" t="e">
        <f>+#REF!</f>
        <v>#REF!</v>
      </c>
      <c r="E45" s="103">
        <f t="shared" si="15"/>
        <v>0</v>
      </c>
      <c r="F45" s="104">
        <f t="shared" si="9"/>
        <v>0</v>
      </c>
      <c r="G45" s="111">
        <f>+GETPIVOTDATA("XXS4",'xuanson (2016)'!$A$3,"MA_HT","ODT","MA_QH","LUC")</f>
        <v>0</v>
      </c>
      <c r="H45" s="111">
        <f>+GETPIVOTDATA("XXS4",'xuanson (2016)'!$A$3,"MA_HT","ODT","MA_QH","LUK")</f>
        <v>0</v>
      </c>
      <c r="I45" s="111">
        <f>+GETPIVOTDATA("XXS4",'xuanson (2016)'!$A$3,"MA_HT","ODT","MA_QH","LUN")</f>
        <v>0</v>
      </c>
      <c r="J45" s="111">
        <f>+GETPIVOTDATA("XXS4",'xuanson (2016)'!$A$3,"MA_HT","ODT","MA_QH","HNK")</f>
        <v>0</v>
      </c>
      <c r="K45" s="111">
        <f>+GETPIVOTDATA("XXS4",'xuanson (2016)'!$A$3,"MA_HT","ODT","MA_QH","CLN")</f>
        <v>0</v>
      </c>
      <c r="L45" s="111">
        <f>+GETPIVOTDATA("XXS4",'xuanson (2016)'!$A$3,"MA_HT","ODT","MA_QH","RSX")</f>
        <v>0</v>
      </c>
      <c r="M45" s="111">
        <f>+GETPIVOTDATA("XXS4",'xuanson (2016)'!$A$3,"MA_HT","ODT","MA_QH","RPH")</f>
        <v>0</v>
      </c>
      <c r="N45" s="111">
        <f>+GETPIVOTDATA("XXS4",'xuanson (2016)'!$A$3,"MA_HT","ODT","MA_QH","RDD")</f>
        <v>0</v>
      </c>
      <c r="O45" s="111">
        <f>+GETPIVOTDATA("XXS4",'xuanson (2016)'!$A$3,"MA_HT","ODT","MA_QH","NTS")</f>
        <v>0</v>
      </c>
      <c r="P45" s="111">
        <f>+GETPIVOTDATA("XXS4",'xuanson (2016)'!$A$3,"MA_HT","ODT","MA_QH","LMU")</f>
        <v>0</v>
      </c>
      <c r="Q45" s="111">
        <f>+GETPIVOTDATA("XXS4",'xuanson (2016)'!$A$3,"MA_HT","ODT","MA_QH","NKH")</f>
        <v>0</v>
      </c>
      <c r="R45" s="106">
        <f>SUM(S45:AA45,AN45:AQ45,AS45:BD45)</f>
        <v>0</v>
      </c>
      <c r="S45" s="111">
        <f>+GETPIVOTDATA("XXS4",'xuanson (2016)'!$A$3,"MA_HT","ODT","MA_QH","CQP")</f>
        <v>0</v>
      </c>
      <c r="T45" s="111">
        <f>+GETPIVOTDATA("XXS4",'xuanson (2016)'!$A$3,"MA_HT","ODT","MA_QH","CAN")</f>
        <v>0</v>
      </c>
      <c r="U45" s="111">
        <f>+GETPIVOTDATA("XXS4",'xuanson (2016)'!$A$3,"MA_HT","ODT","MA_QH","SKK")</f>
        <v>0</v>
      </c>
      <c r="V45" s="111">
        <f>+GETPIVOTDATA("XXS4",'xuanson (2016)'!$A$3,"MA_HT","ODT","MA_QH","SKT")</f>
        <v>0</v>
      </c>
      <c r="W45" s="111">
        <f>+GETPIVOTDATA("XXS4",'xuanson (2016)'!$A$3,"MA_HT","ODT","MA_QH","SKN")</f>
        <v>0</v>
      </c>
      <c r="X45" s="111">
        <f>+GETPIVOTDATA("XXS4",'xuanson (2016)'!$A$3,"MA_HT","ODT","MA_QH","TMD")</f>
        <v>0</v>
      </c>
      <c r="Y45" s="111">
        <f>+GETPIVOTDATA("XXS4",'xuanson (2016)'!$A$3,"MA_HT","ODT","MA_QH","SKC")</f>
        <v>0</v>
      </c>
      <c r="Z45" s="111">
        <f>+GETPIVOTDATA("XXS4",'xuanson (2016)'!$A$3,"MA_HT","ODT","MA_QH","SKS")</f>
        <v>0</v>
      </c>
      <c r="AA45" s="104">
        <f t="shared" si="21"/>
        <v>0</v>
      </c>
      <c r="AB45" s="111">
        <f>+GETPIVOTDATA("XXS4",'xuanson (2016)'!$A$3,"MA_HT","ODT","MA_QH","DGT")</f>
        <v>0</v>
      </c>
      <c r="AC45" s="111">
        <f>+GETPIVOTDATA("XXS4",'xuanson (2016)'!$A$3,"MA_HT","ODT","MA_QH","DTL")</f>
        <v>0</v>
      </c>
      <c r="AD45" s="111">
        <f>+GETPIVOTDATA("XXS4",'xuanson (2016)'!$A$3,"MA_HT","ODT","MA_QH","DNL")</f>
        <v>0</v>
      </c>
      <c r="AE45" s="111">
        <f>+GETPIVOTDATA("XXS4",'xuanson (2016)'!$A$3,"MA_HT","ODT","MA_QH","DBV")</f>
        <v>0</v>
      </c>
      <c r="AF45" s="111">
        <f>+GETPIVOTDATA("XXS4",'xuanson (2016)'!$A$3,"MA_HT","ODT","MA_QH","DVH")</f>
        <v>0</v>
      </c>
      <c r="AG45" s="111">
        <f>+GETPIVOTDATA("XXS4",'xuanson (2016)'!$A$3,"MA_HT","ODT","MA_QH","DYT")</f>
        <v>0</v>
      </c>
      <c r="AH45" s="111">
        <f>+GETPIVOTDATA("XXS4",'xuanson (2016)'!$A$3,"MA_HT","ODT","MA_QH","DGD")</f>
        <v>0</v>
      </c>
      <c r="AI45" s="111">
        <f>+GETPIVOTDATA("XXS4",'xuanson (2016)'!$A$3,"MA_HT","ODT","MA_QH","DTT")</f>
        <v>0</v>
      </c>
      <c r="AJ45" s="111">
        <f>+GETPIVOTDATA("XXS4",'xuanson (2016)'!$A$3,"MA_HT","ODT","MA_QH","NCK")</f>
        <v>0</v>
      </c>
      <c r="AK45" s="111">
        <f>+GETPIVOTDATA("XXS4",'xuanson (2016)'!$A$3,"MA_HT","ODT","MA_QH","DXH")</f>
        <v>0</v>
      </c>
      <c r="AL45" s="111">
        <f>+GETPIVOTDATA("XXS4",'xuanson (2016)'!$A$3,"MA_HT","ODT","MA_QH","DCH")</f>
        <v>0</v>
      </c>
      <c r="AM45" s="111">
        <f>+GETPIVOTDATA("XXS4",'xuanson (2016)'!$A$3,"MA_HT","ODT","MA_QH","DKG")</f>
        <v>0</v>
      </c>
      <c r="AN45" s="111">
        <f>+GETPIVOTDATA("XXS4",'xuanson (2016)'!$A$3,"MA_HT","ODT","MA_QH","DDT")</f>
        <v>0</v>
      </c>
      <c r="AO45" s="111">
        <f>+GETPIVOTDATA("XXS4",'xuanson (2016)'!$A$3,"MA_HT","ODT","MA_QH","DDL")</f>
        <v>0</v>
      </c>
      <c r="AP45" s="111">
        <f>+GETPIVOTDATA("XXS4",'xuanson (2016)'!$A$3,"MA_HT","ODT","MA_QH","DRA")</f>
        <v>0</v>
      </c>
      <c r="AQ45" s="111">
        <f>+GETPIVOTDATA("XXS4",'xuanson (2016)'!$A$3,"MA_HT","ODT","MA_QH","ONT")</f>
        <v>0</v>
      </c>
      <c r="AR45" s="112" t="e">
        <f>$D45-$BF45</f>
        <v>#REF!</v>
      </c>
      <c r="AS45" s="111">
        <f>+GETPIVOTDATA("XXS4",'xuanson (2016)'!$A$3,"MA_HT","ODT","MA_QH","TSC")</f>
        <v>0</v>
      </c>
      <c r="AT45" s="111">
        <f>+GETPIVOTDATA("XXS4",'xuanson (2016)'!$A$3,"MA_HT","ODT","MA_QH","DTS")</f>
        <v>0</v>
      </c>
      <c r="AU45" s="111">
        <f>+GETPIVOTDATA("XXS4",'xuanson (2016)'!$A$3,"MA_HT","ODT","MA_QH","DNG")</f>
        <v>0</v>
      </c>
      <c r="AV45" s="111">
        <f>+GETPIVOTDATA("XXS4",'xuanson (2016)'!$A$3,"MA_HT","ODT","MA_QH","TON")</f>
        <v>0</v>
      </c>
      <c r="AW45" s="111">
        <f>+GETPIVOTDATA("XXS4",'xuanson (2016)'!$A$3,"MA_HT","ODT","MA_QH","NTD")</f>
        <v>0</v>
      </c>
      <c r="AX45" s="111">
        <f>+GETPIVOTDATA("XXS4",'xuanson (2016)'!$A$3,"MA_HT","ODT","MA_QH","SKX")</f>
        <v>0</v>
      </c>
      <c r="AY45" s="111">
        <f>+GETPIVOTDATA("XXS4",'xuanson (2016)'!$A$3,"MA_HT","ODT","MA_QH","DSH")</f>
        <v>0</v>
      </c>
      <c r="AZ45" s="111">
        <f>+GETPIVOTDATA("XXS4",'xuanson (2016)'!$A$3,"MA_HT","ODT","MA_QH","DKV")</f>
        <v>0</v>
      </c>
      <c r="BA45" s="142">
        <f>+GETPIVOTDATA("XXS4",'xuanson (2016)'!$A$3,"MA_HT","ODT","MA_QH","TIN")</f>
        <v>0</v>
      </c>
      <c r="BB45" s="105">
        <f>+GETPIVOTDATA("XXS4",'xuanson (2016)'!$A$3,"MA_HT","ODT","MA_QH","SON")</f>
        <v>0</v>
      </c>
      <c r="BC45" s="105">
        <f>+GETPIVOTDATA("XXS4",'xuanson (2016)'!$A$3,"MA_HT","ODT","MA_QH","MNC")</f>
        <v>0</v>
      </c>
      <c r="BD45" s="111">
        <f>+GETPIVOTDATA("XXS4",'xuanson (2016)'!$A$3,"MA_HT","ODT","MA_QH","PNK")</f>
        <v>0</v>
      </c>
      <c r="BE45" s="113">
        <f>+GETPIVOTDATA("XXS4",'xuanson (2016)'!$A$3,"MA_HT","ODT","MA_QH","CSD")</f>
        <v>0</v>
      </c>
      <c r="BF45" s="114">
        <f t="shared" si="13"/>
        <v>0</v>
      </c>
      <c r="BG45" s="115">
        <f>AR$59-$BF45</f>
        <v>0</v>
      </c>
      <c r="BH45" s="110" t="e">
        <f t="shared" si="14"/>
        <v>#REF!</v>
      </c>
      <c r="BI45" s="5"/>
      <c r="BJ45" s="78" t="e">
        <f>#REF!</f>
        <v>#REF!</v>
      </c>
      <c r="BK45" s="78" t="e">
        <f>BH45-BJ45</f>
        <v>#REF!</v>
      </c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</row>
    <row r="46" spans="1:79" s="131" customFormat="1" ht="15.75" customHeight="1">
      <c r="A46" s="60" t="s">
        <v>96</v>
      </c>
      <c r="B46" s="80" t="s">
        <v>62</v>
      </c>
      <c r="C46" s="61" t="s">
        <v>63</v>
      </c>
      <c r="D46" s="62" t="e">
        <f>+#REF!</f>
        <v>#REF!</v>
      </c>
      <c r="E46" s="63">
        <f>SUM(F46,J46:Q46)</f>
        <v>0</v>
      </c>
      <c r="F46" s="64">
        <f t="shared" si="9"/>
        <v>0</v>
      </c>
      <c r="G46" s="35">
        <f>+GETPIVOTDATA("XXS4",'xuanson (2016)'!$A$3,"MA_HT","TSC","MA_QH","LUC")</f>
        <v>0</v>
      </c>
      <c r="H46" s="35">
        <f>+GETPIVOTDATA("XXS4",'xuanson (2016)'!$A$3,"MA_HT","TSC","MA_QH","LUK")</f>
        <v>0</v>
      </c>
      <c r="I46" s="35">
        <f>+GETPIVOTDATA("XXS4",'xuanson (2016)'!$A$3,"MA_HT","TSC","MA_QH","LUN")</f>
        <v>0</v>
      </c>
      <c r="J46" s="35">
        <f>+GETPIVOTDATA("XXS4",'xuanson (2016)'!$A$3,"MA_HT","TSC","MA_QH","HNK")</f>
        <v>0</v>
      </c>
      <c r="K46" s="35">
        <f>+GETPIVOTDATA("XXS4",'xuanson (2016)'!$A$3,"MA_HT","TSC","MA_QH","CLN")</f>
        <v>0</v>
      </c>
      <c r="L46" s="35">
        <f>+GETPIVOTDATA("XXS4",'xuanson (2016)'!$A$3,"MA_HT","TSC","MA_QH","RSX")</f>
        <v>0</v>
      </c>
      <c r="M46" s="35">
        <f>+GETPIVOTDATA("XXS4",'xuanson (2016)'!$A$3,"MA_HT","TSC","MA_QH","RPH")</f>
        <v>0</v>
      </c>
      <c r="N46" s="35">
        <f>+GETPIVOTDATA("XXS4",'xuanson (2016)'!$A$3,"MA_HT","TSC","MA_QH","RDD")</f>
        <v>0</v>
      </c>
      <c r="O46" s="35">
        <f>+GETPIVOTDATA("XXS4",'xuanson (2016)'!$A$3,"MA_HT","TSC","MA_QH","NTS")</f>
        <v>0</v>
      </c>
      <c r="P46" s="35">
        <f>+GETPIVOTDATA("XXS4",'xuanson (2016)'!$A$3,"MA_HT","TSC","MA_QH","LMU")</f>
        <v>0</v>
      </c>
      <c r="Q46" s="35">
        <f>+GETPIVOTDATA("XXS4",'xuanson (2016)'!$A$3,"MA_HT","TSC","MA_QH","NKH")</f>
        <v>0</v>
      </c>
      <c r="R46" s="72">
        <f>SUM(S46:AA46,AN46:AR46,AT46:BD46)</f>
        <v>0</v>
      </c>
      <c r="S46" s="35">
        <f>+GETPIVOTDATA("XXS4",'xuanson (2016)'!$A$3,"MA_HT","TSC","MA_QH","CQP")</f>
        <v>0</v>
      </c>
      <c r="T46" s="35">
        <f>+GETPIVOTDATA("XXS4",'xuanson (2016)'!$A$3,"MA_HT","TSC","MA_QH","CAN")</f>
        <v>0</v>
      </c>
      <c r="U46" s="35">
        <f>+GETPIVOTDATA("XXS4",'xuanson (2016)'!$A$3,"MA_HT","TSC","MA_QH","SKK")</f>
        <v>0</v>
      </c>
      <c r="V46" s="35">
        <f>+GETPIVOTDATA("XXS4",'xuanson (2016)'!$A$3,"MA_HT","TSC","MA_QH","SKT")</f>
        <v>0</v>
      </c>
      <c r="W46" s="35">
        <f>+GETPIVOTDATA("XXS4",'xuanson (2016)'!$A$3,"MA_HT","TSC","MA_QH","SKN")</f>
        <v>0</v>
      </c>
      <c r="X46" s="35">
        <f>+GETPIVOTDATA("XXS4",'xuanson (2016)'!$A$3,"MA_HT","TSC","MA_QH","TMD")</f>
        <v>0</v>
      </c>
      <c r="Y46" s="35">
        <f>+GETPIVOTDATA("XXS4",'xuanson (2016)'!$A$3,"MA_HT","TSC","MA_QH","SKC")</f>
        <v>0</v>
      </c>
      <c r="Z46" s="35">
        <f>+GETPIVOTDATA("XXS4",'xuanson (2016)'!$A$3,"MA_HT","TSC","MA_QH","SKS")</f>
        <v>0</v>
      </c>
      <c r="AA46" s="64">
        <f t="shared" si="21"/>
        <v>0</v>
      </c>
      <c r="AB46" s="35">
        <f>+GETPIVOTDATA("XXS4",'xuanson (2016)'!$A$3,"MA_HT","TSC","MA_QH","DGT")</f>
        <v>0</v>
      </c>
      <c r="AC46" s="35">
        <f>+GETPIVOTDATA("XXS4",'xuanson (2016)'!$A$3,"MA_HT","TSC","MA_QH","DTL")</f>
        <v>0</v>
      </c>
      <c r="AD46" s="35">
        <f>+GETPIVOTDATA("XXS4",'xuanson (2016)'!$A$3,"MA_HT","TSC","MA_QH","DNL")</f>
        <v>0</v>
      </c>
      <c r="AE46" s="35">
        <f>+GETPIVOTDATA("XXS4",'xuanson (2016)'!$A$3,"MA_HT","TSC","MA_QH","DBV")</f>
        <v>0</v>
      </c>
      <c r="AF46" s="35">
        <f>+GETPIVOTDATA("XXS4",'xuanson (2016)'!$A$3,"MA_HT","TSC","MA_QH","DVH")</f>
        <v>0</v>
      </c>
      <c r="AG46" s="35">
        <f>+GETPIVOTDATA("XXS4",'xuanson (2016)'!$A$3,"MA_HT","TSC","MA_QH","DYT")</f>
        <v>0</v>
      </c>
      <c r="AH46" s="35">
        <f>+GETPIVOTDATA("XXS4",'xuanson (2016)'!$A$3,"MA_HT","TSC","MA_QH","DGD")</f>
        <v>0</v>
      </c>
      <c r="AI46" s="35">
        <f>+GETPIVOTDATA("XXS4",'xuanson (2016)'!$A$3,"MA_HT","TSC","MA_QH","DTT")</f>
        <v>0</v>
      </c>
      <c r="AJ46" s="35">
        <f>+GETPIVOTDATA("XXS4",'xuanson (2016)'!$A$3,"MA_HT","TSC","MA_QH","NCK")</f>
        <v>0</v>
      </c>
      <c r="AK46" s="35">
        <f>+GETPIVOTDATA("XXS4",'xuanson (2016)'!$A$3,"MA_HT","TSC","MA_QH","DXH")</f>
        <v>0</v>
      </c>
      <c r="AL46" s="35">
        <f>+GETPIVOTDATA("XXS4",'xuanson (2016)'!$A$3,"MA_HT","TSC","MA_QH","DCH")</f>
        <v>0</v>
      </c>
      <c r="AM46" s="35">
        <f>+GETPIVOTDATA("XXS4",'xuanson (2016)'!$A$3,"MA_HT","TSC","MA_QH","DKG")</f>
        <v>0</v>
      </c>
      <c r="AN46" s="35">
        <f>+GETPIVOTDATA("XXS4",'xuanson (2016)'!$A$3,"MA_HT","TSC","MA_QH","DDT")</f>
        <v>0</v>
      </c>
      <c r="AO46" s="35">
        <f>+GETPIVOTDATA("XXS4",'xuanson (2016)'!$A$3,"MA_HT","TSC","MA_QH","DDL")</f>
        <v>0</v>
      </c>
      <c r="AP46" s="35">
        <f>+GETPIVOTDATA("XXS4",'xuanson (2016)'!$A$3,"MA_HT","TSC","MA_QH","DRA")</f>
        <v>0</v>
      </c>
      <c r="AQ46" s="35">
        <f>+GETPIVOTDATA("XXS4",'xuanson (2016)'!$A$3,"MA_HT","TSC","MA_QH","ONT")</f>
        <v>0</v>
      </c>
      <c r="AR46" s="35">
        <f>+GETPIVOTDATA("XXS4",'xuanson (2016)'!$A$3,"MA_HT","TSC","MA_QH","ODT")</f>
        <v>0</v>
      </c>
      <c r="AS46" s="99" t="e">
        <f>$D46-$BF46</f>
        <v>#REF!</v>
      </c>
      <c r="AT46" s="35">
        <f>+GETPIVOTDATA("XXS4",'xuanson (2016)'!$A$3,"MA_HT","TSC","MA_QH","DTS")</f>
        <v>0</v>
      </c>
      <c r="AU46" s="35">
        <f>+GETPIVOTDATA("XXS4",'xuanson (2016)'!$A$3,"MA_HT","TSC","MA_QH","DNG")</f>
        <v>0</v>
      </c>
      <c r="AV46" s="35">
        <f>+GETPIVOTDATA("XXS4",'xuanson (2016)'!$A$3,"MA_HT","TSC","MA_QH","TON")</f>
        <v>0</v>
      </c>
      <c r="AW46" s="35">
        <f>+GETPIVOTDATA("XXS4",'xuanson (2016)'!$A$3,"MA_HT","TSC","MA_QH","NTD")</f>
        <v>0</v>
      </c>
      <c r="AX46" s="35">
        <f>+GETPIVOTDATA("XXS4",'xuanson (2016)'!$A$3,"MA_HT","TSC","MA_QH","SKX")</f>
        <v>0</v>
      </c>
      <c r="AY46" s="35">
        <f>+GETPIVOTDATA("XXS4",'xuanson (2016)'!$A$3,"MA_HT","TSC","MA_QH","DSH")</f>
        <v>0</v>
      </c>
      <c r="AZ46" s="35">
        <f>+GETPIVOTDATA("XXS4",'xuanson (2016)'!$A$3,"MA_HT","TSC","MA_QH","DKV")</f>
        <v>0</v>
      </c>
      <c r="BA46" s="140">
        <f>+GETPIVOTDATA("XXS4",'xuanson (2016)'!$A$3,"MA_HT","TSC","MA_QH","TIN")</f>
        <v>0</v>
      </c>
      <c r="BB46" s="74">
        <f>+GETPIVOTDATA("XXS4",'xuanson (2016)'!$A$3,"MA_HT","TSC","MA_QH","SON")</f>
        <v>0</v>
      </c>
      <c r="BC46" s="74">
        <f>+GETPIVOTDATA("XXS4",'xuanson (2016)'!$A$3,"MA_HT","TSC","MA_QH","MNC")</f>
        <v>0</v>
      </c>
      <c r="BD46" s="35">
        <f>+GETPIVOTDATA("XXS4",'xuanson (2016)'!$A$3,"MA_HT","TSC","MA_QH","PNK")</f>
        <v>0</v>
      </c>
      <c r="BE46" s="58">
        <f>+GETPIVOTDATA("XXS4",'xuanson (2016)'!$A$3,"MA_HT","TSC","MA_QH","CSD")</f>
        <v>0</v>
      </c>
      <c r="BF46" s="66">
        <f t="shared" si="13"/>
        <v>0</v>
      </c>
      <c r="BG46" s="67">
        <f>AS$59-$BF46</f>
        <v>0</v>
      </c>
      <c r="BH46" s="62" t="e">
        <f t="shared" si="14"/>
        <v>#REF!</v>
      </c>
      <c r="BI46" s="129"/>
      <c r="BJ46" s="129" t="e">
        <f>#REF!</f>
        <v>#REF!</v>
      </c>
      <c r="BK46" s="130" t="e">
        <f>BH46-BJ46</f>
        <v>#REF!</v>
      </c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</row>
    <row r="47" spans="1:79" s="41" customFormat="1" ht="15.75" customHeight="1">
      <c r="A47" s="116" t="s">
        <v>98</v>
      </c>
      <c r="B47" s="117" t="s">
        <v>65</v>
      </c>
      <c r="C47" s="118" t="s">
        <v>66</v>
      </c>
      <c r="D47" s="119" t="e">
        <f>+#REF!</f>
        <v>#REF!</v>
      </c>
      <c r="E47" s="120">
        <f t="shared" si="15"/>
        <v>0</v>
      </c>
      <c r="F47" s="121">
        <f t="shared" si="9"/>
        <v>0</v>
      </c>
      <c r="G47" s="122">
        <f>+GETPIVOTDATA("XXS4",'xuanson (2016)'!$A$3,"MA_HT","DTS","MA_QH","LUC")</f>
        <v>0</v>
      </c>
      <c r="H47" s="122">
        <f>+GETPIVOTDATA("XXS4",'xuanson (2016)'!$A$3,"MA_HT","DTS","MA_QH","LUK")</f>
        <v>0</v>
      </c>
      <c r="I47" s="122">
        <f>+GETPIVOTDATA("XXS4",'xuanson (2016)'!$A$3,"MA_HT","DTS","MA_QH","LUN")</f>
        <v>0</v>
      </c>
      <c r="J47" s="122">
        <f>+GETPIVOTDATA("XXS4",'xuanson (2016)'!$A$3,"MA_HT","DTS","MA_QH","HNK")</f>
        <v>0</v>
      </c>
      <c r="K47" s="122">
        <f>+GETPIVOTDATA("XXS4",'xuanson (2016)'!$A$3,"MA_HT","DTS","MA_QH","CLN")</f>
        <v>0</v>
      </c>
      <c r="L47" s="122">
        <f>+GETPIVOTDATA("XXS4",'xuanson (2016)'!$A$3,"MA_HT","DTS","MA_QH","RSX")</f>
        <v>0</v>
      </c>
      <c r="M47" s="122">
        <f>+GETPIVOTDATA("XXS4",'xuanson (2016)'!$A$3,"MA_HT","DTS","MA_QH","RPH")</f>
        <v>0</v>
      </c>
      <c r="N47" s="122">
        <f>+GETPIVOTDATA("XXS4",'xuanson (2016)'!$A$3,"MA_HT","DTS","MA_QH","RDD")</f>
        <v>0</v>
      </c>
      <c r="O47" s="122">
        <f>+GETPIVOTDATA("XXS4",'xuanson (2016)'!$A$3,"MA_HT","DTS","MA_QH","NTS")</f>
        <v>0</v>
      </c>
      <c r="P47" s="122">
        <f>+GETPIVOTDATA("XXS4",'xuanson (2016)'!$A$3,"MA_HT","DTS","MA_QH","LMU")</f>
        <v>0</v>
      </c>
      <c r="Q47" s="122">
        <f>+GETPIVOTDATA("XXS4",'xuanson (2016)'!$A$3,"MA_HT","DTS","MA_QH","NKH")</f>
        <v>0</v>
      </c>
      <c r="R47" s="123">
        <f>SUM(S47:AA47,AN47:AS47,AU47:BD47)</f>
        <v>0</v>
      </c>
      <c r="S47" s="122">
        <f>+GETPIVOTDATA("XXS4",'xuanson (2016)'!$A$3,"MA_HT","DTS","MA_QH","CQP")</f>
        <v>0</v>
      </c>
      <c r="T47" s="122">
        <f>+GETPIVOTDATA("XXS4",'xuanson (2016)'!$A$3,"MA_HT","DTS","MA_QH","CAN")</f>
        <v>0</v>
      </c>
      <c r="U47" s="122">
        <f>+GETPIVOTDATA("XXS4",'xuanson (2016)'!$A$3,"MA_HT","DTS","MA_QH","SKK")</f>
        <v>0</v>
      </c>
      <c r="V47" s="122">
        <f>+GETPIVOTDATA("XXS4",'xuanson (2016)'!$A$3,"MA_HT","DTS","MA_QH","SKT")</f>
        <v>0</v>
      </c>
      <c r="W47" s="122">
        <f>+GETPIVOTDATA("XXS4",'xuanson (2016)'!$A$3,"MA_HT","DTS","MA_QH","SKN")</f>
        <v>0</v>
      </c>
      <c r="X47" s="122">
        <f>+GETPIVOTDATA("XXS4",'xuanson (2016)'!$A$3,"MA_HT","DTS","MA_QH","TMD")</f>
        <v>0</v>
      </c>
      <c r="Y47" s="122">
        <f>+GETPIVOTDATA("XXS4",'xuanson (2016)'!$A$3,"MA_HT","DTS","MA_QH","SKC")</f>
        <v>0</v>
      </c>
      <c r="Z47" s="122">
        <f>+GETPIVOTDATA("XXS4",'xuanson (2016)'!$A$3,"MA_HT","DTS","MA_QH","SKS")</f>
        <v>0</v>
      </c>
      <c r="AA47" s="121">
        <f t="shared" si="21"/>
        <v>0</v>
      </c>
      <c r="AB47" s="122">
        <f>+GETPIVOTDATA("XXS4",'xuanson (2016)'!$A$3,"MA_HT","DTS","MA_QH","DGT")</f>
        <v>0</v>
      </c>
      <c r="AC47" s="122">
        <f>+GETPIVOTDATA("XXS4",'xuanson (2016)'!$A$3,"MA_HT","DTS","MA_QH","DTL")</f>
        <v>0</v>
      </c>
      <c r="AD47" s="122">
        <f>+GETPIVOTDATA("XXS4",'xuanson (2016)'!$A$3,"MA_HT","DTS","MA_QH","DNL")</f>
        <v>0</v>
      </c>
      <c r="AE47" s="122">
        <f>+GETPIVOTDATA("XXS4",'xuanson (2016)'!$A$3,"MA_HT","DTS","MA_QH","DBV")</f>
        <v>0</v>
      </c>
      <c r="AF47" s="122">
        <f>+GETPIVOTDATA("XXS4",'xuanson (2016)'!$A$3,"MA_HT","DTS","MA_QH","DVH")</f>
        <v>0</v>
      </c>
      <c r="AG47" s="122">
        <f>+GETPIVOTDATA("XXS4",'xuanson (2016)'!$A$3,"MA_HT","DTS","MA_QH","DYT")</f>
        <v>0</v>
      </c>
      <c r="AH47" s="122">
        <f>+GETPIVOTDATA("XXS4",'xuanson (2016)'!$A$3,"MA_HT","DTS","MA_QH","DGD")</f>
        <v>0</v>
      </c>
      <c r="AI47" s="122">
        <f>+GETPIVOTDATA("XXS4",'xuanson (2016)'!$A$3,"MA_HT","DTS","MA_QH","DTT")</f>
        <v>0</v>
      </c>
      <c r="AJ47" s="122">
        <f>+GETPIVOTDATA("XXS4",'xuanson (2016)'!$A$3,"MA_HT","DTS","MA_QH","NCK")</f>
        <v>0</v>
      </c>
      <c r="AK47" s="122">
        <f>+GETPIVOTDATA("XXS4",'xuanson (2016)'!$A$3,"MA_HT","DTS","MA_QH","DXH")</f>
        <v>0</v>
      </c>
      <c r="AL47" s="122">
        <f>+GETPIVOTDATA("XXS4",'xuanson (2016)'!$A$3,"MA_HT","DTS","MA_QH","DCH")</f>
        <v>0</v>
      </c>
      <c r="AM47" s="122">
        <f>+GETPIVOTDATA("XXS4",'xuanson (2016)'!$A$3,"MA_HT","DTS","MA_QH","DKG")</f>
        <v>0</v>
      </c>
      <c r="AN47" s="122">
        <f>+GETPIVOTDATA("XXS4",'xuanson (2016)'!$A$3,"MA_HT","DTS","MA_QH","DDT")</f>
        <v>0</v>
      </c>
      <c r="AO47" s="122">
        <f>+GETPIVOTDATA("XXS4",'xuanson (2016)'!$A$3,"MA_HT","DTS","MA_QH","DDL")</f>
        <v>0</v>
      </c>
      <c r="AP47" s="122">
        <f>+GETPIVOTDATA("XXS4",'xuanson (2016)'!$A$3,"MA_HT","DTS","MA_QH","DRA")</f>
        <v>0</v>
      </c>
      <c r="AQ47" s="122">
        <f>+GETPIVOTDATA("XXS4",'xuanson (2016)'!$A$3,"MA_HT","DTS","MA_QH","ONT")</f>
        <v>0</v>
      </c>
      <c r="AR47" s="122">
        <f>+GETPIVOTDATA("XXS4",'xuanson (2016)'!$A$3,"MA_HT","DTS","MA_QH","ODT")</f>
        <v>0</v>
      </c>
      <c r="AS47" s="122">
        <f>+GETPIVOTDATA("XXS4",'xuanson (2016)'!$A$3,"MA_HT","DTS","MA_QH","TSC")</f>
        <v>0</v>
      </c>
      <c r="AT47" s="124" t="e">
        <f>$D47-$BF47</f>
        <v>#REF!</v>
      </c>
      <c r="AU47" s="122">
        <f>+GETPIVOTDATA("XXS4",'xuanson (2016)'!$A$3,"MA_HT","DTS","MA_QH","DNG")</f>
        <v>0</v>
      </c>
      <c r="AV47" s="122">
        <f>+GETPIVOTDATA("XXS4",'xuanson (2016)'!$A$3,"MA_HT","DTS","MA_QH","TON")</f>
        <v>0</v>
      </c>
      <c r="AW47" s="122">
        <f>+GETPIVOTDATA("XXS4",'xuanson (2016)'!$A$3,"MA_HT","DTS","MA_QH","NTD")</f>
        <v>0</v>
      </c>
      <c r="AX47" s="122">
        <f>+GETPIVOTDATA("XXS4",'xuanson (2016)'!$A$3,"MA_HT","DTS","MA_QH","SKX")</f>
        <v>0</v>
      </c>
      <c r="AY47" s="122">
        <f>+GETPIVOTDATA("XXS4",'xuanson (2016)'!$A$3,"MA_HT","DTS","MA_QH","DSH")</f>
        <v>0</v>
      </c>
      <c r="AZ47" s="122">
        <f>+GETPIVOTDATA("XXS4",'xuanson (2016)'!$A$3,"MA_HT","DTS","MA_QH","DKV")</f>
        <v>0</v>
      </c>
      <c r="BA47" s="141">
        <f>+GETPIVOTDATA("XXS4",'xuanson (2016)'!$A$3,"MA_HT","DTS","MA_QH","TIN")</f>
        <v>0</v>
      </c>
      <c r="BB47" s="125">
        <f>+GETPIVOTDATA("XXS4",'xuanson (2016)'!$A$3,"MA_HT","DTS","MA_QH","SON")</f>
        <v>0</v>
      </c>
      <c r="BC47" s="125">
        <f>+GETPIVOTDATA("XXS4",'xuanson (2016)'!$A$3,"MA_HT","DTS","MA_QH","MNC")</f>
        <v>0</v>
      </c>
      <c r="BD47" s="122">
        <f>+GETPIVOTDATA("XXS4",'xuanson (2016)'!$A$3,"MA_HT","DTS","MA_QH","PNK")</f>
        <v>0</v>
      </c>
      <c r="BE47" s="126">
        <f>+GETPIVOTDATA("XXS4",'xuanson (2016)'!$A$3,"MA_HT","DTS","MA_QH","CSD")</f>
        <v>0</v>
      </c>
      <c r="BF47" s="127">
        <f t="shared" si="13"/>
        <v>0</v>
      </c>
      <c r="BG47" s="128">
        <f>AT$59-$BF47</f>
        <v>0</v>
      </c>
      <c r="BH47" s="119" t="e">
        <f t="shared" si="14"/>
        <v>#REF!</v>
      </c>
      <c r="BI47" s="5"/>
      <c r="BJ47" s="5"/>
      <c r="BK47" s="78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</row>
    <row r="48" spans="1:79" s="41" customFormat="1" ht="15.75" customHeight="1">
      <c r="A48" s="60" t="s">
        <v>101</v>
      </c>
      <c r="B48" s="80" t="s">
        <v>68</v>
      </c>
      <c r="C48" s="61" t="s">
        <v>69</v>
      </c>
      <c r="D48" s="62" t="e">
        <f>+#REF!</f>
        <v>#REF!</v>
      </c>
      <c r="E48" s="63">
        <f t="shared" si="15"/>
        <v>0</v>
      </c>
      <c r="F48" s="64">
        <f t="shared" si="9"/>
        <v>0</v>
      </c>
      <c r="G48" s="35">
        <f>+GETPIVOTDATA("XXS4",'xuanson (2016)'!$A$3,"MA_HT","DNG","MA_QH","LUC")</f>
        <v>0</v>
      </c>
      <c r="H48" s="35">
        <f>+GETPIVOTDATA("XXS4",'xuanson (2016)'!$A$3,"MA_HT","DNG","MA_QH","LUK")</f>
        <v>0</v>
      </c>
      <c r="I48" s="35">
        <f>+GETPIVOTDATA("XXS4",'xuanson (2016)'!$A$3,"MA_HT","DNG","MA_QH","LUN")</f>
        <v>0</v>
      </c>
      <c r="J48" s="35">
        <f>+GETPIVOTDATA("XXS4",'xuanson (2016)'!$A$3,"MA_HT","DNG","MA_QH","HNK")</f>
        <v>0</v>
      </c>
      <c r="K48" s="35">
        <f>+GETPIVOTDATA("XXS4",'xuanson (2016)'!$A$3,"MA_HT","DNG","MA_QH","CLN")</f>
        <v>0</v>
      </c>
      <c r="L48" s="35">
        <f>+GETPIVOTDATA("XXS4",'xuanson (2016)'!$A$3,"MA_HT","DNG","MA_QH","RSX")</f>
        <v>0</v>
      </c>
      <c r="M48" s="35">
        <f>+GETPIVOTDATA("XXS4",'xuanson (2016)'!$A$3,"MA_HT","DNG","MA_QH","RPH")</f>
        <v>0</v>
      </c>
      <c r="N48" s="35">
        <f>+GETPIVOTDATA("XXS4",'xuanson (2016)'!$A$3,"MA_HT","DNG","MA_QH","RDD")</f>
        <v>0</v>
      </c>
      <c r="O48" s="35">
        <f>+GETPIVOTDATA("XXS4",'xuanson (2016)'!$A$3,"MA_HT","DNG","MA_QH","NTS")</f>
        <v>0</v>
      </c>
      <c r="P48" s="35">
        <f>+GETPIVOTDATA("XXS4",'xuanson (2016)'!$A$3,"MA_HT","DNG","MA_QH","LMU")</f>
        <v>0</v>
      </c>
      <c r="Q48" s="35">
        <f>+GETPIVOTDATA("XXS4",'xuanson (2016)'!$A$3,"MA_HT","DNG","MA_QH","NKH")</f>
        <v>0</v>
      </c>
      <c r="R48" s="106">
        <f>SUM(S48:AA48,AN48:AT48,AV48:BD48)</f>
        <v>0</v>
      </c>
      <c r="S48" s="35">
        <f>+GETPIVOTDATA("XXS4",'xuanson (2016)'!$A$3,"MA_HT","DNG","MA_QH","CQP")</f>
        <v>0</v>
      </c>
      <c r="T48" s="35">
        <f>+GETPIVOTDATA("XXS4",'xuanson (2016)'!$A$3,"MA_HT","DNG","MA_QH","CAN")</f>
        <v>0</v>
      </c>
      <c r="U48" s="35">
        <f>+GETPIVOTDATA("XXS4",'xuanson (2016)'!$A$3,"MA_HT","DNG","MA_QH","SKK")</f>
        <v>0</v>
      </c>
      <c r="V48" s="35">
        <f>+GETPIVOTDATA("XXS4",'xuanson (2016)'!$A$3,"MA_HT","DNG","MA_QH","SKT")</f>
        <v>0</v>
      </c>
      <c r="W48" s="35">
        <f>+GETPIVOTDATA("XXS4",'xuanson (2016)'!$A$3,"MA_HT","DNG","MA_QH","SKN")</f>
        <v>0</v>
      </c>
      <c r="X48" s="35">
        <f>+GETPIVOTDATA("XXS4",'xuanson (2016)'!$A$3,"MA_HT","DNG","MA_QH","TMD")</f>
        <v>0</v>
      </c>
      <c r="Y48" s="35">
        <f>+GETPIVOTDATA("XXS4",'xuanson (2016)'!$A$3,"MA_HT","DNG","MA_QH","SKC")</f>
        <v>0</v>
      </c>
      <c r="Z48" s="35">
        <f>+GETPIVOTDATA("XXS4",'xuanson (2016)'!$A$3,"MA_HT","DNG","MA_QH","SKS")</f>
        <v>0</v>
      </c>
      <c r="AA48" s="64">
        <f t="shared" si="21"/>
        <v>0</v>
      </c>
      <c r="AB48" s="35">
        <f>+GETPIVOTDATA("XXS4",'xuanson (2016)'!$A$3,"MA_HT","DNG","MA_QH","DGT")</f>
        <v>0</v>
      </c>
      <c r="AC48" s="35">
        <f>+GETPIVOTDATA("XXS4",'xuanson (2016)'!$A$3,"MA_HT","DNG","MA_QH","DTL")</f>
        <v>0</v>
      </c>
      <c r="AD48" s="35">
        <f>+GETPIVOTDATA("XXS4",'xuanson (2016)'!$A$3,"MA_HT","DNG","MA_QH","DNL")</f>
        <v>0</v>
      </c>
      <c r="AE48" s="35">
        <f>+GETPIVOTDATA("XXS4",'xuanson (2016)'!$A$3,"MA_HT","DNG","MA_QH","DBV")</f>
        <v>0</v>
      </c>
      <c r="AF48" s="35">
        <f>+GETPIVOTDATA("XXS4",'xuanson (2016)'!$A$3,"MA_HT","DNG","MA_QH","DVH")</f>
        <v>0</v>
      </c>
      <c r="AG48" s="35">
        <f>+GETPIVOTDATA("XXS4",'xuanson (2016)'!$A$3,"MA_HT","DNG","MA_QH","DYT")</f>
        <v>0</v>
      </c>
      <c r="AH48" s="35">
        <f>+GETPIVOTDATA("XXS4",'xuanson (2016)'!$A$3,"MA_HT","DNG","MA_QH","DGD")</f>
        <v>0</v>
      </c>
      <c r="AI48" s="35">
        <f>+GETPIVOTDATA("XXS4",'xuanson (2016)'!$A$3,"MA_HT","DNG","MA_QH","DTT")</f>
        <v>0</v>
      </c>
      <c r="AJ48" s="35">
        <f>+GETPIVOTDATA("XXS4",'xuanson (2016)'!$A$3,"MA_HT","DNG","MA_QH","NCK")</f>
        <v>0</v>
      </c>
      <c r="AK48" s="35">
        <f>+GETPIVOTDATA("XXS4",'xuanson (2016)'!$A$3,"MA_HT","DNG","MA_QH","DXH")</f>
        <v>0</v>
      </c>
      <c r="AL48" s="35">
        <f>+GETPIVOTDATA("XXS4",'xuanson (2016)'!$A$3,"MA_HT","DNG","MA_QH","DCH")</f>
        <v>0</v>
      </c>
      <c r="AM48" s="35">
        <f>+GETPIVOTDATA("XXS4",'xuanson (2016)'!$A$3,"MA_HT","DNG","MA_QH","DKG")</f>
        <v>0</v>
      </c>
      <c r="AN48" s="35">
        <f>+GETPIVOTDATA("XXS4",'xuanson (2016)'!$A$3,"MA_HT","DNG","MA_QH","DDT")</f>
        <v>0</v>
      </c>
      <c r="AO48" s="35">
        <f>+GETPIVOTDATA("XXS4",'xuanson (2016)'!$A$3,"MA_HT","DNG","MA_QH","DDL")</f>
        <v>0</v>
      </c>
      <c r="AP48" s="35">
        <f>+GETPIVOTDATA("XXS4",'xuanson (2016)'!$A$3,"MA_HT","DNG","MA_QH","DRA")</f>
        <v>0</v>
      </c>
      <c r="AQ48" s="35">
        <f>+GETPIVOTDATA("XXS4",'xuanson (2016)'!$A$3,"MA_HT","DNG","MA_QH","ONT")</f>
        <v>0</v>
      </c>
      <c r="AR48" s="35">
        <f>+GETPIVOTDATA("XXS4",'xuanson (2016)'!$A$3,"MA_HT","DNG","MA_QH","ODT")</f>
        <v>0</v>
      </c>
      <c r="AS48" s="35">
        <f>+GETPIVOTDATA("XXS4",'xuanson (2016)'!$A$3,"MA_HT","DNG","MA_QH","TSC")</f>
        <v>0</v>
      </c>
      <c r="AT48" s="35">
        <f>+GETPIVOTDATA("XXS4",'xuanson (2016)'!$A$3,"MA_HT","DNG","MA_QH","DTS")</f>
        <v>0</v>
      </c>
      <c r="AU48" s="99" t="e">
        <f>$D48-$BF48</f>
        <v>#REF!</v>
      </c>
      <c r="AV48" s="35">
        <f>+GETPIVOTDATA("XXS4",'xuanson (2016)'!$A$3,"MA_HT","DNG","MA_QH","TON")</f>
        <v>0</v>
      </c>
      <c r="AW48" s="35">
        <f>+GETPIVOTDATA("XXS4",'xuanson (2016)'!$A$3,"MA_HT","DNG","MA_QH","NTD")</f>
        <v>0</v>
      </c>
      <c r="AX48" s="35">
        <f>+GETPIVOTDATA("XXS4",'xuanson (2016)'!$A$3,"MA_HT","DNG","MA_QH","SKX")</f>
        <v>0</v>
      </c>
      <c r="AY48" s="35">
        <f>+GETPIVOTDATA("XXS4",'xuanson (2016)'!$A$3,"MA_HT","DNG","MA_QH","DSH")</f>
        <v>0</v>
      </c>
      <c r="AZ48" s="35">
        <f>+GETPIVOTDATA("XXS4",'xuanson (2016)'!$A$3,"MA_HT","DNG","MA_QH","DKV")</f>
        <v>0</v>
      </c>
      <c r="BA48" s="140">
        <f>+GETPIVOTDATA("XXS4",'xuanson (2016)'!$A$3,"MA_HT","DNG","MA_QH","TIN")</f>
        <v>0</v>
      </c>
      <c r="BB48" s="74">
        <f>+GETPIVOTDATA("XXS4",'xuanson (2016)'!$A$3,"MA_HT","DNG","MA_QH","SON")</f>
        <v>0</v>
      </c>
      <c r="BC48" s="74">
        <f>+GETPIVOTDATA("XXS4",'xuanson (2016)'!$A$3,"MA_HT","DNG","MA_QH","MNC")</f>
        <v>0</v>
      </c>
      <c r="BD48" s="35">
        <f>+GETPIVOTDATA("XXS4",'xuanson (2016)'!$A$3,"MA_HT","DNG","MA_QH","PNK")</f>
        <v>0</v>
      </c>
      <c r="BE48" s="58">
        <f>+GETPIVOTDATA("XXS4",'xuanson (2016)'!$A$3,"MA_HT","DNG","MA_QH","CSD")</f>
        <v>0</v>
      </c>
      <c r="BF48" s="66">
        <f t="shared" si="13"/>
        <v>0</v>
      </c>
      <c r="BG48" s="67">
        <f>AU$59-$BF48</f>
        <v>0</v>
      </c>
      <c r="BH48" s="62" t="e">
        <f t="shared" si="14"/>
        <v>#REF!</v>
      </c>
      <c r="BI48" s="5"/>
      <c r="BJ48" s="5" t="e">
        <f>#REF!</f>
        <v>#REF!</v>
      </c>
      <c r="BK48" s="78" t="e">
        <f>BH48-BJ48</f>
        <v>#REF!</v>
      </c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</row>
    <row r="49" spans="1:246" s="41" customFormat="1" ht="15.75" customHeight="1">
      <c r="A49" s="60" t="s">
        <v>104</v>
      </c>
      <c r="B49" s="80" t="s">
        <v>105</v>
      </c>
      <c r="C49" s="61" t="s">
        <v>106</v>
      </c>
      <c r="D49" s="62" t="e">
        <f>+#REF!</f>
        <v>#REF!</v>
      </c>
      <c r="E49" s="63">
        <f t="shared" si="15"/>
        <v>0</v>
      </c>
      <c r="F49" s="64">
        <f t="shared" si="9"/>
        <v>0</v>
      </c>
      <c r="G49" s="35">
        <f>+GETPIVOTDATA("XXS4",'xuanson (2016)'!$A$3,"MA_HT","TON","MA_QH","LUC")</f>
        <v>0</v>
      </c>
      <c r="H49" s="35">
        <f>+GETPIVOTDATA("XXS4",'xuanson (2016)'!$A$3,"MA_HT","TON","MA_QH","LUK")</f>
        <v>0</v>
      </c>
      <c r="I49" s="35">
        <f>+GETPIVOTDATA("XXS4",'xuanson (2016)'!$A$3,"MA_HT","TON","MA_QH","LUN")</f>
        <v>0</v>
      </c>
      <c r="J49" s="35">
        <f>+GETPIVOTDATA("XXS4",'xuanson (2016)'!$A$3,"MA_HT","TON","MA_QH","HNK")</f>
        <v>0</v>
      </c>
      <c r="K49" s="35">
        <f>+GETPIVOTDATA("XXS4",'xuanson (2016)'!$A$3,"MA_HT","TON","MA_QH","CLN")</f>
        <v>0</v>
      </c>
      <c r="L49" s="35">
        <f>+GETPIVOTDATA("XXS4",'xuanson (2016)'!$A$3,"MA_HT","TON","MA_QH","RSX")</f>
        <v>0</v>
      </c>
      <c r="M49" s="35">
        <f>+GETPIVOTDATA("XXS4",'xuanson (2016)'!$A$3,"MA_HT","TON","MA_QH","RPH")</f>
        <v>0</v>
      </c>
      <c r="N49" s="35">
        <f>+GETPIVOTDATA("XXS4",'xuanson (2016)'!$A$3,"MA_HT","TON","MA_QH","RDD")</f>
        <v>0</v>
      </c>
      <c r="O49" s="35">
        <f>+GETPIVOTDATA("XXS4",'xuanson (2016)'!$A$3,"MA_HT","TON","MA_QH","NTS")</f>
        <v>0</v>
      </c>
      <c r="P49" s="35">
        <f>+GETPIVOTDATA("XXS4",'xuanson (2016)'!$A$3,"MA_HT","TON","MA_QH","LMU")</f>
        <v>0</v>
      </c>
      <c r="Q49" s="35">
        <f>+GETPIVOTDATA("XXS4",'xuanson (2016)'!$A$3,"MA_HT","TON","MA_QH","NKH")</f>
        <v>0</v>
      </c>
      <c r="R49" s="106">
        <f>SUM(S49:AA49,AN49:AU49,AW49:BD49)</f>
        <v>0</v>
      </c>
      <c r="S49" s="35">
        <f>+GETPIVOTDATA("XXS4",'xuanson (2016)'!$A$3,"MA_HT","TON","MA_QH","CQP")</f>
        <v>0</v>
      </c>
      <c r="T49" s="35">
        <f>+GETPIVOTDATA("XXS4",'xuanson (2016)'!$A$3,"MA_HT","TON","MA_QH","CAN")</f>
        <v>0</v>
      </c>
      <c r="U49" s="35">
        <f>+GETPIVOTDATA("XXS4",'xuanson (2016)'!$A$3,"MA_HT","TON","MA_QH","SKK")</f>
        <v>0</v>
      </c>
      <c r="V49" s="35">
        <f>+GETPIVOTDATA("XXS4",'xuanson (2016)'!$A$3,"MA_HT","TON","MA_QH","SKT")</f>
        <v>0</v>
      </c>
      <c r="W49" s="35">
        <f>+GETPIVOTDATA("XXS4",'xuanson (2016)'!$A$3,"MA_HT","TON","MA_QH","SKN")</f>
        <v>0</v>
      </c>
      <c r="X49" s="35">
        <f>+GETPIVOTDATA("XXS4",'xuanson (2016)'!$A$3,"MA_HT","TON","MA_QH","TMD")</f>
        <v>0</v>
      </c>
      <c r="Y49" s="35">
        <f>+GETPIVOTDATA("XXS4",'xuanson (2016)'!$A$3,"MA_HT","TON","MA_QH","SKC")</f>
        <v>0</v>
      </c>
      <c r="Z49" s="35">
        <f>+GETPIVOTDATA("XXS4",'xuanson (2016)'!$A$3,"MA_HT","TON","MA_QH","SKS")</f>
        <v>0</v>
      </c>
      <c r="AA49" s="64">
        <f t="shared" si="21"/>
        <v>0</v>
      </c>
      <c r="AB49" s="35">
        <f>+GETPIVOTDATA("XXS4",'xuanson (2016)'!$A$3,"MA_HT","TON","MA_QH","DGT")</f>
        <v>0</v>
      </c>
      <c r="AC49" s="35">
        <f>+GETPIVOTDATA("XXS4",'xuanson (2016)'!$A$3,"MA_HT","TON","MA_QH","DTL")</f>
        <v>0</v>
      </c>
      <c r="AD49" s="35">
        <f>+GETPIVOTDATA("XXS4",'xuanson (2016)'!$A$3,"MA_HT","TON","MA_QH","DNL")</f>
        <v>0</v>
      </c>
      <c r="AE49" s="35">
        <f>+GETPIVOTDATA("XXS4",'xuanson (2016)'!$A$3,"MA_HT","TON","MA_QH","DBV")</f>
        <v>0</v>
      </c>
      <c r="AF49" s="35">
        <f>+GETPIVOTDATA("XXS4",'xuanson (2016)'!$A$3,"MA_HT","TON","MA_QH","DVH")</f>
        <v>0</v>
      </c>
      <c r="AG49" s="35">
        <f>+GETPIVOTDATA("XXS4",'xuanson (2016)'!$A$3,"MA_HT","TON","MA_QH","DYT")</f>
        <v>0</v>
      </c>
      <c r="AH49" s="35">
        <f>+GETPIVOTDATA("XXS4",'xuanson (2016)'!$A$3,"MA_HT","TON","MA_QH","DGD")</f>
        <v>0</v>
      </c>
      <c r="AI49" s="35">
        <f>+GETPIVOTDATA("XXS4",'xuanson (2016)'!$A$3,"MA_HT","TON","MA_QH","DTT")</f>
        <v>0</v>
      </c>
      <c r="AJ49" s="35">
        <f>+GETPIVOTDATA("XXS4",'xuanson (2016)'!$A$3,"MA_HT","TON","MA_QH","NCK")</f>
        <v>0</v>
      </c>
      <c r="AK49" s="35">
        <f>+GETPIVOTDATA("XXS4",'xuanson (2016)'!$A$3,"MA_HT","TON","MA_QH","DXH")</f>
        <v>0</v>
      </c>
      <c r="AL49" s="35">
        <f>+GETPIVOTDATA("XXS4",'xuanson (2016)'!$A$3,"MA_HT","TON","MA_QH","DCH")</f>
        <v>0</v>
      </c>
      <c r="AM49" s="35">
        <f>+GETPIVOTDATA("XXS4",'xuanson (2016)'!$A$3,"MA_HT","TON","MA_QH","DKG")</f>
        <v>0</v>
      </c>
      <c r="AN49" s="35">
        <f>+GETPIVOTDATA("XXS4",'xuanson (2016)'!$A$3,"MA_HT","TON","MA_QH","DDT")</f>
        <v>0</v>
      </c>
      <c r="AO49" s="35">
        <f>+GETPIVOTDATA("XXS4",'xuanson (2016)'!$A$3,"MA_HT","TON","MA_QH","DDL")</f>
        <v>0</v>
      </c>
      <c r="AP49" s="35">
        <f>+GETPIVOTDATA("XXS4",'xuanson (2016)'!$A$3,"MA_HT","TON","MA_QH","DRA")</f>
        <v>0</v>
      </c>
      <c r="AQ49" s="35">
        <f>+GETPIVOTDATA("XXS4",'xuanson (2016)'!$A$3,"MA_HT","TON","MA_QH","ONT")</f>
        <v>0</v>
      </c>
      <c r="AR49" s="35">
        <f>+GETPIVOTDATA("XXS4",'xuanson (2016)'!$A$3,"MA_HT","TON","MA_QH","ODT")</f>
        <v>0</v>
      </c>
      <c r="AS49" s="35">
        <f>+GETPIVOTDATA("XXS4",'xuanson (2016)'!$A$3,"MA_HT","TON","MA_QH","TSC")</f>
        <v>0</v>
      </c>
      <c r="AT49" s="35">
        <f>+GETPIVOTDATA("XXS4",'xuanson (2016)'!$A$3,"MA_HT","TON","MA_QH","DTS")</f>
        <v>0</v>
      </c>
      <c r="AU49" s="35">
        <f>+GETPIVOTDATA("XXS4",'xuanson (2016)'!$A$3,"MA_HT","TON","MA_QH","DNG")</f>
        <v>0</v>
      </c>
      <c r="AV49" s="99" t="e">
        <f>$D49-$BF49</f>
        <v>#REF!</v>
      </c>
      <c r="AW49" s="35">
        <f>+GETPIVOTDATA("XXS4",'xuanson (2016)'!$A$3,"MA_HT","TON","MA_QH","NTD")</f>
        <v>0</v>
      </c>
      <c r="AX49" s="35">
        <f>+GETPIVOTDATA("XXS4",'xuanson (2016)'!$A$3,"MA_HT","TON","MA_QH","SKX")</f>
        <v>0</v>
      </c>
      <c r="AY49" s="35">
        <f>+GETPIVOTDATA("XXS4",'xuanson (2016)'!$A$3,"MA_HT","TON","MA_QH","DSH")</f>
        <v>0</v>
      </c>
      <c r="AZ49" s="35">
        <f>+GETPIVOTDATA("XXS4",'xuanson (2016)'!$A$3,"MA_HT","TON","MA_QH","DKV")</f>
        <v>0</v>
      </c>
      <c r="BA49" s="140">
        <f>+GETPIVOTDATA("XXS4",'xuanson (2016)'!$A$3,"MA_HT","TON","MA_QH","TIN")</f>
        <v>0</v>
      </c>
      <c r="BB49" s="74">
        <f>+GETPIVOTDATA("XXS4",'xuanson (2016)'!$A$3,"MA_HT","TON","MA_QH","SON")</f>
        <v>0</v>
      </c>
      <c r="BC49" s="74">
        <f>+GETPIVOTDATA("XXS4",'xuanson (2016)'!$A$3,"MA_HT","TON","MA_QH","MNC")</f>
        <v>0</v>
      </c>
      <c r="BD49" s="35">
        <f>+GETPIVOTDATA("XXS4",'xuanson (2016)'!$A$3,"MA_HT","TON","MA_QH","PNK")</f>
        <v>0</v>
      </c>
      <c r="BE49" s="58">
        <f>+GETPIVOTDATA("XXS4",'xuanson (2016)'!$A$3,"MA_HT","TON","MA_QH","CSD")</f>
        <v>0</v>
      </c>
      <c r="BF49" s="66">
        <f t="shared" si="13"/>
        <v>0</v>
      </c>
      <c r="BG49" s="67">
        <f>AV$59-$BF49</f>
        <v>0</v>
      </c>
      <c r="BH49" s="62" t="e">
        <f t="shared" si="14"/>
        <v>#REF!</v>
      </c>
      <c r="BI49" s="5"/>
      <c r="BJ49" s="5" t="e">
        <f>#REF!</f>
        <v>#REF!</v>
      </c>
      <c r="BK49" s="78" t="e">
        <f>BH49-BJ49</f>
        <v>#REF!</v>
      </c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</row>
    <row r="50" spans="1:246" s="41" customFormat="1" ht="15.75" customHeight="1">
      <c r="A50" s="60" t="s">
        <v>107</v>
      </c>
      <c r="B50" s="80" t="s">
        <v>240</v>
      </c>
      <c r="C50" s="61" t="s">
        <v>111</v>
      </c>
      <c r="D50" s="62" t="e">
        <f>+#REF!</f>
        <v>#REF!</v>
      </c>
      <c r="E50" s="63">
        <f t="shared" si="15"/>
        <v>0</v>
      </c>
      <c r="F50" s="64">
        <f t="shared" si="9"/>
        <v>0</v>
      </c>
      <c r="G50" s="35">
        <f>+GETPIVOTDATA("XXS4",'xuanson (2016)'!$A$3,"MA_HT","NTD","MA_QH","LUC")</f>
        <v>0</v>
      </c>
      <c r="H50" s="35">
        <f>+GETPIVOTDATA("XXS4",'xuanson (2016)'!$A$3,"MA_HT","NTD","MA_QH","LUK")</f>
        <v>0</v>
      </c>
      <c r="I50" s="35">
        <f>+GETPIVOTDATA("XXS4",'xuanson (2016)'!$A$3,"MA_HT","NTD","MA_QH","LUN")</f>
        <v>0</v>
      </c>
      <c r="J50" s="35">
        <f>+GETPIVOTDATA("XXS4",'xuanson (2016)'!$A$3,"MA_HT","NTD","MA_QH","HNK")</f>
        <v>0</v>
      </c>
      <c r="K50" s="35">
        <f>+GETPIVOTDATA("XXS4",'xuanson (2016)'!$A$3,"MA_HT","NTD","MA_QH","CLN")</f>
        <v>0</v>
      </c>
      <c r="L50" s="35">
        <f>+GETPIVOTDATA("XXS4",'xuanson (2016)'!$A$3,"MA_HT","NTD","MA_QH","RSX")</f>
        <v>0</v>
      </c>
      <c r="M50" s="35">
        <f>+GETPIVOTDATA("XXS4",'xuanson (2016)'!$A$3,"MA_HT","NTD","MA_QH","RPH")</f>
        <v>0</v>
      </c>
      <c r="N50" s="35">
        <f>+GETPIVOTDATA("XXS4",'xuanson (2016)'!$A$3,"MA_HT","NTD","MA_QH","RDD")</f>
        <v>0</v>
      </c>
      <c r="O50" s="35">
        <f>+GETPIVOTDATA("XXS4",'xuanson (2016)'!$A$3,"MA_HT","NTD","MA_QH","NTS")</f>
        <v>0</v>
      </c>
      <c r="P50" s="35">
        <f>+GETPIVOTDATA("XXS4",'xuanson (2016)'!$A$3,"MA_HT","NTD","MA_QH","LMU")</f>
        <v>0</v>
      </c>
      <c r="Q50" s="35">
        <f>+GETPIVOTDATA("XXS4",'xuanson (2016)'!$A$3,"MA_HT","NTD","MA_QH","NKH")</f>
        <v>0</v>
      </c>
      <c r="R50" s="106">
        <f>SUM(S50:AA50,AN50:AV50,AX50:BD50)</f>
        <v>0</v>
      </c>
      <c r="S50" s="35">
        <f>+GETPIVOTDATA("XXS4",'xuanson (2016)'!$A$3,"MA_HT","NTD","MA_QH","CQP")</f>
        <v>0</v>
      </c>
      <c r="T50" s="35">
        <f>+GETPIVOTDATA("XXS4",'xuanson (2016)'!$A$3,"MA_HT","NTD","MA_QH","CAN")</f>
        <v>0</v>
      </c>
      <c r="U50" s="35">
        <f>+GETPIVOTDATA("XXS4",'xuanson (2016)'!$A$3,"MA_HT","NTD","MA_QH","SKK")</f>
        <v>0</v>
      </c>
      <c r="V50" s="35">
        <f>+GETPIVOTDATA("XXS4",'xuanson (2016)'!$A$3,"MA_HT","NTD","MA_QH","SKT")</f>
        <v>0</v>
      </c>
      <c r="W50" s="35">
        <f>+GETPIVOTDATA("XXS4",'xuanson (2016)'!$A$3,"MA_HT","NTD","MA_QH","SKN")</f>
        <v>0</v>
      </c>
      <c r="X50" s="35">
        <f>+GETPIVOTDATA("XXS4",'xuanson (2016)'!$A$3,"MA_HT","NTD","MA_QH","TMD")</f>
        <v>0</v>
      </c>
      <c r="Y50" s="35">
        <f>+GETPIVOTDATA("XXS4",'xuanson (2016)'!$A$3,"MA_HT","NTD","MA_QH","SKC")</f>
        <v>0</v>
      </c>
      <c r="Z50" s="35">
        <f>+GETPIVOTDATA("XXS4",'xuanson (2016)'!$A$3,"MA_HT","NTD","MA_QH","SKS")</f>
        <v>0</v>
      </c>
      <c r="AA50" s="64">
        <f t="shared" si="21"/>
        <v>0</v>
      </c>
      <c r="AB50" s="35">
        <f>+GETPIVOTDATA("XXS4",'xuanson (2016)'!$A$3,"MA_HT","NTD","MA_QH","DGT")</f>
        <v>0</v>
      </c>
      <c r="AC50" s="35">
        <f>+GETPIVOTDATA("XXS4",'xuanson (2016)'!$A$3,"MA_HT","NTD","MA_QH","DTL")</f>
        <v>0</v>
      </c>
      <c r="AD50" s="35">
        <f>+GETPIVOTDATA("XXS4",'xuanson (2016)'!$A$3,"MA_HT","NTD","MA_QH","DNL")</f>
        <v>0</v>
      </c>
      <c r="AE50" s="35">
        <f>+GETPIVOTDATA("XXS4",'xuanson (2016)'!$A$3,"MA_HT","NTD","MA_QH","DBV")</f>
        <v>0</v>
      </c>
      <c r="AF50" s="35">
        <f>+GETPIVOTDATA("XXS4",'xuanson (2016)'!$A$3,"MA_HT","NTD","MA_QH","DVH")</f>
        <v>0</v>
      </c>
      <c r="AG50" s="35">
        <f>+GETPIVOTDATA("XXS4",'xuanson (2016)'!$A$3,"MA_HT","NTD","MA_QH","DYT")</f>
        <v>0</v>
      </c>
      <c r="AH50" s="35">
        <f>+GETPIVOTDATA("XXS4",'xuanson (2016)'!$A$3,"MA_HT","NTD","MA_QH","DGD")</f>
        <v>0</v>
      </c>
      <c r="AI50" s="35">
        <f>+GETPIVOTDATA("XXS4",'xuanson (2016)'!$A$3,"MA_HT","NTD","MA_QH","DTT")</f>
        <v>0</v>
      </c>
      <c r="AJ50" s="35">
        <f>+GETPIVOTDATA("XXS4",'xuanson (2016)'!$A$3,"MA_HT","NTD","MA_QH","NCK")</f>
        <v>0</v>
      </c>
      <c r="AK50" s="35">
        <f>+GETPIVOTDATA("XXS4",'xuanson (2016)'!$A$3,"MA_HT","NTD","MA_QH","DXH")</f>
        <v>0</v>
      </c>
      <c r="AL50" s="35">
        <f>+GETPIVOTDATA("XXS4",'xuanson (2016)'!$A$3,"MA_HT","NTD","MA_QH","DCH")</f>
        <v>0</v>
      </c>
      <c r="AM50" s="35">
        <f>+GETPIVOTDATA("XXS4",'xuanson (2016)'!$A$3,"MA_HT","NTD","MA_QH","DKG")</f>
        <v>0</v>
      </c>
      <c r="AN50" s="35">
        <f>+GETPIVOTDATA("XXS4",'xuanson (2016)'!$A$3,"MA_HT","NTD","MA_QH","DDT")</f>
        <v>0</v>
      </c>
      <c r="AO50" s="35">
        <f>+GETPIVOTDATA("XXS4",'xuanson (2016)'!$A$3,"MA_HT","NTD","MA_QH","DDL")</f>
        <v>0</v>
      </c>
      <c r="AP50" s="35">
        <f>+GETPIVOTDATA("XXS4",'xuanson (2016)'!$A$3,"MA_HT","NTD","MA_QH","DRA")</f>
        <v>0</v>
      </c>
      <c r="AQ50" s="35">
        <f>+GETPIVOTDATA("XXS4",'xuanson (2016)'!$A$3,"MA_HT","NTD","MA_QH","ONT")</f>
        <v>0</v>
      </c>
      <c r="AR50" s="35">
        <f>+GETPIVOTDATA("XXS4",'xuanson (2016)'!$A$3,"MA_HT","NTD","MA_QH","ODT")</f>
        <v>0</v>
      </c>
      <c r="AS50" s="35">
        <f>+GETPIVOTDATA("XXS4",'xuanson (2016)'!$A$3,"MA_HT","NTD","MA_QH","TSC")</f>
        <v>0</v>
      </c>
      <c r="AT50" s="35">
        <f>+GETPIVOTDATA("XXS4",'xuanson (2016)'!$A$3,"MA_HT","NTD","MA_QH","DTS")</f>
        <v>0</v>
      </c>
      <c r="AU50" s="35">
        <f>+GETPIVOTDATA("XXS4",'xuanson (2016)'!$A$3,"MA_HT","NTD","MA_QH","DNG")</f>
        <v>0</v>
      </c>
      <c r="AV50" s="35">
        <f>+GETPIVOTDATA("XXS4",'xuanson (2016)'!$A$3,"MA_HT","NTD","MA_QH","TON")</f>
        <v>0</v>
      </c>
      <c r="AW50" s="99" t="e">
        <f>$D50-$BF50</f>
        <v>#REF!</v>
      </c>
      <c r="AX50" s="35">
        <f>+GETPIVOTDATA("XXS4",'xuanson (2016)'!$A$3,"MA_HT","NTD","MA_QH","SKX")</f>
        <v>0</v>
      </c>
      <c r="AY50" s="35">
        <f>+GETPIVOTDATA("XXS4",'xuanson (2016)'!$A$3,"MA_HT","NTD","MA_QH","DSH")</f>
        <v>0</v>
      </c>
      <c r="AZ50" s="35">
        <f>+GETPIVOTDATA("XXS4",'xuanson (2016)'!$A$3,"MA_HT","NTD","MA_QH","DKV")</f>
        <v>0</v>
      </c>
      <c r="BA50" s="140">
        <f>+GETPIVOTDATA("XXS4",'xuanson (2016)'!$A$3,"MA_HT","NTD","MA_QH","TIN")</f>
        <v>0</v>
      </c>
      <c r="BB50" s="74">
        <f>+GETPIVOTDATA("XXS4",'xuanson (2016)'!$A$3,"MA_HT","NTD","MA_QH","SON")</f>
        <v>0</v>
      </c>
      <c r="BC50" s="74">
        <f>+GETPIVOTDATA("XXS4",'xuanson (2016)'!$A$3,"MA_HT","NTD","MA_QH","MNC")</f>
        <v>0</v>
      </c>
      <c r="BD50" s="35">
        <f>+GETPIVOTDATA("XXS4",'xuanson (2016)'!$A$3,"MA_HT","NTD","MA_QH","PNK")</f>
        <v>0</v>
      </c>
      <c r="BE50" s="58">
        <f>+GETPIVOTDATA("XXS4",'xuanson (2016)'!$A$3,"MA_HT","NTD","MA_QH","CSD")</f>
        <v>0</v>
      </c>
      <c r="BF50" s="66">
        <f t="shared" si="13"/>
        <v>0</v>
      </c>
      <c r="BG50" s="67">
        <f>AW$59-$BF50</f>
        <v>0</v>
      </c>
      <c r="BH50" s="62" t="e">
        <f t="shared" si="14"/>
        <v>#REF!</v>
      </c>
      <c r="BI50" s="5"/>
      <c r="BJ50" s="5"/>
      <c r="BK50" s="78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</row>
    <row r="51" spans="1:246" s="41" customFormat="1" ht="15.75" customHeight="1">
      <c r="A51" s="60" t="s">
        <v>110</v>
      </c>
      <c r="B51" s="60" t="s">
        <v>241</v>
      </c>
      <c r="C51" s="61" t="s">
        <v>92</v>
      </c>
      <c r="D51" s="62" t="e">
        <f>+#REF!</f>
        <v>#REF!</v>
      </c>
      <c r="E51" s="63">
        <f t="shared" si="15"/>
        <v>0</v>
      </c>
      <c r="F51" s="64">
        <f t="shared" si="9"/>
        <v>0</v>
      </c>
      <c r="G51" s="35">
        <f>+GETPIVOTDATA("XXS4",'xuanson (2016)'!$A$3,"MA_HT","SKX","MA_QH","LUC")</f>
        <v>0</v>
      </c>
      <c r="H51" s="35">
        <f>+GETPIVOTDATA("XXS4",'xuanson (2016)'!$A$3,"MA_HT","SKX","MA_QH","LUK")</f>
        <v>0</v>
      </c>
      <c r="I51" s="35">
        <f>+GETPIVOTDATA("XXS4",'xuanson (2016)'!$A$3,"MA_HT","SKX","MA_QH","LUN")</f>
        <v>0</v>
      </c>
      <c r="J51" s="35">
        <f>+GETPIVOTDATA("XXS4",'xuanson (2016)'!$A$3,"MA_HT","SKX","MA_QH","HNK")</f>
        <v>0</v>
      </c>
      <c r="K51" s="35">
        <f>+GETPIVOTDATA("XXS4",'xuanson (2016)'!$A$3,"MA_HT","SKX","MA_QH","CLN")</f>
        <v>0</v>
      </c>
      <c r="L51" s="35">
        <f>+GETPIVOTDATA("XXS4",'xuanson (2016)'!$A$3,"MA_HT","SKX","MA_QH","RSX")</f>
        <v>0</v>
      </c>
      <c r="M51" s="35">
        <f>+GETPIVOTDATA("XXS4",'xuanson (2016)'!$A$3,"MA_HT","SKX","MA_QH","RPH")</f>
        <v>0</v>
      </c>
      <c r="N51" s="35">
        <f>+GETPIVOTDATA("XXS4",'xuanson (2016)'!$A$3,"MA_HT","SKX","MA_QH","RDD")</f>
        <v>0</v>
      </c>
      <c r="O51" s="35">
        <f>+GETPIVOTDATA("XXS4",'xuanson (2016)'!$A$3,"MA_HT","SKX","MA_QH","NTS")</f>
        <v>0</v>
      </c>
      <c r="P51" s="35">
        <f>+GETPIVOTDATA("XXS4",'xuanson (2016)'!$A$3,"MA_HT","SKX","MA_QH","LMU")</f>
        <v>0</v>
      </c>
      <c r="Q51" s="35">
        <f>+GETPIVOTDATA("XXS4",'xuanson (2016)'!$A$3,"MA_HT","SKX","MA_QH","NKH")</f>
        <v>0</v>
      </c>
      <c r="R51" s="106">
        <f>SUM(S51:AA51,AN51:AW51,AY51:BD51)</f>
        <v>0</v>
      </c>
      <c r="S51" s="35">
        <f>+GETPIVOTDATA("XXS4",'xuanson (2016)'!$A$3,"MA_HT","SKX","MA_QH","CQP")</f>
        <v>0</v>
      </c>
      <c r="T51" s="35">
        <f>+GETPIVOTDATA("XXS4",'xuanson (2016)'!$A$3,"MA_HT","SKX","MA_QH","CAN")</f>
        <v>0</v>
      </c>
      <c r="U51" s="35">
        <f>+GETPIVOTDATA("XXS4",'xuanson (2016)'!$A$3,"MA_HT","SKX","MA_QH","SKK")</f>
        <v>0</v>
      </c>
      <c r="V51" s="35">
        <f>+GETPIVOTDATA("XXS4",'xuanson (2016)'!$A$3,"MA_HT","SKX","MA_QH","SKT")</f>
        <v>0</v>
      </c>
      <c r="W51" s="35">
        <f>+GETPIVOTDATA("XXS4",'xuanson (2016)'!$A$3,"MA_HT","SKX","MA_QH","SKN")</f>
        <v>0</v>
      </c>
      <c r="X51" s="35">
        <f>+GETPIVOTDATA("XXS4",'xuanson (2016)'!$A$3,"MA_HT","SKX","MA_QH","TMD")</f>
        <v>0</v>
      </c>
      <c r="Y51" s="35">
        <f>+GETPIVOTDATA("XXS4",'xuanson (2016)'!$A$3,"MA_HT","SKX","MA_QH","SKC")</f>
        <v>0</v>
      </c>
      <c r="Z51" s="35">
        <f>+GETPIVOTDATA("XXS4",'xuanson (2016)'!$A$3,"MA_HT","SKX","MA_QH","SKS")</f>
        <v>0</v>
      </c>
      <c r="AA51" s="64">
        <f t="shared" si="21"/>
        <v>0</v>
      </c>
      <c r="AB51" s="35">
        <f>+GETPIVOTDATA("XXS4",'xuanson (2016)'!$A$3,"MA_HT","SKX","MA_QH","DGT")</f>
        <v>0</v>
      </c>
      <c r="AC51" s="35">
        <f>+GETPIVOTDATA("XXS4",'xuanson (2016)'!$A$3,"MA_HT","SKX","MA_QH","DTL")</f>
        <v>0</v>
      </c>
      <c r="AD51" s="35">
        <f>+GETPIVOTDATA("XXS4",'xuanson (2016)'!$A$3,"MA_HT","SKX","MA_QH","DNL")</f>
        <v>0</v>
      </c>
      <c r="AE51" s="35">
        <f>+GETPIVOTDATA("XXS4",'xuanson (2016)'!$A$3,"MA_HT","SKX","MA_QH","DBV")</f>
        <v>0</v>
      </c>
      <c r="AF51" s="35">
        <f>+GETPIVOTDATA("XXS4",'xuanson (2016)'!$A$3,"MA_HT","SKX","MA_QH","DVH")</f>
        <v>0</v>
      </c>
      <c r="AG51" s="35">
        <f>+GETPIVOTDATA("XXS4",'xuanson (2016)'!$A$3,"MA_HT","SKX","MA_QH","DYT")</f>
        <v>0</v>
      </c>
      <c r="AH51" s="35">
        <f>+GETPIVOTDATA("XXS4",'xuanson (2016)'!$A$3,"MA_HT","SKX","MA_QH","DGD")</f>
        <v>0</v>
      </c>
      <c r="AI51" s="35">
        <f>+GETPIVOTDATA("XXS4",'xuanson (2016)'!$A$3,"MA_HT","SKX","MA_QH","DTT")</f>
        <v>0</v>
      </c>
      <c r="AJ51" s="35">
        <f>+GETPIVOTDATA("XXS4",'xuanson (2016)'!$A$3,"MA_HT","SKX","MA_QH","NCK")</f>
        <v>0</v>
      </c>
      <c r="AK51" s="35">
        <f>+GETPIVOTDATA("XXS4",'xuanson (2016)'!$A$3,"MA_HT","SKX","MA_QH","DXH")</f>
        <v>0</v>
      </c>
      <c r="AL51" s="35">
        <f>+GETPIVOTDATA("XXS4",'xuanson (2016)'!$A$3,"MA_HT","SKX","MA_QH","DCH")</f>
        <v>0</v>
      </c>
      <c r="AM51" s="35">
        <f>+GETPIVOTDATA("XXS4",'xuanson (2016)'!$A$3,"MA_HT","SKX","MA_QH","DKG")</f>
        <v>0</v>
      </c>
      <c r="AN51" s="35">
        <f>+GETPIVOTDATA("XXS4",'xuanson (2016)'!$A$3,"MA_HT","SKX","MA_QH","DDT")</f>
        <v>0</v>
      </c>
      <c r="AO51" s="35">
        <f>+GETPIVOTDATA("XXS4",'xuanson (2016)'!$A$3,"MA_HT","SKX","MA_QH","DDL")</f>
        <v>0</v>
      </c>
      <c r="AP51" s="35">
        <f>+GETPIVOTDATA("XXS4",'xuanson (2016)'!$A$3,"MA_HT","SKX","MA_QH","DRA")</f>
        <v>0</v>
      </c>
      <c r="AQ51" s="35">
        <f>+GETPIVOTDATA("XXS4",'xuanson (2016)'!$A$3,"MA_HT","SKX","MA_QH","ONT")</f>
        <v>0</v>
      </c>
      <c r="AR51" s="35">
        <f>+GETPIVOTDATA("XXS4",'xuanson (2016)'!$A$3,"MA_HT","SKX","MA_QH","ODT")</f>
        <v>0</v>
      </c>
      <c r="AS51" s="35">
        <f>+GETPIVOTDATA("XXS4",'xuanson (2016)'!$A$3,"MA_HT","SKX","MA_QH","TSC")</f>
        <v>0</v>
      </c>
      <c r="AT51" s="35">
        <f>+GETPIVOTDATA("XXS4",'xuanson (2016)'!$A$3,"MA_HT","SKX","MA_QH","DTS")</f>
        <v>0</v>
      </c>
      <c r="AU51" s="35">
        <f>+GETPIVOTDATA("XXS4",'xuanson (2016)'!$A$3,"MA_HT","SKX","MA_QH","DNG")</f>
        <v>0</v>
      </c>
      <c r="AV51" s="35">
        <f>+GETPIVOTDATA("XXS4",'xuanson (2016)'!$A$3,"MA_HT","SKX","MA_QH","TON")</f>
        <v>0</v>
      </c>
      <c r="AW51" s="35">
        <f>+GETPIVOTDATA("XXS4",'xuanson (2016)'!$A$3,"MA_HT","SKX","MA_QH","NTD")</f>
        <v>0</v>
      </c>
      <c r="AX51" s="99" t="e">
        <f>$D51-$BF51</f>
        <v>#REF!</v>
      </c>
      <c r="AY51" s="35">
        <f>+GETPIVOTDATA("XXS4",'xuanson (2016)'!$A$3,"MA_HT","SKX","MA_QH","DSH")</f>
        <v>0</v>
      </c>
      <c r="AZ51" s="35">
        <f>+GETPIVOTDATA("XXS4",'xuanson (2016)'!$A$3,"MA_HT","SKX","MA_QH","DKV")</f>
        <v>0</v>
      </c>
      <c r="BA51" s="140">
        <f>+GETPIVOTDATA("XXS4",'xuanson (2016)'!$A$3,"MA_HT","SKX","MA_QH","TIN")</f>
        <v>0</v>
      </c>
      <c r="BB51" s="74">
        <f>+GETPIVOTDATA("XXS4",'xuanson (2016)'!$A$3,"MA_HT","SKX","MA_QH","SON")</f>
        <v>0</v>
      </c>
      <c r="BC51" s="74">
        <f>+GETPIVOTDATA("XXS4",'xuanson (2016)'!$A$3,"MA_HT","SKX","MA_QH","MNC")</f>
        <v>0</v>
      </c>
      <c r="BD51" s="35">
        <f>+GETPIVOTDATA("XXS4",'xuanson (2016)'!$A$3,"MA_HT","SKX","MA_QH","PNK")</f>
        <v>0</v>
      </c>
      <c r="BE51" s="58">
        <f>+GETPIVOTDATA("XXS4",'xuanson (2016)'!$A$3,"MA_HT","SKX","MA_QH","CSD")</f>
        <v>0</v>
      </c>
      <c r="BF51" s="66">
        <f t="shared" si="13"/>
        <v>0</v>
      </c>
      <c r="BG51" s="67">
        <f>AX$59-$BF51</f>
        <v>0</v>
      </c>
      <c r="BH51" s="62" t="e">
        <f t="shared" si="14"/>
        <v>#REF!</v>
      </c>
      <c r="BI51" s="5"/>
      <c r="BJ51" s="5" t="e">
        <f>#REF!</f>
        <v>#REF!</v>
      </c>
      <c r="BK51" s="78" t="e">
        <f>BH51-BJ51</f>
        <v>#REF!</v>
      </c>
      <c r="BL51" s="5"/>
      <c r="BM51" s="81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</row>
    <row r="52" spans="1:246" s="41" customFormat="1" ht="15.75" customHeight="1">
      <c r="A52" s="60" t="s">
        <v>112</v>
      </c>
      <c r="B52" s="60" t="s">
        <v>142</v>
      </c>
      <c r="C52" s="61" t="s">
        <v>143</v>
      </c>
      <c r="D52" s="62" t="e">
        <f>+#REF!</f>
        <v>#REF!</v>
      </c>
      <c r="E52" s="63">
        <f t="shared" si="15"/>
        <v>0</v>
      </c>
      <c r="F52" s="64">
        <f t="shared" si="9"/>
        <v>0</v>
      </c>
      <c r="G52" s="35">
        <f>+GETPIVOTDATA("XXS4",'xuanson (2016)'!$A$3,"MA_HT","DSH","MA_QH","LUC")</f>
        <v>0</v>
      </c>
      <c r="H52" s="35">
        <f>+GETPIVOTDATA("XXS4",'xuanson (2016)'!$A$3,"MA_HT","DSH","MA_QH","LUK")</f>
        <v>0</v>
      </c>
      <c r="I52" s="35">
        <f>+GETPIVOTDATA("XXS4",'xuanson (2016)'!$A$3,"MA_HT","DSH","MA_QH","LUN")</f>
        <v>0</v>
      </c>
      <c r="J52" s="35">
        <f>+GETPIVOTDATA("XXS4",'xuanson (2016)'!$A$3,"MA_HT","DSH","MA_QH","HNK")</f>
        <v>0</v>
      </c>
      <c r="K52" s="35">
        <f>+GETPIVOTDATA("XXS4",'xuanson (2016)'!$A$3,"MA_HT","DSH","MA_QH","CLN")</f>
        <v>0</v>
      </c>
      <c r="L52" s="35">
        <f>+GETPIVOTDATA("XXS4",'xuanson (2016)'!$A$3,"MA_HT","DSH","MA_QH","RSX")</f>
        <v>0</v>
      </c>
      <c r="M52" s="35">
        <f>+GETPIVOTDATA("XXS4",'xuanson (2016)'!$A$3,"MA_HT","DSH","MA_QH","RPH")</f>
        <v>0</v>
      </c>
      <c r="N52" s="35">
        <f>+GETPIVOTDATA("XXS4",'xuanson (2016)'!$A$3,"MA_HT","DSH","MA_QH","RDD")</f>
        <v>0</v>
      </c>
      <c r="O52" s="35">
        <f>+GETPIVOTDATA("XXS4",'xuanson (2016)'!$A$3,"MA_HT","DSH","MA_QH","NTS")</f>
        <v>0</v>
      </c>
      <c r="P52" s="35">
        <f>+GETPIVOTDATA("XXS4",'xuanson (2016)'!$A$3,"MA_HT","DSH","MA_QH","LMU")</f>
        <v>0</v>
      </c>
      <c r="Q52" s="35">
        <f>+GETPIVOTDATA("XXS4",'xuanson (2016)'!$A$3,"MA_HT","DSH","MA_QH","NKH")</f>
        <v>0</v>
      </c>
      <c r="R52" s="106">
        <f>SUM(S52:AA52,AN52:AX52,AZ52:BD52)</f>
        <v>0</v>
      </c>
      <c r="S52" s="35">
        <f>+GETPIVOTDATA("XXS4",'xuanson (2016)'!$A$3,"MA_HT","DSH","MA_QH","CQP")</f>
        <v>0</v>
      </c>
      <c r="T52" s="35">
        <f>+GETPIVOTDATA("XXS4",'xuanson (2016)'!$A$3,"MA_HT","DSH","MA_QH","CAN")</f>
        <v>0</v>
      </c>
      <c r="U52" s="35">
        <f>+GETPIVOTDATA("XXS4",'xuanson (2016)'!$A$3,"MA_HT","DSH","MA_QH","SKK")</f>
        <v>0</v>
      </c>
      <c r="V52" s="35">
        <f>+GETPIVOTDATA("XXS4",'xuanson (2016)'!$A$3,"MA_HT","DSH","MA_QH","SKT")</f>
        <v>0</v>
      </c>
      <c r="W52" s="35">
        <f>+GETPIVOTDATA("XXS4",'xuanson (2016)'!$A$3,"MA_HT","DSH","MA_QH","SKN")</f>
        <v>0</v>
      </c>
      <c r="X52" s="35">
        <f>+GETPIVOTDATA("XXS4",'xuanson (2016)'!$A$3,"MA_HT","DSH","MA_QH","TMD")</f>
        <v>0</v>
      </c>
      <c r="Y52" s="35">
        <f>+GETPIVOTDATA("XXS4",'xuanson (2016)'!$A$3,"MA_HT","DSH","MA_QH","SKC")</f>
        <v>0</v>
      </c>
      <c r="Z52" s="35">
        <f>+GETPIVOTDATA("XXS4",'xuanson (2016)'!$A$3,"MA_HT","DSH","MA_QH","SKS")</f>
        <v>0</v>
      </c>
      <c r="AA52" s="64">
        <f t="shared" si="21"/>
        <v>0</v>
      </c>
      <c r="AB52" s="35">
        <f>+GETPIVOTDATA("XXS4",'xuanson (2016)'!$A$3,"MA_HT","DSH","MA_QH","DGT")</f>
        <v>0</v>
      </c>
      <c r="AC52" s="35">
        <f>+GETPIVOTDATA("XXS4",'xuanson (2016)'!$A$3,"MA_HT","DSH","MA_QH","DTL")</f>
        <v>0</v>
      </c>
      <c r="AD52" s="35">
        <f>+GETPIVOTDATA("XXS4",'xuanson (2016)'!$A$3,"MA_HT","DSH","MA_QH","DNL")</f>
        <v>0</v>
      </c>
      <c r="AE52" s="35">
        <f>+GETPIVOTDATA("XXS4",'xuanson (2016)'!$A$3,"MA_HT","DSH","MA_QH","DBV")</f>
        <v>0</v>
      </c>
      <c r="AF52" s="35">
        <f>+GETPIVOTDATA("XXS4",'xuanson (2016)'!$A$3,"MA_HT","DSH","MA_QH","DVH")</f>
        <v>0</v>
      </c>
      <c r="AG52" s="35">
        <f>+GETPIVOTDATA("XXS4",'xuanson (2016)'!$A$3,"MA_HT","DSH","MA_QH","DYT")</f>
        <v>0</v>
      </c>
      <c r="AH52" s="35">
        <f>+GETPIVOTDATA("XXS4",'xuanson (2016)'!$A$3,"MA_HT","DSH","MA_QH","DGD")</f>
        <v>0</v>
      </c>
      <c r="AI52" s="35">
        <f>+GETPIVOTDATA("XXS4",'xuanson (2016)'!$A$3,"MA_HT","DSH","MA_QH","DTT")</f>
        <v>0</v>
      </c>
      <c r="AJ52" s="35">
        <f>+GETPIVOTDATA("XXS4",'xuanson (2016)'!$A$3,"MA_HT","DSH","MA_QH","NCK")</f>
        <v>0</v>
      </c>
      <c r="AK52" s="35">
        <f>+GETPIVOTDATA("XXS4",'xuanson (2016)'!$A$3,"MA_HT","DSH","MA_QH","DXH")</f>
        <v>0</v>
      </c>
      <c r="AL52" s="35">
        <f>+GETPIVOTDATA("XXS4",'xuanson (2016)'!$A$3,"MA_HT","DSH","MA_QH","DCH")</f>
        <v>0</v>
      </c>
      <c r="AM52" s="35">
        <f>+GETPIVOTDATA("XXS4",'xuanson (2016)'!$A$3,"MA_HT","DSH","MA_QH","DKG")</f>
        <v>0</v>
      </c>
      <c r="AN52" s="35">
        <f>+GETPIVOTDATA("XXS4",'xuanson (2016)'!$A$3,"MA_HT","DSH","MA_QH","DDT")</f>
        <v>0</v>
      </c>
      <c r="AO52" s="35">
        <f>+GETPIVOTDATA("XXS4",'xuanson (2016)'!$A$3,"MA_HT","DSH","MA_QH","DDL")</f>
        <v>0</v>
      </c>
      <c r="AP52" s="35">
        <f>+GETPIVOTDATA("XXS4",'xuanson (2016)'!$A$3,"MA_HT","DSH","MA_QH","DRA")</f>
        <v>0</v>
      </c>
      <c r="AQ52" s="35">
        <f>+GETPIVOTDATA("XXS4",'xuanson (2016)'!$A$3,"MA_HT","DSH","MA_QH","ONT")</f>
        <v>0</v>
      </c>
      <c r="AR52" s="35">
        <f>+GETPIVOTDATA("XXS4",'xuanson (2016)'!$A$3,"MA_HT","DSH","MA_QH","ODT")</f>
        <v>0</v>
      </c>
      <c r="AS52" s="35">
        <f>+GETPIVOTDATA("XXS4",'xuanson (2016)'!$A$3,"MA_HT","DSH","MA_QH","TSC")</f>
        <v>0</v>
      </c>
      <c r="AT52" s="35">
        <f>+GETPIVOTDATA("XXS4",'xuanson (2016)'!$A$3,"MA_HT","DSH","MA_QH","DTS")</f>
        <v>0</v>
      </c>
      <c r="AU52" s="35">
        <f>+GETPIVOTDATA("XXS4",'xuanson (2016)'!$A$3,"MA_HT","DSH","MA_QH","DNG")</f>
        <v>0</v>
      </c>
      <c r="AV52" s="35">
        <f>+GETPIVOTDATA("XXS4",'xuanson (2016)'!$A$3,"MA_HT","DSH","MA_QH","TON")</f>
        <v>0</v>
      </c>
      <c r="AW52" s="35">
        <f>+GETPIVOTDATA("XXS4",'xuanson (2016)'!$A$3,"MA_HT","DSH","MA_QH","NTD")</f>
        <v>0</v>
      </c>
      <c r="AX52" s="35">
        <f>+GETPIVOTDATA("XXS4",'xuanson (2016)'!$A$3,"MA_HT","DSH","MA_QH","SKX")</f>
        <v>0</v>
      </c>
      <c r="AY52" s="99" t="e">
        <f>$D52-$BF52</f>
        <v>#REF!</v>
      </c>
      <c r="AZ52" s="35">
        <f>+GETPIVOTDATA("XXS4",'xuanson (2016)'!$A$3,"MA_HT","DSH","MA_QH","DKV")</f>
        <v>0</v>
      </c>
      <c r="BA52" s="140">
        <f>+GETPIVOTDATA("XXS4",'xuanson (2016)'!$A$3,"MA_HT","DSH","MA_QH","TIN")</f>
        <v>0</v>
      </c>
      <c r="BB52" s="74">
        <f>+GETPIVOTDATA("XXS4",'xuanson (2016)'!$A$3,"MA_HT","DSH","MA_QH","SON")</f>
        <v>0</v>
      </c>
      <c r="BC52" s="74">
        <f>+GETPIVOTDATA("XXS4",'xuanson (2016)'!$A$3,"MA_HT","DSH","MA_QH","MNC")</f>
        <v>0</v>
      </c>
      <c r="BD52" s="35">
        <f>+GETPIVOTDATA("XXS4",'xuanson (2016)'!$A$3,"MA_HT","DSH","MA_QH","PNK")</f>
        <v>0</v>
      </c>
      <c r="BE52" s="58">
        <f>+GETPIVOTDATA("XXS4",'xuanson (2016)'!$A$3,"MA_HT","DSH","MA_QH","CSD")</f>
        <v>0</v>
      </c>
      <c r="BF52" s="66">
        <f t="shared" si="13"/>
        <v>0</v>
      </c>
      <c r="BG52" s="67">
        <f>AY$59-$BF52</f>
        <v>0</v>
      </c>
      <c r="BH52" s="62" t="e">
        <f t="shared" si="14"/>
        <v>#REF!</v>
      </c>
      <c r="BI52" s="5"/>
      <c r="BJ52" s="5" t="e">
        <f>#REF!</f>
        <v>#REF!</v>
      </c>
      <c r="BK52" s="78" t="e">
        <f>BH52-BJ52</f>
        <v>#REF!</v>
      </c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</row>
    <row r="53" spans="1:246" s="41" customFormat="1" ht="15.75" customHeight="1">
      <c r="A53" s="60" t="s">
        <v>115</v>
      </c>
      <c r="B53" s="60" t="s">
        <v>145</v>
      </c>
      <c r="C53" s="61" t="s">
        <v>146</v>
      </c>
      <c r="D53" s="62" t="e">
        <f>+#REF!</f>
        <v>#REF!</v>
      </c>
      <c r="E53" s="63">
        <f t="shared" si="15"/>
        <v>0</v>
      </c>
      <c r="F53" s="64">
        <f t="shared" si="9"/>
        <v>0</v>
      </c>
      <c r="G53" s="35">
        <f>+GETPIVOTDATA("XXS4",'xuanson (2016)'!$A$3,"MA_HT","DKV","MA_QH","LUC")</f>
        <v>0</v>
      </c>
      <c r="H53" s="35">
        <f>+GETPIVOTDATA("XXS4",'xuanson (2016)'!$A$3,"MA_HT","DKV","MA_QH","LUK")</f>
        <v>0</v>
      </c>
      <c r="I53" s="35">
        <f>+GETPIVOTDATA("XXS4",'xuanson (2016)'!$A$3,"MA_HT","DKV","MA_QH","LUN")</f>
        <v>0</v>
      </c>
      <c r="J53" s="35">
        <f>+GETPIVOTDATA("XXS4",'xuanson (2016)'!$A$3,"MA_HT","DKV","MA_QH","HNK")</f>
        <v>0</v>
      </c>
      <c r="K53" s="35">
        <f>+GETPIVOTDATA("XXS4",'xuanson (2016)'!$A$3,"MA_HT","DKV","MA_QH","CLN")</f>
        <v>0</v>
      </c>
      <c r="L53" s="35">
        <f>+GETPIVOTDATA("XXS4",'xuanson (2016)'!$A$3,"MA_HT","DKV","MA_QH","RSX")</f>
        <v>0</v>
      </c>
      <c r="M53" s="35">
        <f>+GETPIVOTDATA("XXS4",'xuanson (2016)'!$A$3,"MA_HT","DKV","MA_QH","RPH")</f>
        <v>0</v>
      </c>
      <c r="N53" s="35">
        <f>+GETPIVOTDATA("XXS4",'xuanson (2016)'!$A$3,"MA_HT","DKV","MA_QH","RDD")</f>
        <v>0</v>
      </c>
      <c r="O53" s="35">
        <f>+GETPIVOTDATA("XXS4",'xuanson (2016)'!$A$3,"MA_HT","DKV","MA_QH","NTS")</f>
        <v>0</v>
      </c>
      <c r="P53" s="35">
        <f>+GETPIVOTDATA("XXS4",'xuanson (2016)'!$A$3,"MA_HT","DKV","MA_QH","LMU")</f>
        <v>0</v>
      </c>
      <c r="Q53" s="35">
        <f>+GETPIVOTDATA("XXS4",'xuanson (2016)'!$A$3,"MA_HT","DKV","MA_QH","NKH")</f>
        <v>0</v>
      </c>
      <c r="R53" s="106">
        <f>SUM(S53:AA53,AN53:AY53,BB53:BD53)</f>
        <v>0</v>
      </c>
      <c r="S53" s="35">
        <f>+GETPIVOTDATA("XXS4",'xuanson (2016)'!$A$3,"MA_HT","DKV","MA_QH","CQP")</f>
        <v>0</v>
      </c>
      <c r="T53" s="35">
        <f>+GETPIVOTDATA("XXS4",'xuanson (2016)'!$A$3,"MA_HT","DKV","MA_QH","CAN")</f>
        <v>0</v>
      </c>
      <c r="U53" s="35">
        <f>+GETPIVOTDATA("XXS4",'xuanson (2016)'!$A$3,"MA_HT","DKV","MA_QH","SKK")</f>
        <v>0</v>
      </c>
      <c r="V53" s="35">
        <f>+GETPIVOTDATA("XXS4",'xuanson (2016)'!$A$3,"MA_HT","DKV","MA_QH","SKT")</f>
        <v>0</v>
      </c>
      <c r="W53" s="35">
        <f>+GETPIVOTDATA("XXS4",'xuanson (2016)'!$A$3,"MA_HT","DKV","MA_QH","SKN")</f>
        <v>0</v>
      </c>
      <c r="X53" s="35">
        <f>+GETPIVOTDATA("XXS4",'xuanson (2016)'!$A$3,"MA_HT","DKV","MA_QH","TMD")</f>
        <v>0</v>
      </c>
      <c r="Y53" s="35">
        <f>+GETPIVOTDATA("XXS4",'xuanson (2016)'!$A$3,"MA_HT","DKV","MA_QH","SKC")</f>
        <v>0</v>
      </c>
      <c r="Z53" s="35">
        <f>+GETPIVOTDATA("XXS4",'xuanson (2016)'!$A$3,"MA_HT","DKV","MA_QH","SKS")</f>
        <v>0</v>
      </c>
      <c r="AA53" s="64">
        <f t="shared" si="21"/>
        <v>0</v>
      </c>
      <c r="AB53" s="35">
        <f>+GETPIVOTDATA("XXS4",'xuanson (2016)'!$A$3,"MA_HT","DKV","MA_QH","DGT")</f>
        <v>0</v>
      </c>
      <c r="AC53" s="35">
        <f>+GETPIVOTDATA("XXS4",'xuanson (2016)'!$A$3,"MA_HT","DKV","MA_QH","DTL")</f>
        <v>0</v>
      </c>
      <c r="AD53" s="35">
        <f>+GETPIVOTDATA("XXS4",'xuanson (2016)'!$A$3,"MA_HT","DKV","MA_QH","DNL")</f>
        <v>0</v>
      </c>
      <c r="AE53" s="35">
        <f>+GETPIVOTDATA("XXS4",'xuanson (2016)'!$A$3,"MA_HT","DKV","MA_QH","DBV")</f>
        <v>0</v>
      </c>
      <c r="AF53" s="35">
        <f>+GETPIVOTDATA("XXS4",'xuanson (2016)'!$A$3,"MA_HT","DKV","MA_QH","DVH")</f>
        <v>0</v>
      </c>
      <c r="AG53" s="35">
        <f>+GETPIVOTDATA("XXS4",'xuanson (2016)'!$A$3,"MA_HT","DKV","MA_QH","DYT")</f>
        <v>0</v>
      </c>
      <c r="AH53" s="35">
        <f>+GETPIVOTDATA("XXS4",'xuanson (2016)'!$A$3,"MA_HT","DKV","MA_QH","DGD")</f>
        <v>0</v>
      </c>
      <c r="AI53" s="35">
        <f>+GETPIVOTDATA("XXS4",'xuanson (2016)'!$A$3,"MA_HT","DKV","MA_QH","DTT")</f>
        <v>0</v>
      </c>
      <c r="AJ53" s="35">
        <f>+GETPIVOTDATA("XXS4",'xuanson (2016)'!$A$3,"MA_HT","DKV","MA_QH","NCK")</f>
        <v>0</v>
      </c>
      <c r="AK53" s="35">
        <f>+GETPIVOTDATA("XXS4",'xuanson (2016)'!$A$3,"MA_HT","DKV","MA_QH","DXH")</f>
        <v>0</v>
      </c>
      <c r="AL53" s="35">
        <f>+GETPIVOTDATA("XXS4",'xuanson (2016)'!$A$3,"MA_HT","DKV","MA_QH","DCH")</f>
        <v>0</v>
      </c>
      <c r="AM53" s="35">
        <f>+GETPIVOTDATA("XXS4",'xuanson (2016)'!$A$3,"MA_HT","DKV","MA_QH","DKG")</f>
        <v>0</v>
      </c>
      <c r="AN53" s="35">
        <f>+GETPIVOTDATA("XXS4",'xuanson (2016)'!$A$3,"MA_HT","DKV","MA_QH","DDT")</f>
        <v>0</v>
      </c>
      <c r="AO53" s="35">
        <f>+GETPIVOTDATA("XXS4",'xuanson (2016)'!$A$3,"MA_HT","DKV","MA_QH","DDL")</f>
        <v>0</v>
      </c>
      <c r="AP53" s="35">
        <f>+GETPIVOTDATA("XXS4",'xuanson (2016)'!$A$3,"MA_HT","DKV","MA_QH","DRA")</f>
        <v>0</v>
      </c>
      <c r="AQ53" s="35">
        <f>+GETPIVOTDATA("XXS4",'xuanson (2016)'!$A$3,"MA_HT","DKV","MA_QH","ONT")</f>
        <v>0</v>
      </c>
      <c r="AR53" s="35">
        <f>+GETPIVOTDATA("XXS4",'xuanson (2016)'!$A$3,"MA_HT","DKV","MA_QH","ODT")</f>
        <v>0</v>
      </c>
      <c r="AS53" s="35">
        <f>+GETPIVOTDATA("XXS4",'xuanson (2016)'!$A$3,"MA_HT","DKV","MA_QH","TSC")</f>
        <v>0</v>
      </c>
      <c r="AT53" s="35">
        <f>+GETPIVOTDATA("XXS4",'xuanson (2016)'!$A$3,"MA_HT","DKV","MA_QH","DTS")</f>
        <v>0</v>
      </c>
      <c r="AU53" s="35">
        <f>+GETPIVOTDATA("XXS4",'xuanson (2016)'!$A$3,"MA_HT","DKV","MA_QH","DNG")</f>
        <v>0</v>
      </c>
      <c r="AV53" s="35">
        <f>+GETPIVOTDATA("XXS4",'xuanson (2016)'!$A$3,"MA_HT","DKV","MA_QH","TON")</f>
        <v>0</v>
      </c>
      <c r="AW53" s="35">
        <f>+GETPIVOTDATA("XXS4",'xuanson (2016)'!$A$3,"MA_HT","DKV","MA_QH","NTD")</f>
        <v>0</v>
      </c>
      <c r="AX53" s="35">
        <f>+GETPIVOTDATA("XXS4",'xuanson (2016)'!$A$3,"MA_HT","DKV","MA_QH","SKX")</f>
        <v>0</v>
      </c>
      <c r="AY53" s="35">
        <f>+GETPIVOTDATA("XXS4",'xuanson (2016)'!$A$3,"MA_HT","DKV","MA_QH","DSH")</f>
        <v>0</v>
      </c>
      <c r="AZ53" s="99" t="e">
        <f>$D53-$BF53</f>
        <v>#REF!</v>
      </c>
      <c r="BA53" s="140">
        <f>+GETPIVOTDATA("XXS4",'xuanson (2016)'!$A$3,"MA_HT","DKV","MA_QH","TIN")</f>
        <v>0</v>
      </c>
      <c r="BB53" s="74">
        <f>+GETPIVOTDATA("XXS4",'xuanson (2016)'!$A$3,"MA_HT","DKV","MA_QH","SON")</f>
        <v>0</v>
      </c>
      <c r="BC53" s="74">
        <f>+GETPIVOTDATA("XXS4",'xuanson (2016)'!$A$3,"MA_HT","DKV","MA_QH","MNC")</f>
        <v>0</v>
      </c>
      <c r="BD53" s="35">
        <f>+GETPIVOTDATA("XXS4",'xuanson (2016)'!$A$3,"MA_HT","DKV","MA_QH","PNK")</f>
        <v>0</v>
      </c>
      <c r="BE53" s="58">
        <f>+GETPIVOTDATA("XXS4",'xuanson (2016)'!$A$3,"MA_HT","DKV","MA_QH","CSD")</f>
        <v>0</v>
      </c>
      <c r="BF53" s="66">
        <f t="shared" si="13"/>
        <v>0</v>
      </c>
      <c r="BG53" s="67">
        <f>AZ$59-$BF53</f>
        <v>0</v>
      </c>
      <c r="BH53" s="62" t="e">
        <f t="shared" si="14"/>
        <v>#REF!</v>
      </c>
      <c r="BI53" s="5"/>
      <c r="BJ53" s="5" t="e">
        <f>#REF!</f>
        <v>#REF!</v>
      </c>
      <c r="BK53" s="78" t="e">
        <f>BH53-BJ53</f>
        <v>#REF!</v>
      </c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</row>
    <row r="54" spans="1:246" s="41" customFormat="1" ht="15.75" customHeight="1">
      <c r="A54" s="60" t="s">
        <v>117</v>
      </c>
      <c r="B54" s="60" t="s">
        <v>108</v>
      </c>
      <c r="C54" s="61" t="s">
        <v>109</v>
      </c>
      <c r="D54" s="62" t="e">
        <f>+#REF!</f>
        <v>#REF!</v>
      </c>
      <c r="E54" s="52">
        <f t="shared" si="15"/>
        <v>0</v>
      </c>
      <c r="F54" s="64">
        <f>SUM(F29:F39)</f>
        <v>0</v>
      </c>
      <c r="G54" s="35">
        <f>+GETPIVOTDATA("XXS4",'xuanson (2016)'!$A$3,"MA_HT","TIN","MA_QH","LUC")</f>
        <v>0</v>
      </c>
      <c r="H54" s="35">
        <f>+GETPIVOTDATA("XXS4",'xuanson (2016)'!$A$3,"MA_HT","TIN","MA_QH","LUK")</f>
        <v>0</v>
      </c>
      <c r="I54" s="35">
        <f>+GETPIVOTDATA("XXS4",'xuanson (2016)'!$A$3,"MA_HT","TIN","MA_QH","LUN")</f>
        <v>0</v>
      </c>
      <c r="J54" s="35">
        <f>+GETPIVOTDATA("XXS4",'xuanson (2016)'!$A$3,"MA_HT","TIN","MA_QH","HNK")</f>
        <v>0</v>
      </c>
      <c r="K54" s="35">
        <f>+GETPIVOTDATA("XXS4",'xuanson (2016)'!$A$3,"MA_HT","TIN","MA_QH","CLN")</f>
        <v>0</v>
      </c>
      <c r="L54" s="35">
        <f>+GETPIVOTDATA("XXS4",'xuanson (2016)'!$A$3,"MA_HT","TIN","MA_QH","RSX")</f>
        <v>0</v>
      </c>
      <c r="M54" s="35">
        <f>+GETPIVOTDATA("XXS4",'xuanson (2016)'!$A$3,"MA_HT","TIN","MA_QH","RPH")</f>
        <v>0</v>
      </c>
      <c r="N54" s="35">
        <f>+GETPIVOTDATA("XXS4",'xuanson (2016)'!$A$3,"MA_HT","TIN","MA_QH","RDD")</f>
        <v>0</v>
      </c>
      <c r="O54" s="35">
        <f>+GETPIVOTDATA("XXS4",'xuanson (2016)'!$A$3,"MA_HT","TIN","MA_QH","NTS")</f>
        <v>0</v>
      </c>
      <c r="P54" s="35">
        <f>+GETPIVOTDATA("XXS4",'xuanson (2016)'!$A$3,"MA_HT","TIN","MA_QH","LMU")</f>
        <v>0</v>
      </c>
      <c r="Q54" s="35">
        <f>+GETPIVOTDATA("XXS4",'xuanson (2016)'!$A$3,"MA_HT","TIN","MA_QH","NKH")</f>
        <v>0</v>
      </c>
      <c r="R54" s="106">
        <f>SUM(S54:AA54,AN54:AZ54,BB54:BD54)</f>
        <v>0</v>
      </c>
      <c r="S54" s="35">
        <f>+GETPIVOTDATA("XXS4",'xuanson (2016)'!$A$3,"MA_HT","TIN","MA_QH","CQP")</f>
        <v>0</v>
      </c>
      <c r="T54" s="35">
        <f>+GETPIVOTDATA("XXS4",'xuanson (2016)'!$A$3,"MA_HT","TIN","MA_QH","CAN")</f>
        <v>0</v>
      </c>
      <c r="U54" s="35">
        <f>+GETPIVOTDATA("XXS4",'xuanson (2016)'!$A$3,"MA_HT","TIN","MA_QH","SKK")</f>
        <v>0</v>
      </c>
      <c r="V54" s="35">
        <f>+GETPIVOTDATA("XXS4",'xuanson (2016)'!$A$3,"MA_HT","TIN","MA_QH","SKT")</f>
        <v>0</v>
      </c>
      <c r="W54" s="35">
        <f>+GETPIVOTDATA("XXS4",'xuanson (2016)'!$A$3,"MA_HT","TIN","MA_QH","SKN")</f>
        <v>0</v>
      </c>
      <c r="X54" s="35">
        <f>+GETPIVOTDATA("XXS4",'xuanson (2016)'!$A$3,"MA_HT","TIN","MA_QH","TMD")</f>
        <v>0</v>
      </c>
      <c r="Y54" s="35">
        <f>+GETPIVOTDATA("XXS4",'xuanson (2016)'!$A$3,"MA_HT","TIN","MA_QH","SKC")</f>
        <v>0</v>
      </c>
      <c r="Z54" s="35">
        <f>+GETPIVOTDATA("XXS4",'xuanson (2016)'!$A$3,"MA_HT","TIN","MA_QH","SKS")</f>
        <v>0</v>
      </c>
      <c r="AA54" s="64">
        <f t="shared" si="21"/>
        <v>0</v>
      </c>
      <c r="AB54" s="35">
        <f>+GETPIVOTDATA("XXS4",'xuanson (2016)'!$A$3,"MA_HT","TIN","MA_QH","DGT")</f>
        <v>0</v>
      </c>
      <c r="AC54" s="35">
        <f>+GETPIVOTDATA("XXS4",'xuanson (2016)'!$A$3,"MA_HT","TIN","MA_QH","DTL")</f>
        <v>0</v>
      </c>
      <c r="AD54" s="35">
        <f>+GETPIVOTDATA("XXS4",'xuanson (2016)'!$A$3,"MA_HT","TIN","MA_QH","DNL")</f>
        <v>0</v>
      </c>
      <c r="AE54" s="35">
        <f>+GETPIVOTDATA("XXS4",'xuanson (2016)'!$A$3,"MA_HT","TIN","MA_QH","DBV")</f>
        <v>0</v>
      </c>
      <c r="AF54" s="35">
        <f>+GETPIVOTDATA("XXS4",'xuanson (2016)'!$A$3,"MA_HT","TIN","MA_QH","DVH")</f>
        <v>0</v>
      </c>
      <c r="AG54" s="35">
        <f>+GETPIVOTDATA("XXS4",'xuanson (2016)'!$A$3,"MA_HT","TIN","MA_QH","DYT")</f>
        <v>0</v>
      </c>
      <c r="AH54" s="35">
        <f>+GETPIVOTDATA("XXS4",'xuanson (2016)'!$A$3,"MA_HT","TIN","MA_QH","DGD")</f>
        <v>0</v>
      </c>
      <c r="AI54" s="35">
        <f>+GETPIVOTDATA("XXS4",'xuanson (2016)'!$A$3,"MA_HT","TIN","MA_QH","DTT")</f>
        <v>0</v>
      </c>
      <c r="AJ54" s="35">
        <f>+GETPIVOTDATA("XXS4",'xuanson (2016)'!$A$3,"MA_HT","TIN","MA_QH","NCK")</f>
        <v>0</v>
      </c>
      <c r="AK54" s="35">
        <f>+GETPIVOTDATA("XXS4",'xuanson (2016)'!$A$3,"MA_HT","TIN","MA_QH","DXH")</f>
        <v>0</v>
      </c>
      <c r="AL54" s="35">
        <f>+GETPIVOTDATA("XXS4",'xuanson (2016)'!$A$3,"MA_HT","TIN","MA_QH","DCH")</f>
        <v>0</v>
      </c>
      <c r="AM54" s="35">
        <f>+GETPIVOTDATA("XXS4",'xuanson (2016)'!$A$3,"MA_HT","TIN","MA_QH","DKG")</f>
        <v>0</v>
      </c>
      <c r="AN54" s="35">
        <f>+GETPIVOTDATA("XXS4",'xuanson (2016)'!$A$3,"MA_HT","TIN","MA_QH","DDT")</f>
        <v>0</v>
      </c>
      <c r="AO54" s="35">
        <f>+GETPIVOTDATA("XXS4",'xuanson (2016)'!$A$3,"MA_HT","TIN","MA_QH","DDL")</f>
        <v>0</v>
      </c>
      <c r="AP54" s="35">
        <f>+GETPIVOTDATA("XXS4",'xuanson (2016)'!$A$3,"MA_HT","TIN","MA_QH","DRA")</f>
        <v>0</v>
      </c>
      <c r="AQ54" s="35">
        <f>+GETPIVOTDATA("XXS4",'xuanson (2016)'!$A$3,"MA_HT","TIN","MA_QH","ONT")</f>
        <v>0</v>
      </c>
      <c r="AR54" s="35">
        <f>+GETPIVOTDATA("XXS4",'xuanson (2016)'!$A$3,"MA_HT","TIN","MA_QH","ODT")</f>
        <v>0</v>
      </c>
      <c r="AS54" s="35">
        <f>+GETPIVOTDATA("XXS4",'xuanson (2016)'!$A$3,"MA_HT","TIN","MA_QH","TSC")</f>
        <v>0</v>
      </c>
      <c r="AT54" s="35">
        <f>+GETPIVOTDATA("XXS4",'xuanson (2016)'!$A$3,"MA_HT","TIN","MA_QH","DTS")</f>
        <v>0</v>
      </c>
      <c r="AU54" s="35">
        <f>+GETPIVOTDATA("XXS4",'xuanson (2016)'!$A$3,"MA_HT","TIN","MA_QH","DNG")</f>
        <v>0</v>
      </c>
      <c r="AV54" s="35">
        <f>+GETPIVOTDATA("XXS4",'xuanson (2016)'!$A$3,"MA_HT","TIN","MA_QH","TON")</f>
        <v>0</v>
      </c>
      <c r="AW54" s="35">
        <f>+GETPIVOTDATA("XXS4",'xuanson (2016)'!$A$3,"MA_HT","TIN","MA_QH","NTD")</f>
        <v>0</v>
      </c>
      <c r="AX54" s="35">
        <f>+GETPIVOTDATA("XXS4",'xuanson (2016)'!$A$3,"MA_HT","TIN","MA_QH","SKX")</f>
        <v>0</v>
      </c>
      <c r="AY54" s="35">
        <f>+GETPIVOTDATA("XXS4",'xuanson (2016)'!$A$3,"MA_HT","TIN","MA_QH","DSH")</f>
        <v>0</v>
      </c>
      <c r="AZ54" s="35">
        <f>+GETPIVOTDATA("XXS4",'xuanson (2016)'!$A$3,"MA_HT","TIN","MA_QH","DKV")</f>
        <v>0</v>
      </c>
      <c r="BA54" s="99" t="e">
        <f>$D54-$BF54</f>
        <v>#REF!</v>
      </c>
      <c r="BB54" s="35">
        <f>+GETPIVOTDATA("XXS4",'xuanson (2016)'!$A$3,"MA_HT","TIN","MA_QH","SON")</f>
        <v>0</v>
      </c>
      <c r="BC54" s="35">
        <f>+GETPIVOTDATA("XXS4",'xuanson (2016)'!$A$3,"MA_HT","TIN","MA_QH","MNC")</f>
        <v>0</v>
      </c>
      <c r="BD54" s="35">
        <f>+GETPIVOTDATA("XXS4",'xuanson (2016)'!$A$3,"MA_HT","TIN","MA_QH","PNK")</f>
        <v>0</v>
      </c>
      <c r="BE54" s="58">
        <f>+GETPIVOTDATA("XXS4",'xuanson (2016)'!$A$3,"MA_HT","TIN","MA_QH","CSD")</f>
        <v>0</v>
      </c>
      <c r="BF54" s="66">
        <f>BE54+R54+E54</f>
        <v>0</v>
      </c>
      <c r="BG54" s="67">
        <f>BA59-BF54</f>
        <v>0</v>
      </c>
      <c r="BH54" s="62" t="e">
        <f t="shared" si="14"/>
        <v>#REF!</v>
      </c>
      <c r="BI54" s="5"/>
      <c r="BJ54" s="60" t="e">
        <f>SUM(BJ29:BJ39)</f>
        <v>#REF!</v>
      </c>
      <c r="BK54" s="78" t="e">
        <f>BH54-BJ54</f>
        <v>#REF!</v>
      </c>
      <c r="BL54" s="78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</row>
    <row r="55" spans="1:246" s="41" customFormat="1" ht="15.75" customHeight="1">
      <c r="A55" s="83" t="s">
        <v>141</v>
      </c>
      <c r="B55" s="84" t="s">
        <v>242</v>
      </c>
      <c r="C55" s="61" t="s">
        <v>116</v>
      </c>
      <c r="D55" s="62" t="e">
        <f>+#REF!</f>
        <v>#REF!</v>
      </c>
      <c r="E55" s="63">
        <f t="shared" si="15"/>
        <v>0</v>
      </c>
      <c r="F55" s="64">
        <f t="shared" si="9"/>
        <v>0</v>
      </c>
      <c r="G55" s="35">
        <f>+GETPIVOTDATA("XXS4",'xuanson (2016)'!$A$3,"MA_HT","SON","MA_QH","LUC")</f>
        <v>0</v>
      </c>
      <c r="H55" s="35">
        <f>+GETPIVOTDATA("XXS4",'xuanson (2016)'!$A$3,"MA_HT","SON","MA_QH","LUK")</f>
        <v>0</v>
      </c>
      <c r="I55" s="35">
        <f>+GETPIVOTDATA("XXS4",'xuanson (2016)'!$A$3,"MA_HT","SON","MA_QH","LUN")</f>
        <v>0</v>
      </c>
      <c r="J55" s="35">
        <f>+GETPIVOTDATA("XXS4",'xuanson (2016)'!$A$3,"MA_HT","SON","MA_QH","HNK")</f>
        <v>0</v>
      </c>
      <c r="K55" s="35">
        <f>+GETPIVOTDATA("XXS4",'xuanson (2016)'!$A$3,"MA_HT","SON","MA_QH","CLN")</f>
        <v>0</v>
      </c>
      <c r="L55" s="35">
        <f>+GETPIVOTDATA("XXS4",'xuanson (2016)'!$A$3,"MA_HT","SON","MA_QH","RSX")</f>
        <v>0</v>
      </c>
      <c r="M55" s="35">
        <f>+GETPIVOTDATA("XXS4",'xuanson (2016)'!$A$3,"MA_HT","SON","MA_QH","RPH")</f>
        <v>0</v>
      </c>
      <c r="N55" s="35">
        <f>+GETPIVOTDATA("XXS4",'xuanson (2016)'!$A$3,"MA_HT","SON","MA_QH","RDD")</f>
        <v>0</v>
      </c>
      <c r="O55" s="35">
        <f>+GETPIVOTDATA("XXS4",'xuanson (2016)'!$A$3,"MA_HT","SON","MA_QH","NTS")</f>
        <v>0</v>
      </c>
      <c r="P55" s="35">
        <f>+GETPIVOTDATA("XXS4",'xuanson (2016)'!$A$3,"MA_HT","SON","MA_QH","LMU")</f>
        <v>0</v>
      </c>
      <c r="Q55" s="35">
        <f>+GETPIVOTDATA("XXS4",'xuanson (2016)'!$A$3,"MA_HT","SON","MA_QH","NKH")</f>
        <v>0</v>
      </c>
      <c r="R55" s="106">
        <f>SUM(S55:AA55,AN55:AZ55,BC55:BD55)</f>
        <v>0</v>
      </c>
      <c r="S55" s="35">
        <f>+GETPIVOTDATA("XXS4",'xuanson (2016)'!$A$3,"MA_HT","SON","MA_QH","CQP")</f>
        <v>0</v>
      </c>
      <c r="T55" s="35">
        <f>+GETPIVOTDATA("XXS4",'xuanson (2016)'!$A$3,"MA_HT","SON","MA_QH","CAN")</f>
        <v>0</v>
      </c>
      <c r="U55" s="35">
        <f>+GETPIVOTDATA("XXS4",'xuanson (2016)'!$A$3,"MA_HT","SON","MA_QH","SKK")</f>
        <v>0</v>
      </c>
      <c r="V55" s="35">
        <f>+GETPIVOTDATA("XXS4",'xuanson (2016)'!$A$3,"MA_HT","SON","MA_QH","SKT")</f>
        <v>0</v>
      </c>
      <c r="W55" s="35">
        <f>+GETPIVOTDATA("XXS4",'xuanson (2016)'!$A$3,"MA_HT","SON","MA_QH","SKN")</f>
        <v>0</v>
      </c>
      <c r="X55" s="35">
        <f>+GETPIVOTDATA("XXS4",'xuanson (2016)'!$A$3,"MA_HT","SON","MA_QH","TMD")</f>
        <v>0</v>
      </c>
      <c r="Y55" s="35">
        <f>+GETPIVOTDATA("XXS4",'xuanson (2016)'!$A$3,"MA_HT","SON","MA_QH","SKC")</f>
        <v>0</v>
      </c>
      <c r="Z55" s="35">
        <f>+GETPIVOTDATA("XXS4",'xuanson (2016)'!$A$3,"MA_HT","SON","MA_QH","SKS")</f>
        <v>0</v>
      </c>
      <c r="AA55" s="64">
        <f t="shared" si="21"/>
        <v>0</v>
      </c>
      <c r="AB55" s="35">
        <f>+GETPIVOTDATA("XXS4",'xuanson (2016)'!$A$3,"MA_HT","SON","MA_QH","DGT")</f>
        <v>0</v>
      </c>
      <c r="AC55" s="35">
        <f>+GETPIVOTDATA("XXS4",'xuanson (2016)'!$A$3,"MA_HT","SON","MA_QH","DTL")</f>
        <v>0</v>
      </c>
      <c r="AD55" s="35">
        <f>+GETPIVOTDATA("XXS4",'xuanson (2016)'!$A$3,"MA_HT","SON","MA_QH","DNL")</f>
        <v>0</v>
      </c>
      <c r="AE55" s="35">
        <f>+GETPIVOTDATA("XXS4",'xuanson (2016)'!$A$3,"MA_HT","SON","MA_QH","DBV")</f>
        <v>0</v>
      </c>
      <c r="AF55" s="35">
        <f>+GETPIVOTDATA("XXS4",'xuanson (2016)'!$A$3,"MA_HT","SON","MA_QH","DVH")</f>
        <v>0</v>
      </c>
      <c r="AG55" s="35">
        <f>+GETPIVOTDATA("XXS4",'xuanson (2016)'!$A$3,"MA_HT","SON","MA_QH","DYT")</f>
        <v>0</v>
      </c>
      <c r="AH55" s="35">
        <f>+GETPIVOTDATA("XXS4",'xuanson (2016)'!$A$3,"MA_HT","SON","MA_QH","DGD")</f>
        <v>0</v>
      </c>
      <c r="AI55" s="35">
        <f>+GETPIVOTDATA("XXS4",'xuanson (2016)'!$A$3,"MA_HT","SON","MA_QH","DTT")</f>
        <v>0</v>
      </c>
      <c r="AJ55" s="35">
        <f>+GETPIVOTDATA("XXS4",'xuanson (2016)'!$A$3,"MA_HT","SON","MA_QH","NCK")</f>
        <v>0</v>
      </c>
      <c r="AK55" s="35">
        <f>+GETPIVOTDATA("XXS4",'xuanson (2016)'!$A$3,"MA_HT","SON","MA_QH","DXH")</f>
        <v>0</v>
      </c>
      <c r="AL55" s="35">
        <f>+GETPIVOTDATA("XXS4",'xuanson (2016)'!$A$3,"MA_HT","SON","MA_QH","DCH")</f>
        <v>0</v>
      </c>
      <c r="AM55" s="35">
        <f>+GETPIVOTDATA("XXS4",'xuanson (2016)'!$A$3,"MA_HT","SON","MA_QH","DKG")</f>
        <v>0</v>
      </c>
      <c r="AN55" s="35">
        <f>+GETPIVOTDATA("XXS4",'xuanson (2016)'!$A$3,"MA_HT","SON","MA_QH","DDT")</f>
        <v>0</v>
      </c>
      <c r="AO55" s="35">
        <f>+GETPIVOTDATA("XXS4",'xuanson (2016)'!$A$3,"MA_HT","SON","MA_QH","DDL")</f>
        <v>0</v>
      </c>
      <c r="AP55" s="35">
        <f>+GETPIVOTDATA("XXS4",'xuanson (2016)'!$A$3,"MA_HT","SON","MA_QH","DRA")</f>
        <v>0</v>
      </c>
      <c r="AQ55" s="35">
        <f>+GETPIVOTDATA("XXS4",'xuanson (2016)'!$A$3,"MA_HT","SON","MA_QH","ONT")</f>
        <v>0</v>
      </c>
      <c r="AR55" s="35">
        <f>+GETPIVOTDATA("XXS4",'xuanson (2016)'!$A$3,"MA_HT","SON","MA_QH","ODT")</f>
        <v>0</v>
      </c>
      <c r="AS55" s="35">
        <f>+GETPIVOTDATA("XXS4",'xuanson (2016)'!$A$3,"MA_HT","SON","MA_QH","TSC")</f>
        <v>0</v>
      </c>
      <c r="AT55" s="35">
        <f>+GETPIVOTDATA("XXS4",'xuanson (2016)'!$A$3,"MA_HT","SON","MA_QH","DTS")</f>
        <v>0</v>
      </c>
      <c r="AU55" s="35">
        <f>+GETPIVOTDATA("XXS4",'xuanson (2016)'!$A$3,"MA_HT","SON","MA_QH","DNG")</f>
        <v>0</v>
      </c>
      <c r="AV55" s="35">
        <f>+GETPIVOTDATA("XXS4",'xuanson (2016)'!$A$3,"MA_HT","SON","MA_QH","TON")</f>
        <v>0</v>
      </c>
      <c r="AW55" s="35">
        <f>+GETPIVOTDATA("XXS4",'xuanson (2016)'!$A$3,"MA_HT","SON","MA_QH","NTD")</f>
        <v>0</v>
      </c>
      <c r="AX55" s="35">
        <f>+GETPIVOTDATA("XXS4",'xuanson (2016)'!$A$3,"MA_HT","SON","MA_QH","SKX")</f>
        <v>0</v>
      </c>
      <c r="AY55" s="35">
        <f>+GETPIVOTDATA("XXS4",'xuanson (2016)'!$A$3,"MA_HT","SON","MA_QH","DSH")</f>
        <v>0</v>
      </c>
      <c r="AZ55" s="35">
        <f>+GETPIVOTDATA("XXS4",'xuanson (2016)'!$A$3,"MA_HT","SON","MA_QH","DKV")</f>
        <v>0</v>
      </c>
      <c r="BA55" s="140">
        <f>+GETPIVOTDATA("XXS4",'xuanson (2016)'!$A$3,"MA_HT","SON","MA_QH","TIN")</f>
        <v>0</v>
      </c>
      <c r="BB55" s="99" t="e">
        <f>$D55-$BF55</f>
        <v>#REF!</v>
      </c>
      <c r="BC55" s="74">
        <f>+GETPIVOTDATA("XXS4",'xuanson (2016)'!$A$3,"MA_HT","SON","MA_QH","MNC")</f>
        <v>0</v>
      </c>
      <c r="BD55" s="35">
        <f>+GETPIVOTDATA("XXS4",'xuanson (2016)'!$A$3,"MA_HT","SON","MA_QH","PNK")</f>
        <v>0</v>
      </c>
      <c r="BE55" s="58">
        <f>+GETPIVOTDATA("XXS4",'xuanson (2016)'!$A$3,"MA_HT","SON","MA_QH","CSD")</f>
        <v>0</v>
      </c>
      <c r="BF55" s="66">
        <f>BE55+R55+E55</f>
        <v>0</v>
      </c>
      <c r="BG55" s="67">
        <f>BB$59-$BF55</f>
        <v>0</v>
      </c>
      <c r="BH55" s="62" t="e">
        <f>BG55+D55</f>
        <v>#REF!</v>
      </c>
      <c r="BI55" s="5"/>
      <c r="BJ55" s="5"/>
      <c r="BK55" s="78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</row>
    <row r="56" spans="1:246" s="41" customFormat="1" ht="15.75" customHeight="1">
      <c r="A56" s="83" t="s">
        <v>144</v>
      </c>
      <c r="B56" s="84" t="s">
        <v>113</v>
      </c>
      <c r="C56" s="61" t="s">
        <v>114</v>
      </c>
      <c r="D56" s="62" t="e">
        <f>+#REF!</f>
        <v>#REF!</v>
      </c>
      <c r="E56" s="63">
        <f t="shared" si="15"/>
        <v>0</v>
      </c>
      <c r="F56" s="64">
        <f t="shared" si="9"/>
        <v>0</v>
      </c>
      <c r="G56" s="35">
        <f>+GETPIVOTDATA("XXS4",'xuanson (2016)'!$A$3,"MA_HT","MNC","MA_QH","LUC")</f>
        <v>0</v>
      </c>
      <c r="H56" s="35">
        <f>+GETPIVOTDATA("XXS4",'xuanson (2016)'!$A$3,"MA_HT","MNC","MA_QH","LUK")</f>
        <v>0</v>
      </c>
      <c r="I56" s="35">
        <f>+GETPIVOTDATA("XXS4",'xuanson (2016)'!$A$3,"MA_HT","MNC","MA_QH","LUN")</f>
        <v>0</v>
      </c>
      <c r="J56" s="35">
        <f>+GETPIVOTDATA("XXS4",'xuanson (2016)'!$A$3,"MA_HT","MNC","MA_QH","HNK")</f>
        <v>0</v>
      </c>
      <c r="K56" s="35">
        <f>+GETPIVOTDATA("XXS4",'xuanson (2016)'!$A$3,"MA_HT","MNC","MA_QH","CLN")</f>
        <v>0</v>
      </c>
      <c r="L56" s="35">
        <f>+GETPIVOTDATA("XXS4",'xuanson (2016)'!$A$3,"MA_HT","MNC","MA_QH","RSX")</f>
        <v>0</v>
      </c>
      <c r="M56" s="35">
        <f>+GETPIVOTDATA("XXS4",'xuanson (2016)'!$A$3,"MA_HT","MNC","MA_QH","RPH")</f>
        <v>0</v>
      </c>
      <c r="N56" s="35">
        <f>+GETPIVOTDATA("XXS4",'xuanson (2016)'!$A$3,"MA_HT","MNC","MA_QH","RDD")</f>
        <v>0</v>
      </c>
      <c r="O56" s="35">
        <f>+GETPIVOTDATA("XXS4",'xuanson (2016)'!$A$3,"MA_HT","MNC","MA_QH","NTS")</f>
        <v>0</v>
      </c>
      <c r="P56" s="35">
        <f>+GETPIVOTDATA("XXS4",'xuanson (2016)'!$A$3,"MA_HT","MNC","MA_QH","LMU")</f>
        <v>0</v>
      </c>
      <c r="Q56" s="35">
        <f>+GETPIVOTDATA("XXS4",'xuanson (2016)'!$A$3,"MA_HT","MNC","MA_QH","NKH")</f>
        <v>0</v>
      </c>
      <c r="R56" s="106">
        <f>SUM(S56:AA56,AN56:BB56,BD56)</f>
        <v>0</v>
      </c>
      <c r="S56" s="35">
        <f>+GETPIVOTDATA("XXS4",'xuanson (2016)'!$A$3,"MA_HT","MNC","MA_QH","CQP")</f>
        <v>0</v>
      </c>
      <c r="T56" s="35">
        <f>+GETPIVOTDATA("XXS4",'xuanson (2016)'!$A$3,"MA_HT","MNC","MA_QH","CAN")</f>
        <v>0</v>
      </c>
      <c r="U56" s="35">
        <f>+GETPIVOTDATA("XXS4",'xuanson (2016)'!$A$3,"MA_HT","MNC","MA_QH","SKK")</f>
        <v>0</v>
      </c>
      <c r="V56" s="35">
        <f>+GETPIVOTDATA("XXS4",'xuanson (2016)'!$A$3,"MA_HT","MNC","MA_QH","SKT")</f>
        <v>0</v>
      </c>
      <c r="W56" s="35">
        <f>+GETPIVOTDATA("XXS4",'xuanson (2016)'!$A$3,"MA_HT","MNC","MA_QH","SKN")</f>
        <v>0</v>
      </c>
      <c r="X56" s="35">
        <f>+GETPIVOTDATA("XXS4",'xuanson (2016)'!$A$3,"MA_HT","MNC","MA_QH","TMD")</f>
        <v>0</v>
      </c>
      <c r="Y56" s="35">
        <f>+GETPIVOTDATA("XXS4",'xuanson (2016)'!$A$3,"MA_HT","MNC","MA_QH","SKC")</f>
        <v>0</v>
      </c>
      <c r="Z56" s="35">
        <f>+GETPIVOTDATA("XXS4",'xuanson (2016)'!$A$3,"MA_HT","MNC","MA_QH","SKS")</f>
        <v>0</v>
      </c>
      <c r="AA56" s="64">
        <f t="shared" si="21"/>
        <v>0</v>
      </c>
      <c r="AB56" s="35">
        <f>+GETPIVOTDATA("XXS4",'xuanson (2016)'!$A$3,"MA_HT","MNC","MA_QH","DGT")</f>
        <v>0</v>
      </c>
      <c r="AC56" s="35">
        <f>+GETPIVOTDATA("XXS4",'xuanson (2016)'!$A$3,"MA_HT","MNC","MA_QH","DTL")</f>
        <v>0</v>
      </c>
      <c r="AD56" s="35">
        <f>+GETPIVOTDATA("XXS4",'xuanson (2016)'!$A$3,"MA_HT","MNC","MA_QH","DNL")</f>
        <v>0</v>
      </c>
      <c r="AE56" s="35">
        <f>+GETPIVOTDATA("XXS4",'xuanson (2016)'!$A$3,"MA_HT","MNC","MA_QH","DBV")</f>
        <v>0</v>
      </c>
      <c r="AF56" s="35">
        <f>+GETPIVOTDATA("XXS4",'xuanson (2016)'!$A$3,"MA_HT","MNC","MA_QH","DVH")</f>
        <v>0</v>
      </c>
      <c r="AG56" s="35">
        <f>+GETPIVOTDATA("XXS4",'xuanson (2016)'!$A$3,"MA_HT","MNC","MA_QH","DYT")</f>
        <v>0</v>
      </c>
      <c r="AH56" s="35">
        <f>+GETPIVOTDATA("XXS4",'xuanson (2016)'!$A$3,"MA_HT","MNC","MA_QH","DGD")</f>
        <v>0</v>
      </c>
      <c r="AI56" s="35">
        <f>+GETPIVOTDATA("XXS4",'xuanson (2016)'!$A$3,"MA_HT","MNC","MA_QH","DTT")</f>
        <v>0</v>
      </c>
      <c r="AJ56" s="35">
        <f>+GETPIVOTDATA("XXS4",'xuanson (2016)'!$A$3,"MA_HT","MNC","MA_QH","NCK")</f>
        <v>0</v>
      </c>
      <c r="AK56" s="35">
        <f>+GETPIVOTDATA("XXS4",'xuanson (2016)'!$A$3,"MA_HT","MNC","MA_QH","DXH")</f>
        <v>0</v>
      </c>
      <c r="AL56" s="35">
        <f>+GETPIVOTDATA("XXS4",'xuanson (2016)'!$A$3,"MA_HT","MNC","MA_QH","DCH")</f>
        <v>0</v>
      </c>
      <c r="AM56" s="35">
        <f>+GETPIVOTDATA("XXS4",'xuanson (2016)'!$A$3,"MA_HT","MNC","MA_QH","DKG")</f>
        <v>0</v>
      </c>
      <c r="AN56" s="35">
        <f>+GETPIVOTDATA("XXS4",'xuanson (2016)'!$A$3,"MA_HT","MNC","MA_QH","DDT")</f>
        <v>0</v>
      </c>
      <c r="AO56" s="35">
        <f>+GETPIVOTDATA("XXS4",'xuanson (2016)'!$A$3,"MA_HT","MNC","MA_QH","DDL")</f>
        <v>0</v>
      </c>
      <c r="AP56" s="35">
        <f>+GETPIVOTDATA("XXS4",'xuanson (2016)'!$A$3,"MA_HT","MNC","MA_QH","DRA")</f>
        <v>0</v>
      </c>
      <c r="AQ56" s="35">
        <f>+GETPIVOTDATA("XXS4",'xuanson (2016)'!$A$3,"MA_HT","MNC","MA_QH","ONT")</f>
        <v>0</v>
      </c>
      <c r="AR56" s="35">
        <f>+GETPIVOTDATA("XXS4",'xuanson (2016)'!$A$3,"MA_HT","MNC","MA_QH","ODT")</f>
        <v>0</v>
      </c>
      <c r="AS56" s="35">
        <f>+GETPIVOTDATA("XXS4",'xuanson (2016)'!$A$3,"MA_HT","MNC","MA_QH","TSC")</f>
        <v>0</v>
      </c>
      <c r="AT56" s="35">
        <f>+GETPIVOTDATA("XXS4",'xuanson (2016)'!$A$3,"MA_HT","MNC","MA_QH","DTS")</f>
        <v>0</v>
      </c>
      <c r="AU56" s="35">
        <f>+GETPIVOTDATA("XXS4",'xuanson (2016)'!$A$3,"MA_HT","MNC","MA_QH","DNG")</f>
        <v>0</v>
      </c>
      <c r="AV56" s="35">
        <f>+GETPIVOTDATA("XXS4",'xuanson (2016)'!$A$3,"MA_HT","MNC","MA_QH","TON")</f>
        <v>0</v>
      </c>
      <c r="AW56" s="35">
        <f>+GETPIVOTDATA("XXS4",'xuanson (2016)'!$A$3,"MA_HT","MNC","MA_QH","NTD")</f>
        <v>0</v>
      </c>
      <c r="AX56" s="35">
        <f>+GETPIVOTDATA("XXS4",'xuanson (2016)'!$A$3,"MA_HT","MNC","MA_QH","SKX")</f>
        <v>0</v>
      </c>
      <c r="AY56" s="35">
        <f>+GETPIVOTDATA("XXS4",'xuanson (2016)'!$A$3,"MA_HT","MNC","MA_QH","DSH")</f>
        <v>0</v>
      </c>
      <c r="AZ56" s="35">
        <f>+GETPIVOTDATA("XXS4",'xuanson (2016)'!$A$3,"MA_HT","MNC","MA_QH","DKV")</f>
        <v>0</v>
      </c>
      <c r="BA56" s="140">
        <f>+GETPIVOTDATA("XXS4",'xuanson (2016)'!$A$3,"MA_HT","MNC","MA_QH","TIN")</f>
        <v>0</v>
      </c>
      <c r="BB56" s="74">
        <f>+GETPIVOTDATA("XXS4",'xuanson (2016)'!$A$3,"MA_HT","MNC","MA_QH","SON")</f>
        <v>0</v>
      </c>
      <c r="BC56" s="99" t="e">
        <f>$D56-$BF56</f>
        <v>#REF!</v>
      </c>
      <c r="BD56" s="35">
        <f>+GETPIVOTDATA("XXS4",'xuanson (2016)'!$A$3,"MA_HT","MNC","MA_QH","PNK")</f>
        <v>0</v>
      </c>
      <c r="BE56" s="58">
        <f>+GETPIVOTDATA("XXS4",'xuanson (2016)'!$A$3,"MA_HT","MNC","MA_QH","CSD")</f>
        <v>0</v>
      </c>
      <c r="BF56" s="66">
        <f>BE56+R56+E56</f>
        <v>0</v>
      </c>
      <c r="BG56" s="67">
        <f>BC$59-$BF56</f>
        <v>0</v>
      </c>
      <c r="BH56" s="62" t="e">
        <f>BG56+D56</f>
        <v>#REF!</v>
      </c>
      <c r="BI56" s="5"/>
      <c r="BJ56" s="5"/>
      <c r="BK56" s="78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</row>
    <row r="57" spans="1:246" s="41" customFormat="1" ht="15.75" customHeight="1">
      <c r="A57" s="83" t="s">
        <v>147</v>
      </c>
      <c r="B57" s="84" t="s">
        <v>148</v>
      </c>
      <c r="C57" s="61" t="s">
        <v>149</v>
      </c>
      <c r="D57" s="62" t="e">
        <f>+#REF!</f>
        <v>#REF!</v>
      </c>
      <c r="E57" s="63">
        <f t="shared" si="15"/>
        <v>0</v>
      </c>
      <c r="F57" s="64">
        <f t="shared" si="9"/>
        <v>0</v>
      </c>
      <c r="G57" s="35">
        <f>+GETPIVOTDATA("XXS4",'xuanson (2016)'!$A$3,"MA_HT","PNK","MA_QH","LUC")</f>
        <v>0</v>
      </c>
      <c r="H57" s="35">
        <f>+GETPIVOTDATA("XXS4",'xuanson (2016)'!$A$3,"MA_HT","PNK","MA_QH","LUK")</f>
        <v>0</v>
      </c>
      <c r="I57" s="35">
        <f>+GETPIVOTDATA("XXS4",'xuanson (2016)'!$A$3,"MA_HT","PNK","MA_QH","LUN")</f>
        <v>0</v>
      </c>
      <c r="J57" s="35">
        <f>+GETPIVOTDATA("XXS4",'xuanson (2016)'!$A$3,"MA_HT","PNK","MA_QH","HNK")</f>
        <v>0</v>
      </c>
      <c r="K57" s="35">
        <f>+GETPIVOTDATA("XXS4",'xuanson (2016)'!$A$3,"MA_HT","PNK","MA_QH","CLN")</f>
        <v>0</v>
      </c>
      <c r="L57" s="35">
        <f>+GETPIVOTDATA("XXS4",'xuanson (2016)'!$A$3,"MA_HT","PNK","MA_QH","RSX")</f>
        <v>0</v>
      </c>
      <c r="M57" s="35">
        <f>+GETPIVOTDATA("XXS4",'xuanson (2016)'!$A$3,"MA_HT","PNK","MA_QH","RPH")</f>
        <v>0</v>
      </c>
      <c r="N57" s="35">
        <f>+GETPIVOTDATA("XXS4",'xuanson (2016)'!$A$3,"MA_HT","PNK","MA_QH","RDD")</f>
        <v>0</v>
      </c>
      <c r="O57" s="35">
        <f>+GETPIVOTDATA("XXS4",'xuanson (2016)'!$A$3,"MA_HT","PNK","MA_QH","NTS")</f>
        <v>0</v>
      </c>
      <c r="P57" s="35">
        <f>+GETPIVOTDATA("XXS4",'xuanson (2016)'!$A$3,"MA_HT","PNK","MA_QH","LMU")</f>
        <v>0</v>
      </c>
      <c r="Q57" s="35">
        <f>+GETPIVOTDATA("XXS4",'xuanson (2016)'!$A$3,"MA_HT","PNK","MA_QH","NKH")</f>
        <v>0</v>
      </c>
      <c r="R57" s="106">
        <f>SUM(S57:AA57,AN57:BC57)</f>
        <v>0</v>
      </c>
      <c r="S57" s="35">
        <f>+GETPIVOTDATA("XXS4",'xuanson (2016)'!$A$3,"MA_HT","PNK","MA_QH","CQP")</f>
        <v>0</v>
      </c>
      <c r="T57" s="35">
        <f>+GETPIVOTDATA("XXS4",'xuanson (2016)'!$A$3,"MA_HT","PNK","MA_QH","CAN")</f>
        <v>0</v>
      </c>
      <c r="U57" s="35">
        <f>+GETPIVOTDATA("XXS4",'xuanson (2016)'!$A$3,"MA_HT","PNK","MA_QH","SKK")</f>
        <v>0</v>
      </c>
      <c r="V57" s="35">
        <f>+GETPIVOTDATA("XXS4",'xuanson (2016)'!$A$3,"MA_HT","PNK","MA_QH","SKT")</f>
        <v>0</v>
      </c>
      <c r="W57" s="35">
        <f>+GETPIVOTDATA("XXS4",'xuanson (2016)'!$A$3,"MA_HT","PNK","MA_QH","SKN")</f>
        <v>0</v>
      </c>
      <c r="X57" s="35">
        <f>+GETPIVOTDATA("XXS4",'xuanson (2016)'!$A$3,"MA_HT","PNK","MA_QH","TMD")</f>
        <v>0</v>
      </c>
      <c r="Y57" s="35">
        <f>+GETPIVOTDATA("XXS4",'xuanson (2016)'!$A$3,"MA_HT","PNK","MA_QH","SKC")</f>
        <v>0</v>
      </c>
      <c r="Z57" s="35">
        <f>+GETPIVOTDATA("XXS4",'xuanson (2016)'!$A$3,"MA_HT","PNK","MA_QH","SKS")</f>
        <v>0</v>
      </c>
      <c r="AA57" s="64">
        <f t="shared" si="21"/>
        <v>0</v>
      </c>
      <c r="AB57" s="35">
        <f>+GETPIVOTDATA("XXS4",'xuanson (2016)'!$A$3,"MA_HT","PNK","MA_QH","DGT")</f>
        <v>0</v>
      </c>
      <c r="AC57" s="35">
        <f>+GETPIVOTDATA("XXS4",'xuanson (2016)'!$A$3,"MA_HT","PNK","MA_QH","DTL")</f>
        <v>0</v>
      </c>
      <c r="AD57" s="35">
        <f>+GETPIVOTDATA("XXS4",'xuanson (2016)'!$A$3,"MA_HT","PNK","MA_QH","DNL")</f>
        <v>0</v>
      </c>
      <c r="AE57" s="35">
        <f>+GETPIVOTDATA("XXS4",'xuanson (2016)'!$A$3,"MA_HT","PNK","MA_QH","DBV")</f>
        <v>0</v>
      </c>
      <c r="AF57" s="35">
        <f>+GETPIVOTDATA("XXS4",'xuanson (2016)'!$A$3,"MA_HT","PNK","MA_QH","DVH")</f>
        <v>0</v>
      </c>
      <c r="AG57" s="35">
        <f>+GETPIVOTDATA("XXS4",'xuanson (2016)'!$A$3,"MA_HT","PNK","MA_QH","DYT")</f>
        <v>0</v>
      </c>
      <c r="AH57" s="35">
        <f>+GETPIVOTDATA("XXS4",'xuanson (2016)'!$A$3,"MA_HT","PNK","MA_QH","DGD")</f>
        <v>0</v>
      </c>
      <c r="AI57" s="35">
        <f>+GETPIVOTDATA("XXS4",'xuanson (2016)'!$A$3,"MA_HT","PNK","MA_QH","DTT")</f>
        <v>0</v>
      </c>
      <c r="AJ57" s="35">
        <f>+GETPIVOTDATA("XXS4",'xuanson (2016)'!$A$3,"MA_HT","PNK","MA_QH","NCK")</f>
        <v>0</v>
      </c>
      <c r="AK57" s="35">
        <f>+GETPIVOTDATA("XXS4",'xuanson (2016)'!$A$3,"MA_HT","PNK","MA_QH","DXH")</f>
        <v>0</v>
      </c>
      <c r="AL57" s="35">
        <f>+GETPIVOTDATA("XXS4",'xuanson (2016)'!$A$3,"MA_HT","PNK","MA_QH","DCH")</f>
        <v>0</v>
      </c>
      <c r="AM57" s="35">
        <f>+GETPIVOTDATA("XXS4",'xuanson (2016)'!$A$3,"MA_HT","PNK","MA_QH","DKG")</f>
        <v>0</v>
      </c>
      <c r="AN57" s="35">
        <f>+GETPIVOTDATA("XXS4",'xuanson (2016)'!$A$3,"MA_HT","PNK","MA_QH","DDT")</f>
        <v>0</v>
      </c>
      <c r="AO57" s="35">
        <f>+GETPIVOTDATA("XXS4",'xuanson (2016)'!$A$3,"MA_HT","PNK","MA_QH","DDL")</f>
        <v>0</v>
      </c>
      <c r="AP57" s="35">
        <f>+GETPIVOTDATA("XXS4",'xuanson (2016)'!$A$3,"MA_HT","PNK","MA_QH","DRA")</f>
        <v>0</v>
      </c>
      <c r="AQ57" s="35">
        <f>+GETPIVOTDATA("XXS4",'xuanson (2016)'!$A$3,"MA_HT","PNK","MA_QH","ONT")</f>
        <v>0</v>
      </c>
      <c r="AR57" s="35">
        <f>+GETPIVOTDATA("XXS4",'xuanson (2016)'!$A$3,"MA_HT","PNK","MA_QH","ODT")</f>
        <v>0</v>
      </c>
      <c r="AS57" s="35">
        <f>+GETPIVOTDATA("XXS4",'xuanson (2016)'!$A$3,"MA_HT","PNK","MA_QH","TSC")</f>
        <v>0</v>
      </c>
      <c r="AT57" s="35">
        <f>+GETPIVOTDATA("XXS4",'xuanson (2016)'!$A$3,"MA_HT","PNK","MA_QH","DTS")</f>
        <v>0</v>
      </c>
      <c r="AU57" s="35">
        <f>+GETPIVOTDATA("XXS4",'xuanson (2016)'!$A$3,"MA_HT","PNK","MA_QH","DNG")</f>
        <v>0</v>
      </c>
      <c r="AV57" s="35">
        <f>+GETPIVOTDATA("XXS4",'xuanson (2016)'!$A$3,"MA_HT","PNK","MA_QH","TON")</f>
        <v>0</v>
      </c>
      <c r="AW57" s="35">
        <f>+GETPIVOTDATA("XXS4",'xuanson (2016)'!$A$3,"MA_HT","PNK","MA_QH","NTD")</f>
        <v>0</v>
      </c>
      <c r="AX57" s="35">
        <f>+GETPIVOTDATA("XXS4",'xuanson (2016)'!$A$3,"MA_HT","PNK","MA_QH","SKX")</f>
        <v>0</v>
      </c>
      <c r="AY57" s="35">
        <f>+GETPIVOTDATA("XXS4",'xuanson (2016)'!$A$3,"MA_HT","PNK","MA_QH","DSH")</f>
        <v>0</v>
      </c>
      <c r="AZ57" s="35">
        <f>+GETPIVOTDATA("XXS4",'xuanson (2016)'!$A$3,"MA_HT","PNK","MA_QH","DKV")</f>
        <v>0</v>
      </c>
      <c r="BA57" s="140">
        <f>+GETPIVOTDATA("XXS4",'xuanson (2016)'!$A$3,"MA_HT","PNK","MA_QH","TIN")</f>
        <v>0</v>
      </c>
      <c r="BB57" s="74">
        <f>+GETPIVOTDATA("XXS4",'xuanson (2016)'!$A$3,"MA_HT","PNK","MA_QH","SON")</f>
        <v>0</v>
      </c>
      <c r="BC57" s="74">
        <f>+GETPIVOTDATA("XXS4",'xuanson (2016)'!$A$3,"MA_HT","PNK","MA_QH","MNC")</f>
        <v>0</v>
      </c>
      <c r="BD57" s="99" t="e">
        <f>$D57-$BF57</f>
        <v>#REF!</v>
      </c>
      <c r="BE57" s="58">
        <f>+GETPIVOTDATA("XXS4",'xuanson (2016)'!$A$3,"MA_HT","PNK","MA_QH","CSD")</f>
        <v>0</v>
      </c>
      <c r="BF57" s="66">
        <f>BE57+R57+E57</f>
        <v>0</v>
      </c>
      <c r="BG57" s="67">
        <f>BD$59-$BF57</f>
        <v>0</v>
      </c>
      <c r="BH57" s="62" t="e">
        <f>BG57+D57</f>
        <v>#REF!</v>
      </c>
      <c r="BI57" s="5"/>
      <c r="BJ57" s="5" t="e">
        <f>#REF!</f>
        <v>#REF!</v>
      </c>
      <c r="BK57" s="78" t="e">
        <f>BH57-BJ57</f>
        <v>#REF!</v>
      </c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</row>
    <row r="58" spans="1:246" s="59" customFormat="1" ht="15.75" customHeight="1">
      <c r="A58" s="85" t="s">
        <v>150</v>
      </c>
      <c r="B58" s="56" t="s">
        <v>151</v>
      </c>
      <c r="C58" s="57" t="s">
        <v>152</v>
      </c>
      <c r="D58" s="51" t="e">
        <f>+#REF!</f>
        <v>#REF!</v>
      </c>
      <c r="E58" s="63">
        <f>SUM(F58,J58:Q58)</f>
        <v>0</v>
      </c>
      <c r="F58" s="52">
        <f t="shared" si="9"/>
        <v>0</v>
      </c>
      <c r="G58" s="58">
        <f>+GETPIVOTDATA("XXS4",'xuanson (2016)'!$A$3,"MA_HT","CSD","MA_QH","LUC")</f>
        <v>0</v>
      </c>
      <c r="H58" s="58">
        <f>+GETPIVOTDATA("XXS4",'xuanson (2016)'!$A$3,"MA_HT","CSD","MA_QH","LUK")</f>
        <v>0</v>
      </c>
      <c r="I58" s="58">
        <f>+GETPIVOTDATA("XXS4",'xuanson (2016)'!$A$3,"MA_HT","CSD","MA_QH","LUN")</f>
        <v>0</v>
      </c>
      <c r="J58" s="58">
        <f>+GETPIVOTDATA("XXS4",'xuanson (2016)'!$A$3,"MA_HT","CSD","MA_QH","HNK")</f>
        <v>0</v>
      </c>
      <c r="K58" s="58">
        <f>+GETPIVOTDATA("XXS4",'xuanson (2016)'!$A$3,"MA_HT","CSD","MA_QH","CLN")</f>
        <v>0</v>
      </c>
      <c r="L58" s="58">
        <f>+GETPIVOTDATA("XXS4",'xuanson (2016)'!$A$3,"MA_HT","CSD","MA_QH","RSX")</f>
        <v>0</v>
      </c>
      <c r="M58" s="58">
        <f>+GETPIVOTDATA("XXS4",'xuanson (2016)'!$A$3,"MA_HT","CSD","MA_QH","RPH")</f>
        <v>0</v>
      </c>
      <c r="N58" s="58">
        <f>+GETPIVOTDATA("XXS4",'xuanson (2016)'!$A$3,"MA_HT","CSD","MA_QH","RDD")</f>
        <v>0</v>
      </c>
      <c r="O58" s="58">
        <f>+GETPIVOTDATA("XXS4",'xuanson (2016)'!$A$3,"MA_HT","CSD","MA_QH","NTS")</f>
        <v>0</v>
      </c>
      <c r="P58" s="58">
        <f>+GETPIVOTDATA("XXS4",'xuanson (2016)'!$A$3,"MA_HT","CSD","MA_QH","LMU")</f>
        <v>0</v>
      </c>
      <c r="Q58" s="58">
        <f>+GETPIVOTDATA("XXS4",'xuanson (2016)'!$A$3,"MA_HT","CSD","MA_QH","NKH")</f>
        <v>0</v>
      </c>
      <c r="R58" s="106">
        <f>SUM(S58:AA58,AN58:BD58)</f>
        <v>0</v>
      </c>
      <c r="S58" s="102">
        <f>+GETPIVOTDATA("XXS4",'xuanson (2016)'!$A$3,"MA_HT","CSD","MA_QH","CQP")</f>
        <v>0</v>
      </c>
      <c r="T58" s="102">
        <f>+GETPIVOTDATA("XXS4",'xuanson (2016)'!$A$3,"MA_HT","CSD","MA_QH","CAN")</f>
        <v>0</v>
      </c>
      <c r="U58" s="58">
        <f>+GETPIVOTDATA("XXS4",'xuanson (2016)'!$A$3,"MA_HT","CSD","MA_QH","SKK")</f>
        <v>0</v>
      </c>
      <c r="V58" s="58">
        <f>+GETPIVOTDATA("XXS4",'xuanson (2016)'!$A$3,"MA_HT","CSD","MA_QH","SKT")</f>
        <v>0</v>
      </c>
      <c r="W58" s="58">
        <f>+GETPIVOTDATA("XXS4",'xuanson (2016)'!$A$3,"MA_HT","CSD","MA_QH","SKN")</f>
        <v>0</v>
      </c>
      <c r="X58" s="58">
        <f>+GETPIVOTDATA("XXS4",'xuanson (2016)'!$A$3,"MA_HT","CSD","MA_QH","TMD")</f>
        <v>0</v>
      </c>
      <c r="Y58" s="58">
        <f>+GETPIVOTDATA("XXS4",'xuanson (2016)'!$A$3,"MA_HT","CSD","MA_QH","SKC")</f>
        <v>0</v>
      </c>
      <c r="Z58" s="58">
        <f>+GETPIVOTDATA("XXS4",'xuanson (2016)'!$A$3,"MA_HT","CSD","MA_QH","SKS")</f>
        <v>0</v>
      </c>
      <c r="AA58" s="64">
        <f t="shared" si="21"/>
        <v>0</v>
      </c>
      <c r="AB58" s="102">
        <f>+GETPIVOTDATA("XXS4",'xuanson (2016)'!$A$3,"MA_HT","CSD","MA_QH","DGT")</f>
        <v>0</v>
      </c>
      <c r="AC58" s="102">
        <f>+GETPIVOTDATA("XXS4",'xuanson (2016)'!$A$3,"MA_HT","CSD","MA_QH","DTL")</f>
        <v>0</v>
      </c>
      <c r="AD58" s="102">
        <f>+GETPIVOTDATA("XXS4",'xuanson (2016)'!$A$3,"MA_HT","CSD","MA_QH","DNL")</f>
        <v>0</v>
      </c>
      <c r="AE58" s="102">
        <f>+GETPIVOTDATA("XXS4",'xuanson (2016)'!$A$3,"MA_HT","CSD","MA_QH","DBV")</f>
        <v>0</v>
      </c>
      <c r="AF58" s="102">
        <f>+GETPIVOTDATA("XXS4",'xuanson (2016)'!$A$3,"MA_HT","CSD","MA_QH","DVH")</f>
        <v>0</v>
      </c>
      <c r="AG58" s="102">
        <f>+GETPIVOTDATA("XXS4",'xuanson (2016)'!$A$3,"MA_HT","CSD","MA_QH","DYT")</f>
        <v>0</v>
      </c>
      <c r="AH58" s="102">
        <f>+GETPIVOTDATA("XXS4",'xuanson (2016)'!$A$3,"MA_HT","CSD","MA_QH","DGD")</f>
        <v>0</v>
      </c>
      <c r="AI58" s="102">
        <f>+GETPIVOTDATA("XXS4",'xuanson (2016)'!$A$3,"MA_HT","CSD","MA_QH","DTT")</f>
        <v>0</v>
      </c>
      <c r="AJ58" s="102">
        <f>+GETPIVOTDATA("XXS4",'xuanson (2016)'!$A$3,"MA_HT","CSD","MA_QH","NCK")</f>
        <v>0</v>
      </c>
      <c r="AK58" s="102">
        <f>+GETPIVOTDATA("XXS4",'xuanson (2016)'!$A$3,"MA_HT","CSD","MA_QH","DXH")</f>
        <v>0</v>
      </c>
      <c r="AL58" s="102">
        <f>+GETPIVOTDATA("XXS4",'xuanson (2016)'!$A$3,"MA_HT","CSD","MA_QH","DCH")</f>
        <v>0</v>
      </c>
      <c r="AM58" s="102">
        <f>+GETPIVOTDATA("XXS4",'xuanson (2016)'!$A$3,"MA_HT","CSD","MA_QH","DKG")</f>
        <v>0</v>
      </c>
      <c r="AN58" s="58">
        <f>+GETPIVOTDATA("XXS4",'xuanson (2016)'!$A$3,"MA_HT","CSD","MA_QH","DDT")</f>
        <v>0</v>
      </c>
      <c r="AO58" s="58">
        <f>+GETPIVOTDATA("XXS4",'xuanson (2016)'!$A$3,"MA_HT","CSD","MA_QH","DDL")</f>
        <v>0</v>
      </c>
      <c r="AP58" s="58">
        <f>+GETPIVOTDATA("XXS4",'xuanson (2016)'!$A$3,"MA_HT","CSD","MA_QH","DRA")</f>
        <v>0</v>
      </c>
      <c r="AQ58" s="58">
        <f>+GETPIVOTDATA("XXS4",'xuanson (2016)'!$A$3,"MA_HT","CSD","MA_QH","ONT")</f>
        <v>0</v>
      </c>
      <c r="AR58" s="58">
        <f>+GETPIVOTDATA("XXS4",'xuanson (2016)'!$A$3,"MA_HT","CSD","MA_QH","ODT")</f>
        <v>0</v>
      </c>
      <c r="AS58" s="58">
        <f>+GETPIVOTDATA("XXS4",'xuanson (2016)'!$A$3,"MA_HT","CSD","MA_QH","TSC")</f>
        <v>0</v>
      </c>
      <c r="AT58" s="58">
        <f>+GETPIVOTDATA("XXS4",'xuanson (2016)'!$A$3,"MA_HT","CSD","MA_QH","DTS")</f>
        <v>0</v>
      </c>
      <c r="AU58" s="58">
        <f>+GETPIVOTDATA("XXS4",'xuanson (2016)'!$A$3,"MA_HT","CSD","MA_QH","DNG")</f>
        <v>0</v>
      </c>
      <c r="AV58" s="58">
        <f>+GETPIVOTDATA("XXS4",'xuanson (2016)'!$A$3,"MA_HT","CSD","MA_QH","TON")</f>
        <v>0</v>
      </c>
      <c r="AW58" s="58">
        <f>+GETPIVOTDATA("XXS4",'xuanson (2016)'!$A$3,"MA_HT","CSD","MA_QH","NTD")</f>
        <v>0</v>
      </c>
      <c r="AX58" s="58">
        <f>+GETPIVOTDATA("XXS4",'xuanson (2016)'!$A$3,"MA_HT","CSD","MA_QH","SKX")</f>
        <v>0</v>
      </c>
      <c r="AY58" s="58">
        <f>+GETPIVOTDATA("XXS4",'xuanson (2016)'!$A$3,"MA_HT","CSD","MA_QH","DSH")</f>
        <v>0</v>
      </c>
      <c r="AZ58" s="58">
        <f>+GETPIVOTDATA("XXS4",'xuanson (2016)'!$A$3,"MA_HT","CSD","MA_QH","DKV")</f>
        <v>0</v>
      </c>
      <c r="BA58" s="140">
        <f>+GETPIVOTDATA("XXS4",'xuanson (2016)'!$A$3,"MA_HT","CSD","MA_QH","TIN")</f>
        <v>0</v>
      </c>
      <c r="BB58" s="102">
        <f>+GETPIVOTDATA("XXS4",'xuanson (2016)'!$A$3,"MA_HT","CSD","MA_QH","SON")</f>
        <v>0</v>
      </c>
      <c r="BC58" s="102">
        <f>+GETPIVOTDATA("XXS4",'xuanson (2016)'!$A$3,"MA_HT","CSD","MA_QH","MNC")</f>
        <v>0</v>
      </c>
      <c r="BD58" s="58">
        <f>+GETPIVOTDATA("XXS4",'xuanson (2016)'!$A$3,"MA_HT","CSD","MA_QH","PNK")</f>
        <v>0</v>
      </c>
      <c r="BE58" s="98" t="e">
        <f>$D58-$BF58</f>
        <v>#REF!</v>
      </c>
      <c r="BF58" s="66">
        <f>R58+E58</f>
        <v>0</v>
      </c>
      <c r="BG58" s="86">
        <f>BE$59-$BF58</f>
        <v>0</v>
      </c>
      <c r="BH58" s="62" t="e">
        <f>BG58+D58</f>
        <v>#REF!</v>
      </c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46" s="41" customFormat="1" ht="13.8">
      <c r="A59" s="87"/>
      <c r="B59" s="87" t="s">
        <v>234</v>
      </c>
      <c r="C59" s="88"/>
      <c r="D59" s="66"/>
      <c r="E59" s="89">
        <f>E58+E19</f>
        <v>0</v>
      </c>
      <c r="F59" s="66">
        <f t="shared" ref="F59:Q59" si="22">F58+F19+F6</f>
        <v>0</v>
      </c>
      <c r="G59" s="66">
        <f t="shared" si="22"/>
        <v>0</v>
      </c>
      <c r="H59" s="66">
        <f t="shared" si="22"/>
        <v>0</v>
      </c>
      <c r="I59" s="66">
        <f t="shared" si="22"/>
        <v>0</v>
      </c>
      <c r="J59" s="66">
        <f t="shared" si="22"/>
        <v>0</v>
      </c>
      <c r="K59" s="66">
        <f t="shared" si="22"/>
        <v>0</v>
      </c>
      <c r="L59" s="66">
        <f t="shared" si="22"/>
        <v>0</v>
      </c>
      <c r="M59" s="66">
        <f t="shared" si="22"/>
        <v>0</v>
      </c>
      <c r="N59" s="66">
        <f t="shared" si="22"/>
        <v>0</v>
      </c>
      <c r="O59" s="66">
        <f t="shared" si="22"/>
        <v>0</v>
      </c>
      <c r="P59" s="66">
        <f t="shared" si="22"/>
        <v>0</v>
      </c>
      <c r="Q59" s="66">
        <f t="shared" si="22"/>
        <v>0</v>
      </c>
      <c r="R59" s="89">
        <f>+R58+R6</f>
        <v>0</v>
      </c>
      <c r="S59" s="66">
        <f t="shared" ref="S59:BD59" si="23">S58+S19+S6</f>
        <v>0</v>
      </c>
      <c r="T59" s="66">
        <f t="shared" si="23"/>
        <v>0</v>
      </c>
      <c r="U59" s="66">
        <f t="shared" si="23"/>
        <v>0</v>
      </c>
      <c r="V59" s="66">
        <f t="shared" si="23"/>
        <v>0</v>
      </c>
      <c r="W59" s="66">
        <f t="shared" si="23"/>
        <v>0</v>
      </c>
      <c r="X59" s="66">
        <f t="shared" si="23"/>
        <v>0</v>
      </c>
      <c r="Y59" s="66">
        <f t="shared" si="23"/>
        <v>0</v>
      </c>
      <c r="Z59" s="66">
        <f t="shared" si="23"/>
        <v>0</v>
      </c>
      <c r="AA59" s="66">
        <f t="shared" si="23"/>
        <v>0</v>
      </c>
      <c r="AB59" s="66">
        <f t="shared" si="23"/>
        <v>0</v>
      </c>
      <c r="AC59" s="66">
        <f t="shared" si="23"/>
        <v>0</v>
      </c>
      <c r="AD59" s="66">
        <f t="shared" si="23"/>
        <v>0</v>
      </c>
      <c r="AE59" s="66">
        <f t="shared" si="23"/>
        <v>0</v>
      </c>
      <c r="AF59" s="66">
        <f t="shared" si="23"/>
        <v>0</v>
      </c>
      <c r="AG59" s="66">
        <f t="shared" si="23"/>
        <v>0</v>
      </c>
      <c r="AH59" s="66">
        <f t="shared" si="23"/>
        <v>0</v>
      </c>
      <c r="AI59" s="66">
        <f t="shared" si="23"/>
        <v>0</v>
      </c>
      <c r="AJ59" s="66">
        <f t="shared" si="23"/>
        <v>0</v>
      </c>
      <c r="AK59" s="66">
        <f t="shared" si="23"/>
        <v>0</v>
      </c>
      <c r="AL59" s="66">
        <f t="shared" si="23"/>
        <v>0</v>
      </c>
      <c r="AM59" s="66">
        <f>AM58+AM19+AM6</f>
        <v>0</v>
      </c>
      <c r="AN59" s="66">
        <f t="shared" si="23"/>
        <v>0</v>
      </c>
      <c r="AO59" s="66">
        <f t="shared" si="23"/>
        <v>0</v>
      </c>
      <c r="AP59" s="66">
        <f t="shared" si="23"/>
        <v>0</v>
      </c>
      <c r="AQ59" s="66">
        <f t="shared" si="23"/>
        <v>0</v>
      </c>
      <c r="AR59" s="66">
        <f t="shared" si="23"/>
        <v>0</v>
      </c>
      <c r="AS59" s="66">
        <f t="shared" si="23"/>
        <v>0</v>
      </c>
      <c r="AT59" s="66">
        <f t="shared" si="23"/>
        <v>0</v>
      </c>
      <c r="AU59" s="66">
        <f t="shared" si="23"/>
        <v>0</v>
      </c>
      <c r="AV59" s="66">
        <f t="shared" si="23"/>
        <v>0</v>
      </c>
      <c r="AW59" s="66">
        <f t="shared" si="23"/>
        <v>0</v>
      </c>
      <c r="AX59" s="66">
        <f t="shared" si="23"/>
        <v>0</v>
      </c>
      <c r="AY59" s="66">
        <f t="shared" si="23"/>
        <v>0</v>
      </c>
      <c r="AZ59" s="66">
        <f t="shared" si="23"/>
        <v>0</v>
      </c>
      <c r="BA59" s="89">
        <f t="shared" si="23"/>
        <v>0</v>
      </c>
      <c r="BB59" s="66">
        <f t="shared" si="23"/>
        <v>0</v>
      </c>
      <c r="BC59" s="66">
        <f t="shared" si="23"/>
        <v>0</v>
      </c>
      <c r="BD59" s="66">
        <f t="shared" si="23"/>
        <v>0</v>
      </c>
      <c r="BE59" s="90">
        <f>BE19+BE6</f>
        <v>0</v>
      </c>
      <c r="BF59" s="66"/>
      <c r="BG59" s="66"/>
      <c r="BH59" s="66"/>
      <c r="BI59" s="91"/>
      <c r="BJ59" s="91"/>
      <c r="BK59" s="91"/>
      <c r="BL59" s="92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3"/>
      <c r="CB59" s="93"/>
      <c r="CC59" s="94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</row>
    <row r="61" spans="1:246"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</row>
  </sheetData>
  <mergeCells count="3">
    <mergeCell ref="A3:A4"/>
    <mergeCell ref="B3:B4"/>
    <mergeCell ref="C3:C4"/>
  </mergeCells>
  <phoneticPr fontId="2" type="noConversion"/>
  <pageMargins left="0.65" right="0" top="0.5" bottom="0.25" header="0.5" footer="0.5"/>
  <pageSetup paperSize="8" orientation="landscape" horizontalDpi="360" verticalDpi="36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rgb="FFCCFFFF"/>
  </sheetPr>
  <dimension ref="A1:S34"/>
  <sheetViews>
    <sheetView topLeftCell="A16" workbookViewId="0">
      <selection activeCell="E4" sqref="E4:Q4"/>
    </sheetView>
  </sheetViews>
  <sheetFormatPr defaultColWidth="9" defaultRowHeight="15" customHeight="1"/>
  <cols>
    <col min="1" max="1" width="3.5" style="153" bestFit="1" customWidth="1"/>
    <col min="2" max="2" width="41.69921875" style="11" customWidth="1"/>
    <col min="3" max="3" width="10.09765625" style="154" customWidth="1"/>
    <col min="4" max="4" width="10.09765625" style="12" bestFit="1" customWidth="1"/>
    <col min="5" max="6" width="7.19921875" style="11" bestFit="1" customWidth="1"/>
    <col min="7" max="9" width="6.09765625" style="11" bestFit="1" customWidth="1"/>
    <col min="10" max="11" width="7.19921875" style="11" bestFit="1" customWidth="1"/>
    <col min="12" max="12" width="6.09765625" style="11" bestFit="1" customWidth="1"/>
    <col min="13" max="13" width="7.296875" style="11" bestFit="1" customWidth="1"/>
    <col min="14" max="16" width="6.09765625" style="11" bestFit="1" customWidth="1"/>
    <col min="17" max="17" width="6.09765625" style="11" customWidth="1"/>
    <col min="18" max="16384" width="9" style="11"/>
  </cols>
  <sheetData>
    <row r="1" spans="1:19" ht="16.5" customHeight="1">
      <c r="A1" s="560" t="s">
        <v>332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</row>
    <row r="2" spans="1:19" ht="16.5" customHeight="1">
      <c r="A2" s="561" t="s">
        <v>642</v>
      </c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</row>
    <row r="3" spans="1:19" ht="16.5" customHeight="1">
      <c r="A3" s="561" t="s">
        <v>637</v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</row>
    <row r="4" spans="1:19" ht="16.5" customHeight="1">
      <c r="A4" s="149"/>
      <c r="B4" s="150"/>
      <c r="C4" s="150"/>
      <c r="D4" s="151"/>
      <c r="E4" s="562" t="s">
        <v>167</v>
      </c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</row>
    <row r="5" spans="1:19" s="2" customFormat="1" ht="15" customHeight="1">
      <c r="A5" s="563" t="s">
        <v>0</v>
      </c>
      <c r="B5" s="564" t="s">
        <v>333</v>
      </c>
      <c r="C5" s="564" t="s">
        <v>2</v>
      </c>
      <c r="D5" s="565" t="s">
        <v>331</v>
      </c>
      <c r="E5" s="566" t="s">
        <v>334</v>
      </c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</row>
    <row r="6" spans="1:19" s="2" customFormat="1" ht="24">
      <c r="A6" s="563"/>
      <c r="B6" s="564"/>
      <c r="C6" s="564"/>
      <c r="D6" s="566"/>
      <c r="E6" s="13" t="s">
        <v>393</v>
      </c>
      <c r="F6" s="13" t="s">
        <v>369</v>
      </c>
      <c r="G6" s="13" t="s">
        <v>390</v>
      </c>
      <c r="H6" s="13" t="s">
        <v>365</v>
      </c>
      <c r="I6" s="13" t="s">
        <v>367</v>
      </c>
      <c r="J6" s="13" t="s">
        <v>370</v>
      </c>
      <c r="K6" s="13" t="s">
        <v>372</v>
      </c>
      <c r="L6" s="13" t="s">
        <v>379</v>
      </c>
      <c r="M6" s="13" t="s">
        <v>408</v>
      </c>
      <c r="N6" s="13" t="s">
        <v>380</v>
      </c>
      <c r="O6" s="13" t="s">
        <v>417</v>
      </c>
      <c r="P6" s="13" t="s">
        <v>391</v>
      </c>
      <c r="Q6" s="13" t="s">
        <v>389</v>
      </c>
    </row>
    <row r="7" spans="1:19" s="10" customFormat="1" ht="12.75" customHeight="1">
      <c r="A7" s="144" t="s">
        <v>5</v>
      </c>
      <c r="B7" s="145" t="s">
        <v>6</v>
      </c>
      <c r="C7" s="145" t="s">
        <v>7</v>
      </c>
      <c r="D7" s="146" t="s">
        <v>184</v>
      </c>
      <c r="E7" s="147" t="s">
        <v>8</v>
      </c>
      <c r="F7" s="147" t="s">
        <v>9</v>
      </c>
      <c r="G7" s="147" t="s">
        <v>10</v>
      </c>
      <c r="H7" s="147" t="s">
        <v>11</v>
      </c>
      <c r="I7" s="147" t="s">
        <v>12</v>
      </c>
      <c r="J7" s="147" t="s">
        <v>13</v>
      </c>
      <c r="K7" s="147" t="s">
        <v>14</v>
      </c>
      <c r="L7" s="147" t="s">
        <v>15</v>
      </c>
      <c r="M7" s="147" t="s">
        <v>16</v>
      </c>
      <c r="N7" s="147" t="s">
        <v>17</v>
      </c>
      <c r="O7" s="147" t="s">
        <v>18</v>
      </c>
      <c r="P7" s="147" t="s">
        <v>19</v>
      </c>
      <c r="Q7" s="147" t="s">
        <v>170</v>
      </c>
    </row>
    <row r="8" spans="1:19" s="10" customFormat="1" ht="12">
      <c r="A8" s="1">
        <v>1</v>
      </c>
      <c r="B8" s="14" t="s">
        <v>185</v>
      </c>
      <c r="C8" s="15" t="s">
        <v>186</v>
      </c>
      <c r="D8" s="387">
        <v>11422.321408698226</v>
      </c>
      <c r="E8" s="387">
        <v>1117.215815</v>
      </c>
      <c r="F8" s="387">
        <v>1491.1934109749971</v>
      </c>
      <c r="G8" s="387">
        <v>706.84279000000004</v>
      </c>
      <c r="H8" s="387">
        <v>535.12542299999984</v>
      </c>
      <c r="I8" s="387">
        <v>858.79445799999996</v>
      </c>
      <c r="J8" s="387">
        <v>1632.2014535649994</v>
      </c>
      <c r="K8" s="387">
        <v>1855.7578154500577</v>
      </c>
      <c r="L8" s="387">
        <v>419.3180422080585</v>
      </c>
      <c r="M8" s="387">
        <v>434.82843129918092</v>
      </c>
      <c r="N8" s="387">
        <v>578.041363245002</v>
      </c>
      <c r="O8" s="387">
        <v>485.36507</v>
      </c>
      <c r="P8" s="387">
        <v>937.96055700000011</v>
      </c>
      <c r="Q8" s="387">
        <v>369.67677895593084</v>
      </c>
      <c r="R8" s="16"/>
      <c r="S8" s="16"/>
    </row>
    <row r="9" spans="1:19" s="10" customFormat="1" ht="14.25" customHeight="1">
      <c r="A9" s="9"/>
      <c r="B9" s="17" t="s">
        <v>187</v>
      </c>
      <c r="C9" s="1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16"/>
    </row>
    <row r="10" spans="1:19" s="10" customFormat="1" ht="14.25" customHeight="1">
      <c r="A10" s="4" t="s">
        <v>23</v>
      </c>
      <c r="B10" s="8" t="s">
        <v>24</v>
      </c>
      <c r="C10" s="19" t="s">
        <v>188</v>
      </c>
      <c r="D10" s="389">
        <v>22.294</v>
      </c>
      <c r="E10" s="389">
        <v>2.294</v>
      </c>
      <c r="F10" s="389">
        <v>0</v>
      </c>
      <c r="G10" s="389">
        <v>0</v>
      </c>
      <c r="H10" s="389">
        <v>10.5</v>
      </c>
      <c r="I10" s="389">
        <v>0</v>
      </c>
      <c r="J10" s="389">
        <v>1</v>
      </c>
      <c r="K10" s="389">
        <v>0</v>
      </c>
      <c r="L10" s="389">
        <v>8</v>
      </c>
      <c r="M10" s="389">
        <v>0</v>
      </c>
      <c r="N10" s="389">
        <v>0.5</v>
      </c>
      <c r="O10" s="389">
        <v>0</v>
      </c>
      <c r="P10" s="389">
        <v>0</v>
      </c>
      <c r="Q10" s="389">
        <v>0</v>
      </c>
      <c r="R10" s="16"/>
    </row>
    <row r="11" spans="1:19" s="148" customFormat="1" ht="14.25" customHeight="1">
      <c r="A11" s="295"/>
      <c r="B11" s="6" t="s">
        <v>306</v>
      </c>
      <c r="C11" s="20" t="s">
        <v>189</v>
      </c>
      <c r="D11" s="390">
        <v>1</v>
      </c>
      <c r="E11" s="390">
        <v>0</v>
      </c>
      <c r="F11" s="390">
        <v>0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v>1</v>
      </c>
      <c r="M11" s="390">
        <v>0</v>
      </c>
      <c r="N11" s="390">
        <v>0</v>
      </c>
      <c r="O11" s="390">
        <v>0</v>
      </c>
      <c r="P11" s="390">
        <v>0</v>
      </c>
      <c r="Q11" s="390">
        <v>0</v>
      </c>
      <c r="R11" s="308"/>
    </row>
    <row r="12" spans="1:19" s="10" customFormat="1" ht="14.25" customHeight="1">
      <c r="A12" s="4" t="s">
        <v>32</v>
      </c>
      <c r="B12" s="8" t="s">
        <v>33</v>
      </c>
      <c r="C12" s="19" t="s">
        <v>191</v>
      </c>
      <c r="D12" s="389">
        <v>6.5770150000000003</v>
      </c>
      <c r="E12" s="389">
        <v>1.95</v>
      </c>
      <c r="F12" s="389">
        <v>0</v>
      </c>
      <c r="G12" s="389">
        <v>0</v>
      </c>
      <c r="H12" s="389">
        <v>0.79</v>
      </c>
      <c r="I12" s="389">
        <v>0.15701500000000002</v>
      </c>
      <c r="J12" s="389">
        <v>0</v>
      </c>
      <c r="K12" s="389">
        <v>0.68</v>
      </c>
      <c r="L12" s="389">
        <v>3</v>
      </c>
      <c r="M12" s="389">
        <v>0</v>
      </c>
      <c r="N12" s="389">
        <v>0</v>
      </c>
      <c r="O12" s="389">
        <v>0</v>
      </c>
      <c r="P12" s="389">
        <v>0</v>
      </c>
      <c r="Q12" s="389">
        <v>0</v>
      </c>
      <c r="R12" s="16"/>
    </row>
    <row r="13" spans="1:19" s="10" customFormat="1" ht="14.25" customHeight="1">
      <c r="A13" s="4" t="s">
        <v>35</v>
      </c>
      <c r="B13" s="8" t="s">
        <v>36</v>
      </c>
      <c r="C13" s="19" t="s">
        <v>192</v>
      </c>
      <c r="D13" s="389">
        <v>10423.214293698225</v>
      </c>
      <c r="E13" s="389">
        <v>1112.9718150000001</v>
      </c>
      <c r="F13" s="389">
        <v>843.19341097499705</v>
      </c>
      <c r="G13" s="389">
        <v>706.84279000000004</v>
      </c>
      <c r="H13" s="389">
        <v>523.83542299999988</v>
      </c>
      <c r="I13" s="389">
        <v>858.63744299999996</v>
      </c>
      <c r="J13" s="389">
        <v>1341.2514535649993</v>
      </c>
      <c r="K13" s="389">
        <v>1855.0778154500576</v>
      </c>
      <c r="L13" s="389">
        <v>408.3180422080585</v>
      </c>
      <c r="M13" s="389">
        <v>403.30843129918094</v>
      </c>
      <c r="N13" s="389">
        <v>577.541363245002</v>
      </c>
      <c r="O13" s="389">
        <v>485.36507</v>
      </c>
      <c r="P13" s="389">
        <v>937.96055700000011</v>
      </c>
      <c r="Q13" s="391">
        <v>368.91067895593085</v>
      </c>
      <c r="R13" s="16"/>
      <c r="S13" s="21"/>
    </row>
    <row r="14" spans="1:19" s="10" customFormat="1" ht="14.25" customHeight="1">
      <c r="A14" s="4" t="s">
        <v>38</v>
      </c>
      <c r="B14" s="8" t="s">
        <v>41</v>
      </c>
      <c r="C14" s="19" t="s">
        <v>193</v>
      </c>
      <c r="D14" s="389">
        <v>6</v>
      </c>
      <c r="E14" s="389">
        <v>0</v>
      </c>
      <c r="F14" s="389">
        <v>0</v>
      </c>
      <c r="G14" s="389">
        <v>0</v>
      </c>
      <c r="H14" s="389">
        <v>0</v>
      </c>
      <c r="I14" s="389">
        <v>0</v>
      </c>
      <c r="J14" s="389">
        <v>6</v>
      </c>
      <c r="K14" s="389">
        <v>0</v>
      </c>
      <c r="L14" s="389">
        <v>0</v>
      </c>
      <c r="M14" s="389">
        <v>0</v>
      </c>
      <c r="N14" s="389">
        <v>0</v>
      </c>
      <c r="O14" s="389">
        <v>0</v>
      </c>
      <c r="P14" s="389">
        <v>0</v>
      </c>
      <c r="Q14" s="389">
        <v>0</v>
      </c>
      <c r="R14" s="16"/>
    </row>
    <row r="15" spans="1:19" s="10" customFormat="1" ht="14.25" customHeight="1">
      <c r="A15" s="4" t="s">
        <v>40</v>
      </c>
      <c r="B15" s="8" t="s">
        <v>44</v>
      </c>
      <c r="C15" s="19" t="s">
        <v>194</v>
      </c>
      <c r="D15" s="389">
        <v>0</v>
      </c>
      <c r="E15" s="389">
        <v>0</v>
      </c>
      <c r="F15" s="389">
        <v>0</v>
      </c>
      <c r="G15" s="389">
        <v>0</v>
      </c>
      <c r="H15" s="389">
        <v>0</v>
      </c>
      <c r="I15" s="389">
        <v>0</v>
      </c>
      <c r="J15" s="389">
        <v>0</v>
      </c>
      <c r="K15" s="389">
        <v>0</v>
      </c>
      <c r="L15" s="389">
        <v>0</v>
      </c>
      <c r="M15" s="389">
        <v>0</v>
      </c>
      <c r="N15" s="389">
        <v>0</v>
      </c>
      <c r="O15" s="389">
        <v>0</v>
      </c>
      <c r="P15" s="389">
        <v>0</v>
      </c>
      <c r="Q15" s="389">
        <v>0</v>
      </c>
      <c r="R15" s="22"/>
    </row>
    <row r="16" spans="1:19" s="10" customFormat="1" ht="14.25" customHeight="1">
      <c r="A16" s="4" t="s">
        <v>43</v>
      </c>
      <c r="B16" s="8" t="s">
        <v>221</v>
      </c>
      <c r="C16" s="19" t="s">
        <v>195</v>
      </c>
      <c r="D16" s="389">
        <v>963.47</v>
      </c>
      <c r="E16" s="389">
        <v>0</v>
      </c>
      <c r="F16" s="389">
        <v>648</v>
      </c>
      <c r="G16" s="389">
        <v>0</v>
      </c>
      <c r="H16" s="389">
        <v>0</v>
      </c>
      <c r="I16" s="389">
        <v>0</v>
      </c>
      <c r="J16" s="389">
        <v>283.95</v>
      </c>
      <c r="K16" s="389">
        <v>0</v>
      </c>
      <c r="L16" s="389">
        <v>0</v>
      </c>
      <c r="M16" s="389">
        <v>31.520000000000003</v>
      </c>
      <c r="N16" s="389">
        <v>0</v>
      </c>
      <c r="O16" s="389">
        <v>0</v>
      </c>
      <c r="P16" s="389">
        <v>0</v>
      </c>
      <c r="Q16" s="389">
        <v>0</v>
      </c>
    </row>
    <row r="17" spans="1:19" s="148" customFormat="1" ht="14.25" customHeight="1">
      <c r="A17" s="295"/>
      <c r="B17" s="296" t="s">
        <v>292</v>
      </c>
      <c r="C17" s="20" t="s">
        <v>326</v>
      </c>
      <c r="D17" s="390">
        <v>0</v>
      </c>
      <c r="E17" s="390">
        <v>0</v>
      </c>
      <c r="F17" s="390">
        <v>0</v>
      </c>
      <c r="G17" s="390">
        <v>0</v>
      </c>
      <c r="H17" s="390">
        <v>0</v>
      </c>
      <c r="I17" s="390">
        <v>0</v>
      </c>
      <c r="J17" s="390">
        <v>0</v>
      </c>
      <c r="K17" s="390">
        <v>0</v>
      </c>
      <c r="L17" s="390">
        <v>0</v>
      </c>
      <c r="M17" s="390">
        <v>0</v>
      </c>
      <c r="N17" s="390">
        <v>0</v>
      </c>
      <c r="O17" s="390">
        <v>0</v>
      </c>
      <c r="P17" s="390">
        <v>0</v>
      </c>
      <c r="Q17" s="390">
        <v>0</v>
      </c>
    </row>
    <row r="18" spans="1:19" s="10" customFormat="1" ht="14.25" customHeight="1">
      <c r="A18" s="4" t="s">
        <v>46</v>
      </c>
      <c r="B18" s="8" t="s">
        <v>47</v>
      </c>
      <c r="C18" s="19" t="s">
        <v>196</v>
      </c>
      <c r="D18" s="389">
        <v>0.7661</v>
      </c>
      <c r="E18" s="389">
        <v>0</v>
      </c>
      <c r="F18" s="389">
        <v>0</v>
      </c>
      <c r="G18" s="389">
        <v>0</v>
      </c>
      <c r="H18" s="389">
        <v>0</v>
      </c>
      <c r="I18" s="389">
        <v>0</v>
      </c>
      <c r="J18" s="389">
        <v>0</v>
      </c>
      <c r="K18" s="389">
        <v>0</v>
      </c>
      <c r="L18" s="389">
        <v>0</v>
      </c>
      <c r="M18" s="389">
        <v>0</v>
      </c>
      <c r="N18" s="389">
        <v>0</v>
      </c>
      <c r="O18" s="389">
        <v>0</v>
      </c>
      <c r="P18" s="389">
        <v>0</v>
      </c>
      <c r="Q18" s="389">
        <v>0.7661</v>
      </c>
    </row>
    <row r="19" spans="1:19" s="10" customFormat="1" ht="14.25" customHeight="1">
      <c r="A19" s="4" t="s">
        <v>49</v>
      </c>
      <c r="B19" s="8" t="s">
        <v>50</v>
      </c>
      <c r="C19" s="19" t="s">
        <v>197</v>
      </c>
      <c r="D19" s="389">
        <v>0</v>
      </c>
      <c r="E19" s="389">
        <v>0</v>
      </c>
      <c r="F19" s="389">
        <v>0</v>
      </c>
      <c r="G19" s="389">
        <v>0</v>
      </c>
      <c r="H19" s="389">
        <v>0</v>
      </c>
      <c r="I19" s="389">
        <v>0</v>
      </c>
      <c r="J19" s="389">
        <v>0</v>
      </c>
      <c r="K19" s="389">
        <v>0</v>
      </c>
      <c r="L19" s="389">
        <v>0</v>
      </c>
      <c r="M19" s="389">
        <v>0</v>
      </c>
      <c r="N19" s="389">
        <v>0</v>
      </c>
      <c r="O19" s="389">
        <v>0</v>
      </c>
      <c r="P19" s="389">
        <v>0</v>
      </c>
      <c r="Q19" s="389">
        <v>0</v>
      </c>
    </row>
    <row r="20" spans="1:19" s="10" customFormat="1" ht="14.25" customHeight="1">
      <c r="A20" s="302" t="s">
        <v>52</v>
      </c>
      <c r="B20" s="303" t="s">
        <v>53</v>
      </c>
      <c r="C20" s="304" t="s">
        <v>711</v>
      </c>
      <c r="D20" s="392">
        <v>0</v>
      </c>
      <c r="E20" s="392">
        <v>0</v>
      </c>
      <c r="F20" s="392">
        <v>0</v>
      </c>
      <c r="G20" s="392">
        <v>0</v>
      </c>
      <c r="H20" s="392">
        <v>0</v>
      </c>
      <c r="I20" s="392">
        <v>0</v>
      </c>
      <c r="J20" s="392">
        <v>0</v>
      </c>
      <c r="K20" s="392">
        <v>0</v>
      </c>
      <c r="L20" s="392">
        <v>0</v>
      </c>
      <c r="M20" s="392">
        <v>0</v>
      </c>
      <c r="N20" s="392">
        <v>0</v>
      </c>
      <c r="O20" s="392">
        <v>0</v>
      </c>
      <c r="P20" s="392">
        <v>0</v>
      </c>
      <c r="Q20" s="392">
        <v>0</v>
      </c>
    </row>
    <row r="21" spans="1:19" s="10" customFormat="1" ht="12">
      <c r="A21" s="1">
        <v>2</v>
      </c>
      <c r="B21" s="14" t="s">
        <v>198</v>
      </c>
      <c r="C21" s="15"/>
      <c r="D21" s="387">
        <v>7602.6408096805444</v>
      </c>
      <c r="E21" s="387">
        <v>72.97</v>
      </c>
      <c r="F21" s="387">
        <v>1148.623345</v>
      </c>
      <c r="G21" s="387">
        <v>60</v>
      </c>
      <c r="H21" s="387">
        <v>134.97999999999999</v>
      </c>
      <c r="I21" s="387">
        <v>48.882168</v>
      </c>
      <c r="J21" s="387">
        <v>1535.0587869999999</v>
      </c>
      <c r="K21" s="387">
        <v>260.30595</v>
      </c>
      <c r="L21" s="387">
        <v>341.15</v>
      </c>
      <c r="M21" s="387">
        <v>2952.546288</v>
      </c>
      <c r="N21" s="387">
        <v>525.28696000000002</v>
      </c>
      <c r="O21" s="387">
        <v>70</v>
      </c>
      <c r="P21" s="387">
        <v>246.75062</v>
      </c>
      <c r="Q21" s="387">
        <v>206.08669168054402</v>
      </c>
      <c r="R21" s="16"/>
      <c r="S21" s="16"/>
    </row>
    <row r="22" spans="1:19" s="148" customFormat="1" ht="12">
      <c r="A22" s="306"/>
      <c r="B22" s="152" t="s">
        <v>187</v>
      </c>
      <c r="C22" s="307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S22" s="305"/>
    </row>
    <row r="23" spans="1:19" s="10" customFormat="1" ht="13.2">
      <c r="A23" s="278" t="s">
        <v>57</v>
      </c>
      <c r="B23" s="297" t="s">
        <v>247</v>
      </c>
      <c r="C23" s="298" t="s">
        <v>199</v>
      </c>
      <c r="D23" s="389">
        <v>488.36785800000001</v>
      </c>
      <c r="E23" s="389">
        <v>1.5</v>
      </c>
      <c r="F23" s="389">
        <v>0</v>
      </c>
      <c r="G23" s="389">
        <v>50</v>
      </c>
      <c r="H23" s="389">
        <v>78</v>
      </c>
      <c r="I23" s="389">
        <v>6.070208</v>
      </c>
      <c r="J23" s="389">
        <v>29.27</v>
      </c>
      <c r="K23" s="389">
        <v>96.61703</v>
      </c>
      <c r="L23" s="389">
        <v>70</v>
      </c>
      <c r="M23" s="389">
        <v>0</v>
      </c>
      <c r="N23" s="389">
        <v>41.94</v>
      </c>
      <c r="O23" s="389">
        <v>30</v>
      </c>
      <c r="P23" s="389">
        <v>14.97062</v>
      </c>
      <c r="Q23" s="389">
        <v>70</v>
      </c>
      <c r="S23" s="21"/>
    </row>
    <row r="24" spans="1:19" s="10" customFormat="1" ht="13.2">
      <c r="A24" s="278" t="s">
        <v>59</v>
      </c>
      <c r="B24" s="297" t="s">
        <v>248</v>
      </c>
      <c r="C24" s="298" t="s">
        <v>200</v>
      </c>
      <c r="D24" s="389">
        <v>0</v>
      </c>
      <c r="E24" s="389">
        <v>0</v>
      </c>
      <c r="F24" s="389">
        <v>0</v>
      </c>
      <c r="G24" s="389">
        <v>0</v>
      </c>
      <c r="H24" s="389">
        <v>0</v>
      </c>
      <c r="I24" s="389">
        <v>0</v>
      </c>
      <c r="J24" s="389">
        <v>0</v>
      </c>
      <c r="K24" s="389">
        <v>0</v>
      </c>
      <c r="L24" s="389">
        <v>0</v>
      </c>
      <c r="M24" s="389">
        <v>0</v>
      </c>
      <c r="N24" s="389">
        <v>0</v>
      </c>
      <c r="O24" s="389">
        <v>0</v>
      </c>
      <c r="P24" s="389">
        <v>0</v>
      </c>
      <c r="Q24" s="389">
        <v>0</v>
      </c>
      <c r="S24" s="21"/>
    </row>
    <row r="25" spans="1:19" s="10" customFormat="1" ht="13.2">
      <c r="A25" s="278" t="s">
        <v>61</v>
      </c>
      <c r="B25" s="297" t="s">
        <v>249</v>
      </c>
      <c r="C25" s="298" t="s">
        <v>201</v>
      </c>
      <c r="D25" s="389">
        <v>0</v>
      </c>
      <c r="E25" s="389">
        <v>0</v>
      </c>
      <c r="F25" s="389">
        <v>0</v>
      </c>
      <c r="G25" s="389">
        <v>0</v>
      </c>
      <c r="H25" s="389">
        <v>0</v>
      </c>
      <c r="I25" s="389">
        <v>0</v>
      </c>
      <c r="J25" s="389">
        <v>0</v>
      </c>
      <c r="K25" s="389">
        <v>0</v>
      </c>
      <c r="L25" s="389">
        <v>0</v>
      </c>
      <c r="M25" s="389">
        <v>0</v>
      </c>
      <c r="N25" s="389">
        <v>0</v>
      </c>
      <c r="O25" s="389">
        <v>0</v>
      </c>
      <c r="P25" s="389">
        <v>0</v>
      </c>
      <c r="Q25" s="389">
        <v>0</v>
      </c>
      <c r="S25" s="21"/>
    </row>
    <row r="26" spans="1:19" s="10" customFormat="1" ht="13.2">
      <c r="A26" s="278" t="s">
        <v>64</v>
      </c>
      <c r="B26" s="297" t="s">
        <v>250</v>
      </c>
      <c r="C26" s="298" t="s">
        <v>202</v>
      </c>
      <c r="D26" s="389">
        <v>0</v>
      </c>
      <c r="E26" s="389">
        <v>0</v>
      </c>
      <c r="F26" s="389">
        <v>0</v>
      </c>
      <c r="G26" s="389">
        <v>0</v>
      </c>
      <c r="H26" s="389">
        <v>0</v>
      </c>
      <c r="I26" s="389">
        <v>0</v>
      </c>
      <c r="J26" s="389">
        <v>0</v>
      </c>
      <c r="K26" s="389">
        <v>0</v>
      </c>
      <c r="L26" s="389">
        <v>0</v>
      </c>
      <c r="M26" s="389">
        <v>0</v>
      </c>
      <c r="N26" s="389">
        <v>0</v>
      </c>
      <c r="O26" s="389">
        <v>0</v>
      </c>
      <c r="P26" s="389">
        <v>0</v>
      </c>
      <c r="Q26" s="389">
        <v>0</v>
      </c>
      <c r="S26" s="21"/>
    </row>
    <row r="27" spans="1:19" s="10" customFormat="1" ht="26.4">
      <c r="A27" s="278" t="s">
        <v>67</v>
      </c>
      <c r="B27" s="297" t="s">
        <v>646</v>
      </c>
      <c r="C27" s="298" t="s">
        <v>203</v>
      </c>
      <c r="D27" s="389">
        <v>5</v>
      </c>
      <c r="E27" s="389">
        <v>0</v>
      </c>
      <c r="F27" s="389">
        <v>0</v>
      </c>
      <c r="G27" s="389">
        <v>0</v>
      </c>
      <c r="H27" s="389">
        <v>0</v>
      </c>
      <c r="I27" s="389">
        <v>0</v>
      </c>
      <c r="J27" s="389">
        <v>0</v>
      </c>
      <c r="K27" s="389">
        <v>0</v>
      </c>
      <c r="L27" s="389">
        <v>5</v>
      </c>
      <c r="M27" s="389">
        <v>0</v>
      </c>
      <c r="N27" s="389">
        <v>0</v>
      </c>
      <c r="O27" s="389">
        <v>0</v>
      </c>
      <c r="P27" s="389">
        <v>0</v>
      </c>
      <c r="Q27" s="389">
        <v>0</v>
      </c>
      <c r="S27" s="21"/>
    </row>
    <row r="28" spans="1:19" s="10" customFormat="1" ht="13.2">
      <c r="A28" s="278" t="s">
        <v>70</v>
      </c>
      <c r="B28" s="297" t="s">
        <v>647</v>
      </c>
      <c r="C28" s="298" t="s">
        <v>204</v>
      </c>
      <c r="D28" s="389">
        <v>0</v>
      </c>
      <c r="E28" s="389">
        <v>0</v>
      </c>
      <c r="F28" s="389">
        <v>0</v>
      </c>
      <c r="G28" s="389">
        <v>0</v>
      </c>
      <c r="H28" s="389">
        <v>0</v>
      </c>
      <c r="I28" s="389">
        <v>0</v>
      </c>
      <c r="J28" s="389">
        <v>0</v>
      </c>
      <c r="K28" s="389">
        <v>0</v>
      </c>
      <c r="L28" s="389">
        <v>0</v>
      </c>
      <c r="M28" s="389">
        <v>0</v>
      </c>
      <c r="N28" s="389">
        <v>0</v>
      </c>
      <c r="O28" s="389">
        <v>0</v>
      </c>
      <c r="P28" s="389">
        <v>0</v>
      </c>
      <c r="Q28" s="389">
        <v>0</v>
      </c>
      <c r="S28" s="21"/>
    </row>
    <row r="29" spans="1:19" s="10" customFormat="1" ht="26.4">
      <c r="A29" s="278" t="s">
        <v>73</v>
      </c>
      <c r="B29" s="297" t="s">
        <v>251</v>
      </c>
      <c r="C29" s="298" t="s">
        <v>252</v>
      </c>
      <c r="D29" s="389">
        <v>506.88672500000001</v>
      </c>
      <c r="E29" s="389">
        <v>0</v>
      </c>
      <c r="F29" s="389">
        <v>0</v>
      </c>
      <c r="G29" s="389">
        <v>0</v>
      </c>
      <c r="H29" s="389">
        <v>0</v>
      </c>
      <c r="I29" s="389">
        <v>0</v>
      </c>
      <c r="J29" s="389">
        <v>66.067524000000006</v>
      </c>
      <c r="K29" s="389">
        <v>29.087444000000001</v>
      </c>
      <c r="L29" s="389">
        <v>0</v>
      </c>
      <c r="M29" s="389">
        <v>411.73175700000002</v>
      </c>
      <c r="N29" s="389">
        <v>0</v>
      </c>
      <c r="O29" s="389">
        <v>0</v>
      </c>
      <c r="P29" s="389">
        <v>0</v>
      </c>
      <c r="Q29" s="389">
        <v>0</v>
      </c>
      <c r="S29" s="21"/>
    </row>
    <row r="30" spans="1:19" s="10" customFormat="1" ht="26.4">
      <c r="A30" s="278" t="s">
        <v>76</v>
      </c>
      <c r="B30" s="297" t="s">
        <v>253</v>
      </c>
      <c r="C30" s="298" t="s">
        <v>254</v>
      </c>
      <c r="D30" s="389">
        <v>0</v>
      </c>
      <c r="E30" s="389">
        <v>0</v>
      </c>
      <c r="F30" s="389">
        <v>0</v>
      </c>
      <c r="G30" s="389">
        <v>0</v>
      </c>
      <c r="H30" s="389">
        <v>0</v>
      </c>
      <c r="I30" s="389">
        <v>0</v>
      </c>
      <c r="J30" s="389">
        <v>0</v>
      </c>
      <c r="K30" s="389">
        <v>0</v>
      </c>
      <c r="L30" s="389">
        <v>0</v>
      </c>
      <c r="M30" s="389">
        <v>0</v>
      </c>
      <c r="N30" s="389">
        <v>0</v>
      </c>
      <c r="O30" s="389">
        <v>0</v>
      </c>
      <c r="P30" s="389">
        <v>0</v>
      </c>
      <c r="Q30" s="389">
        <v>0</v>
      </c>
      <c r="S30" s="21"/>
    </row>
    <row r="31" spans="1:19" s="10" customFormat="1" ht="26.4">
      <c r="A31" s="278" t="s">
        <v>79</v>
      </c>
      <c r="B31" s="297" t="s">
        <v>255</v>
      </c>
      <c r="C31" s="298" t="s">
        <v>256</v>
      </c>
      <c r="D31" s="389">
        <v>4900.7143749999996</v>
      </c>
      <c r="E31" s="389">
        <v>0</v>
      </c>
      <c r="F31" s="389">
        <v>1048.593345</v>
      </c>
      <c r="G31" s="389">
        <v>0</v>
      </c>
      <c r="H31" s="389">
        <v>0</v>
      </c>
      <c r="I31" s="389">
        <v>0</v>
      </c>
      <c r="J31" s="389">
        <v>1279.7212629999999</v>
      </c>
      <c r="K31" s="389">
        <v>81.585235999999995</v>
      </c>
      <c r="L31" s="389">
        <v>0</v>
      </c>
      <c r="M31" s="389">
        <v>2490.814531</v>
      </c>
      <c r="N31" s="389">
        <v>0</v>
      </c>
      <c r="O31" s="389">
        <v>0</v>
      </c>
      <c r="P31" s="389">
        <v>0</v>
      </c>
      <c r="Q31" s="389">
        <v>0</v>
      </c>
      <c r="S31" s="21"/>
    </row>
    <row r="32" spans="1:19" s="148" customFormat="1" ht="15.6">
      <c r="A32" s="299"/>
      <c r="B32" s="300" t="s">
        <v>292</v>
      </c>
      <c r="C32" s="301" t="s">
        <v>648</v>
      </c>
      <c r="D32" s="394">
        <v>0</v>
      </c>
      <c r="E32" s="394">
        <v>0</v>
      </c>
      <c r="F32" s="394">
        <v>0</v>
      </c>
      <c r="G32" s="394">
        <v>0</v>
      </c>
      <c r="H32" s="394">
        <v>0</v>
      </c>
      <c r="I32" s="394">
        <v>0</v>
      </c>
      <c r="J32" s="394">
        <v>0</v>
      </c>
      <c r="K32" s="394">
        <v>0</v>
      </c>
      <c r="L32" s="394">
        <v>0</v>
      </c>
      <c r="M32" s="394">
        <v>0</v>
      </c>
      <c r="N32" s="394">
        <v>0</v>
      </c>
      <c r="O32" s="394">
        <v>0</v>
      </c>
      <c r="P32" s="394">
        <v>0</v>
      </c>
      <c r="Q32" s="394">
        <v>0</v>
      </c>
      <c r="S32" s="305"/>
    </row>
    <row r="33" spans="1:19" s="10" customFormat="1" ht="12">
      <c r="A33" s="1" t="s">
        <v>150</v>
      </c>
      <c r="B33" s="14" t="s">
        <v>257</v>
      </c>
      <c r="C33" s="15" t="s">
        <v>205</v>
      </c>
      <c r="D33" s="387">
        <v>46.857832250000143</v>
      </c>
      <c r="E33" s="387">
        <v>46.33</v>
      </c>
      <c r="F33" s="387">
        <v>1.5162250000145301E-2</v>
      </c>
      <c r="G33" s="387">
        <v>0</v>
      </c>
      <c r="H33" s="387">
        <v>0</v>
      </c>
      <c r="I33" s="387">
        <v>0</v>
      </c>
      <c r="J33" s="387">
        <v>0</v>
      </c>
      <c r="K33" s="387">
        <v>0</v>
      </c>
      <c r="L33" s="387">
        <v>0</v>
      </c>
      <c r="M33" s="387">
        <v>0</v>
      </c>
      <c r="N33" s="387">
        <v>0</v>
      </c>
      <c r="O33" s="387">
        <v>0.16267000000000001</v>
      </c>
      <c r="P33" s="387">
        <v>0</v>
      </c>
      <c r="Q33" s="387">
        <v>0.35</v>
      </c>
      <c r="R33" s="16"/>
      <c r="S33" s="16"/>
    </row>
    <row r="34" spans="1:19" s="10" customFormat="1" ht="24" customHeight="1">
      <c r="A34" s="558" t="s">
        <v>645</v>
      </c>
      <c r="B34" s="559"/>
      <c r="C34" s="559"/>
      <c r="D34" s="558"/>
      <c r="E34" s="558"/>
      <c r="F34" s="558"/>
      <c r="G34" s="558"/>
      <c r="H34" s="558"/>
      <c r="I34" s="558"/>
      <c r="J34" s="558"/>
      <c r="K34" s="558"/>
      <c r="L34" s="558"/>
      <c r="M34" s="558"/>
      <c r="N34" s="558"/>
      <c r="O34" s="558"/>
      <c r="P34" s="558"/>
      <c r="Q34" s="558"/>
    </row>
  </sheetData>
  <mergeCells count="10">
    <mergeCell ref="A34:Q34"/>
    <mergeCell ref="A1:Q1"/>
    <mergeCell ref="A2:Q2"/>
    <mergeCell ref="E4:Q4"/>
    <mergeCell ref="A5:A6"/>
    <mergeCell ref="B5:B6"/>
    <mergeCell ref="C5:C6"/>
    <mergeCell ref="D5:D6"/>
    <mergeCell ref="E5:Q5"/>
    <mergeCell ref="A3:Q3"/>
  </mergeCells>
  <phoneticPr fontId="2" type="noConversion"/>
  <pageMargins left="0.39370078740157483" right="0.23622047244094491" top="0.59055118110236227" bottom="0.23622047244094491" header="0" footer="0"/>
  <pageSetup paperSize="9" scale="9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B127F-83F1-4FEE-9ACD-57539FE059C4}">
  <sheetPr>
    <tabColor rgb="FFCCFFFF"/>
  </sheetPr>
  <dimension ref="A1:S61"/>
  <sheetViews>
    <sheetView workbookViewId="0">
      <selection sqref="A1:XFD1048576"/>
    </sheetView>
  </sheetViews>
  <sheetFormatPr defaultColWidth="9" defaultRowHeight="13.2"/>
  <cols>
    <col min="1" max="1" width="3.5" style="258" bestFit="1" customWidth="1"/>
    <col min="2" max="2" width="28.09765625" style="210" customWidth="1"/>
    <col min="3" max="3" width="4.69921875" style="258" bestFit="1" customWidth="1"/>
    <col min="4" max="4" width="9.09765625" style="331" customWidth="1"/>
    <col min="5" max="5" width="6.8984375" style="331" customWidth="1"/>
    <col min="6" max="6" width="7.09765625" style="331" customWidth="1"/>
    <col min="7" max="7" width="8.69921875" style="332" customWidth="1"/>
    <col min="8" max="8" width="6.8984375" style="332" customWidth="1"/>
    <col min="9" max="9" width="7.5" style="266" customWidth="1"/>
    <col min="10" max="10" width="7.5" style="258" customWidth="1"/>
    <col min="11" max="11" width="7.59765625" style="258" customWidth="1"/>
    <col min="12" max="12" width="7.69921875" style="258" customWidth="1"/>
    <col min="13" max="13" width="7.19921875" style="258" customWidth="1"/>
    <col min="14" max="14" width="7.69921875" style="258" customWidth="1"/>
    <col min="15" max="15" width="7.59765625" style="258" customWidth="1"/>
    <col min="16" max="16" width="7.5" style="258" customWidth="1"/>
    <col min="17" max="17" width="8.19921875" style="258" customWidth="1"/>
    <col min="18" max="18" width="6" style="312" customWidth="1"/>
    <col min="19" max="19" width="6.19921875" style="312" customWidth="1"/>
    <col min="20" max="20" width="9" style="312" customWidth="1"/>
    <col min="21" max="16384" width="9" style="312"/>
  </cols>
  <sheetData>
    <row r="1" spans="1:19" s="334" customFormat="1" ht="13.8">
      <c r="A1" s="568" t="s">
        <v>649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333"/>
      <c r="S1" s="333"/>
    </row>
    <row r="2" spans="1:19" s="334" customFormat="1" ht="13.8">
      <c r="A2" s="569" t="s">
        <v>651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333"/>
      <c r="S2" s="333"/>
    </row>
    <row r="3" spans="1:19" s="334" customFormat="1" ht="13.8">
      <c r="A3" s="570" t="s">
        <v>650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333"/>
      <c r="S3" s="333"/>
    </row>
    <row r="4" spans="1:19">
      <c r="A4" s="309"/>
      <c r="B4" s="310"/>
      <c r="C4" s="309"/>
      <c r="D4" s="309"/>
      <c r="E4" s="571" t="s">
        <v>167</v>
      </c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311"/>
      <c r="S4" s="311"/>
    </row>
    <row r="5" spans="1:19" s="313" customFormat="1">
      <c r="A5" s="572" t="s">
        <v>0</v>
      </c>
      <c r="B5" s="550" t="s">
        <v>1</v>
      </c>
      <c r="C5" s="567" t="s">
        <v>2</v>
      </c>
      <c r="D5" s="550" t="s">
        <v>331</v>
      </c>
      <c r="E5" s="567" t="s">
        <v>334</v>
      </c>
      <c r="F5" s="567"/>
      <c r="G5" s="567"/>
      <c r="H5" s="567"/>
      <c r="I5" s="567"/>
      <c r="J5" s="567"/>
      <c r="K5" s="567"/>
      <c r="L5" s="567"/>
      <c r="M5" s="567"/>
      <c r="N5" s="567"/>
      <c r="O5" s="567"/>
      <c r="P5" s="567"/>
      <c r="Q5" s="567"/>
    </row>
    <row r="6" spans="1:19" s="313" customFormat="1" ht="26.4">
      <c r="A6" s="572"/>
      <c r="B6" s="550"/>
      <c r="C6" s="567"/>
      <c r="D6" s="550"/>
      <c r="E6" s="314" t="s">
        <v>393</v>
      </c>
      <c r="F6" s="314" t="s">
        <v>369</v>
      </c>
      <c r="G6" s="314" t="s">
        <v>390</v>
      </c>
      <c r="H6" s="314" t="s">
        <v>365</v>
      </c>
      <c r="I6" s="314" t="s">
        <v>367</v>
      </c>
      <c r="J6" s="314" t="s">
        <v>370</v>
      </c>
      <c r="K6" s="314" t="s">
        <v>372</v>
      </c>
      <c r="L6" s="314" t="s">
        <v>379</v>
      </c>
      <c r="M6" s="314" t="s">
        <v>408</v>
      </c>
      <c r="N6" s="314" t="s">
        <v>380</v>
      </c>
      <c r="O6" s="314" t="s">
        <v>417</v>
      </c>
      <c r="P6" s="314" t="s">
        <v>391</v>
      </c>
      <c r="Q6" s="314" t="s">
        <v>389</v>
      </c>
    </row>
    <row r="7" spans="1:19" s="265" customFormat="1" ht="10.199999999999999">
      <c r="A7" s="254" t="s">
        <v>5</v>
      </c>
      <c r="B7" s="180" t="s">
        <v>6</v>
      </c>
      <c r="C7" s="255" t="s">
        <v>7</v>
      </c>
      <c r="D7" s="255" t="s">
        <v>184</v>
      </c>
      <c r="E7" s="294" t="s">
        <v>8</v>
      </c>
      <c r="F7" s="294" t="s">
        <v>9</v>
      </c>
      <c r="G7" s="293" t="s">
        <v>10</v>
      </c>
      <c r="H7" s="293" t="s">
        <v>11</v>
      </c>
      <c r="I7" s="293" t="s">
        <v>12</v>
      </c>
      <c r="J7" s="293" t="s">
        <v>13</v>
      </c>
      <c r="K7" s="293" t="s">
        <v>14</v>
      </c>
      <c r="L7" s="293" t="s">
        <v>15</v>
      </c>
      <c r="M7" s="293" t="s">
        <v>16</v>
      </c>
      <c r="N7" s="293" t="s">
        <v>17</v>
      </c>
      <c r="O7" s="294" t="s">
        <v>18</v>
      </c>
      <c r="P7" s="294" t="s">
        <v>19</v>
      </c>
      <c r="Q7" s="294" t="s">
        <v>170</v>
      </c>
    </row>
    <row r="8" spans="1:19">
      <c r="A8" s="315"/>
      <c r="B8" s="316" t="s">
        <v>710</v>
      </c>
      <c r="C8" s="256"/>
      <c r="D8" s="395">
        <v>0</v>
      </c>
      <c r="E8" s="395">
        <v>0</v>
      </c>
      <c r="F8" s="395">
        <v>0</v>
      </c>
      <c r="G8" s="395">
        <v>0</v>
      </c>
      <c r="H8" s="395">
        <v>0</v>
      </c>
      <c r="I8" s="395">
        <v>0</v>
      </c>
      <c r="J8" s="395">
        <v>0</v>
      </c>
      <c r="K8" s="395">
        <v>0</v>
      </c>
      <c r="L8" s="395">
        <v>0</v>
      </c>
      <c r="M8" s="395">
        <v>0</v>
      </c>
      <c r="N8" s="395">
        <v>0</v>
      </c>
      <c r="O8" s="395">
        <v>0</v>
      </c>
      <c r="P8" s="395">
        <v>0</v>
      </c>
      <c r="Q8" s="395">
        <v>0</v>
      </c>
    </row>
    <row r="9" spans="1:19">
      <c r="A9" s="317">
        <v>1</v>
      </c>
      <c r="B9" s="316" t="s">
        <v>21</v>
      </c>
      <c r="C9" s="257" t="s">
        <v>22</v>
      </c>
      <c r="D9" s="395">
        <v>0</v>
      </c>
      <c r="E9" s="395">
        <v>0</v>
      </c>
      <c r="F9" s="395">
        <v>0</v>
      </c>
      <c r="G9" s="395">
        <v>0</v>
      </c>
      <c r="H9" s="395">
        <v>0</v>
      </c>
      <c r="I9" s="395">
        <v>0</v>
      </c>
      <c r="J9" s="395">
        <v>0</v>
      </c>
      <c r="K9" s="395">
        <v>0</v>
      </c>
      <c r="L9" s="395">
        <v>0</v>
      </c>
      <c r="M9" s="395">
        <v>0</v>
      </c>
      <c r="N9" s="395">
        <v>0</v>
      </c>
      <c r="O9" s="395">
        <v>0</v>
      </c>
      <c r="P9" s="395">
        <v>0</v>
      </c>
      <c r="Q9" s="395">
        <v>0</v>
      </c>
    </row>
    <row r="10" spans="1:19">
      <c r="A10" s="318"/>
      <c r="B10" s="319" t="s">
        <v>187</v>
      </c>
      <c r="C10" s="320"/>
      <c r="D10" s="396"/>
      <c r="E10" s="396"/>
      <c r="F10" s="396"/>
      <c r="G10" s="396"/>
      <c r="H10" s="396"/>
      <c r="I10" s="396"/>
      <c r="J10" s="396"/>
      <c r="K10" s="396"/>
      <c r="L10" s="396"/>
      <c r="M10" s="396"/>
      <c r="N10" s="396"/>
      <c r="O10" s="396"/>
      <c r="P10" s="396"/>
      <c r="Q10" s="396"/>
    </row>
    <row r="11" spans="1:19">
      <c r="A11" s="321" t="s">
        <v>23</v>
      </c>
      <c r="B11" s="264" t="s">
        <v>24</v>
      </c>
      <c r="C11" s="260" t="s">
        <v>25</v>
      </c>
      <c r="D11" s="397">
        <v>0</v>
      </c>
      <c r="E11" s="397">
        <v>0</v>
      </c>
      <c r="F11" s="397">
        <v>0</v>
      </c>
      <c r="G11" s="397">
        <v>0</v>
      </c>
      <c r="H11" s="397">
        <v>0</v>
      </c>
      <c r="I11" s="397">
        <v>0</v>
      </c>
      <c r="J11" s="397">
        <v>0</v>
      </c>
      <c r="K11" s="397">
        <v>0</v>
      </c>
      <c r="L11" s="397">
        <v>0</v>
      </c>
      <c r="M11" s="397">
        <v>0</v>
      </c>
      <c r="N11" s="397">
        <v>0</v>
      </c>
      <c r="O11" s="397">
        <v>0</v>
      </c>
      <c r="P11" s="397">
        <v>0</v>
      </c>
      <c r="Q11" s="397">
        <v>0</v>
      </c>
    </row>
    <row r="12" spans="1:19">
      <c r="A12" s="322"/>
      <c r="B12" s="323" t="s">
        <v>306</v>
      </c>
      <c r="C12" s="262" t="s">
        <v>27</v>
      </c>
      <c r="D12" s="398">
        <v>0</v>
      </c>
      <c r="E12" s="398">
        <v>0</v>
      </c>
      <c r="F12" s="398">
        <v>0</v>
      </c>
      <c r="G12" s="398">
        <v>0</v>
      </c>
      <c r="H12" s="398">
        <v>0</v>
      </c>
      <c r="I12" s="398">
        <v>0</v>
      </c>
      <c r="J12" s="398">
        <v>0</v>
      </c>
      <c r="K12" s="398">
        <v>0</v>
      </c>
      <c r="L12" s="398">
        <v>0</v>
      </c>
      <c r="M12" s="398">
        <v>0</v>
      </c>
      <c r="N12" s="398">
        <v>0</v>
      </c>
      <c r="O12" s="398">
        <v>0</v>
      </c>
      <c r="P12" s="398">
        <v>0</v>
      </c>
      <c r="Q12" s="398">
        <v>0</v>
      </c>
    </row>
    <row r="13" spans="1:19">
      <c r="A13" s="321" t="s">
        <v>32</v>
      </c>
      <c r="B13" s="324" t="s">
        <v>33</v>
      </c>
      <c r="C13" s="260" t="s">
        <v>34</v>
      </c>
      <c r="D13" s="397">
        <v>0</v>
      </c>
      <c r="E13" s="397">
        <v>0</v>
      </c>
      <c r="F13" s="397">
        <v>0</v>
      </c>
      <c r="G13" s="397">
        <v>0</v>
      </c>
      <c r="H13" s="397">
        <v>0</v>
      </c>
      <c r="I13" s="397">
        <v>0</v>
      </c>
      <c r="J13" s="397">
        <v>0</v>
      </c>
      <c r="K13" s="397">
        <v>0</v>
      </c>
      <c r="L13" s="397">
        <v>0</v>
      </c>
      <c r="M13" s="397">
        <v>0</v>
      </c>
      <c r="N13" s="397">
        <v>0</v>
      </c>
      <c r="O13" s="397">
        <v>0</v>
      </c>
      <c r="P13" s="397">
        <v>0</v>
      </c>
      <c r="Q13" s="397">
        <v>0</v>
      </c>
    </row>
    <row r="14" spans="1:19">
      <c r="A14" s="321" t="s">
        <v>35</v>
      </c>
      <c r="B14" s="264" t="s">
        <v>36</v>
      </c>
      <c r="C14" s="260" t="s">
        <v>37</v>
      </c>
      <c r="D14" s="397">
        <v>0</v>
      </c>
      <c r="E14" s="397">
        <v>0</v>
      </c>
      <c r="F14" s="397">
        <v>0</v>
      </c>
      <c r="G14" s="397">
        <v>0</v>
      </c>
      <c r="H14" s="397">
        <v>0</v>
      </c>
      <c r="I14" s="397">
        <v>0</v>
      </c>
      <c r="J14" s="397">
        <v>0</v>
      </c>
      <c r="K14" s="397">
        <v>0</v>
      </c>
      <c r="L14" s="397">
        <v>0</v>
      </c>
      <c r="M14" s="397">
        <v>0</v>
      </c>
      <c r="N14" s="397">
        <v>0</v>
      </c>
      <c r="O14" s="397">
        <v>0</v>
      </c>
      <c r="P14" s="397">
        <v>0</v>
      </c>
      <c r="Q14" s="397">
        <v>0</v>
      </c>
    </row>
    <row r="15" spans="1:19">
      <c r="A15" s="321" t="s">
        <v>38</v>
      </c>
      <c r="B15" s="201" t="s">
        <v>41</v>
      </c>
      <c r="C15" s="260" t="s">
        <v>42</v>
      </c>
      <c r="D15" s="397">
        <v>0</v>
      </c>
      <c r="E15" s="397">
        <v>0</v>
      </c>
      <c r="F15" s="397">
        <v>0</v>
      </c>
      <c r="G15" s="397">
        <v>0</v>
      </c>
      <c r="H15" s="397">
        <v>0</v>
      </c>
      <c r="I15" s="397">
        <v>0</v>
      </c>
      <c r="J15" s="397">
        <v>0</v>
      </c>
      <c r="K15" s="397">
        <v>0</v>
      </c>
      <c r="L15" s="397">
        <v>0</v>
      </c>
      <c r="M15" s="397">
        <v>0</v>
      </c>
      <c r="N15" s="397">
        <v>0</v>
      </c>
      <c r="O15" s="397">
        <v>0</v>
      </c>
      <c r="P15" s="397">
        <v>0</v>
      </c>
      <c r="Q15" s="397">
        <v>0</v>
      </c>
    </row>
    <row r="16" spans="1:19">
      <c r="A16" s="321" t="s">
        <v>40</v>
      </c>
      <c r="B16" s="201" t="s">
        <v>44</v>
      </c>
      <c r="C16" s="260" t="s">
        <v>45</v>
      </c>
      <c r="D16" s="397">
        <v>0</v>
      </c>
      <c r="E16" s="397">
        <v>0</v>
      </c>
      <c r="F16" s="397">
        <v>0</v>
      </c>
      <c r="G16" s="397">
        <v>0</v>
      </c>
      <c r="H16" s="397">
        <v>0</v>
      </c>
      <c r="I16" s="397">
        <v>0</v>
      </c>
      <c r="J16" s="397">
        <v>0</v>
      </c>
      <c r="K16" s="397">
        <v>0</v>
      </c>
      <c r="L16" s="397">
        <v>0</v>
      </c>
      <c r="M16" s="397">
        <v>0</v>
      </c>
      <c r="N16" s="397">
        <v>0</v>
      </c>
      <c r="O16" s="397">
        <v>0</v>
      </c>
      <c r="P16" s="397">
        <v>0</v>
      </c>
      <c r="Q16" s="397">
        <v>0</v>
      </c>
    </row>
    <row r="17" spans="1:17">
      <c r="A17" s="321" t="s">
        <v>43</v>
      </c>
      <c r="B17" s="201" t="s">
        <v>221</v>
      </c>
      <c r="C17" s="260" t="s">
        <v>39</v>
      </c>
      <c r="D17" s="397">
        <v>0</v>
      </c>
      <c r="E17" s="397">
        <v>0</v>
      </c>
      <c r="F17" s="397">
        <v>0</v>
      </c>
      <c r="G17" s="397">
        <v>0</v>
      </c>
      <c r="H17" s="397">
        <v>0</v>
      </c>
      <c r="I17" s="397">
        <v>0</v>
      </c>
      <c r="J17" s="397">
        <v>0</v>
      </c>
      <c r="K17" s="397">
        <v>0</v>
      </c>
      <c r="L17" s="397">
        <v>0</v>
      </c>
      <c r="M17" s="397">
        <v>0</v>
      </c>
      <c r="N17" s="397">
        <v>0</v>
      </c>
      <c r="O17" s="397">
        <v>0</v>
      </c>
      <c r="P17" s="397">
        <v>0</v>
      </c>
      <c r="Q17" s="397">
        <v>0</v>
      </c>
    </row>
    <row r="18" spans="1:17" ht="26.4">
      <c r="A18" s="321"/>
      <c r="B18" s="323" t="s">
        <v>342</v>
      </c>
      <c r="C18" s="262" t="s">
        <v>293</v>
      </c>
      <c r="D18" s="397">
        <v>0</v>
      </c>
      <c r="E18" s="397">
        <v>0</v>
      </c>
      <c r="F18" s="397">
        <v>0</v>
      </c>
      <c r="G18" s="397">
        <v>0</v>
      </c>
      <c r="H18" s="397">
        <v>0</v>
      </c>
      <c r="I18" s="397">
        <v>0</v>
      </c>
      <c r="J18" s="397">
        <v>0</v>
      </c>
      <c r="K18" s="397">
        <v>0</v>
      </c>
      <c r="L18" s="397">
        <v>0</v>
      </c>
      <c r="M18" s="397">
        <v>0</v>
      </c>
      <c r="N18" s="397">
        <v>0</v>
      </c>
      <c r="O18" s="397">
        <v>0</v>
      </c>
      <c r="P18" s="397">
        <v>0</v>
      </c>
      <c r="Q18" s="397">
        <v>0</v>
      </c>
    </row>
    <row r="19" spans="1:17">
      <c r="A19" s="321" t="s">
        <v>46</v>
      </c>
      <c r="B19" s="264" t="s">
        <v>47</v>
      </c>
      <c r="C19" s="260" t="s">
        <v>48</v>
      </c>
      <c r="D19" s="397">
        <v>0</v>
      </c>
      <c r="E19" s="397">
        <v>0</v>
      </c>
      <c r="F19" s="397">
        <v>0</v>
      </c>
      <c r="G19" s="397">
        <v>0</v>
      </c>
      <c r="H19" s="397">
        <v>0</v>
      </c>
      <c r="I19" s="397">
        <v>0</v>
      </c>
      <c r="J19" s="397">
        <v>0</v>
      </c>
      <c r="K19" s="397">
        <v>0</v>
      </c>
      <c r="L19" s="397">
        <v>0</v>
      </c>
      <c r="M19" s="397">
        <v>0</v>
      </c>
      <c r="N19" s="397">
        <v>0</v>
      </c>
      <c r="O19" s="397">
        <v>0</v>
      </c>
      <c r="P19" s="397">
        <v>0</v>
      </c>
      <c r="Q19" s="397">
        <v>0</v>
      </c>
    </row>
    <row r="20" spans="1:17">
      <c r="A20" s="321" t="s">
        <v>49</v>
      </c>
      <c r="B20" s="264" t="s">
        <v>50</v>
      </c>
      <c r="C20" s="260" t="s">
        <v>51</v>
      </c>
      <c r="D20" s="397">
        <v>0</v>
      </c>
      <c r="E20" s="397">
        <v>0</v>
      </c>
      <c r="F20" s="397">
        <v>0</v>
      </c>
      <c r="G20" s="397">
        <v>0</v>
      </c>
      <c r="H20" s="397">
        <v>0</v>
      </c>
      <c r="I20" s="397">
        <v>0</v>
      </c>
      <c r="J20" s="397">
        <v>0</v>
      </c>
      <c r="K20" s="397">
        <v>0</v>
      </c>
      <c r="L20" s="397">
        <v>0</v>
      </c>
      <c r="M20" s="397">
        <v>0</v>
      </c>
      <c r="N20" s="397">
        <v>0</v>
      </c>
      <c r="O20" s="397">
        <v>0</v>
      </c>
      <c r="P20" s="397">
        <v>0</v>
      </c>
      <c r="Q20" s="397">
        <v>0</v>
      </c>
    </row>
    <row r="21" spans="1:17">
      <c r="A21" s="321" t="s">
        <v>52</v>
      </c>
      <c r="B21" s="324" t="s">
        <v>53</v>
      </c>
      <c r="C21" s="260" t="s">
        <v>54</v>
      </c>
      <c r="D21" s="397">
        <v>0</v>
      </c>
      <c r="E21" s="397">
        <v>0</v>
      </c>
      <c r="F21" s="397">
        <v>0</v>
      </c>
      <c r="G21" s="397">
        <v>0</v>
      </c>
      <c r="H21" s="397">
        <v>0</v>
      </c>
      <c r="I21" s="397">
        <v>0</v>
      </c>
      <c r="J21" s="397">
        <v>0</v>
      </c>
      <c r="K21" s="397">
        <v>0</v>
      </c>
      <c r="L21" s="397">
        <v>0</v>
      </c>
      <c r="M21" s="397">
        <v>0</v>
      </c>
      <c r="N21" s="397">
        <v>0</v>
      </c>
      <c r="O21" s="397">
        <v>0</v>
      </c>
      <c r="P21" s="397">
        <v>0</v>
      </c>
      <c r="Q21" s="397">
        <v>0</v>
      </c>
    </row>
    <row r="22" spans="1:17">
      <c r="A22" s="317">
        <v>2</v>
      </c>
      <c r="B22" s="316" t="s">
        <v>55</v>
      </c>
      <c r="C22" s="257" t="s">
        <v>56</v>
      </c>
      <c r="D22" s="395">
        <v>0</v>
      </c>
      <c r="E22" s="395">
        <v>0</v>
      </c>
      <c r="F22" s="395">
        <v>0</v>
      </c>
      <c r="G22" s="395">
        <v>0</v>
      </c>
      <c r="H22" s="395">
        <v>0</v>
      </c>
      <c r="I22" s="395">
        <v>0</v>
      </c>
      <c r="J22" s="395">
        <v>0</v>
      </c>
      <c r="K22" s="395">
        <v>0</v>
      </c>
      <c r="L22" s="395">
        <v>0</v>
      </c>
      <c r="M22" s="395">
        <v>0</v>
      </c>
      <c r="N22" s="395">
        <v>0</v>
      </c>
      <c r="O22" s="395">
        <v>0</v>
      </c>
      <c r="P22" s="395">
        <v>0</v>
      </c>
      <c r="Q22" s="395">
        <v>0</v>
      </c>
    </row>
    <row r="23" spans="1:17">
      <c r="A23" s="325"/>
      <c r="B23" s="319" t="s">
        <v>187</v>
      </c>
      <c r="C23" s="326"/>
      <c r="D23" s="399"/>
      <c r="E23" s="399"/>
      <c r="F23" s="399"/>
      <c r="G23" s="399"/>
      <c r="H23" s="399"/>
      <c r="I23" s="399"/>
      <c r="J23" s="399"/>
      <c r="K23" s="399"/>
      <c r="L23" s="399"/>
      <c r="M23" s="399"/>
      <c r="N23" s="399"/>
      <c r="O23" s="399"/>
      <c r="P23" s="399"/>
      <c r="Q23" s="399"/>
    </row>
    <row r="24" spans="1:17">
      <c r="A24" s="259" t="s">
        <v>57</v>
      </c>
      <c r="B24" s="203" t="s">
        <v>71</v>
      </c>
      <c r="C24" s="327" t="s">
        <v>72</v>
      </c>
      <c r="D24" s="397">
        <v>0</v>
      </c>
      <c r="E24" s="397">
        <v>0</v>
      </c>
      <c r="F24" s="397">
        <v>0</v>
      </c>
      <c r="G24" s="397">
        <v>0</v>
      </c>
      <c r="H24" s="397">
        <v>0</v>
      </c>
      <c r="I24" s="397">
        <v>0</v>
      </c>
      <c r="J24" s="397">
        <v>0</v>
      </c>
      <c r="K24" s="397">
        <v>0</v>
      </c>
      <c r="L24" s="397">
        <v>0</v>
      </c>
      <c r="M24" s="397">
        <v>0</v>
      </c>
      <c r="N24" s="397">
        <v>0</v>
      </c>
      <c r="O24" s="397">
        <v>0</v>
      </c>
      <c r="P24" s="397">
        <v>0</v>
      </c>
      <c r="Q24" s="397">
        <v>0</v>
      </c>
    </row>
    <row r="25" spans="1:17">
      <c r="A25" s="259" t="s">
        <v>59</v>
      </c>
      <c r="B25" s="203" t="s">
        <v>74</v>
      </c>
      <c r="C25" s="327" t="s">
        <v>75</v>
      </c>
      <c r="D25" s="397">
        <v>0</v>
      </c>
      <c r="E25" s="397">
        <v>0</v>
      </c>
      <c r="F25" s="397">
        <v>0</v>
      </c>
      <c r="G25" s="397">
        <v>0</v>
      </c>
      <c r="H25" s="397">
        <v>0</v>
      </c>
      <c r="I25" s="397">
        <v>0</v>
      </c>
      <c r="J25" s="397">
        <v>0</v>
      </c>
      <c r="K25" s="397">
        <v>0</v>
      </c>
      <c r="L25" s="397">
        <v>0</v>
      </c>
      <c r="M25" s="397">
        <v>0</v>
      </c>
      <c r="N25" s="397">
        <v>0</v>
      </c>
      <c r="O25" s="397">
        <v>0</v>
      </c>
      <c r="P25" s="397">
        <v>0</v>
      </c>
      <c r="Q25" s="397">
        <v>0</v>
      </c>
    </row>
    <row r="26" spans="1:17">
      <c r="A26" s="259" t="s">
        <v>61</v>
      </c>
      <c r="B26" s="191" t="s">
        <v>77</v>
      </c>
      <c r="C26" s="327" t="s">
        <v>78</v>
      </c>
      <c r="D26" s="397">
        <v>0</v>
      </c>
      <c r="E26" s="397">
        <v>0</v>
      </c>
      <c r="F26" s="397">
        <v>0</v>
      </c>
      <c r="G26" s="397">
        <v>0</v>
      </c>
      <c r="H26" s="397">
        <v>0</v>
      </c>
      <c r="I26" s="397">
        <v>0</v>
      </c>
      <c r="J26" s="397">
        <v>0</v>
      </c>
      <c r="K26" s="397">
        <v>0</v>
      </c>
      <c r="L26" s="397">
        <v>0</v>
      </c>
      <c r="M26" s="397">
        <v>0</v>
      </c>
      <c r="N26" s="397">
        <v>0</v>
      </c>
      <c r="O26" s="397">
        <v>0</v>
      </c>
      <c r="P26" s="397">
        <v>0</v>
      </c>
      <c r="Q26" s="397">
        <v>0</v>
      </c>
    </row>
    <row r="27" spans="1:17">
      <c r="A27" s="259" t="s">
        <v>64</v>
      </c>
      <c r="B27" s="191" t="s">
        <v>83</v>
      </c>
      <c r="C27" s="327" t="s">
        <v>84</v>
      </c>
      <c r="D27" s="397">
        <v>0</v>
      </c>
      <c r="E27" s="397">
        <v>0</v>
      </c>
      <c r="F27" s="397">
        <v>0</v>
      </c>
      <c r="G27" s="397">
        <v>0</v>
      </c>
      <c r="H27" s="397">
        <v>0</v>
      </c>
      <c r="I27" s="397">
        <v>0</v>
      </c>
      <c r="J27" s="397">
        <v>0</v>
      </c>
      <c r="K27" s="397">
        <v>0</v>
      </c>
      <c r="L27" s="397">
        <v>0</v>
      </c>
      <c r="M27" s="397">
        <v>0</v>
      </c>
      <c r="N27" s="397">
        <v>0</v>
      </c>
      <c r="O27" s="397">
        <v>0</v>
      </c>
      <c r="P27" s="397">
        <v>0</v>
      </c>
      <c r="Q27" s="397">
        <v>0</v>
      </c>
    </row>
    <row r="28" spans="1:17">
      <c r="A28" s="259" t="s">
        <v>67</v>
      </c>
      <c r="B28" s="191" t="s">
        <v>86</v>
      </c>
      <c r="C28" s="327" t="s">
        <v>87</v>
      </c>
      <c r="D28" s="397">
        <v>0</v>
      </c>
      <c r="E28" s="397">
        <v>0</v>
      </c>
      <c r="F28" s="397">
        <v>0</v>
      </c>
      <c r="G28" s="397">
        <v>0</v>
      </c>
      <c r="H28" s="397">
        <v>0</v>
      </c>
      <c r="I28" s="397">
        <v>0</v>
      </c>
      <c r="J28" s="397">
        <v>0</v>
      </c>
      <c r="K28" s="397">
        <v>0</v>
      </c>
      <c r="L28" s="397">
        <v>0</v>
      </c>
      <c r="M28" s="397">
        <v>0</v>
      </c>
      <c r="N28" s="397">
        <v>0</v>
      </c>
      <c r="O28" s="397">
        <v>0</v>
      </c>
      <c r="P28" s="397">
        <v>0</v>
      </c>
      <c r="Q28" s="397">
        <v>0</v>
      </c>
    </row>
    <row r="29" spans="1:17">
      <c r="A29" s="259" t="s">
        <v>70</v>
      </c>
      <c r="B29" s="191" t="s">
        <v>89</v>
      </c>
      <c r="C29" s="327" t="s">
        <v>90</v>
      </c>
      <c r="D29" s="397">
        <v>0</v>
      </c>
      <c r="E29" s="397">
        <v>0</v>
      </c>
      <c r="F29" s="397">
        <v>0</v>
      </c>
      <c r="G29" s="397">
        <v>0</v>
      </c>
      <c r="H29" s="397">
        <v>0</v>
      </c>
      <c r="I29" s="397">
        <v>0</v>
      </c>
      <c r="J29" s="397">
        <v>0</v>
      </c>
      <c r="K29" s="397">
        <v>0</v>
      </c>
      <c r="L29" s="397">
        <v>0</v>
      </c>
      <c r="M29" s="397">
        <v>0</v>
      </c>
      <c r="N29" s="397">
        <v>0</v>
      </c>
      <c r="O29" s="397">
        <v>0</v>
      </c>
      <c r="P29" s="397">
        <v>0</v>
      </c>
      <c r="Q29" s="397">
        <v>0</v>
      </c>
    </row>
    <row r="30" spans="1:17">
      <c r="A30" s="259" t="s">
        <v>73</v>
      </c>
      <c r="B30" s="191" t="s">
        <v>343</v>
      </c>
      <c r="C30" s="327" t="s">
        <v>95</v>
      </c>
      <c r="D30" s="397">
        <v>0</v>
      </c>
      <c r="E30" s="397">
        <v>0</v>
      </c>
      <c r="F30" s="397">
        <v>0</v>
      </c>
      <c r="G30" s="397">
        <v>0</v>
      </c>
      <c r="H30" s="397">
        <v>0</v>
      </c>
      <c r="I30" s="397">
        <v>0</v>
      </c>
      <c r="J30" s="397">
        <v>0</v>
      </c>
      <c r="K30" s="397">
        <v>0</v>
      </c>
      <c r="L30" s="397">
        <v>0</v>
      </c>
      <c r="M30" s="397">
        <v>0</v>
      </c>
      <c r="N30" s="397">
        <v>0</v>
      </c>
      <c r="O30" s="397">
        <v>0</v>
      </c>
      <c r="P30" s="397">
        <v>0</v>
      </c>
      <c r="Q30" s="397">
        <v>0</v>
      </c>
    </row>
    <row r="31" spans="1:17" ht="26.4">
      <c r="A31" s="259" t="s">
        <v>76</v>
      </c>
      <c r="B31" s="191" t="s">
        <v>241</v>
      </c>
      <c r="C31" s="327" t="s">
        <v>92</v>
      </c>
      <c r="D31" s="397">
        <v>0</v>
      </c>
      <c r="E31" s="397">
        <v>0</v>
      </c>
      <c r="F31" s="397">
        <v>0</v>
      </c>
      <c r="G31" s="397">
        <v>0</v>
      </c>
      <c r="H31" s="397">
        <v>0</v>
      </c>
      <c r="I31" s="397">
        <v>0</v>
      </c>
      <c r="J31" s="397">
        <v>0</v>
      </c>
      <c r="K31" s="397">
        <v>0</v>
      </c>
      <c r="L31" s="397">
        <v>0</v>
      </c>
      <c r="M31" s="397">
        <v>0</v>
      </c>
      <c r="N31" s="397">
        <v>0</v>
      </c>
      <c r="O31" s="397">
        <v>0</v>
      </c>
      <c r="P31" s="397">
        <v>0</v>
      </c>
      <c r="Q31" s="397">
        <v>0</v>
      </c>
    </row>
    <row r="32" spans="1:17">
      <c r="A32" s="259" t="s">
        <v>79</v>
      </c>
      <c r="B32" s="191" t="s">
        <v>641</v>
      </c>
      <c r="C32" s="327" t="s">
        <v>118</v>
      </c>
      <c r="D32" s="397">
        <v>0</v>
      </c>
      <c r="E32" s="397">
        <v>0</v>
      </c>
      <c r="F32" s="397">
        <v>0</v>
      </c>
      <c r="G32" s="397">
        <v>0</v>
      </c>
      <c r="H32" s="397">
        <v>0</v>
      </c>
      <c r="I32" s="397">
        <v>0</v>
      </c>
      <c r="J32" s="397">
        <v>0</v>
      </c>
      <c r="K32" s="397">
        <v>0</v>
      </c>
      <c r="L32" s="397">
        <v>0</v>
      </c>
      <c r="M32" s="397">
        <v>0</v>
      </c>
      <c r="N32" s="397">
        <v>0</v>
      </c>
      <c r="O32" s="397">
        <v>0</v>
      </c>
      <c r="P32" s="397">
        <v>0</v>
      </c>
      <c r="Q32" s="397">
        <v>0</v>
      </c>
    </row>
    <row r="33" spans="1:17">
      <c r="A33" s="261"/>
      <c r="B33" s="204" t="s">
        <v>187</v>
      </c>
      <c r="C33" s="328"/>
      <c r="D33" s="398"/>
      <c r="E33" s="398"/>
      <c r="F33" s="398"/>
      <c r="G33" s="398"/>
      <c r="H33" s="398"/>
      <c r="I33" s="398"/>
      <c r="J33" s="398"/>
      <c r="K33" s="398"/>
      <c r="L33" s="398"/>
      <c r="M33" s="398"/>
      <c r="N33" s="398"/>
      <c r="O33" s="398"/>
      <c r="P33" s="398"/>
      <c r="Q33" s="398"/>
    </row>
    <row r="34" spans="1:17">
      <c r="A34" s="261" t="s">
        <v>345</v>
      </c>
      <c r="B34" s="204" t="s">
        <v>294</v>
      </c>
      <c r="C34" s="328" t="s">
        <v>120</v>
      </c>
      <c r="D34" s="398">
        <v>0</v>
      </c>
      <c r="E34" s="398">
        <v>0</v>
      </c>
      <c r="F34" s="398">
        <v>0</v>
      </c>
      <c r="G34" s="398">
        <v>0</v>
      </c>
      <c r="H34" s="398">
        <v>0</v>
      </c>
      <c r="I34" s="398">
        <v>0</v>
      </c>
      <c r="J34" s="398">
        <v>0</v>
      </c>
      <c r="K34" s="398">
        <v>0</v>
      </c>
      <c r="L34" s="398">
        <v>0</v>
      </c>
      <c r="M34" s="398">
        <v>0</v>
      </c>
      <c r="N34" s="398">
        <v>0</v>
      </c>
      <c r="O34" s="398">
        <v>0</v>
      </c>
      <c r="P34" s="398">
        <v>0</v>
      </c>
      <c r="Q34" s="398">
        <v>0</v>
      </c>
    </row>
    <row r="35" spans="1:17">
      <c r="A35" s="261" t="s">
        <v>345</v>
      </c>
      <c r="B35" s="204" t="s">
        <v>295</v>
      </c>
      <c r="C35" s="328" t="s">
        <v>122</v>
      </c>
      <c r="D35" s="398">
        <v>0</v>
      </c>
      <c r="E35" s="398">
        <v>0</v>
      </c>
      <c r="F35" s="398">
        <v>0</v>
      </c>
      <c r="G35" s="398">
        <v>0</v>
      </c>
      <c r="H35" s="398">
        <v>0</v>
      </c>
      <c r="I35" s="398">
        <v>0</v>
      </c>
      <c r="J35" s="398">
        <v>0</v>
      </c>
      <c r="K35" s="398">
        <v>0</v>
      </c>
      <c r="L35" s="398">
        <v>0</v>
      </c>
      <c r="M35" s="398">
        <v>0</v>
      </c>
      <c r="N35" s="398">
        <v>0</v>
      </c>
      <c r="O35" s="398">
        <v>0</v>
      </c>
      <c r="P35" s="398">
        <v>0</v>
      </c>
      <c r="Q35" s="398">
        <v>0</v>
      </c>
    </row>
    <row r="36" spans="1:17">
      <c r="A36" s="261" t="s">
        <v>345</v>
      </c>
      <c r="B36" s="204" t="s">
        <v>296</v>
      </c>
      <c r="C36" s="328" t="s">
        <v>128</v>
      </c>
      <c r="D36" s="398">
        <v>0</v>
      </c>
      <c r="E36" s="398">
        <v>0</v>
      </c>
      <c r="F36" s="398">
        <v>0</v>
      </c>
      <c r="G36" s="398">
        <v>0</v>
      </c>
      <c r="H36" s="398">
        <v>0</v>
      </c>
      <c r="I36" s="398">
        <v>0</v>
      </c>
      <c r="J36" s="398">
        <v>0</v>
      </c>
      <c r="K36" s="398">
        <v>0</v>
      </c>
      <c r="L36" s="398">
        <v>0</v>
      </c>
      <c r="M36" s="398">
        <v>0</v>
      </c>
      <c r="N36" s="398">
        <v>0</v>
      </c>
      <c r="O36" s="398">
        <v>0</v>
      </c>
      <c r="P36" s="398">
        <v>0</v>
      </c>
      <c r="Q36" s="398">
        <v>0</v>
      </c>
    </row>
    <row r="37" spans="1:17">
      <c r="A37" s="261" t="s">
        <v>345</v>
      </c>
      <c r="B37" s="204" t="s">
        <v>297</v>
      </c>
      <c r="C37" s="328" t="s">
        <v>130</v>
      </c>
      <c r="D37" s="398">
        <v>0</v>
      </c>
      <c r="E37" s="398">
        <v>0</v>
      </c>
      <c r="F37" s="398">
        <v>0</v>
      </c>
      <c r="G37" s="398">
        <v>0</v>
      </c>
      <c r="H37" s="398">
        <v>0</v>
      </c>
      <c r="I37" s="398">
        <v>0</v>
      </c>
      <c r="J37" s="398">
        <v>0</v>
      </c>
      <c r="K37" s="398">
        <v>0</v>
      </c>
      <c r="L37" s="398">
        <v>0</v>
      </c>
      <c r="M37" s="398">
        <v>0</v>
      </c>
      <c r="N37" s="398">
        <v>0</v>
      </c>
      <c r="O37" s="398">
        <v>0</v>
      </c>
      <c r="P37" s="398">
        <v>0</v>
      </c>
      <c r="Q37" s="398">
        <v>0</v>
      </c>
    </row>
    <row r="38" spans="1:17" ht="26.4">
      <c r="A38" s="261" t="s">
        <v>345</v>
      </c>
      <c r="B38" s="204" t="s">
        <v>298</v>
      </c>
      <c r="C38" s="328" t="s">
        <v>132</v>
      </c>
      <c r="D38" s="398">
        <v>0</v>
      </c>
      <c r="E38" s="398">
        <v>0</v>
      </c>
      <c r="F38" s="398">
        <v>0</v>
      </c>
      <c r="G38" s="398">
        <v>0</v>
      </c>
      <c r="H38" s="398">
        <v>0</v>
      </c>
      <c r="I38" s="398">
        <v>0</v>
      </c>
      <c r="J38" s="398">
        <v>0</v>
      </c>
      <c r="K38" s="398">
        <v>0</v>
      </c>
      <c r="L38" s="398">
        <v>0</v>
      </c>
      <c r="M38" s="398">
        <v>0</v>
      </c>
      <c r="N38" s="398">
        <v>0</v>
      </c>
      <c r="O38" s="398">
        <v>0</v>
      </c>
      <c r="P38" s="398">
        <v>0</v>
      </c>
      <c r="Q38" s="398">
        <v>0</v>
      </c>
    </row>
    <row r="39" spans="1:17">
      <c r="A39" s="261" t="s">
        <v>345</v>
      </c>
      <c r="B39" s="204" t="s">
        <v>299</v>
      </c>
      <c r="C39" s="328" t="s">
        <v>134</v>
      </c>
      <c r="D39" s="398">
        <v>0</v>
      </c>
      <c r="E39" s="398">
        <v>0</v>
      </c>
      <c r="F39" s="398">
        <v>0</v>
      </c>
      <c r="G39" s="398">
        <v>0</v>
      </c>
      <c r="H39" s="398">
        <v>0</v>
      </c>
      <c r="I39" s="398">
        <v>0</v>
      </c>
      <c r="J39" s="398">
        <v>0</v>
      </c>
      <c r="K39" s="398">
        <v>0</v>
      </c>
      <c r="L39" s="398">
        <v>0</v>
      </c>
      <c r="M39" s="398">
        <v>0</v>
      </c>
      <c r="N39" s="398">
        <v>0</v>
      </c>
      <c r="O39" s="398">
        <v>0</v>
      </c>
      <c r="P39" s="398">
        <v>0</v>
      </c>
      <c r="Q39" s="398">
        <v>0</v>
      </c>
    </row>
    <row r="40" spans="1:17">
      <c r="A40" s="261" t="s">
        <v>345</v>
      </c>
      <c r="B40" s="204" t="s">
        <v>300</v>
      </c>
      <c r="C40" s="328" t="s">
        <v>124</v>
      </c>
      <c r="D40" s="398">
        <v>0</v>
      </c>
      <c r="E40" s="398">
        <v>0</v>
      </c>
      <c r="F40" s="398">
        <v>0</v>
      </c>
      <c r="G40" s="398">
        <v>0</v>
      </c>
      <c r="H40" s="398">
        <v>0</v>
      </c>
      <c r="I40" s="398">
        <v>0</v>
      </c>
      <c r="J40" s="398">
        <v>0</v>
      </c>
      <c r="K40" s="398">
        <v>0</v>
      </c>
      <c r="L40" s="398">
        <v>0</v>
      </c>
      <c r="M40" s="398">
        <v>0</v>
      </c>
      <c r="N40" s="398">
        <v>0</v>
      </c>
      <c r="O40" s="398">
        <v>0</v>
      </c>
      <c r="P40" s="398">
        <v>0</v>
      </c>
      <c r="Q40" s="398">
        <v>0</v>
      </c>
    </row>
    <row r="41" spans="1:17">
      <c r="A41" s="261" t="s">
        <v>345</v>
      </c>
      <c r="B41" s="204" t="s">
        <v>301</v>
      </c>
      <c r="C41" s="328" t="s">
        <v>126</v>
      </c>
      <c r="D41" s="398">
        <v>0</v>
      </c>
      <c r="E41" s="398">
        <v>0</v>
      </c>
      <c r="F41" s="398">
        <v>0</v>
      </c>
      <c r="G41" s="398">
        <v>0</v>
      </c>
      <c r="H41" s="398">
        <v>0</v>
      </c>
      <c r="I41" s="398">
        <v>0</v>
      </c>
      <c r="J41" s="398">
        <v>0</v>
      </c>
      <c r="K41" s="398">
        <v>0</v>
      </c>
      <c r="L41" s="398">
        <v>0</v>
      </c>
      <c r="M41" s="398">
        <v>0</v>
      </c>
      <c r="N41" s="398">
        <v>0</v>
      </c>
      <c r="O41" s="398">
        <v>0</v>
      </c>
      <c r="P41" s="398">
        <v>0</v>
      </c>
      <c r="Q41" s="398">
        <v>0</v>
      </c>
    </row>
    <row r="42" spans="1:17">
      <c r="A42" s="261" t="s">
        <v>345</v>
      </c>
      <c r="B42" s="204" t="s">
        <v>302</v>
      </c>
      <c r="C42" s="328" t="s">
        <v>305</v>
      </c>
      <c r="D42" s="398">
        <v>0</v>
      </c>
      <c r="E42" s="398">
        <v>0</v>
      </c>
      <c r="F42" s="398">
        <v>0</v>
      </c>
      <c r="G42" s="398">
        <v>0</v>
      </c>
      <c r="H42" s="398">
        <v>0</v>
      </c>
      <c r="I42" s="398">
        <v>0</v>
      </c>
      <c r="J42" s="398">
        <v>0</v>
      </c>
      <c r="K42" s="398">
        <v>0</v>
      </c>
      <c r="L42" s="398">
        <v>0</v>
      </c>
      <c r="M42" s="398">
        <v>0</v>
      </c>
      <c r="N42" s="398">
        <v>0</v>
      </c>
      <c r="O42" s="398">
        <v>0</v>
      </c>
      <c r="P42" s="398">
        <v>0</v>
      </c>
      <c r="Q42" s="398">
        <v>0</v>
      </c>
    </row>
    <row r="43" spans="1:17">
      <c r="A43" s="261" t="s">
        <v>345</v>
      </c>
      <c r="B43" s="204" t="s">
        <v>270</v>
      </c>
      <c r="C43" s="328" t="s">
        <v>97</v>
      </c>
      <c r="D43" s="398">
        <v>0</v>
      </c>
      <c r="E43" s="398">
        <v>0</v>
      </c>
      <c r="F43" s="398">
        <v>0</v>
      </c>
      <c r="G43" s="398">
        <v>0</v>
      </c>
      <c r="H43" s="398">
        <v>0</v>
      </c>
      <c r="I43" s="398">
        <v>0</v>
      </c>
      <c r="J43" s="398">
        <v>0</v>
      </c>
      <c r="K43" s="398">
        <v>0</v>
      </c>
      <c r="L43" s="398">
        <v>0</v>
      </c>
      <c r="M43" s="398">
        <v>0</v>
      </c>
      <c r="N43" s="398">
        <v>0</v>
      </c>
      <c r="O43" s="398">
        <v>0</v>
      </c>
      <c r="P43" s="398">
        <v>0</v>
      </c>
      <c r="Q43" s="398">
        <v>0</v>
      </c>
    </row>
    <row r="44" spans="1:17">
      <c r="A44" s="261" t="s">
        <v>345</v>
      </c>
      <c r="B44" s="204" t="s">
        <v>271</v>
      </c>
      <c r="C44" s="328" t="s">
        <v>103</v>
      </c>
      <c r="D44" s="398">
        <v>0</v>
      </c>
      <c r="E44" s="398">
        <v>0</v>
      </c>
      <c r="F44" s="398">
        <v>0</v>
      </c>
      <c r="G44" s="398">
        <v>0</v>
      </c>
      <c r="H44" s="398">
        <v>0</v>
      </c>
      <c r="I44" s="398">
        <v>0</v>
      </c>
      <c r="J44" s="398">
        <v>0</v>
      </c>
      <c r="K44" s="398">
        <v>0</v>
      </c>
      <c r="L44" s="398">
        <v>0</v>
      </c>
      <c r="M44" s="398">
        <v>0</v>
      </c>
      <c r="N44" s="398">
        <v>0</v>
      </c>
      <c r="O44" s="398">
        <v>0</v>
      </c>
      <c r="P44" s="398">
        <v>0</v>
      </c>
      <c r="Q44" s="398">
        <v>0</v>
      </c>
    </row>
    <row r="45" spans="1:17">
      <c r="A45" s="261" t="s">
        <v>345</v>
      </c>
      <c r="B45" s="204" t="s">
        <v>105</v>
      </c>
      <c r="C45" s="328" t="s">
        <v>106</v>
      </c>
      <c r="D45" s="398">
        <v>0</v>
      </c>
      <c r="E45" s="398">
        <v>0</v>
      </c>
      <c r="F45" s="398">
        <v>0</v>
      </c>
      <c r="G45" s="398">
        <v>0</v>
      </c>
      <c r="H45" s="398">
        <v>0</v>
      </c>
      <c r="I45" s="398">
        <v>0</v>
      </c>
      <c r="J45" s="398">
        <v>0</v>
      </c>
      <c r="K45" s="398">
        <v>0</v>
      </c>
      <c r="L45" s="398">
        <v>0</v>
      </c>
      <c r="M45" s="398">
        <v>0</v>
      </c>
      <c r="N45" s="398">
        <v>0</v>
      </c>
      <c r="O45" s="398">
        <v>0</v>
      </c>
      <c r="P45" s="398">
        <v>0</v>
      </c>
      <c r="Q45" s="398">
        <v>0</v>
      </c>
    </row>
    <row r="46" spans="1:17" ht="26.4">
      <c r="A46" s="261" t="s">
        <v>345</v>
      </c>
      <c r="B46" s="204" t="s">
        <v>518</v>
      </c>
      <c r="C46" s="328" t="s">
        <v>111</v>
      </c>
      <c r="D46" s="398">
        <v>0</v>
      </c>
      <c r="E46" s="398">
        <v>0</v>
      </c>
      <c r="F46" s="398">
        <v>0</v>
      </c>
      <c r="G46" s="398">
        <v>0</v>
      </c>
      <c r="H46" s="398">
        <v>0</v>
      </c>
      <c r="I46" s="398">
        <v>0</v>
      </c>
      <c r="J46" s="398">
        <v>0</v>
      </c>
      <c r="K46" s="398">
        <v>0</v>
      </c>
      <c r="L46" s="398">
        <v>0</v>
      </c>
      <c r="M46" s="398">
        <v>0</v>
      </c>
      <c r="N46" s="398">
        <v>0</v>
      </c>
      <c r="O46" s="398">
        <v>0</v>
      </c>
      <c r="P46" s="398">
        <v>0</v>
      </c>
      <c r="Q46" s="398">
        <v>0</v>
      </c>
    </row>
    <row r="47" spans="1:17" ht="26.4">
      <c r="A47" s="261" t="s">
        <v>345</v>
      </c>
      <c r="B47" s="204" t="s">
        <v>303</v>
      </c>
      <c r="C47" s="328" t="s">
        <v>136</v>
      </c>
      <c r="D47" s="398">
        <v>0</v>
      </c>
      <c r="E47" s="398">
        <v>0</v>
      </c>
      <c r="F47" s="398">
        <v>0</v>
      </c>
      <c r="G47" s="398">
        <v>0</v>
      </c>
      <c r="H47" s="398">
        <v>0</v>
      </c>
      <c r="I47" s="398">
        <v>0</v>
      </c>
      <c r="J47" s="398">
        <v>0</v>
      </c>
      <c r="K47" s="398">
        <v>0</v>
      </c>
      <c r="L47" s="398">
        <v>0</v>
      </c>
      <c r="M47" s="398">
        <v>0</v>
      </c>
      <c r="N47" s="398">
        <v>0</v>
      </c>
      <c r="O47" s="398">
        <v>0</v>
      </c>
      <c r="P47" s="398">
        <v>0</v>
      </c>
      <c r="Q47" s="398">
        <v>0</v>
      </c>
    </row>
    <row r="48" spans="1:17">
      <c r="A48" s="261" t="s">
        <v>345</v>
      </c>
      <c r="B48" s="205" t="s">
        <v>304</v>
      </c>
      <c r="C48" s="328" t="s">
        <v>138</v>
      </c>
      <c r="D48" s="398">
        <v>0</v>
      </c>
      <c r="E48" s="398">
        <v>0</v>
      </c>
      <c r="F48" s="398">
        <v>0</v>
      </c>
      <c r="G48" s="398">
        <v>0</v>
      </c>
      <c r="H48" s="398">
        <v>0</v>
      </c>
      <c r="I48" s="398">
        <v>0</v>
      </c>
      <c r="J48" s="398">
        <v>0</v>
      </c>
      <c r="K48" s="398">
        <v>0</v>
      </c>
      <c r="L48" s="398">
        <v>0</v>
      </c>
      <c r="M48" s="398">
        <v>0</v>
      </c>
      <c r="N48" s="398">
        <v>0</v>
      </c>
      <c r="O48" s="398">
        <v>0</v>
      </c>
      <c r="P48" s="398">
        <v>0</v>
      </c>
      <c r="Q48" s="398">
        <v>0</v>
      </c>
    </row>
    <row r="49" spans="1:17">
      <c r="A49" s="261" t="s">
        <v>345</v>
      </c>
      <c r="B49" s="205" t="s">
        <v>263</v>
      </c>
      <c r="C49" s="328" t="s">
        <v>140</v>
      </c>
      <c r="D49" s="398">
        <v>0</v>
      </c>
      <c r="E49" s="398">
        <v>0</v>
      </c>
      <c r="F49" s="398">
        <v>0</v>
      </c>
      <c r="G49" s="398">
        <v>0</v>
      </c>
      <c r="H49" s="398">
        <v>0</v>
      </c>
      <c r="I49" s="398">
        <v>0</v>
      </c>
      <c r="J49" s="398">
        <v>0</v>
      </c>
      <c r="K49" s="398">
        <v>0</v>
      </c>
      <c r="L49" s="398">
        <v>0</v>
      </c>
      <c r="M49" s="398">
        <v>0</v>
      </c>
      <c r="N49" s="398">
        <v>0</v>
      </c>
      <c r="O49" s="398">
        <v>0</v>
      </c>
      <c r="P49" s="398">
        <v>0</v>
      </c>
      <c r="Q49" s="398">
        <v>0</v>
      </c>
    </row>
    <row r="50" spans="1:17">
      <c r="A50" s="259" t="s">
        <v>82</v>
      </c>
      <c r="B50" s="191" t="s">
        <v>99</v>
      </c>
      <c r="C50" s="327" t="s">
        <v>100</v>
      </c>
      <c r="D50" s="397">
        <v>0</v>
      </c>
      <c r="E50" s="397">
        <v>0</v>
      </c>
      <c r="F50" s="397">
        <v>0</v>
      </c>
      <c r="G50" s="397">
        <v>0</v>
      </c>
      <c r="H50" s="397">
        <v>0</v>
      </c>
      <c r="I50" s="397">
        <v>0</v>
      </c>
      <c r="J50" s="397">
        <v>0</v>
      </c>
      <c r="K50" s="397">
        <v>0</v>
      </c>
      <c r="L50" s="397">
        <v>0</v>
      </c>
      <c r="M50" s="397">
        <v>0</v>
      </c>
      <c r="N50" s="397">
        <v>0</v>
      </c>
      <c r="O50" s="397">
        <v>0</v>
      </c>
      <c r="P50" s="397">
        <v>0</v>
      </c>
      <c r="Q50" s="397">
        <v>0</v>
      </c>
    </row>
    <row r="51" spans="1:17">
      <c r="A51" s="259" t="s">
        <v>85</v>
      </c>
      <c r="B51" s="191" t="s">
        <v>142</v>
      </c>
      <c r="C51" s="327" t="s">
        <v>143</v>
      </c>
      <c r="D51" s="397">
        <v>0</v>
      </c>
      <c r="E51" s="397">
        <v>0</v>
      </c>
      <c r="F51" s="397">
        <v>0</v>
      </c>
      <c r="G51" s="397">
        <v>0</v>
      </c>
      <c r="H51" s="397">
        <v>0</v>
      </c>
      <c r="I51" s="397">
        <v>0</v>
      </c>
      <c r="J51" s="397">
        <v>0</v>
      </c>
      <c r="K51" s="397">
        <v>0</v>
      </c>
      <c r="L51" s="397">
        <v>0</v>
      </c>
      <c r="M51" s="397">
        <v>0</v>
      </c>
      <c r="N51" s="397">
        <v>0</v>
      </c>
      <c r="O51" s="397">
        <v>0</v>
      </c>
      <c r="P51" s="397">
        <v>0</v>
      </c>
      <c r="Q51" s="397">
        <v>0</v>
      </c>
    </row>
    <row r="52" spans="1:17">
      <c r="A52" s="259" t="s">
        <v>88</v>
      </c>
      <c r="B52" s="191" t="s">
        <v>145</v>
      </c>
      <c r="C52" s="327" t="s">
        <v>146</v>
      </c>
      <c r="D52" s="397">
        <v>0</v>
      </c>
      <c r="E52" s="397">
        <v>0</v>
      </c>
      <c r="F52" s="397">
        <v>0</v>
      </c>
      <c r="G52" s="397">
        <v>0</v>
      </c>
      <c r="H52" s="397">
        <v>0</v>
      </c>
      <c r="I52" s="397">
        <v>0</v>
      </c>
      <c r="J52" s="397">
        <v>0</v>
      </c>
      <c r="K52" s="397">
        <v>0</v>
      </c>
      <c r="L52" s="397">
        <v>0</v>
      </c>
      <c r="M52" s="397">
        <v>0</v>
      </c>
      <c r="N52" s="397">
        <v>0</v>
      </c>
      <c r="O52" s="397">
        <v>0</v>
      </c>
      <c r="P52" s="397">
        <v>0</v>
      </c>
      <c r="Q52" s="397">
        <v>0</v>
      </c>
    </row>
    <row r="53" spans="1:17">
      <c r="A53" s="259" t="s">
        <v>91</v>
      </c>
      <c r="B53" s="191" t="s">
        <v>238</v>
      </c>
      <c r="C53" s="327" t="s">
        <v>58</v>
      </c>
      <c r="D53" s="397">
        <v>0</v>
      </c>
      <c r="E53" s="397">
        <v>0</v>
      </c>
      <c r="F53" s="397">
        <v>0</v>
      </c>
      <c r="G53" s="397">
        <v>0</v>
      </c>
      <c r="H53" s="397">
        <v>0</v>
      </c>
      <c r="I53" s="397">
        <v>0</v>
      </c>
      <c r="J53" s="397">
        <v>0</v>
      </c>
      <c r="K53" s="397">
        <v>0</v>
      </c>
      <c r="L53" s="397">
        <v>0</v>
      </c>
      <c r="M53" s="397">
        <v>0</v>
      </c>
      <c r="N53" s="397">
        <v>0</v>
      </c>
      <c r="O53" s="397">
        <v>0</v>
      </c>
      <c r="P53" s="397">
        <v>0</v>
      </c>
      <c r="Q53" s="397">
        <v>0</v>
      </c>
    </row>
    <row r="54" spans="1:17">
      <c r="A54" s="259" t="s">
        <v>93</v>
      </c>
      <c r="B54" s="191" t="s">
        <v>239</v>
      </c>
      <c r="C54" s="327" t="s">
        <v>60</v>
      </c>
      <c r="D54" s="397">
        <v>0</v>
      </c>
      <c r="E54" s="397">
        <v>0</v>
      </c>
      <c r="F54" s="397">
        <v>0</v>
      </c>
      <c r="G54" s="397">
        <v>0</v>
      </c>
      <c r="H54" s="397">
        <v>0</v>
      </c>
      <c r="I54" s="397">
        <v>0</v>
      </c>
      <c r="J54" s="397">
        <v>0</v>
      </c>
      <c r="K54" s="397">
        <v>0</v>
      </c>
      <c r="L54" s="397">
        <v>0</v>
      </c>
      <c r="M54" s="397">
        <v>0</v>
      </c>
      <c r="N54" s="397">
        <v>0</v>
      </c>
      <c r="O54" s="397">
        <v>0</v>
      </c>
      <c r="P54" s="397">
        <v>0</v>
      </c>
      <c r="Q54" s="397">
        <v>0</v>
      </c>
    </row>
    <row r="55" spans="1:17">
      <c r="A55" s="259" t="s">
        <v>96</v>
      </c>
      <c r="B55" s="191" t="s">
        <v>62</v>
      </c>
      <c r="C55" s="327" t="s">
        <v>63</v>
      </c>
      <c r="D55" s="397">
        <v>0</v>
      </c>
      <c r="E55" s="397">
        <v>0</v>
      </c>
      <c r="F55" s="397">
        <v>0</v>
      </c>
      <c r="G55" s="397">
        <v>0</v>
      </c>
      <c r="H55" s="397">
        <v>0</v>
      </c>
      <c r="I55" s="397">
        <v>0</v>
      </c>
      <c r="J55" s="397">
        <v>0</v>
      </c>
      <c r="K55" s="397">
        <v>0</v>
      </c>
      <c r="L55" s="397">
        <v>0</v>
      </c>
      <c r="M55" s="397">
        <v>0</v>
      </c>
      <c r="N55" s="397">
        <v>0</v>
      </c>
      <c r="O55" s="397">
        <v>0</v>
      </c>
      <c r="P55" s="397">
        <v>0</v>
      </c>
      <c r="Q55" s="397">
        <v>0</v>
      </c>
    </row>
    <row r="56" spans="1:17" ht="26.4">
      <c r="A56" s="259" t="s">
        <v>98</v>
      </c>
      <c r="B56" s="191" t="s">
        <v>632</v>
      </c>
      <c r="C56" s="327" t="s">
        <v>66</v>
      </c>
      <c r="D56" s="397">
        <v>0</v>
      </c>
      <c r="E56" s="397">
        <v>0</v>
      </c>
      <c r="F56" s="397">
        <v>0</v>
      </c>
      <c r="G56" s="397">
        <v>0</v>
      </c>
      <c r="H56" s="397">
        <v>0</v>
      </c>
      <c r="I56" s="397">
        <v>0</v>
      </c>
      <c r="J56" s="397">
        <v>0</v>
      </c>
      <c r="K56" s="397">
        <v>0</v>
      </c>
      <c r="L56" s="397">
        <v>0</v>
      </c>
      <c r="M56" s="397">
        <v>0</v>
      </c>
      <c r="N56" s="397">
        <v>0</v>
      </c>
      <c r="O56" s="397">
        <v>0</v>
      </c>
      <c r="P56" s="397">
        <v>0</v>
      </c>
      <c r="Q56" s="397">
        <v>0</v>
      </c>
    </row>
    <row r="57" spans="1:17">
      <c r="A57" s="259" t="s">
        <v>101</v>
      </c>
      <c r="B57" s="191" t="s">
        <v>68</v>
      </c>
      <c r="C57" s="327" t="s">
        <v>69</v>
      </c>
      <c r="D57" s="397">
        <v>0</v>
      </c>
      <c r="E57" s="397">
        <v>0</v>
      </c>
      <c r="F57" s="397">
        <v>0</v>
      </c>
      <c r="G57" s="397">
        <v>0</v>
      </c>
      <c r="H57" s="397">
        <v>0</v>
      </c>
      <c r="I57" s="397">
        <v>0</v>
      </c>
      <c r="J57" s="397">
        <v>0</v>
      </c>
      <c r="K57" s="397">
        <v>0</v>
      </c>
      <c r="L57" s="397">
        <v>0</v>
      </c>
      <c r="M57" s="397">
        <v>0</v>
      </c>
      <c r="N57" s="397">
        <v>0</v>
      </c>
      <c r="O57" s="397">
        <v>0</v>
      </c>
      <c r="P57" s="397">
        <v>0</v>
      </c>
      <c r="Q57" s="397">
        <v>0</v>
      </c>
    </row>
    <row r="58" spans="1:17">
      <c r="A58" s="259" t="s">
        <v>104</v>
      </c>
      <c r="B58" s="191" t="s">
        <v>348</v>
      </c>
      <c r="C58" s="327" t="s">
        <v>109</v>
      </c>
      <c r="D58" s="397">
        <v>0</v>
      </c>
      <c r="E58" s="397">
        <v>0</v>
      </c>
      <c r="F58" s="397">
        <v>0</v>
      </c>
      <c r="G58" s="397">
        <v>0</v>
      </c>
      <c r="H58" s="397">
        <v>0</v>
      </c>
      <c r="I58" s="397">
        <v>0</v>
      </c>
      <c r="J58" s="397">
        <v>0</v>
      </c>
      <c r="K58" s="397">
        <v>0</v>
      </c>
      <c r="L58" s="397">
        <v>0</v>
      </c>
      <c r="M58" s="397">
        <v>0</v>
      </c>
      <c r="N58" s="397">
        <v>0</v>
      </c>
      <c r="O58" s="397">
        <v>0</v>
      </c>
      <c r="P58" s="397">
        <v>0</v>
      </c>
      <c r="Q58" s="397">
        <v>0</v>
      </c>
    </row>
    <row r="59" spans="1:17">
      <c r="A59" s="259" t="s">
        <v>107</v>
      </c>
      <c r="B59" s="200" t="s">
        <v>242</v>
      </c>
      <c r="C59" s="327" t="s">
        <v>116</v>
      </c>
      <c r="D59" s="397">
        <v>0</v>
      </c>
      <c r="E59" s="397">
        <v>0</v>
      </c>
      <c r="F59" s="397">
        <v>0</v>
      </c>
      <c r="G59" s="397">
        <v>0</v>
      </c>
      <c r="H59" s="397">
        <v>0</v>
      </c>
      <c r="I59" s="397">
        <v>0</v>
      </c>
      <c r="J59" s="397">
        <v>0</v>
      </c>
      <c r="K59" s="397">
        <v>0</v>
      </c>
      <c r="L59" s="397">
        <v>0</v>
      </c>
      <c r="M59" s="397">
        <v>0</v>
      </c>
      <c r="N59" s="397">
        <v>0</v>
      </c>
      <c r="O59" s="397">
        <v>0</v>
      </c>
      <c r="P59" s="397">
        <v>0</v>
      </c>
      <c r="Q59" s="397">
        <v>0</v>
      </c>
    </row>
    <row r="60" spans="1:17">
      <c r="A60" s="259" t="s">
        <v>110</v>
      </c>
      <c r="B60" s="200" t="s">
        <v>272</v>
      </c>
      <c r="C60" s="327" t="s">
        <v>114</v>
      </c>
      <c r="D60" s="397">
        <v>0</v>
      </c>
      <c r="E60" s="397">
        <v>0</v>
      </c>
      <c r="F60" s="397">
        <v>0</v>
      </c>
      <c r="G60" s="397">
        <v>0</v>
      </c>
      <c r="H60" s="397">
        <v>0</v>
      </c>
      <c r="I60" s="397">
        <v>0</v>
      </c>
      <c r="J60" s="397">
        <v>0</v>
      </c>
      <c r="K60" s="397">
        <v>0</v>
      </c>
      <c r="L60" s="397">
        <v>0</v>
      </c>
      <c r="M60" s="397">
        <v>0</v>
      </c>
      <c r="N60" s="397">
        <v>0</v>
      </c>
      <c r="O60" s="397">
        <v>0</v>
      </c>
      <c r="P60" s="397">
        <v>0</v>
      </c>
      <c r="Q60" s="397">
        <v>0</v>
      </c>
    </row>
    <row r="61" spans="1:17">
      <c r="A61" s="263" t="s">
        <v>112</v>
      </c>
      <c r="B61" s="329" t="s">
        <v>148</v>
      </c>
      <c r="C61" s="330" t="s">
        <v>149</v>
      </c>
      <c r="D61" s="400">
        <v>0</v>
      </c>
      <c r="E61" s="400">
        <v>0</v>
      </c>
      <c r="F61" s="400">
        <v>0</v>
      </c>
      <c r="G61" s="400">
        <v>0</v>
      </c>
      <c r="H61" s="400">
        <v>0</v>
      </c>
      <c r="I61" s="400">
        <v>0</v>
      </c>
      <c r="J61" s="400">
        <v>0</v>
      </c>
      <c r="K61" s="400">
        <v>0</v>
      </c>
      <c r="L61" s="400">
        <v>0</v>
      </c>
      <c r="M61" s="400">
        <v>0</v>
      </c>
      <c r="N61" s="400">
        <v>0</v>
      </c>
      <c r="O61" s="400">
        <v>0</v>
      </c>
      <c r="P61" s="400">
        <v>0</v>
      </c>
      <c r="Q61" s="400">
        <v>0</v>
      </c>
    </row>
  </sheetData>
  <mergeCells count="9">
    <mergeCell ref="E5:Q5"/>
    <mergeCell ref="A1:Q1"/>
    <mergeCell ref="A2:Q2"/>
    <mergeCell ref="A3:Q3"/>
    <mergeCell ref="E4:Q4"/>
    <mergeCell ref="A5:A6"/>
    <mergeCell ref="B5:B6"/>
    <mergeCell ref="C5:C6"/>
    <mergeCell ref="D5:D6"/>
  </mergeCells>
  <printOptions horizontalCentered="1"/>
  <pageMargins left="0.27559055118110237" right="0.27559055118110237" top="0.78740157480314965" bottom="0.39370078740157483" header="0" footer="0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6D06B-2556-4797-948E-32ADC63AE375}">
  <sheetPr>
    <tabColor rgb="FF92D050"/>
  </sheetPr>
  <dimension ref="A1:AC64"/>
  <sheetViews>
    <sheetView workbookViewId="0">
      <selection sqref="A1:XFD1048576"/>
    </sheetView>
  </sheetViews>
  <sheetFormatPr defaultColWidth="9" defaultRowHeight="13.2"/>
  <cols>
    <col min="1" max="1" width="3.8984375" style="171" bestFit="1" customWidth="1"/>
    <col min="2" max="2" width="34.09765625" style="171" bestFit="1" customWidth="1"/>
    <col min="3" max="3" width="4.69921875" style="171" bestFit="1" customWidth="1"/>
    <col min="4" max="4" width="7.5" style="171" hidden="1" customWidth="1"/>
    <col min="5" max="5" width="8.59765625" style="171" hidden="1" customWidth="1"/>
    <col min="6" max="6" width="7.09765625" style="171" hidden="1" customWidth="1"/>
    <col min="7" max="7" width="8.59765625" style="171" hidden="1" customWidth="1"/>
    <col min="8" max="8" width="7.59765625" style="171" customWidth="1"/>
    <col min="9" max="9" width="8.59765625" style="171" bestFit="1" customWidth="1"/>
    <col min="10" max="10" width="8.69921875" style="171" customWidth="1"/>
    <col min="11" max="11" width="8.59765625" style="171" bestFit="1" customWidth="1"/>
    <col min="12" max="12" width="8.09765625" style="171" hidden="1" customWidth="1"/>
    <col min="13" max="13" width="8.59765625" style="171" hidden="1" customWidth="1"/>
    <col min="14" max="14" width="7.3984375" style="171" customWidth="1"/>
    <col min="15" max="15" width="8.59765625" style="171" customWidth="1"/>
    <col min="16" max="16" width="7.19921875" style="171" hidden="1" customWidth="1"/>
    <col min="17" max="17" width="8.59765625" style="171" hidden="1" customWidth="1"/>
    <col min="18" max="18" width="8.09765625" style="171" customWidth="1"/>
    <col min="19" max="19" width="8.59765625" style="171" bestFit="1" customWidth="1"/>
    <col min="20" max="20" width="7.5" style="171" customWidth="1"/>
    <col min="21" max="21" width="8.59765625" style="171" customWidth="1"/>
    <col min="22" max="22" width="7.59765625" style="171" hidden="1" customWidth="1"/>
    <col min="23" max="23" width="8.59765625" style="171" hidden="1" customWidth="1"/>
    <col min="24" max="24" width="7.19921875" style="171" hidden="1" customWidth="1"/>
    <col min="25" max="25" width="8.59765625" style="171" hidden="1" customWidth="1"/>
    <col min="26" max="26" width="7.3984375" style="171" customWidth="1"/>
    <col min="27" max="27" width="8.59765625" style="171" customWidth="1"/>
    <col min="28" max="28" width="7.8984375" style="171" customWidth="1"/>
    <col min="29" max="29" width="8.59765625" style="171" bestFit="1" customWidth="1"/>
    <col min="30" max="16384" width="9" style="171"/>
  </cols>
  <sheetData>
    <row r="1" spans="1:29" ht="16.5" customHeight="1">
      <c r="A1" s="541" t="s">
        <v>625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242"/>
      <c r="W1" s="242"/>
      <c r="X1" s="242"/>
      <c r="Y1" s="242"/>
      <c r="Z1" s="242"/>
      <c r="AA1" s="242"/>
      <c r="AB1" s="242"/>
      <c r="AC1" s="242"/>
    </row>
    <row r="2" spans="1:29" ht="16.5" customHeight="1">
      <c r="A2" s="542" t="s">
        <v>712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  <c r="AA2" s="542"/>
      <c r="AB2" s="542"/>
      <c r="AC2" s="542"/>
    </row>
    <row r="3" spans="1:29" ht="16.5" customHeight="1">
      <c r="A3" s="584" t="s">
        <v>340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  <c r="AA3" s="584"/>
      <c r="AB3" s="584"/>
      <c r="AC3" s="584"/>
    </row>
    <row r="4" spans="1:29" ht="64.2" customHeight="1">
      <c r="A4" s="583" t="s">
        <v>0</v>
      </c>
      <c r="B4" s="582" t="s">
        <v>339</v>
      </c>
      <c r="C4" s="582" t="s">
        <v>2</v>
      </c>
      <c r="D4" s="582" t="s">
        <v>154</v>
      </c>
      <c r="E4" s="582"/>
      <c r="F4" s="582" t="s">
        <v>157</v>
      </c>
      <c r="G4" s="582"/>
      <c r="H4" s="582" t="s">
        <v>159</v>
      </c>
      <c r="I4" s="582"/>
      <c r="J4" s="582" t="s">
        <v>307</v>
      </c>
      <c r="K4" s="582"/>
      <c r="L4" s="582" t="s">
        <v>309</v>
      </c>
      <c r="M4" s="582"/>
      <c r="N4" s="582" t="s">
        <v>178</v>
      </c>
      <c r="O4" s="582"/>
      <c r="P4" s="582" t="s">
        <v>311</v>
      </c>
      <c r="Q4" s="582"/>
      <c r="R4" s="582" t="s">
        <v>313</v>
      </c>
      <c r="S4" s="582"/>
      <c r="T4" s="582" t="s">
        <v>315</v>
      </c>
      <c r="U4" s="582"/>
      <c r="V4" s="582" t="s">
        <v>317</v>
      </c>
      <c r="W4" s="582"/>
      <c r="X4" s="582" t="s">
        <v>175</v>
      </c>
      <c r="Y4" s="582"/>
      <c r="Z4" s="582" t="s">
        <v>319</v>
      </c>
      <c r="AA4" s="582"/>
      <c r="AB4" s="582" t="s">
        <v>181</v>
      </c>
      <c r="AC4" s="582"/>
    </row>
    <row r="5" spans="1:29" ht="24">
      <c r="A5" s="583"/>
      <c r="B5" s="582"/>
      <c r="C5" s="582"/>
      <c r="D5" s="272" t="s">
        <v>3</v>
      </c>
      <c r="E5" s="272" t="s">
        <v>212</v>
      </c>
      <c r="F5" s="272" t="s">
        <v>3</v>
      </c>
      <c r="G5" s="272" t="s">
        <v>212</v>
      </c>
      <c r="H5" s="272" t="s">
        <v>3</v>
      </c>
      <c r="I5" s="272" t="s">
        <v>212</v>
      </c>
      <c r="J5" s="272" t="s">
        <v>3</v>
      </c>
      <c r="K5" s="272" t="s">
        <v>212</v>
      </c>
      <c r="L5" s="272" t="s">
        <v>3</v>
      </c>
      <c r="M5" s="272" t="s">
        <v>212</v>
      </c>
      <c r="N5" s="272" t="s">
        <v>3</v>
      </c>
      <c r="O5" s="272" t="s">
        <v>212</v>
      </c>
      <c r="P5" s="272" t="s">
        <v>3</v>
      </c>
      <c r="Q5" s="272" t="s">
        <v>212</v>
      </c>
      <c r="R5" s="272" t="s">
        <v>3</v>
      </c>
      <c r="S5" s="272" t="s">
        <v>212</v>
      </c>
      <c r="T5" s="272" t="s">
        <v>3</v>
      </c>
      <c r="U5" s="272" t="s">
        <v>212</v>
      </c>
      <c r="V5" s="272" t="s">
        <v>3</v>
      </c>
      <c r="W5" s="272" t="s">
        <v>212</v>
      </c>
      <c r="X5" s="272" t="s">
        <v>3</v>
      </c>
      <c r="Y5" s="272" t="s">
        <v>212</v>
      </c>
      <c r="Z5" s="272" t="s">
        <v>3</v>
      </c>
      <c r="AA5" s="272" t="s">
        <v>212</v>
      </c>
      <c r="AB5" s="272" t="s">
        <v>3</v>
      </c>
      <c r="AC5" s="272" t="s">
        <v>212</v>
      </c>
    </row>
    <row r="6" spans="1:29">
      <c r="A6" s="273"/>
      <c r="B6" s="274" t="s">
        <v>213</v>
      </c>
      <c r="C6" s="275"/>
      <c r="D6" s="401">
        <v>0</v>
      </c>
      <c r="E6" s="401" t="e">
        <v>#DIV/0!</v>
      </c>
      <c r="F6" s="401">
        <v>0</v>
      </c>
      <c r="G6" s="401" t="e">
        <v>#DIV/0!</v>
      </c>
      <c r="H6" s="401">
        <v>8986.4824819999994</v>
      </c>
      <c r="I6" s="401">
        <v>100</v>
      </c>
      <c r="J6" s="401">
        <v>35431.262740060854</v>
      </c>
      <c r="K6" s="401">
        <v>100</v>
      </c>
      <c r="L6" s="401">
        <v>0</v>
      </c>
      <c r="M6" s="401" t="e">
        <v>#DIV/0!</v>
      </c>
      <c r="N6" s="401">
        <v>72.06917</v>
      </c>
      <c r="O6" s="401">
        <v>100</v>
      </c>
      <c r="P6" s="401">
        <v>0</v>
      </c>
      <c r="Q6" s="401" t="e">
        <v>#DIV/0!</v>
      </c>
      <c r="R6" s="401">
        <v>4446.9784989999998</v>
      </c>
      <c r="S6" s="401">
        <v>100</v>
      </c>
      <c r="T6" s="401">
        <v>381.64515300000005</v>
      </c>
      <c r="U6" s="401">
        <v>100</v>
      </c>
      <c r="V6" s="401">
        <v>0</v>
      </c>
      <c r="W6" s="401" t="e">
        <v>#DIV/0!</v>
      </c>
      <c r="X6" s="401">
        <v>0</v>
      </c>
      <c r="Y6" s="401" t="e">
        <v>#DIV/0!</v>
      </c>
      <c r="Z6" s="401">
        <v>9388.2919505102145</v>
      </c>
      <c r="AA6" s="401">
        <v>100</v>
      </c>
      <c r="AB6" s="401">
        <v>1763.1317723</v>
      </c>
      <c r="AC6" s="401">
        <v>100</v>
      </c>
    </row>
    <row r="7" spans="1:29">
      <c r="A7" s="276">
        <v>1</v>
      </c>
      <c r="B7" s="274" t="s">
        <v>21</v>
      </c>
      <c r="C7" s="277" t="s">
        <v>22</v>
      </c>
      <c r="D7" s="401">
        <v>0</v>
      </c>
      <c r="E7" s="401" t="e">
        <v>#DIV/0!</v>
      </c>
      <c r="F7" s="401">
        <v>0</v>
      </c>
      <c r="G7" s="401" t="e">
        <v>#DIV/0!</v>
      </c>
      <c r="H7" s="401">
        <v>4771.6856130250026</v>
      </c>
      <c r="I7" s="401">
        <v>53.09848010701328</v>
      </c>
      <c r="J7" s="401">
        <v>35431.262740060854</v>
      </c>
      <c r="K7" s="401">
        <v>100</v>
      </c>
      <c r="L7" s="401">
        <v>0</v>
      </c>
      <c r="M7" s="401" t="e">
        <v>#DIV/0!</v>
      </c>
      <c r="N7" s="401">
        <v>0</v>
      </c>
      <c r="O7" s="401">
        <v>0</v>
      </c>
      <c r="P7" s="401">
        <v>0</v>
      </c>
      <c r="Q7" s="401" t="e">
        <v>#DIV/0!</v>
      </c>
      <c r="R7" s="401">
        <v>0</v>
      </c>
      <c r="S7" s="401">
        <v>0</v>
      </c>
      <c r="T7" s="401">
        <v>0</v>
      </c>
      <c r="U7" s="401">
        <v>0</v>
      </c>
      <c r="V7" s="401">
        <v>0</v>
      </c>
      <c r="W7" s="401" t="e">
        <v>#DIV/0!</v>
      </c>
      <c r="X7" s="401">
        <v>0</v>
      </c>
      <c r="Y7" s="401" t="e">
        <v>#DIV/0!</v>
      </c>
      <c r="Z7" s="401">
        <v>7831.2350773102144</v>
      </c>
      <c r="AA7" s="401">
        <v>83.414907829795595</v>
      </c>
      <c r="AB7" s="401">
        <v>154.76949899999997</v>
      </c>
      <c r="AC7" s="401">
        <v>8.7781016388867883</v>
      </c>
    </row>
    <row r="8" spans="1:29">
      <c r="A8" s="278" t="s">
        <v>23</v>
      </c>
      <c r="B8" s="279" t="s">
        <v>24</v>
      </c>
      <c r="C8" s="280" t="s">
        <v>25</v>
      </c>
      <c r="D8" s="402"/>
      <c r="E8" s="402" t="e">
        <v>#DIV/0!</v>
      </c>
      <c r="F8" s="402"/>
      <c r="G8" s="402" t="e">
        <v>#DIV/0!</v>
      </c>
      <c r="H8" s="402">
        <v>7.651351</v>
      </c>
      <c r="I8" s="402">
        <v>8.5142891173779295E-2</v>
      </c>
      <c r="J8" s="402">
        <v>499.82014200000003</v>
      </c>
      <c r="K8" s="402">
        <v>1.410675497700711</v>
      </c>
      <c r="L8" s="402"/>
      <c r="M8" s="402" t="e">
        <v>#DIV/0!</v>
      </c>
      <c r="N8" s="402"/>
      <c r="O8" s="402">
        <v>0</v>
      </c>
      <c r="P8" s="402"/>
      <c r="Q8" s="402" t="e">
        <v>#DIV/0!</v>
      </c>
      <c r="R8" s="402"/>
      <c r="S8" s="402">
        <v>0</v>
      </c>
      <c r="T8" s="402"/>
      <c r="U8" s="402">
        <v>0</v>
      </c>
      <c r="V8" s="402"/>
      <c r="W8" s="402" t="e">
        <v>#DIV/0!</v>
      </c>
      <c r="X8" s="402"/>
      <c r="Y8" s="402" t="e">
        <v>#DIV/0!</v>
      </c>
      <c r="Z8" s="402"/>
      <c r="AA8" s="402">
        <v>0</v>
      </c>
      <c r="AB8" s="402"/>
      <c r="AC8" s="402">
        <v>0</v>
      </c>
    </row>
    <row r="9" spans="1:29">
      <c r="A9" s="281"/>
      <c r="B9" s="282" t="s">
        <v>306</v>
      </c>
      <c r="C9" s="283" t="s">
        <v>27</v>
      </c>
      <c r="D9" s="403"/>
      <c r="E9" s="403" t="e">
        <v>#DIV/0!</v>
      </c>
      <c r="F9" s="403"/>
      <c r="G9" s="403" t="e">
        <v>#DIV/0!</v>
      </c>
      <c r="H9" s="403">
        <v>0</v>
      </c>
      <c r="I9" s="403">
        <v>0</v>
      </c>
      <c r="J9" s="403">
        <v>73.087230000000005</v>
      </c>
      <c r="K9" s="403">
        <v>0.20627893094355598</v>
      </c>
      <c r="L9" s="403"/>
      <c r="M9" s="403" t="e">
        <v>#DIV/0!</v>
      </c>
      <c r="N9" s="403"/>
      <c r="O9" s="403">
        <v>0</v>
      </c>
      <c r="P9" s="403"/>
      <c r="Q9" s="403" t="e">
        <v>#DIV/0!</v>
      </c>
      <c r="R9" s="403"/>
      <c r="S9" s="403">
        <v>0</v>
      </c>
      <c r="T9" s="403"/>
      <c r="U9" s="403">
        <v>0</v>
      </c>
      <c r="V9" s="403"/>
      <c r="W9" s="403" t="e">
        <v>#DIV/0!</v>
      </c>
      <c r="X9" s="403"/>
      <c r="Y9" s="403" t="e">
        <v>#DIV/0!</v>
      </c>
      <c r="Z9" s="403"/>
      <c r="AA9" s="403">
        <v>0</v>
      </c>
      <c r="AB9" s="403"/>
      <c r="AC9" s="403">
        <v>0</v>
      </c>
    </row>
    <row r="10" spans="1:29">
      <c r="A10" s="278" t="s">
        <v>32</v>
      </c>
      <c r="B10" s="284" t="s">
        <v>33</v>
      </c>
      <c r="C10" s="280" t="s">
        <v>34</v>
      </c>
      <c r="D10" s="402"/>
      <c r="E10" s="402" t="e">
        <v>#DIV/0!</v>
      </c>
      <c r="F10" s="402"/>
      <c r="G10" s="402" t="e">
        <v>#DIV/0!</v>
      </c>
      <c r="H10" s="402">
        <v>76.314492999999999</v>
      </c>
      <c r="I10" s="402">
        <v>0.849214285487771</v>
      </c>
      <c r="J10" s="402"/>
      <c r="K10" s="402">
        <v>0</v>
      </c>
      <c r="L10" s="402"/>
      <c r="M10" s="402" t="e">
        <v>#DIV/0!</v>
      </c>
      <c r="N10" s="402"/>
      <c r="O10" s="402">
        <v>0</v>
      </c>
      <c r="P10" s="402"/>
      <c r="Q10" s="402" t="e">
        <v>#DIV/0!</v>
      </c>
      <c r="R10" s="402"/>
      <c r="S10" s="402">
        <v>0</v>
      </c>
      <c r="T10" s="402"/>
      <c r="U10" s="402">
        <v>0</v>
      </c>
      <c r="V10" s="402"/>
      <c r="W10" s="402" t="e">
        <v>#DIV/0!</v>
      </c>
      <c r="X10" s="402"/>
      <c r="Y10" s="402" t="e">
        <v>#DIV/0!</v>
      </c>
      <c r="Z10" s="402"/>
      <c r="AA10" s="402">
        <v>0</v>
      </c>
      <c r="AB10" s="402">
        <v>154.76949899999997</v>
      </c>
      <c r="AC10" s="402">
        <v>8.7781016388867883</v>
      </c>
    </row>
    <row r="11" spans="1:29">
      <c r="A11" s="278" t="s">
        <v>35</v>
      </c>
      <c r="B11" s="279" t="s">
        <v>36</v>
      </c>
      <c r="C11" s="280" t="s">
        <v>37</v>
      </c>
      <c r="D11" s="402"/>
      <c r="E11" s="402" t="e">
        <v>#DIV/0!</v>
      </c>
      <c r="F11" s="402"/>
      <c r="G11" s="402" t="e">
        <v>#DIV/0!</v>
      </c>
      <c r="H11" s="402">
        <v>4508.1278610250029</v>
      </c>
      <c r="I11" s="402">
        <v>50.165655695149034</v>
      </c>
      <c r="J11" s="402">
        <v>34931.442598060858</v>
      </c>
      <c r="K11" s="402">
        <v>98.589324502299306</v>
      </c>
      <c r="L11" s="402"/>
      <c r="M11" s="402" t="e">
        <v>#DIV/0!</v>
      </c>
      <c r="N11" s="402"/>
      <c r="O11" s="402">
        <v>0</v>
      </c>
      <c r="P11" s="402"/>
      <c r="Q11" s="402" t="e">
        <v>#DIV/0!</v>
      </c>
      <c r="R11" s="402"/>
      <c r="S11" s="402">
        <v>0</v>
      </c>
      <c r="T11" s="402"/>
      <c r="U11" s="402">
        <v>0</v>
      </c>
      <c r="V11" s="402"/>
      <c r="W11" s="402" t="e">
        <v>#DIV/0!</v>
      </c>
      <c r="X11" s="402"/>
      <c r="Y11" s="402" t="e">
        <v>#DIV/0!</v>
      </c>
      <c r="Z11" s="402">
        <v>7831.2350773102144</v>
      </c>
      <c r="AA11" s="402">
        <v>83.414907829795595</v>
      </c>
      <c r="AB11" s="402"/>
      <c r="AC11" s="402">
        <v>0</v>
      </c>
    </row>
    <row r="12" spans="1:29">
      <c r="A12" s="278" t="s">
        <v>38</v>
      </c>
      <c r="B12" s="285" t="s">
        <v>41</v>
      </c>
      <c r="C12" s="280" t="s">
        <v>42</v>
      </c>
      <c r="D12" s="402"/>
      <c r="E12" s="402" t="e">
        <v>#DIV/0!</v>
      </c>
      <c r="F12" s="402"/>
      <c r="G12" s="402" t="e">
        <v>#DIV/0!</v>
      </c>
      <c r="H12" s="402">
        <v>0</v>
      </c>
      <c r="I12" s="402">
        <v>0</v>
      </c>
      <c r="J12" s="402"/>
      <c r="K12" s="402">
        <v>0</v>
      </c>
      <c r="L12" s="402">
        <v>0</v>
      </c>
      <c r="M12" s="402" t="e">
        <v>#DIV/0!</v>
      </c>
      <c r="N12" s="402"/>
      <c r="O12" s="402">
        <v>0</v>
      </c>
      <c r="P12" s="402"/>
      <c r="Q12" s="402" t="e">
        <v>#DIV/0!</v>
      </c>
      <c r="R12" s="402"/>
      <c r="S12" s="402">
        <v>0</v>
      </c>
      <c r="T12" s="402"/>
      <c r="U12" s="402">
        <v>0</v>
      </c>
      <c r="V12" s="402"/>
      <c r="W12" s="402" t="e">
        <v>#DIV/0!</v>
      </c>
      <c r="X12" s="402"/>
      <c r="Y12" s="402" t="e">
        <v>#DIV/0!</v>
      </c>
      <c r="Z12" s="402"/>
      <c r="AA12" s="402">
        <v>0</v>
      </c>
      <c r="AB12" s="402"/>
      <c r="AC12" s="402">
        <v>0</v>
      </c>
    </row>
    <row r="13" spans="1:29">
      <c r="A13" s="278" t="s">
        <v>40</v>
      </c>
      <c r="B13" s="285" t="s">
        <v>44</v>
      </c>
      <c r="C13" s="280" t="s">
        <v>45</v>
      </c>
      <c r="D13" s="402"/>
      <c r="E13" s="402" t="e">
        <v>#DIV/0!</v>
      </c>
      <c r="F13" s="402"/>
      <c r="G13" s="402" t="e">
        <v>#DIV/0!</v>
      </c>
      <c r="H13" s="402">
        <v>0</v>
      </c>
      <c r="I13" s="402">
        <v>0</v>
      </c>
      <c r="J13" s="402"/>
      <c r="K13" s="402">
        <v>0</v>
      </c>
      <c r="L13" s="402">
        <v>0</v>
      </c>
      <c r="M13" s="402" t="e">
        <v>#DIV/0!</v>
      </c>
      <c r="N13" s="402"/>
      <c r="O13" s="402">
        <v>0</v>
      </c>
      <c r="P13" s="402">
        <v>0</v>
      </c>
      <c r="Q13" s="402" t="e">
        <v>#DIV/0!</v>
      </c>
      <c r="R13" s="402"/>
      <c r="S13" s="402">
        <v>0</v>
      </c>
      <c r="T13" s="402"/>
      <c r="U13" s="402">
        <v>0</v>
      </c>
      <c r="V13" s="402"/>
      <c r="W13" s="402" t="e">
        <v>#DIV/0!</v>
      </c>
      <c r="X13" s="402"/>
      <c r="Y13" s="402" t="e">
        <v>#DIV/0!</v>
      </c>
      <c r="Z13" s="402"/>
      <c r="AA13" s="402">
        <v>0</v>
      </c>
      <c r="AB13" s="402"/>
      <c r="AC13" s="402">
        <v>0</v>
      </c>
    </row>
    <row r="14" spans="1:29">
      <c r="A14" s="278" t="s">
        <v>43</v>
      </c>
      <c r="B14" s="285" t="s">
        <v>221</v>
      </c>
      <c r="C14" s="280" t="s">
        <v>39</v>
      </c>
      <c r="D14" s="402"/>
      <c r="E14" s="402" t="e">
        <v>#DIV/0!</v>
      </c>
      <c r="F14" s="402"/>
      <c r="G14" s="402" t="e">
        <v>#DIV/0!</v>
      </c>
      <c r="H14" s="402">
        <v>0</v>
      </c>
      <c r="I14" s="402">
        <v>0</v>
      </c>
      <c r="J14" s="402"/>
      <c r="K14" s="402">
        <v>0</v>
      </c>
      <c r="L14" s="402">
        <v>0</v>
      </c>
      <c r="M14" s="402" t="e">
        <v>#DIV/0!</v>
      </c>
      <c r="N14" s="402"/>
      <c r="O14" s="402">
        <v>0</v>
      </c>
      <c r="P14" s="402"/>
      <c r="Q14" s="402" t="e">
        <v>#DIV/0!</v>
      </c>
      <c r="R14" s="402"/>
      <c r="S14" s="402">
        <v>0</v>
      </c>
      <c r="T14" s="402"/>
      <c r="U14" s="402">
        <v>0</v>
      </c>
      <c r="V14" s="402"/>
      <c r="W14" s="402" t="e">
        <v>#DIV/0!</v>
      </c>
      <c r="X14" s="402"/>
      <c r="Y14" s="402" t="e">
        <v>#DIV/0!</v>
      </c>
      <c r="Z14" s="402"/>
      <c r="AA14" s="402">
        <v>0</v>
      </c>
      <c r="AB14" s="402"/>
      <c r="AC14" s="402">
        <v>0</v>
      </c>
    </row>
    <row r="15" spans="1:29" s="172" customFormat="1">
      <c r="A15" s="281"/>
      <c r="B15" s="286" t="s">
        <v>292</v>
      </c>
      <c r="C15" s="283" t="s">
        <v>293</v>
      </c>
      <c r="D15" s="403"/>
      <c r="E15" s="403" t="e">
        <v>#DIV/0!</v>
      </c>
      <c r="F15" s="403"/>
      <c r="G15" s="403" t="e">
        <v>#DIV/0!</v>
      </c>
      <c r="H15" s="403">
        <v>0</v>
      </c>
      <c r="I15" s="403">
        <v>0</v>
      </c>
      <c r="J15" s="403"/>
      <c r="K15" s="403">
        <v>0</v>
      </c>
      <c r="L15" s="403">
        <v>0</v>
      </c>
      <c r="M15" s="403" t="e">
        <v>#DIV/0!</v>
      </c>
      <c r="N15" s="403"/>
      <c r="O15" s="403">
        <v>0</v>
      </c>
      <c r="P15" s="403"/>
      <c r="Q15" s="403" t="e">
        <v>#DIV/0!</v>
      </c>
      <c r="R15" s="403"/>
      <c r="S15" s="403">
        <v>0</v>
      </c>
      <c r="T15" s="403"/>
      <c r="U15" s="403">
        <v>0</v>
      </c>
      <c r="V15" s="403"/>
      <c r="W15" s="403" t="e">
        <v>#DIV/0!</v>
      </c>
      <c r="X15" s="403"/>
      <c r="Y15" s="403" t="e">
        <v>#DIV/0!</v>
      </c>
      <c r="Z15" s="403"/>
      <c r="AA15" s="403">
        <v>0</v>
      </c>
      <c r="AB15" s="403"/>
      <c r="AC15" s="403">
        <v>0</v>
      </c>
    </row>
    <row r="16" spans="1:29">
      <c r="A16" s="278" t="s">
        <v>46</v>
      </c>
      <c r="B16" s="279" t="s">
        <v>47</v>
      </c>
      <c r="C16" s="280" t="s">
        <v>48</v>
      </c>
      <c r="D16" s="402"/>
      <c r="E16" s="402" t="e">
        <v>#DIV/0!</v>
      </c>
      <c r="F16" s="402"/>
      <c r="G16" s="402" t="e">
        <v>#DIV/0!</v>
      </c>
      <c r="H16" s="402">
        <v>7.7919580000000002</v>
      </c>
      <c r="I16" s="402">
        <v>8.6707541194314439E-2</v>
      </c>
      <c r="J16" s="402"/>
      <c r="K16" s="402">
        <v>0</v>
      </c>
      <c r="L16" s="402"/>
      <c r="M16" s="402" t="e">
        <v>#DIV/0!</v>
      </c>
      <c r="N16" s="402"/>
      <c r="O16" s="402">
        <v>0</v>
      </c>
      <c r="P16" s="402"/>
      <c r="Q16" s="402" t="e">
        <v>#DIV/0!</v>
      </c>
      <c r="R16" s="402"/>
      <c r="S16" s="402">
        <v>0</v>
      </c>
      <c r="T16" s="402"/>
      <c r="U16" s="402">
        <v>0</v>
      </c>
      <c r="V16" s="402"/>
      <c r="W16" s="402" t="e">
        <v>#DIV/0!</v>
      </c>
      <c r="X16" s="402"/>
      <c r="Y16" s="402" t="e">
        <v>#DIV/0!</v>
      </c>
      <c r="Z16" s="402"/>
      <c r="AA16" s="402">
        <v>0</v>
      </c>
      <c r="AB16" s="402"/>
      <c r="AC16" s="402">
        <v>0</v>
      </c>
    </row>
    <row r="17" spans="1:29">
      <c r="A17" s="278" t="s">
        <v>49</v>
      </c>
      <c r="B17" s="279" t="s">
        <v>50</v>
      </c>
      <c r="C17" s="280" t="s">
        <v>51</v>
      </c>
      <c r="D17" s="402"/>
      <c r="E17" s="402" t="e">
        <v>#DIV/0!</v>
      </c>
      <c r="F17" s="402"/>
      <c r="G17" s="402" t="e">
        <v>#DIV/0!</v>
      </c>
      <c r="H17" s="402">
        <v>0</v>
      </c>
      <c r="I17" s="402">
        <v>0</v>
      </c>
      <c r="J17" s="402"/>
      <c r="K17" s="402">
        <v>0</v>
      </c>
      <c r="L17" s="402"/>
      <c r="M17" s="402" t="e">
        <v>#DIV/0!</v>
      </c>
      <c r="N17" s="402"/>
      <c r="O17" s="402">
        <v>0</v>
      </c>
      <c r="P17" s="402"/>
      <c r="Q17" s="402" t="e">
        <v>#DIV/0!</v>
      </c>
      <c r="R17" s="402"/>
      <c r="S17" s="402">
        <v>0</v>
      </c>
      <c r="T17" s="402"/>
      <c r="U17" s="402">
        <v>0</v>
      </c>
      <c r="V17" s="402"/>
      <c r="W17" s="402" t="e">
        <v>#DIV/0!</v>
      </c>
      <c r="X17" s="402"/>
      <c r="Y17" s="402" t="e">
        <v>#DIV/0!</v>
      </c>
      <c r="Z17" s="402"/>
      <c r="AA17" s="402">
        <v>0</v>
      </c>
      <c r="AB17" s="402"/>
      <c r="AC17" s="402">
        <v>0</v>
      </c>
    </row>
    <row r="18" spans="1:29">
      <c r="A18" s="278" t="s">
        <v>52</v>
      </c>
      <c r="B18" s="284" t="s">
        <v>53</v>
      </c>
      <c r="C18" s="280" t="s">
        <v>54</v>
      </c>
      <c r="D18" s="402"/>
      <c r="E18" s="402" t="e">
        <v>#DIV/0!</v>
      </c>
      <c r="F18" s="402"/>
      <c r="G18" s="402" t="e">
        <v>#DIV/0!</v>
      </c>
      <c r="H18" s="402">
        <v>171.79995</v>
      </c>
      <c r="I18" s="402">
        <v>1.9117596940083814</v>
      </c>
      <c r="J18" s="402"/>
      <c r="K18" s="402">
        <v>0</v>
      </c>
      <c r="L18" s="402"/>
      <c r="M18" s="402" t="e">
        <v>#DIV/0!</v>
      </c>
      <c r="N18" s="402"/>
      <c r="O18" s="402">
        <v>0</v>
      </c>
      <c r="P18" s="402"/>
      <c r="Q18" s="402" t="e">
        <v>#DIV/0!</v>
      </c>
      <c r="R18" s="402"/>
      <c r="S18" s="402">
        <v>0</v>
      </c>
      <c r="T18" s="402"/>
      <c r="U18" s="402">
        <v>0</v>
      </c>
      <c r="V18" s="402"/>
      <c r="W18" s="402" t="e">
        <v>#DIV/0!</v>
      </c>
      <c r="X18" s="402"/>
      <c r="Y18" s="402" t="e">
        <v>#DIV/0!</v>
      </c>
      <c r="Z18" s="402"/>
      <c r="AA18" s="402">
        <v>0</v>
      </c>
      <c r="AB18" s="402"/>
      <c r="AC18" s="402">
        <v>0</v>
      </c>
    </row>
    <row r="19" spans="1:29">
      <c r="A19" s="276">
        <v>2</v>
      </c>
      <c r="B19" s="274" t="s">
        <v>55</v>
      </c>
      <c r="C19" s="277" t="s">
        <v>56</v>
      </c>
      <c r="D19" s="401">
        <v>0</v>
      </c>
      <c r="E19" s="401" t="e">
        <v>#DIV/0!</v>
      </c>
      <c r="F19" s="401">
        <v>0</v>
      </c>
      <c r="G19" s="401" t="e">
        <v>#DIV/0!</v>
      </c>
      <c r="H19" s="401">
        <v>4214.7968689749969</v>
      </c>
      <c r="I19" s="401">
        <v>46.901519892986727</v>
      </c>
      <c r="J19" s="401">
        <v>0</v>
      </c>
      <c r="K19" s="401">
        <v>0</v>
      </c>
      <c r="L19" s="401">
        <v>0</v>
      </c>
      <c r="M19" s="401" t="e">
        <v>#DIV/0!</v>
      </c>
      <c r="N19" s="401">
        <v>72.06917</v>
      </c>
      <c r="O19" s="401">
        <v>100</v>
      </c>
      <c r="P19" s="401">
        <v>0</v>
      </c>
      <c r="Q19" s="401" t="e">
        <v>#DIV/0!</v>
      </c>
      <c r="R19" s="401">
        <v>4446.9784989999998</v>
      </c>
      <c r="S19" s="401">
        <v>100</v>
      </c>
      <c r="T19" s="401">
        <v>381.64515300000005</v>
      </c>
      <c r="U19" s="401">
        <v>100</v>
      </c>
      <c r="V19" s="401">
        <v>0</v>
      </c>
      <c r="W19" s="401" t="e">
        <v>#DIV/0!</v>
      </c>
      <c r="X19" s="401">
        <v>0</v>
      </c>
      <c r="Y19" s="401" t="e">
        <v>#DIV/0!</v>
      </c>
      <c r="Z19" s="401">
        <v>1557.0568731999999</v>
      </c>
      <c r="AA19" s="401">
        <v>16.585092170204405</v>
      </c>
      <c r="AB19" s="401">
        <v>1608.3622733</v>
      </c>
      <c r="AC19" s="401">
        <v>91.221898361113205</v>
      </c>
    </row>
    <row r="20" spans="1:29">
      <c r="A20" s="278" t="s">
        <v>57</v>
      </c>
      <c r="B20" s="287" t="s">
        <v>71</v>
      </c>
      <c r="C20" s="280" t="s">
        <v>72</v>
      </c>
      <c r="D20" s="402"/>
      <c r="E20" s="402" t="e">
        <v>#DIV/0!</v>
      </c>
      <c r="F20" s="402"/>
      <c r="G20" s="402" t="e">
        <v>#DIV/0!</v>
      </c>
      <c r="H20" s="402">
        <v>28.787656999999999</v>
      </c>
      <c r="I20" s="402">
        <v>0.32034399507996508</v>
      </c>
      <c r="J20" s="402"/>
      <c r="K20" s="402">
        <v>0</v>
      </c>
      <c r="L20" s="402"/>
      <c r="M20" s="402" t="e">
        <v>#DIV/0!</v>
      </c>
      <c r="N20" s="402"/>
      <c r="O20" s="402">
        <v>0</v>
      </c>
      <c r="P20" s="402"/>
      <c r="Q20" s="402" t="e">
        <v>#DIV/0!</v>
      </c>
      <c r="R20" s="402"/>
      <c r="S20" s="402">
        <v>0</v>
      </c>
      <c r="T20" s="402"/>
      <c r="U20" s="402">
        <v>0</v>
      </c>
      <c r="V20" s="402"/>
      <c r="W20" s="402" t="e">
        <v>#DIV/0!</v>
      </c>
      <c r="X20" s="402"/>
      <c r="Y20" s="402" t="e">
        <v>#DIV/0!</v>
      </c>
      <c r="Z20" s="402"/>
      <c r="AA20" s="402">
        <v>0</v>
      </c>
      <c r="AB20" s="402"/>
      <c r="AC20" s="402">
        <v>0</v>
      </c>
    </row>
    <row r="21" spans="1:29">
      <c r="A21" s="278" t="s">
        <v>59</v>
      </c>
      <c r="B21" s="279" t="s">
        <v>74</v>
      </c>
      <c r="C21" s="280" t="s">
        <v>75</v>
      </c>
      <c r="D21" s="402"/>
      <c r="E21" s="402" t="e">
        <v>#DIV/0!</v>
      </c>
      <c r="F21" s="402"/>
      <c r="G21" s="402" t="e">
        <v>#DIV/0!</v>
      </c>
      <c r="H21" s="402">
        <v>5.6070009999999995</v>
      </c>
      <c r="I21" s="402">
        <v>6.23937231417395E-2</v>
      </c>
      <c r="J21" s="402"/>
      <c r="K21" s="402">
        <v>0</v>
      </c>
      <c r="L21" s="402"/>
      <c r="M21" s="402" t="e">
        <v>#DIV/0!</v>
      </c>
      <c r="N21" s="402"/>
      <c r="O21" s="402">
        <v>0</v>
      </c>
      <c r="P21" s="402"/>
      <c r="Q21" s="402" t="e">
        <v>#DIV/0!</v>
      </c>
      <c r="R21" s="402"/>
      <c r="S21" s="402">
        <v>0</v>
      </c>
      <c r="T21" s="402">
        <v>5.16</v>
      </c>
      <c r="U21" s="402">
        <v>1.3520412769397858</v>
      </c>
      <c r="V21" s="402"/>
      <c r="W21" s="402" t="e">
        <v>#DIV/0!</v>
      </c>
      <c r="X21" s="402"/>
      <c r="Y21" s="402" t="e">
        <v>#DIV/0!</v>
      </c>
      <c r="Z21" s="402"/>
      <c r="AA21" s="402">
        <v>0</v>
      </c>
      <c r="AB21" s="402"/>
      <c r="AC21" s="402">
        <v>0</v>
      </c>
    </row>
    <row r="22" spans="1:29">
      <c r="A22" s="278" t="s">
        <v>61</v>
      </c>
      <c r="B22" s="279" t="s">
        <v>77</v>
      </c>
      <c r="C22" s="280" t="s">
        <v>78</v>
      </c>
      <c r="D22" s="402"/>
      <c r="E22" s="402" t="e">
        <v>#DIV/0!</v>
      </c>
      <c r="F22" s="402"/>
      <c r="G22" s="402" t="e">
        <v>#DIV/0!</v>
      </c>
      <c r="H22" s="402">
        <v>2055.1258990000001</v>
      </c>
      <c r="I22" s="402">
        <v>22.869080345023036</v>
      </c>
      <c r="J22" s="402"/>
      <c r="K22" s="402">
        <v>0</v>
      </c>
      <c r="L22" s="402"/>
      <c r="M22" s="402" t="e">
        <v>#DIV/0!</v>
      </c>
      <c r="N22" s="402"/>
      <c r="O22" s="402">
        <v>0</v>
      </c>
      <c r="P22" s="402"/>
      <c r="Q22" s="402" t="e">
        <v>#DIV/0!</v>
      </c>
      <c r="R22" s="402">
        <v>3841.9784989999998</v>
      </c>
      <c r="S22" s="402">
        <v>86.395256911270252</v>
      </c>
      <c r="T22" s="402"/>
      <c r="U22" s="402">
        <v>0</v>
      </c>
      <c r="V22" s="402"/>
      <c r="W22" s="402" t="e">
        <v>#DIV/0!</v>
      </c>
      <c r="X22" s="402"/>
      <c r="Y22" s="402" t="e">
        <v>#DIV/0!</v>
      </c>
      <c r="Z22" s="402"/>
      <c r="AA22" s="402">
        <v>0</v>
      </c>
      <c r="AB22" s="402"/>
      <c r="AC22" s="402">
        <v>0</v>
      </c>
    </row>
    <row r="23" spans="1:29">
      <c r="A23" s="278" t="s">
        <v>64</v>
      </c>
      <c r="B23" s="279" t="s">
        <v>83</v>
      </c>
      <c r="C23" s="280" t="s">
        <v>84</v>
      </c>
      <c r="D23" s="402"/>
      <c r="E23" s="402" t="e">
        <v>#DIV/0!</v>
      </c>
      <c r="F23" s="402"/>
      <c r="G23" s="402" t="e">
        <v>#DIV/0!</v>
      </c>
      <c r="H23" s="402">
        <v>80</v>
      </c>
      <c r="I23" s="402">
        <v>0.89022596060517201</v>
      </c>
      <c r="J23" s="402"/>
      <c r="K23" s="402">
        <v>0</v>
      </c>
      <c r="L23" s="402"/>
      <c r="M23" s="402" t="e">
        <v>#DIV/0!</v>
      </c>
      <c r="N23" s="402"/>
      <c r="O23" s="402">
        <v>0</v>
      </c>
      <c r="P23" s="402"/>
      <c r="Q23" s="402" t="e">
        <v>#DIV/0!</v>
      </c>
      <c r="R23" s="402">
        <v>605</v>
      </c>
      <c r="S23" s="402">
        <v>13.604743088729739</v>
      </c>
      <c r="T23" s="402"/>
      <c r="U23" s="402">
        <v>0</v>
      </c>
      <c r="V23" s="402"/>
      <c r="W23" s="402" t="e">
        <v>#DIV/0!</v>
      </c>
      <c r="X23" s="402"/>
      <c r="Y23" s="402" t="e">
        <v>#DIV/0!</v>
      </c>
      <c r="Z23" s="402"/>
      <c r="AA23" s="402">
        <v>0</v>
      </c>
      <c r="AB23" s="402"/>
      <c r="AC23" s="402">
        <v>0</v>
      </c>
    </row>
    <row r="24" spans="1:29" s="172" customFormat="1">
      <c r="A24" s="278" t="s">
        <v>67</v>
      </c>
      <c r="B24" s="279" t="s">
        <v>86</v>
      </c>
      <c r="C24" s="280" t="s">
        <v>87</v>
      </c>
      <c r="D24" s="402"/>
      <c r="E24" s="402" t="e">
        <v>#DIV/0!</v>
      </c>
      <c r="F24" s="402"/>
      <c r="G24" s="402" t="e">
        <v>#DIV/0!</v>
      </c>
      <c r="H24" s="402">
        <v>112.162385</v>
      </c>
      <c r="I24" s="402">
        <v>1.2481233366299016</v>
      </c>
      <c r="J24" s="402"/>
      <c r="K24" s="402">
        <v>0</v>
      </c>
      <c r="L24" s="402"/>
      <c r="M24" s="402" t="e">
        <v>#DIV/0!</v>
      </c>
      <c r="N24" s="402">
        <v>72.06917</v>
      </c>
      <c r="O24" s="402">
        <v>100</v>
      </c>
      <c r="P24" s="402"/>
      <c r="Q24" s="402" t="e">
        <v>#DIV/0!</v>
      </c>
      <c r="R24" s="402"/>
      <c r="S24" s="402">
        <v>0</v>
      </c>
      <c r="T24" s="402">
        <v>19.920000000000002</v>
      </c>
      <c r="U24" s="402">
        <v>5.219508185395453</v>
      </c>
      <c r="V24" s="402"/>
      <c r="W24" s="402" t="e">
        <v>#DIV/0!</v>
      </c>
      <c r="X24" s="402"/>
      <c r="Y24" s="402" t="e">
        <v>#DIV/0!</v>
      </c>
      <c r="Z24" s="402"/>
      <c r="AA24" s="402">
        <v>0</v>
      </c>
      <c r="AB24" s="402"/>
      <c r="AC24" s="402">
        <v>0</v>
      </c>
    </row>
    <row r="25" spans="1:29" s="172" customFormat="1">
      <c r="A25" s="278" t="s">
        <v>70</v>
      </c>
      <c r="B25" s="279" t="s">
        <v>89</v>
      </c>
      <c r="C25" s="280" t="s">
        <v>90</v>
      </c>
      <c r="D25" s="402"/>
      <c r="E25" s="402" t="e">
        <v>#DIV/0!</v>
      </c>
      <c r="F25" s="402"/>
      <c r="G25" s="402" t="e">
        <v>#DIV/0!</v>
      </c>
      <c r="H25" s="402">
        <v>80.412286000000009</v>
      </c>
      <c r="I25" s="402">
        <v>0.89481380686009782</v>
      </c>
      <c r="J25" s="402"/>
      <c r="K25" s="402">
        <v>0</v>
      </c>
      <c r="L25" s="402"/>
      <c r="M25" s="402" t="e">
        <v>#DIV/0!</v>
      </c>
      <c r="N25" s="402"/>
      <c r="O25" s="402">
        <v>0</v>
      </c>
      <c r="P25" s="402"/>
      <c r="Q25" s="402" t="e">
        <v>#DIV/0!</v>
      </c>
      <c r="R25" s="402"/>
      <c r="S25" s="402">
        <v>0</v>
      </c>
      <c r="T25" s="402"/>
      <c r="U25" s="402">
        <v>0</v>
      </c>
      <c r="V25" s="402"/>
      <c r="W25" s="402" t="e">
        <v>#DIV/0!</v>
      </c>
      <c r="X25" s="402"/>
      <c r="Y25" s="402" t="e">
        <v>#DIV/0!</v>
      </c>
      <c r="Z25" s="402"/>
      <c r="AA25" s="402">
        <v>0</v>
      </c>
      <c r="AB25" s="402">
        <v>686.91487699999993</v>
      </c>
      <c r="AC25" s="402">
        <v>38.959928451854822</v>
      </c>
    </row>
    <row r="26" spans="1:29" s="172" customFormat="1">
      <c r="A26" s="278" t="s">
        <v>73</v>
      </c>
      <c r="B26" s="279" t="s">
        <v>343</v>
      </c>
      <c r="C26" s="280" t="s">
        <v>95</v>
      </c>
      <c r="D26" s="402"/>
      <c r="E26" s="402" t="e">
        <v>#DIV/0!</v>
      </c>
      <c r="F26" s="402"/>
      <c r="G26" s="402" t="e">
        <v>#DIV/0!</v>
      </c>
      <c r="H26" s="402">
        <v>0</v>
      </c>
      <c r="I26" s="402">
        <v>0</v>
      </c>
      <c r="J26" s="402"/>
      <c r="K26" s="402">
        <v>0</v>
      </c>
      <c r="L26" s="402"/>
      <c r="M26" s="402" t="e">
        <v>#DIV/0!</v>
      </c>
      <c r="N26" s="402"/>
      <c r="O26" s="402">
        <v>0</v>
      </c>
      <c r="P26" s="402"/>
      <c r="Q26" s="402" t="e">
        <v>#DIV/0!</v>
      </c>
      <c r="R26" s="402"/>
      <c r="S26" s="402">
        <v>0</v>
      </c>
      <c r="T26" s="402"/>
      <c r="U26" s="402">
        <v>0</v>
      </c>
      <c r="V26" s="402"/>
      <c r="W26" s="402" t="e">
        <v>#DIV/0!</v>
      </c>
      <c r="X26" s="402"/>
      <c r="Y26" s="402" t="e">
        <v>#DIV/0!</v>
      </c>
      <c r="Z26" s="402"/>
      <c r="AA26" s="402">
        <v>0</v>
      </c>
      <c r="AB26" s="402"/>
      <c r="AC26" s="402">
        <v>0</v>
      </c>
    </row>
    <row r="27" spans="1:29" s="172" customFormat="1">
      <c r="A27" s="278" t="s">
        <v>76</v>
      </c>
      <c r="B27" s="279" t="s">
        <v>241</v>
      </c>
      <c r="C27" s="280" t="s">
        <v>92</v>
      </c>
      <c r="D27" s="402"/>
      <c r="E27" s="402" t="e">
        <v>#DIV/0!</v>
      </c>
      <c r="F27" s="402"/>
      <c r="G27" s="402" t="e">
        <v>#DIV/0!</v>
      </c>
      <c r="H27" s="402">
        <v>10.075805000000001</v>
      </c>
      <c r="I27" s="402">
        <v>0.11212178981244245</v>
      </c>
      <c r="J27" s="402"/>
      <c r="K27" s="402">
        <v>0</v>
      </c>
      <c r="L27" s="402"/>
      <c r="M27" s="402" t="e">
        <v>#DIV/0!</v>
      </c>
      <c r="N27" s="402"/>
      <c r="O27" s="402">
        <v>0</v>
      </c>
      <c r="P27" s="402"/>
      <c r="Q27" s="402" t="e">
        <v>#DIV/0!</v>
      </c>
      <c r="R27" s="402"/>
      <c r="S27" s="402">
        <v>0</v>
      </c>
      <c r="T27" s="402"/>
      <c r="U27" s="402">
        <v>0</v>
      </c>
      <c r="V27" s="402"/>
      <c r="W27" s="402" t="e">
        <v>#DIV/0!</v>
      </c>
      <c r="X27" s="402"/>
      <c r="Y27" s="402" t="e">
        <v>#DIV/0!</v>
      </c>
      <c r="Z27" s="402"/>
      <c r="AA27" s="402">
        <v>0</v>
      </c>
      <c r="AB27" s="402">
        <v>569.45817799999998</v>
      </c>
      <c r="AC27" s="402">
        <v>32.298106525364439</v>
      </c>
    </row>
    <row r="28" spans="1:29" s="172" customFormat="1">
      <c r="A28" s="278" t="s">
        <v>79</v>
      </c>
      <c r="B28" s="279" t="s">
        <v>641</v>
      </c>
      <c r="C28" s="280" t="s">
        <v>118</v>
      </c>
      <c r="D28" s="402">
        <v>0</v>
      </c>
      <c r="E28" s="402" t="e">
        <v>#DIV/0!</v>
      </c>
      <c r="F28" s="402">
        <v>0</v>
      </c>
      <c r="G28" s="402" t="e">
        <v>#DIV/0!</v>
      </c>
      <c r="H28" s="402">
        <v>1121.57542716999</v>
      </c>
      <c r="I28" s="402">
        <v>12.480694525544507</v>
      </c>
      <c r="J28" s="402">
        <v>0</v>
      </c>
      <c r="K28" s="402">
        <v>0</v>
      </c>
      <c r="L28" s="402">
        <v>0</v>
      </c>
      <c r="M28" s="402" t="e">
        <v>#DIV/0!</v>
      </c>
      <c r="N28" s="402">
        <v>0</v>
      </c>
      <c r="O28" s="402">
        <v>0</v>
      </c>
      <c r="P28" s="402">
        <v>0</v>
      </c>
      <c r="Q28" s="402" t="e">
        <v>#DIV/0!</v>
      </c>
      <c r="R28" s="402">
        <v>0</v>
      </c>
      <c r="S28" s="402">
        <v>0</v>
      </c>
      <c r="T28" s="402">
        <v>165.17000000000002</v>
      </c>
      <c r="U28" s="402">
        <v>43.278422037237299</v>
      </c>
      <c r="V28" s="402">
        <v>0</v>
      </c>
      <c r="W28" s="402" t="e">
        <v>#DIV/0!</v>
      </c>
      <c r="X28" s="402">
        <v>0</v>
      </c>
      <c r="Y28" s="402" t="e">
        <v>#DIV/0!</v>
      </c>
      <c r="Z28" s="402">
        <v>0</v>
      </c>
      <c r="AA28" s="402">
        <v>0</v>
      </c>
      <c r="AB28" s="402">
        <v>0</v>
      </c>
      <c r="AC28" s="402">
        <v>0</v>
      </c>
    </row>
    <row r="29" spans="1:29" s="172" customFormat="1">
      <c r="A29" s="281"/>
      <c r="B29" s="288" t="s">
        <v>187</v>
      </c>
      <c r="C29" s="283"/>
      <c r="D29" s="403"/>
      <c r="E29" s="403" t="e">
        <v>#DIV/0!</v>
      </c>
      <c r="F29" s="403"/>
      <c r="G29" s="403" t="e">
        <v>#DIV/0!</v>
      </c>
      <c r="H29" s="403"/>
      <c r="I29" s="403">
        <v>0</v>
      </c>
      <c r="J29" s="403"/>
      <c r="K29" s="403">
        <v>0</v>
      </c>
      <c r="L29" s="403"/>
      <c r="M29" s="403" t="e">
        <v>#DIV/0!</v>
      </c>
      <c r="N29" s="403"/>
      <c r="O29" s="403">
        <v>0</v>
      </c>
      <c r="P29" s="403"/>
      <c r="Q29" s="403" t="e">
        <v>#DIV/0!</v>
      </c>
      <c r="R29" s="403"/>
      <c r="S29" s="403">
        <v>0</v>
      </c>
      <c r="T29" s="403"/>
      <c r="U29" s="403">
        <v>0</v>
      </c>
      <c r="V29" s="403"/>
      <c r="W29" s="403" t="e">
        <v>#DIV/0!</v>
      </c>
      <c r="X29" s="403"/>
      <c r="Y29" s="403" t="e">
        <v>#DIV/0!</v>
      </c>
      <c r="Z29" s="403"/>
      <c r="AA29" s="403">
        <v>0</v>
      </c>
      <c r="AB29" s="403"/>
      <c r="AC29" s="403">
        <v>0</v>
      </c>
    </row>
    <row r="30" spans="1:29" s="172" customFormat="1">
      <c r="A30" s="281" t="s">
        <v>345</v>
      </c>
      <c r="B30" s="288" t="s">
        <v>294</v>
      </c>
      <c r="C30" s="283" t="s">
        <v>120</v>
      </c>
      <c r="D30" s="403"/>
      <c r="E30" s="403" t="e">
        <v>#DIV/0!</v>
      </c>
      <c r="F30" s="403"/>
      <c r="G30" s="403" t="e">
        <v>#DIV/0!</v>
      </c>
      <c r="H30" s="403">
        <v>769.70724499999994</v>
      </c>
      <c r="I30" s="403">
        <v>8.5651671445610678</v>
      </c>
      <c r="J30" s="403"/>
      <c r="K30" s="403">
        <v>0</v>
      </c>
      <c r="L30" s="403"/>
      <c r="M30" s="403" t="e">
        <v>#DIV/0!</v>
      </c>
      <c r="N30" s="403"/>
      <c r="O30" s="403">
        <v>0</v>
      </c>
      <c r="P30" s="403"/>
      <c r="Q30" s="403" t="e">
        <v>#DIV/0!</v>
      </c>
      <c r="R30" s="403"/>
      <c r="S30" s="403">
        <v>0</v>
      </c>
      <c r="T30" s="403">
        <v>133.26</v>
      </c>
      <c r="U30" s="403">
        <v>34.917252047479813</v>
      </c>
      <c r="V30" s="403"/>
      <c r="W30" s="403" t="e">
        <v>#DIV/0!</v>
      </c>
      <c r="X30" s="403"/>
      <c r="Y30" s="403" t="e">
        <v>#DIV/0!</v>
      </c>
      <c r="Z30" s="403"/>
      <c r="AA30" s="403">
        <v>0</v>
      </c>
      <c r="AB30" s="403"/>
      <c r="AC30" s="403">
        <v>0</v>
      </c>
    </row>
    <row r="31" spans="1:29" s="172" customFormat="1">
      <c r="A31" s="281" t="s">
        <v>345</v>
      </c>
      <c r="B31" s="288" t="s">
        <v>295</v>
      </c>
      <c r="C31" s="283" t="s">
        <v>122</v>
      </c>
      <c r="D31" s="403"/>
      <c r="E31" s="403" t="e">
        <v>#DIV/0!</v>
      </c>
      <c r="F31" s="403"/>
      <c r="G31" s="403" t="e">
        <v>#DIV/0!</v>
      </c>
      <c r="H31" s="403">
        <v>131.43225000000001</v>
      </c>
      <c r="I31" s="403">
        <v>1.462555012634364</v>
      </c>
      <c r="J31" s="403"/>
      <c r="K31" s="403">
        <v>0</v>
      </c>
      <c r="L31" s="403"/>
      <c r="M31" s="403" t="e">
        <v>#DIV/0!</v>
      </c>
      <c r="N31" s="403"/>
      <c r="O31" s="403">
        <v>0</v>
      </c>
      <c r="P31" s="403"/>
      <c r="Q31" s="403" t="e">
        <v>#DIV/0!</v>
      </c>
      <c r="R31" s="403"/>
      <c r="S31" s="403">
        <v>0</v>
      </c>
      <c r="T31" s="403"/>
      <c r="U31" s="403">
        <v>0</v>
      </c>
      <c r="V31" s="403"/>
      <c r="W31" s="403" t="e">
        <v>#DIV/0!</v>
      </c>
      <c r="X31" s="403"/>
      <c r="Y31" s="403" t="e">
        <v>#DIV/0!</v>
      </c>
      <c r="Z31" s="403"/>
      <c r="AA31" s="403">
        <v>0</v>
      </c>
      <c r="AB31" s="403"/>
      <c r="AC31" s="403">
        <v>0</v>
      </c>
    </row>
    <row r="32" spans="1:29" s="172" customFormat="1">
      <c r="A32" s="281" t="s">
        <v>345</v>
      </c>
      <c r="B32" s="288" t="s">
        <v>296</v>
      </c>
      <c r="C32" s="283" t="s">
        <v>128</v>
      </c>
      <c r="D32" s="403"/>
      <c r="E32" s="403" t="e">
        <v>#DIV/0!</v>
      </c>
      <c r="F32" s="403"/>
      <c r="G32" s="403" t="e">
        <v>#DIV/0!</v>
      </c>
      <c r="H32" s="403">
        <v>8.3082506199991091</v>
      </c>
      <c r="I32" s="403">
        <v>9.2452754864215281E-2</v>
      </c>
      <c r="J32" s="403"/>
      <c r="K32" s="403">
        <v>0</v>
      </c>
      <c r="L32" s="403"/>
      <c r="M32" s="403" t="e">
        <v>#DIV/0!</v>
      </c>
      <c r="N32" s="403"/>
      <c r="O32" s="403">
        <v>0</v>
      </c>
      <c r="P32" s="403"/>
      <c r="Q32" s="403" t="e">
        <v>#DIV/0!</v>
      </c>
      <c r="R32" s="403"/>
      <c r="S32" s="403">
        <v>0</v>
      </c>
      <c r="T32" s="403">
        <v>3.33</v>
      </c>
      <c r="U32" s="403">
        <v>0.87253826593207107</v>
      </c>
      <c r="V32" s="403"/>
      <c r="W32" s="403" t="e">
        <v>#DIV/0!</v>
      </c>
      <c r="X32" s="403"/>
      <c r="Y32" s="403" t="e">
        <v>#DIV/0!</v>
      </c>
      <c r="Z32" s="403"/>
      <c r="AA32" s="403">
        <v>0</v>
      </c>
      <c r="AB32" s="403"/>
      <c r="AC32" s="403">
        <v>0</v>
      </c>
    </row>
    <row r="33" spans="1:29" s="172" customFormat="1">
      <c r="A33" s="281" t="s">
        <v>345</v>
      </c>
      <c r="B33" s="288" t="s">
        <v>297</v>
      </c>
      <c r="C33" s="283" t="s">
        <v>130</v>
      </c>
      <c r="D33" s="403"/>
      <c r="E33" s="403" t="e">
        <v>#DIV/0!</v>
      </c>
      <c r="F33" s="403"/>
      <c r="G33" s="403" t="e">
        <v>#DIV/0!</v>
      </c>
      <c r="H33" s="403">
        <v>5.4380649999999999</v>
      </c>
      <c r="I33" s="403">
        <v>6.0513832980729557E-2</v>
      </c>
      <c r="J33" s="403"/>
      <c r="K33" s="403">
        <v>0</v>
      </c>
      <c r="L33" s="403"/>
      <c r="M33" s="403" t="e">
        <v>#DIV/0!</v>
      </c>
      <c r="N33" s="403"/>
      <c r="O33" s="403">
        <v>0</v>
      </c>
      <c r="P33" s="403"/>
      <c r="Q33" s="403" t="e">
        <v>#DIV/0!</v>
      </c>
      <c r="R33" s="403"/>
      <c r="S33" s="403">
        <v>0</v>
      </c>
      <c r="T33" s="403">
        <v>4.71</v>
      </c>
      <c r="U33" s="403">
        <v>1.2341307004624789</v>
      </c>
      <c r="V33" s="403"/>
      <c r="W33" s="403" t="e">
        <v>#DIV/0!</v>
      </c>
      <c r="X33" s="403"/>
      <c r="Y33" s="403" t="e">
        <v>#DIV/0!</v>
      </c>
      <c r="Z33" s="403"/>
      <c r="AA33" s="403">
        <v>0</v>
      </c>
      <c r="AB33" s="403"/>
      <c r="AC33" s="403">
        <v>0</v>
      </c>
    </row>
    <row r="34" spans="1:29" s="172" customFormat="1">
      <c r="A34" s="281" t="s">
        <v>345</v>
      </c>
      <c r="B34" s="288" t="s">
        <v>298</v>
      </c>
      <c r="C34" s="283" t="s">
        <v>132</v>
      </c>
      <c r="D34" s="403"/>
      <c r="E34" s="403" t="e">
        <v>#DIV/0!</v>
      </c>
      <c r="F34" s="403"/>
      <c r="G34" s="403" t="e">
        <v>#DIV/0!</v>
      </c>
      <c r="H34" s="403">
        <v>30.148571999994321</v>
      </c>
      <c r="I34" s="403">
        <v>0.33548801836961423</v>
      </c>
      <c r="J34" s="403"/>
      <c r="K34" s="403">
        <v>0</v>
      </c>
      <c r="L34" s="403"/>
      <c r="M34" s="403" t="e">
        <v>#DIV/0!</v>
      </c>
      <c r="N34" s="403"/>
      <c r="O34" s="403">
        <v>0</v>
      </c>
      <c r="P34" s="403"/>
      <c r="Q34" s="403" t="e">
        <v>#DIV/0!</v>
      </c>
      <c r="R34" s="403"/>
      <c r="S34" s="403">
        <v>0</v>
      </c>
      <c r="T34" s="403">
        <v>12.12</v>
      </c>
      <c r="U34" s="403">
        <v>3.175724859788799</v>
      </c>
      <c r="V34" s="403"/>
      <c r="W34" s="403" t="e">
        <v>#DIV/0!</v>
      </c>
      <c r="X34" s="403"/>
      <c r="Y34" s="403" t="e">
        <v>#DIV/0!</v>
      </c>
      <c r="Z34" s="403"/>
      <c r="AA34" s="403">
        <v>0</v>
      </c>
      <c r="AB34" s="403"/>
      <c r="AC34" s="403">
        <v>0</v>
      </c>
    </row>
    <row r="35" spans="1:29" s="172" customFormat="1">
      <c r="A35" s="281" t="s">
        <v>345</v>
      </c>
      <c r="B35" s="288" t="s">
        <v>299</v>
      </c>
      <c r="C35" s="283" t="s">
        <v>134</v>
      </c>
      <c r="D35" s="403"/>
      <c r="E35" s="403" t="e">
        <v>#DIV/0!</v>
      </c>
      <c r="F35" s="403"/>
      <c r="G35" s="403" t="e">
        <v>#DIV/0!</v>
      </c>
      <c r="H35" s="403">
        <v>15.364182</v>
      </c>
      <c r="I35" s="403">
        <v>0.17096992099828365</v>
      </c>
      <c r="J35" s="403"/>
      <c r="K35" s="403">
        <v>0</v>
      </c>
      <c r="L35" s="403"/>
      <c r="M35" s="403" t="e">
        <v>#DIV/0!</v>
      </c>
      <c r="N35" s="403"/>
      <c r="O35" s="403">
        <v>0</v>
      </c>
      <c r="P35" s="403"/>
      <c r="Q35" s="403" t="e">
        <v>#DIV/0!</v>
      </c>
      <c r="R35" s="403"/>
      <c r="S35" s="403">
        <v>0</v>
      </c>
      <c r="T35" s="403">
        <v>7.48</v>
      </c>
      <c r="U35" s="403">
        <v>1.9599358045561237</v>
      </c>
      <c r="V35" s="403"/>
      <c r="W35" s="403" t="e">
        <v>#DIV/0!</v>
      </c>
      <c r="X35" s="403"/>
      <c r="Y35" s="403" t="e">
        <v>#DIV/0!</v>
      </c>
      <c r="Z35" s="403"/>
      <c r="AA35" s="403">
        <v>0</v>
      </c>
      <c r="AB35" s="403"/>
      <c r="AC35" s="403">
        <v>0</v>
      </c>
    </row>
    <row r="36" spans="1:29" s="172" customFormat="1">
      <c r="A36" s="281" t="s">
        <v>345</v>
      </c>
      <c r="B36" s="288" t="s">
        <v>300</v>
      </c>
      <c r="C36" s="283" t="s">
        <v>124</v>
      </c>
      <c r="D36" s="403"/>
      <c r="E36" s="403" t="e">
        <v>#DIV/0!</v>
      </c>
      <c r="F36" s="403"/>
      <c r="G36" s="403" t="e">
        <v>#DIV/0!</v>
      </c>
      <c r="H36" s="403">
        <v>124.83774499999998</v>
      </c>
      <c r="I36" s="403">
        <v>1.3891725182801062</v>
      </c>
      <c r="J36" s="403"/>
      <c r="K36" s="403">
        <v>0</v>
      </c>
      <c r="L36" s="403"/>
      <c r="M36" s="403" t="e">
        <v>#DIV/0!</v>
      </c>
      <c r="N36" s="403"/>
      <c r="O36" s="403">
        <v>0</v>
      </c>
      <c r="P36" s="403"/>
      <c r="Q36" s="403" t="e">
        <v>#DIV/0!</v>
      </c>
      <c r="R36" s="403"/>
      <c r="S36" s="403">
        <v>0</v>
      </c>
      <c r="T36" s="403"/>
      <c r="U36" s="403">
        <v>0</v>
      </c>
      <c r="V36" s="403"/>
      <c r="W36" s="403" t="e">
        <v>#DIV/0!</v>
      </c>
      <c r="X36" s="403"/>
      <c r="Y36" s="403" t="e">
        <v>#DIV/0!</v>
      </c>
      <c r="Z36" s="403"/>
      <c r="AA36" s="403">
        <v>0</v>
      </c>
      <c r="AB36" s="403"/>
      <c r="AC36" s="403">
        <v>0</v>
      </c>
    </row>
    <row r="37" spans="1:29" s="172" customFormat="1">
      <c r="A37" s="281" t="s">
        <v>345</v>
      </c>
      <c r="B37" s="288" t="s">
        <v>301</v>
      </c>
      <c r="C37" s="283" t="s">
        <v>126</v>
      </c>
      <c r="D37" s="403"/>
      <c r="E37" s="403" t="e">
        <v>#DIV/0!</v>
      </c>
      <c r="F37" s="403"/>
      <c r="G37" s="403" t="e">
        <v>#DIV/0!</v>
      </c>
      <c r="H37" s="403">
        <v>0.86327799999999999</v>
      </c>
      <c r="I37" s="403">
        <v>9.6064060852413969E-3</v>
      </c>
      <c r="J37" s="403"/>
      <c r="K37" s="403">
        <v>0</v>
      </c>
      <c r="L37" s="403"/>
      <c r="M37" s="403" t="e">
        <v>#DIV/0!</v>
      </c>
      <c r="N37" s="403"/>
      <c r="O37" s="403">
        <v>0</v>
      </c>
      <c r="P37" s="403"/>
      <c r="Q37" s="403" t="e">
        <v>#DIV/0!</v>
      </c>
      <c r="R37" s="403"/>
      <c r="S37" s="403">
        <v>0</v>
      </c>
      <c r="T37" s="403"/>
      <c r="U37" s="403">
        <v>0</v>
      </c>
      <c r="V37" s="403"/>
      <c r="W37" s="403" t="e">
        <v>#DIV/0!</v>
      </c>
      <c r="X37" s="403"/>
      <c r="Y37" s="403" t="e">
        <v>#DIV/0!</v>
      </c>
      <c r="Z37" s="403"/>
      <c r="AA37" s="403">
        <v>0</v>
      </c>
      <c r="AB37" s="403"/>
      <c r="AC37" s="403">
        <v>0</v>
      </c>
    </row>
    <row r="38" spans="1:29" s="172" customFormat="1">
      <c r="A38" s="281" t="s">
        <v>345</v>
      </c>
      <c r="B38" s="288" t="s">
        <v>302</v>
      </c>
      <c r="C38" s="283" t="s">
        <v>305</v>
      </c>
      <c r="D38" s="403"/>
      <c r="E38" s="403" t="e">
        <v>#DIV/0!</v>
      </c>
      <c r="F38" s="403"/>
      <c r="G38" s="403" t="e">
        <v>#DIV/0!</v>
      </c>
      <c r="H38" s="403">
        <v>0</v>
      </c>
      <c r="I38" s="403">
        <v>0</v>
      </c>
      <c r="J38" s="403"/>
      <c r="K38" s="403">
        <v>0</v>
      </c>
      <c r="L38" s="403"/>
      <c r="M38" s="403" t="e">
        <v>#DIV/0!</v>
      </c>
      <c r="N38" s="403"/>
      <c r="O38" s="403">
        <v>0</v>
      </c>
      <c r="P38" s="403"/>
      <c r="Q38" s="403" t="e">
        <v>#DIV/0!</v>
      </c>
      <c r="R38" s="403"/>
      <c r="S38" s="403">
        <v>0</v>
      </c>
      <c r="T38" s="403"/>
      <c r="U38" s="403">
        <v>0</v>
      </c>
      <c r="V38" s="403"/>
      <c r="W38" s="403" t="e">
        <v>#DIV/0!</v>
      </c>
      <c r="X38" s="403"/>
      <c r="Y38" s="403" t="e">
        <v>#DIV/0!</v>
      </c>
      <c r="Z38" s="403"/>
      <c r="AA38" s="403">
        <v>0</v>
      </c>
      <c r="AB38" s="403"/>
      <c r="AC38" s="403">
        <v>0</v>
      </c>
    </row>
    <row r="39" spans="1:29" s="172" customFormat="1">
      <c r="A39" s="281" t="s">
        <v>345</v>
      </c>
      <c r="B39" s="288" t="s">
        <v>270</v>
      </c>
      <c r="C39" s="283" t="s">
        <v>97</v>
      </c>
      <c r="D39" s="403"/>
      <c r="E39" s="403" t="e">
        <v>#DIV/0!</v>
      </c>
      <c r="F39" s="403"/>
      <c r="G39" s="403" t="e">
        <v>#DIV/0!</v>
      </c>
      <c r="H39" s="403">
        <v>1.2836419999999999</v>
      </c>
      <c r="I39" s="403">
        <v>1.4284142906539302E-2</v>
      </c>
      <c r="J39" s="403"/>
      <c r="K39" s="403">
        <v>0</v>
      </c>
      <c r="L39" s="403"/>
      <c r="M39" s="403" t="e">
        <v>#DIV/0!</v>
      </c>
      <c r="N39" s="403"/>
      <c r="O39" s="403">
        <v>0</v>
      </c>
      <c r="P39" s="403"/>
      <c r="Q39" s="403" t="e">
        <v>#DIV/0!</v>
      </c>
      <c r="R39" s="403"/>
      <c r="S39" s="403">
        <v>0</v>
      </c>
      <c r="T39" s="403"/>
      <c r="U39" s="403">
        <v>0</v>
      </c>
      <c r="V39" s="403"/>
      <c r="W39" s="403" t="e">
        <v>#DIV/0!</v>
      </c>
      <c r="X39" s="403"/>
      <c r="Y39" s="403" t="e">
        <v>#DIV/0!</v>
      </c>
      <c r="Z39" s="403"/>
      <c r="AA39" s="403">
        <v>0</v>
      </c>
      <c r="AB39" s="403"/>
      <c r="AC39" s="403">
        <v>0</v>
      </c>
    </row>
    <row r="40" spans="1:29" s="172" customFormat="1">
      <c r="A40" s="281" t="s">
        <v>345</v>
      </c>
      <c r="B40" s="288" t="s">
        <v>271</v>
      </c>
      <c r="C40" s="283" t="s">
        <v>103</v>
      </c>
      <c r="D40" s="403"/>
      <c r="E40" s="403" t="e">
        <v>#DIV/0!</v>
      </c>
      <c r="F40" s="403"/>
      <c r="G40" s="403" t="e">
        <v>#DIV/0!</v>
      </c>
      <c r="H40" s="403">
        <v>2.5</v>
      </c>
      <c r="I40" s="403">
        <v>2.7819561268911625E-2</v>
      </c>
      <c r="J40" s="403"/>
      <c r="K40" s="403">
        <v>0</v>
      </c>
      <c r="L40" s="403"/>
      <c r="M40" s="403" t="e">
        <v>#DIV/0!</v>
      </c>
      <c r="N40" s="403"/>
      <c r="O40" s="403">
        <v>0</v>
      </c>
      <c r="P40" s="403"/>
      <c r="Q40" s="403" t="e">
        <v>#DIV/0!</v>
      </c>
      <c r="R40" s="403"/>
      <c r="S40" s="403">
        <v>0</v>
      </c>
      <c r="T40" s="403"/>
      <c r="U40" s="403">
        <v>0</v>
      </c>
      <c r="V40" s="403"/>
      <c r="W40" s="403" t="e">
        <v>#DIV/0!</v>
      </c>
      <c r="X40" s="403"/>
      <c r="Y40" s="403" t="e">
        <v>#DIV/0!</v>
      </c>
      <c r="Z40" s="403"/>
      <c r="AA40" s="403">
        <v>0</v>
      </c>
      <c r="AB40" s="403"/>
      <c r="AC40" s="403">
        <v>0</v>
      </c>
    </row>
    <row r="41" spans="1:29" s="172" customFormat="1">
      <c r="A41" s="281" t="s">
        <v>345</v>
      </c>
      <c r="B41" s="288" t="s">
        <v>105</v>
      </c>
      <c r="C41" s="283" t="s">
        <v>106</v>
      </c>
      <c r="D41" s="403"/>
      <c r="E41" s="403" t="e">
        <v>#DIV/0!</v>
      </c>
      <c r="F41" s="403"/>
      <c r="G41" s="403" t="e">
        <v>#DIV/0!</v>
      </c>
      <c r="H41" s="403">
        <v>8.2221039999999999</v>
      </c>
      <c r="I41" s="403">
        <v>9.1494130394945347E-2</v>
      </c>
      <c r="J41" s="403"/>
      <c r="K41" s="403">
        <v>0</v>
      </c>
      <c r="L41" s="403"/>
      <c r="M41" s="403" t="e">
        <v>#DIV/0!</v>
      </c>
      <c r="N41" s="403"/>
      <c r="O41" s="403">
        <v>0</v>
      </c>
      <c r="P41" s="403"/>
      <c r="Q41" s="403" t="e">
        <v>#DIV/0!</v>
      </c>
      <c r="R41" s="403"/>
      <c r="S41" s="403">
        <v>0</v>
      </c>
      <c r="T41" s="403">
        <v>0.28000000000000003</v>
      </c>
      <c r="U41" s="403">
        <v>7.3366580919213192E-2</v>
      </c>
      <c r="V41" s="403"/>
      <c r="W41" s="403" t="e">
        <v>#DIV/0!</v>
      </c>
      <c r="X41" s="403"/>
      <c r="Y41" s="403" t="e">
        <v>#DIV/0!</v>
      </c>
      <c r="Z41" s="403"/>
      <c r="AA41" s="403">
        <v>0</v>
      </c>
      <c r="AB41" s="403"/>
      <c r="AC41" s="403">
        <v>0</v>
      </c>
    </row>
    <row r="42" spans="1:29" s="172" customFormat="1">
      <c r="A42" s="281" t="s">
        <v>345</v>
      </c>
      <c r="B42" s="289" t="s">
        <v>518</v>
      </c>
      <c r="C42" s="283" t="s">
        <v>111</v>
      </c>
      <c r="D42" s="403"/>
      <c r="E42" s="403" t="e">
        <v>#DIV/0!</v>
      </c>
      <c r="F42" s="403"/>
      <c r="G42" s="403" t="e">
        <v>#DIV/0!</v>
      </c>
      <c r="H42" s="403">
        <v>17.940218999999999</v>
      </c>
      <c r="I42" s="403">
        <v>0.19963560865927699</v>
      </c>
      <c r="J42" s="403"/>
      <c r="K42" s="403">
        <v>0</v>
      </c>
      <c r="L42" s="403"/>
      <c r="M42" s="403" t="e">
        <v>#DIV/0!</v>
      </c>
      <c r="N42" s="403"/>
      <c r="O42" s="403">
        <v>0</v>
      </c>
      <c r="P42" s="403"/>
      <c r="Q42" s="403" t="e">
        <v>#DIV/0!</v>
      </c>
      <c r="R42" s="403"/>
      <c r="S42" s="403">
        <v>0</v>
      </c>
      <c r="T42" s="403">
        <v>3.99</v>
      </c>
      <c r="U42" s="403">
        <v>1.0454737780987879</v>
      </c>
      <c r="V42" s="403"/>
      <c r="W42" s="403" t="e">
        <v>#DIV/0!</v>
      </c>
      <c r="X42" s="403"/>
      <c r="Y42" s="403" t="e">
        <v>#DIV/0!</v>
      </c>
      <c r="Z42" s="403"/>
      <c r="AA42" s="403">
        <v>0</v>
      </c>
      <c r="AB42" s="403"/>
      <c r="AC42" s="403">
        <v>0</v>
      </c>
    </row>
    <row r="43" spans="1:29" s="172" customFormat="1">
      <c r="A43" s="281" t="s">
        <v>345</v>
      </c>
      <c r="B43" s="289" t="s">
        <v>303</v>
      </c>
      <c r="C43" s="283" t="s">
        <v>136</v>
      </c>
      <c r="D43" s="403"/>
      <c r="E43" s="403" t="e">
        <v>#DIV/0!</v>
      </c>
      <c r="F43" s="403"/>
      <c r="G43" s="403" t="e">
        <v>#DIV/0!</v>
      </c>
      <c r="H43" s="403">
        <v>0</v>
      </c>
      <c r="I43" s="403">
        <v>0</v>
      </c>
      <c r="J43" s="403"/>
      <c r="K43" s="403">
        <v>0</v>
      </c>
      <c r="L43" s="403"/>
      <c r="M43" s="403" t="e">
        <v>#DIV/0!</v>
      </c>
      <c r="N43" s="403"/>
      <c r="O43" s="403">
        <v>0</v>
      </c>
      <c r="P43" s="403"/>
      <c r="Q43" s="403" t="e">
        <v>#DIV/0!</v>
      </c>
      <c r="R43" s="403"/>
      <c r="S43" s="403">
        <v>0</v>
      </c>
      <c r="T43" s="403"/>
      <c r="U43" s="403">
        <v>0</v>
      </c>
      <c r="V43" s="403"/>
      <c r="W43" s="403" t="e">
        <v>#DIV/0!</v>
      </c>
      <c r="X43" s="403"/>
      <c r="Y43" s="403" t="e">
        <v>#DIV/0!</v>
      </c>
      <c r="Z43" s="403"/>
      <c r="AA43" s="403">
        <v>0</v>
      </c>
      <c r="AB43" s="403"/>
      <c r="AC43" s="403">
        <v>0</v>
      </c>
    </row>
    <row r="44" spans="1:29" s="172" customFormat="1">
      <c r="A44" s="281" t="s">
        <v>345</v>
      </c>
      <c r="B44" s="289" t="s">
        <v>304</v>
      </c>
      <c r="C44" s="283" t="s">
        <v>138</v>
      </c>
      <c r="D44" s="403"/>
      <c r="E44" s="403" t="e">
        <v>#DIV/0!</v>
      </c>
      <c r="F44" s="403"/>
      <c r="G44" s="403" t="e">
        <v>#DIV/0!</v>
      </c>
      <c r="H44" s="403">
        <v>0</v>
      </c>
      <c r="I44" s="403">
        <v>0</v>
      </c>
      <c r="J44" s="403"/>
      <c r="K44" s="403">
        <v>0</v>
      </c>
      <c r="L44" s="403"/>
      <c r="M44" s="403" t="e">
        <v>#DIV/0!</v>
      </c>
      <c r="N44" s="403"/>
      <c r="O44" s="403">
        <v>0</v>
      </c>
      <c r="P44" s="403"/>
      <c r="Q44" s="403" t="e">
        <v>#DIV/0!</v>
      </c>
      <c r="R44" s="403"/>
      <c r="S44" s="403">
        <v>0</v>
      </c>
      <c r="T44" s="403"/>
      <c r="U44" s="403">
        <v>0</v>
      </c>
      <c r="V44" s="403"/>
      <c r="W44" s="403" t="e">
        <v>#DIV/0!</v>
      </c>
      <c r="X44" s="403"/>
      <c r="Y44" s="403" t="e">
        <v>#DIV/0!</v>
      </c>
      <c r="Z44" s="403"/>
      <c r="AA44" s="403">
        <v>0</v>
      </c>
      <c r="AB44" s="403"/>
      <c r="AC44" s="403">
        <v>0</v>
      </c>
    </row>
    <row r="45" spans="1:29" s="172" customFormat="1">
      <c r="A45" s="281" t="s">
        <v>345</v>
      </c>
      <c r="B45" s="289" t="s">
        <v>263</v>
      </c>
      <c r="C45" s="283" t="s">
        <v>140</v>
      </c>
      <c r="D45" s="403"/>
      <c r="E45" s="403" t="e">
        <v>#DIV/0!</v>
      </c>
      <c r="F45" s="403"/>
      <c r="G45" s="403" t="e">
        <v>#DIV/0!</v>
      </c>
      <c r="H45" s="403">
        <v>5.5298745499964372</v>
      </c>
      <c r="I45" s="403">
        <v>6.1535473541208405E-2</v>
      </c>
      <c r="J45" s="403"/>
      <c r="K45" s="403">
        <v>0</v>
      </c>
      <c r="L45" s="403"/>
      <c r="M45" s="403" t="e">
        <v>#DIV/0!</v>
      </c>
      <c r="N45" s="403"/>
      <c r="O45" s="403">
        <v>0</v>
      </c>
      <c r="P45" s="403"/>
      <c r="Q45" s="403" t="e">
        <v>#DIV/0!</v>
      </c>
      <c r="R45" s="403"/>
      <c r="S45" s="403">
        <v>0</v>
      </c>
      <c r="T45" s="403"/>
      <c r="U45" s="403">
        <v>0</v>
      </c>
      <c r="V45" s="403"/>
      <c r="W45" s="403" t="e">
        <v>#DIV/0!</v>
      </c>
      <c r="X45" s="403"/>
      <c r="Y45" s="403" t="e">
        <v>#DIV/0!</v>
      </c>
      <c r="Z45" s="403"/>
      <c r="AA45" s="403">
        <v>0</v>
      </c>
      <c r="AB45" s="403"/>
      <c r="AC45" s="403">
        <v>0</v>
      </c>
    </row>
    <row r="46" spans="1:29">
      <c r="A46" s="278" t="s">
        <v>82</v>
      </c>
      <c r="B46" s="284" t="s">
        <v>99</v>
      </c>
      <c r="C46" s="280" t="s">
        <v>100</v>
      </c>
      <c r="D46" s="402"/>
      <c r="E46" s="402" t="e">
        <v>#DIV/0!</v>
      </c>
      <c r="F46" s="402"/>
      <c r="G46" s="402" t="e">
        <v>#DIV/0!</v>
      </c>
      <c r="H46" s="402">
        <v>0</v>
      </c>
      <c r="I46" s="402">
        <v>0</v>
      </c>
      <c r="J46" s="402"/>
      <c r="K46" s="402">
        <v>0</v>
      </c>
      <c r="L46" s="402"/>
      <c r="M46" s="402" t="e">
        <v>#DIV/0!</v>
      </c>
      <c r="N46" s="402"/>
      <c r="O46" s="402">
        <v>0</v>
      </c>
      <c r="P46" s="402"/>
      <c r="Q46" s="402" t="e">
        <v>#DIV/0!</v>
      </c>
      <c r="R46" s="402"/>
      <c r="S46" s="402">
        <v>0</v>
      </c>
      <c r="T46" s="402"/>
      <c r="U46" s="402">
        <v>0</v>
      </c>
      <c r="V46" s="402"/>
      <c r="W46" s="402" t="e">
        <v>#DIV/0!</v>
      </c>
      <c r="X46" s="402"/>
      <c r="Y46" s="402" t="e">
        <v>#DIV/0!</v>
      </c>
      <c r="Z46" s="402"/>
      <c r="AA46" s="402">
        <v>0</v>
      </c>
      <c r="AB46" s="402"/>
      <c r="AC46" s="402">
        <v>0</v>
      </c>
    </row>
    <row r="47" spans="1:29">
      <c r="A47" s="278" t="s">
        <v>85</v>
      </c>
      <c r="B47" s="284" t="s">
        <v>142</v>
      </c>
      <c r="C47" s="280" t="s">
        <v>143</v>
      </c>
      <c r="D47" s="402"/>
      <c r="E47" s="402" t="e">
        <v>#DIV/0!</v>
      </c>
      <c r="F47" s="402"/>
      <c r="G47" s="402" t="e">
        <v>#DIV/0!</v>
      </c>
      <c r="H47" s="402">
        <v>2.9283623050001135</v>
      </c>
      <c r="I47" s="402">
        <v>3.2586301824608768E-2</v>
      </c>
      <c r="J47" s="402"/>
      <c r="K47" s="402">
        <v>0</v>
      </c>
      <c r="L47" s="402"/>
      <c r="M47" s="402" t="e">
        <v>#DIV/0!</v>
      </c>
      <c r="N47" s="402"/>
      <c r="O47" s="402">
        <v>0</v>
      </c>
      <c r="P47" s="402"/>
      <c r="Q47" s="402" t="e">
        <v>#DIV/0!</v>
      </c>
      <c r="R47" s="402"/>
      <c r="S47" s="402">
        <v>0</v>
      </c>
      <c r="T47" s="402"/>
      <c r="U47" s="402">
        <v>0</v>
      </c>
      <c r="V47" s="402"/>
      <c r="W47" s="402" t="e">
        <v>#DIV/0!</v>
      </c>
      <c r="X47" s="402"/>
      <c r="Y47" s="402" t="e">
        <v>#DIV/0!</v>
      </c>
      <c r="Z47" s="402"/>
      <c r="AA47" s="402">
        <v>0</v>
      </c>
      <c r="AB47" s="402"/>
      <c r="AC47" s="402">
        <v>0</v>
      </c>
    </row>
    <row r="48" spans="1:29">
      <c r="A48" s="278" t="s">
        <v>88</v>
      </c>
      <c r="B48" s="284" t="s">
        <v>145</v>
      </c>
      <c r="C48" s="280" t="s">
        <v>146</v>
      </c>
      <c r="D48" s="402"/>
      <c r="E48" s="402" t="e">
        <v>#DIV/0!</v>
      </c>
      <c r="F48" s="402"/>
      <c r="G48" s="402" t="e">
        <v>#DIV/0!</v>
      </c>
      <c r="H48" s="402">
        <v>14.636692999999999</v>
      </c>
      <c r="I48" s="402">
        <v>0.16287455107509993</v>
      </c>
      <c r="J48" s="402"/>
      <c r="K48" s="402">
        <v>0</v>
      </c>
      <c r="L48" s="402"/>
      <c r="M48" s="402" t="e">
        <v>#DIV/0!</v>
      </c>
      <c r="N48" s="402"/>
      <c r="O48" s="402">
        <v>0</v>
      </c>
      <c r="P48" s="402"/>
      <c r="Q48" s="402" t="e">
        <v>#DIV/0!</v>
      </c>
      <c r="R48" s="402"/>
      <c r="S48" s="402">
        <v>0</v>
      </c>
      <c r="T48" s="402">
        <v>9.6366929999999993</v>
      </c>
      <c r="U48" s="402">
        <v>2.5250400599218401</v>
      </c>
      <c r="V48" s="402"/>
      <c r="W48" s="402" t="e">
        <v>#DIV/0!</v>
      </c>
      <c r="X48" s="402"/>
      <c r="Y48" s="402" t="e">
        <v>#DIV/0!</v>
      </c>
      <c r="Z48" s="402"/>
      <c r="AA48" s="402">
        <v>0</v>
      </c>
      <c r="AB48" s="402"/>
      <c r="AC48" s="402">
        <v>0</v>
      </c>
    </row>
    <row r="49" spans="1:29">
      <c r="A49" s="278" t="s">
        <v>91</v>
      </c>
      <c r="B49" s="284" t="s">
        <v>238</v>
      </c>
      <c r="C49" s="280" t="s">
        <v>58</v>
      </c>
      <c r="D49" s="402"/>
      <c r="E49" s="402" t="e">
        <v>#DIV/0!</v>
      </c>
      <c r="F49" s="402"/>
      <c r="G49" s="402" t="e">
        <v>#DIV/0!</v>
      </c>
      <c r="H49" s="402">
        <v>0</v>
      </c>
      <c r="I49" s="402">
        <v>0</v>
      </c>
      <c r="J49" s="402"/>
      <c r="K49" s="402">
        <v>0</v>
      </c>
      <c r="L49" s="402"/>
      <c r="M49" s="402" t="e">
        <v>#DIV/0!</v>
      </c>
      <c r="N49" s="402"/>
      <c r="O49" s="402">
        <v>0</v>
      </c>
      <c r="P49" s="402"/>
      <c r="Q49" s="402" t="e">
        <v>#DIV/0!</v>
      </c>
      <c r="R49" s="402"/>
      <c r="S49" s="402">
        <v>0</v>
      </c>
      <c r="T49" s="402">
        <v>49.7</v>
      </c>
      <c r="U49" s="402">
        <v>13.022568113160341</v>
      </c>
      <c r="V49" s="402"/>
      <c r="W49" s="402" t="e">
        <v>#DIV/0!</v>
      </c>
      <c r="X49" s="402"/>
      <c r="Y49" s="402" t="e">
        <v>#DIV/0!</v>
      </c>
      <c r="Z49" s="402">
        <v>1557.0568731999999</v>
      </c>
      <c r="AA49" s="402">
        <v>16.585092170204405</v>
      </c>
      <c r="AB49" s="402">
        <v>351.9892183</v>
      </c>
      <c r="AC49" s="402">
        <v>19.963863383893944</v>
      </c>
    </row>
    <row r="50" spans="1:29">
      <c r="A50" s="278" t="s">
        <v>93</v>
      </c>
      <c r="B50" s="284" t="s">
        <v>239</v>
      </c>
      <c r="C50" s="280" t="s">
        <v>60</v>
      </c>
      <c r="D50" s="402"/>
      <c r="E50" s="402" t="e">
        <v>#DIV/0!</v>
      </c>
      <c r="F50" s="402"/>
      <c r="G50" s="402" t="e">
        <v>#DIV/0!</v>
      </c>
      <c r="H50" s="402">
        <v>611.84295525000016</v>
      </c>
      <c r="I50" s="402">
        <v>6.8084810322117324</v>
      </c>
      <c r="J50" s="402"/>
      <c r="K50" s="402">
        <v>0</v>
      </c>
      <c r="L50" s="402"/>
      <c r="M50" s="402" t="e">
        <v>#DIV/0!</v>
      </c>
      <c r="N50" s="402"/>
      <c r="O50" s="402">
        <v>0</v>
      </c>
      <c r="P50" s="402"/>
      <c r="Q50" s="402" t="e">
        <v>#DIV/0!</v>
      </c>
      <c r="R50" s="402"/>
      <c r="S50" s="402">
        <v>0</v>
      </c>
      <c r="T50" s="402">
        <v>104.04</v>
      </c>
      <c r="U50" s="402">
        <v>27.260925281553355</v>
      </c>
      <c r="V50" s="402"/>
      <c r="W50" s="402" t="e">
        <v>#DIV/0!</v>
      </c>
      <c r="X50" s="402"/>
      <c r="Y50" s="402" t="e">
        <v>#DIV/0!</v>
      </c>
      <c r="Z50" s="402"/>
      <c r="AA50" s="402">
        <v>0</v>
      </c>
      <c r="AB50" s="402"/>
      <c r="AC50" s="402">
        <v>0</v>
      </c>
    </row>
    <row r="51" spans="1:29">
      <c r="A51" s="278" t="s">
        <v>96</v>
      </c>
      <c r="B51" s="284" t="s">
        <v>62</v>
      </c>
      <c r="C51" s="280" t="s">
        <v>63</v>
      </c>
      <c r="D51" s="402"/>
      <c r="E51" s="402" t="e">
        <v>#DIV/0!</v>
      </c>
      <c r="F51" s="402"/>
      <c r="G51" s="402" t="e">
        <v>#DIV/0!</v>
      </c>
      <c r="H51" s="402">
        <v>28.154360000000008</v>
      </c>
      <c r="I51" s="402">
        <v>0.31329677720279797</v>
      </c>
      <c r="J51" s="402"/>
      <c r="K51" s="402">
        <v>0</v>
      </c>
      <c r="L51" s="402"/>
      <c r="M51" s="402" t="e">
        <v>#DIV/0!</v>
      </c>
      <c r="N51" s="402"/>
      <c r="O51" s="402">
        <v>0</v>
      </c>
      <c r="P51" s="402"/>
      <c r="Q51" s="402" t="e">
        <v>#DIV/0!</v>
      </c>
      <c r="R51" s="402"/>
      <c r="S51" s="402">
        <v>0</v>
      </c>
      <c r="T51" s="402">
        <v>25.52</v>
      </c>
      <c r="U51" s="402">
        <v>6.6868398037797165</v>
      </c>
      <c r="V51" s="402"/>
      <c r="W51" s="402" t="e">
        <v>#DIV/0!</v>
      </c>
      <c r="X51" s="402"/>
      <c r="Y51" s="402" t="e">
        <v>#DIV/0!</v>
      </c>
      <c r="Z51" s="402"/>
      <c r="AA51" s="402">
        <v>0</v>
      </c>
      <c r="AB51" s="402"/>
      <c r="AC51" s="402">
        <v>0</v>
      </c>
    </row>
    <row r="52" spans="1:29">
      <c r="A52" s="278" t="s">
        <v>98</v>
      </c>
      <c r="B52" s="284" t="s">
        <v>632</v>
      </c>
      <c r="C52" s="280" t="s">
        <v>66</v>
      </c>
      <c r="D52" s="402"/>
      <c r="E52" s="402" t="e">
        <v>#DIV/0!</v>
      </c>
      <c r="F52" s="402"/>
      <c r="G52" s="402" t="e">
        <v>#DIV/0!</v>
      </c>
      <c r="H52" s="402">
        <v>0.48929600000000001</v>
      </c>
      <c r="I52" s="402">
        <v>5.4448000202533533E-3</v>
      </c>
      <c r="J52" s="402"/>
      <c r="K52" s="402">
        <v>0</v>
      </c>
      <c r="L52" s="402"/>
      <c r="M52" s="402" t="e">
        <v>#DIV/0!</v>
      </c>
      <c r="N52" s="402"/>
      <c r="O52" s="402">
        <v>0</v>
      </c>
      <c r="P52" s="402"/>
      <c r="Q52" s="402" t="e">
        <v>#DIV/0!</v>
      </c>
      <c r="R52" s="402"/>
      <c r="S52" s="402">
        <v>0</v>
      </c>
      <c r="T52" s="402"/>
      <c r="U52" s="402">
        <v>0</v>
      </c>
      <c r="V52" s="402"/>
      <c r="W52" s="402" t="e">
        <v>#DIV/0!</v>
      </c>
      <c r="X52" s="402"/>
      <c r="Y52" s="402" t="e">
        <v>#DIV/0!</v>
      </c>
      <c r="Z52" s="402"/>
      <c r="AA52" s="402">
        <v>0</v>
      </c>
      <c r="AB52" s="402"/>
      <c r="AC52" s="402">
        <v>0</v>
      </c>
    </row>
    <row r="53" spans="1:29">
      <c r="A53" s="278" t="s">
        <v>101</v>
      </c>
      <c r="B53" s="284" t="s">
        <v>68</v>
      </c>
      <c r="C53" s="280" t="s">
        <v>69</v>
      </c>
      <c r="D53" s="402"/>
      <c r="E53" s="402" t="e">
        <v>#DIV/0!</v>
      </c>
      <c r="F53" s="402"/>
      <c r="G53" s="402" t="e">
        <v>#DIV/0!</v>
      </c>
      <c r="H53" s="402">
        <v>0</v>
      </c>
      <c r="I53" s="402">
        <v>0</v>
      </c>
      <c r="J53" s="402"/>
      <c r="K53" s="402">
        <v>0</v>
      </c>
      <c r="L53" s="402"/>
      <c r="M53" s="402" t="e">
        <v>#DIV/0!</v>
      </c>
      <c r="N53" s="402"/>
      <c r="O53" s="402">
        <v>0</v>
      </c>
      <c r="P53" s="402"/>
      <c r="Q53" s="402" t="e">
        <v>#DIV/0!</v>
      </c>
      <c r="R53" s="402"/>
      <c r="S53" s="402">
        <v>0</v>
      </c>
      <c r="T53" s="402"/>
      <c r="U53" s="402">
        <v>0</v>
      </c>
      <c r="V53" s="402"/>
      <c r="W53" s="402" t="e">
        <v>#DIV/0!</v>
      </c>
      <c r="X53" s="402"/>
      <c r="Y53" s="402" t="e">
        <v>#DIV/0!</v>
      </c>
      <c r="Z53" s="402"/>
      <c r="AA53" s="402">
        <v>0</v>
      </c>
      <c r="AB53" s="402"/>
      <c r="AC53" s="402">
        <v>0</v>
      </c>
    </row>
    <row r="54" spans="1:29">
      <c r="A54" s="278" t="s">
        <v>104</v>
      </c>
      <c r="B54" s="284" t="s">
        <v>348</v>
      </c>
      <c r="C54" s="280" t="s">
        <v>109</v>
      </c>
      <c r="D54" s="402"/>
      <c r="E54" s="402" t="e">
        <v>#DIV/0!</v>
      </c>
      <c r="F54" s="402"/>
      <c r="G54" s="402" t="e">
        <v>#DIV/0!</v>
      </c>
      <c r="H54" s="402">
        <v>0</v>
      </c>
      <c r="I54" s="402">
        <v>0</v>
      </c>
      <c r="J54" s="402"/>
      <c r="K54" s="402">
        <v>0</v>
      </c>
      <c r="L54" s="402"/>
      <c r="M54" s="402" t="e">
        <v>#DIV/0!</v>
      </c>
      <c r="N54" s="402"/>
      <c r="O54" s="402">
        <v>0</v>
      </c>
      <c r="P54" s="402"/>
      <c r="Q54" s="402" t="e">
        <v>#DIV/0!</v>
      </c>
      <c r="R54" s="402"/>
      <c r="S54" s="402">
        <v>0</v>
      </c>
      <c r="T54" s="402"/>
      <c r="U54" s="402">
        <v>0</v>
      </c>
      <c r="V54" s="402"/>
      <c r="W54" s="402" t="e">
        <v>#DIV/0!</v>
      </c>
      <c r="X54" s="402"/>
      <c r="Y54" s="402" t="e">
        <v>#DIV/0!</v>
      </c>
      <c r="Z54" s="402"/>
      <c r="AA54" s="402">
        <v>0</v>
      </c>
      <c r="AB54" s="402"/>
      <c r="AC54" s="402">
        <v>0</v>
      </c>
    </row>
    <row r="55" spans="1:29">
      <c r="A55" s="278" t="s">
        <v>107</v>
      </c>
      <c r="B55" s="284" t="s">
        <v>242</v>
      </c>
      <c r="C55" s="280" t="s">
        <v>116</v>
      </c>
      <c r="D55" s="402"/>
      <c r="E55" s="402" t="e">
        <v>#DIV/0!</v>
      </c>
      <c r="F55" s="402"/>
      <c r="G55" s="402" t="e">
        <v>#DIV/0!</v>
      </c>
      <c r="H55" s="402">
        <v>26.366253999999998</v>
      </c>
      <c r="I55" s="402">
        <v>0.29339904743387446</v>
      </c>
      <c r="J55" s="402"/>
      <c r="K55" s="402">
        <v>0</v>
      </c>
      <c r="L55" s="402"/>
      <c r="M55" s="402" t="e">
        <v>#DIV/0!</v>
      </c>
      <c r="N55" s="402"/>
      <c r="O55" s="402">
        <v>0</v>
      </c>
      <c r="P55" s="402"/>
      <c r="Q55" s="402" t="e">
        <v>#DIV/0!</v>
      </c>
      <c r="R55" s="402"/>
      <c r="S55" s="402">
        <v>0</v>
      </c>
      <c r="T55" s="402"/>
      <c r="U55" s="402">
        <v>0</v>
      </c>
      <c r="V55" s="402"/>
      <c r="W55" s="402" t="e">
        <v>#DIV/0!</v>
      </c>
      <c r="X55" s="402"/>
      <c r="Y55" s="402" t="e">
        <v>#DIV/0!</v>
      </c>
      <c r="Z55" s="402"/>
      <c r="AA55" s="402">
        <v>0</v>
      </c>
      <c r="AB55" s="402"/>
      <c r="AC55" s="402">
        <v>0</v>
      </c>
    </row>
    <row r="56" spans="1:29">
      <c r="A56" s="278" t="s">
        <v>110</v>
      </c>
      <c r="B56" s="284" t="s">
        <v>272</v>
      </c>
      <c r="C56" s="280" t="s">
        <v>114</v>
      </c>
      <c r="D56" s="402"/>
      <c r="E56" s="402" t="e">
        <v>#DIV/0!</v>
      </c>
      <c r="F56" s="402"/>
      <c r="G56" s="402" t="e">
        <v>#DIV/0!</v>
      </c>
      <c r="H56" s="402">
        <v>30.642709000000004</v>
      </c>
      <c r="I56" s="402">
        <v>0.34098668818837191</v>
      </c>
      <c r="J56" s="402"/>
      <c r="K56" s="402">
        <v>0</v>
      </c>
      <c r="L56" s="402"/>
      <c r="M56" s="402" t="e">
        <v>#DIV/0!</v>
      </c>
      <c r="N56" s="402"/>
      <c r="O56" s="402">
        <v>0</v>
      </c>
      <c r="P56" s="402"/>
      <c r="Q56" s="402" t="e">
        <v>#DIV/0!</v>
      </c>
      <c r="R56" s="402"/>
      <c r="S56" s="402">
        <v>0</v>
      </c>
      <c r="T56" s="402"/>
      <c r="U56" s="402">
        <v>0</v>
      </c>
      <c r="V56" s="402"/>
      <c r="W56" s="402" t="e">
        <v>#DIV/0!</v>
      </c>
      <c r="X56" s="402"/>
      <c r="Y56" s="402" t="e">
        <v>#DIV/0!</v>
      </c>
      <c r="Z56" s="402"/>
      <c r="AA56" s="402">
        <v>0</v>
      </c>
      <c r="AB56" s="402"/>
      <c r="AC56" s="402">
        <v>0</v>
      </c>
    </row>
    <row r="57" spans="1:29">
      <c r="A57" s="278" t="s">
        <v>112</v>
      </c>
      <c r="B57" s="284" t="s">
        <v>148</v>
      </c>
      <c r="C57" s="280" t="s">
        <v>149</v>
      </c>
      <c r="D57" s="402"/>
      <c r="E57" s="402" t="e">
        <v>#DIV/0!</v>
      </c>
      <c r="F57" s="402"/>
      <c r="G57" s="402" t="e">
        <v>#DIV/0!</v>
      </c>
      <c r="H57" s="402">
        <v>5.9897792500069738</v>
      </c>
      <c r="I57" s="402">
        <v>6.6653212333129819E-2</v>
      </c>
      <c r="J57" s="402"/>
      <c r="K57" s="402">
        <v>0</v>
      </c>
      <c r="L57" s="402"/>
      <c r="M57" s="402" t="e">
        <v>#DIV/0!</v>
      </c>
      <c r="N57" s="402"/>
      <c r="O57" s="402">
        <v>0</v>
      </c>
      <c r="P57" s="402"/>
      <c r="Q57" s="402" t="e">
        <v>#DIV/0!</v>
      </c>
      <c r="R57" s="402"/>
      <c r="S57" s="402">
        <v>0</v>
      </c>
      <c r="T57" s="402">
        <v>2.4984599999999997</v>
      </c>
      <c r="U57" s="402">
        <v>0.65465524201220482</v>
      </c>
      <c r="V57" s="402"/>
      <c r="W57" s="402" t="e">
        <v>#DIV/0!</v>
      </c>
      <c r="X57" s="402"/>
      <c r="Y57" s="402" t="e">
        <v>#DIV/0!</v>
      </c>
      <c r="Z57" s="402"/>
      <c r="AA57" s="402">
        <v>0</v>
      </c>
      <c r="AB57" s="402"/>
      <c r="AC57" s="402">
        <v>0</v>
      </c>
    </row>
    <row r="58" spans="1:29">
      <c r="A58" s="276" t="s">
        <v>150</v>
      </c>
      <c r="B58" s="274" t="s">
        <v>151</v>
      </c>
      <c r="C58" s="277" t="s">
        <v>152</v>
      </c>
      <c r="D58" s="401"/>
      <c r="E58" s="401" t="e">
        <v>#DIV/0!</v>
      </c>
      <c r="F58" s="401"/>
      <c r="G58" s="401" t="e">
        <v>#DIV/0!</v>
      </c>
      <c r="H58" s="401">
        <v>0</v>
      </c>
      <c r="I58" s="401">
        <v>0</v>
      </c>
      <c r="J58" s="401"/>
      <c r="K58" s="401">
        <v>0</v>
      </c>
      <c r="L58" s="401"/>
      <c r="M58" s="401" t="e">
        <v>#DIV/0!</v>
      </c>
      <c r="N58" s="401"/>
      <c r="O58" s="401">
        <v>0</v>
      </c>
      <c r="P58" s="401"/>
      <c r="Q58" s="401" t="e">
        <v>#DIV/0!</v>
      </c>
      <c r="R58" s="401"/>
      <c r="S58" s="401">
        <v>0</v>
      </c>
      <c r="T58" s="401"/>
      <c r="U58" s="401">
        <v>0</v>
      </c>
      <c r="V58" s="401"/>
      <c r="W58" s="401" t="e">
        <v>#DIV/0!</v>
      </c>
      <c r="X58" s="401"/>
      <c r="Y58" s="401" t="e">
        <v>#DIV/0!</v>
      </c>
      <c r="Z58" s="401"/>
      <c r="AA58" s="401">
        <v>0</v>
      </c>
      <c r="AB58" s="401"/>
      <c r="AC58" s="401">
        <v>0</v>
      </c>
    </row>
    <row r="59" spans="1:29" ht="16.5" customHeight="1"/>
    <row r="64" spans="1:29">
      <c r="P64" s="173"/>
    </row>
  </sheetData>
  <mergeCells count="19">
    <mergeCell ref="X4:Y4"/>
    <mergeCell ref="A1:U1"/>
    <mergeCell ref="A4:A5"/>
    <mergeCell ref="B4:B5"/>
    <mergeCell ref="C4:C5"/>
    <mergeCell ref="D4:E4"/>
    <mergeCell ref="F4:G4"/>
    <mergeCell ref="H4:I4"/>
    <mergeCell ref="J4:K4"/>
    <mergeCell ref="L4:M4"/>
    <mergeCell ref="A3:AC3"/>
    <mergeCell ref="A2:AC2"/>
    <mergeCell ref="Z4:AA4"/>
    <mergeCell ref="AB4:AC4"/>
    <mergeCell ref="N4:O4"/>
    <mergeCell ref="P4:Q4"/>
    <mergeCell ref="R4:S4"/>
    <mergeCell ref="T4:U4"/>
    <mergeCell ref="V4:W4"/>
  </mergeCells>
  <printOptions horizontalCentered="1"/>
  <pageMargins left="0.35433070866141736" right="0.15748031496062992" top="0.43307086614173229" bottom="0.19685039370078741" header="0.43307086614173229" footer="0.15748031496062992"/>
  <pageSetup paperSize="9" scale="9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9C27D-942D-4A72-B90A-FD3E7C05DE9D}">
  <sheetPr>
    <tabColor rgb="FFFF0000"/>
  </sheetPr>
  <dimension ref="A1:BM66"/>
  <sheetViews>
    <sheetView workbookViewId="0">
      <pane xSplit="2" ySplit="7" topLeftCell="D8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8.69921875" defaultRowHeight="13.2"/>
  <cols>
    <col min="1" max="1" width="37.19921875" style="269" bestFit="1" customWidth="1"/>
    <col min="2" max="2" width="8.69921875" style="270"/>
    <col min="3" max="4" width="9.19921875" style="268" bestFit="1" customWidth="1"/>
    <col min="5" max="8" width="8.8984375" style="268" bestFit="1" customWidth="1"/>
    <col min="9" max="9" width="9.19921875" style="268" bestFit="1" customWidth="1"/>
    <col min="10" max="17" width="8.8984375" style="268" bestFit="1" customWidth="1"/>
    <col min="18" max="18" width="9.19921875" style="268" bestFit="1" customWidth="1"/>
    <col min="19" max="56" width="8.8984375" style="268" bestFit="1" customWidth="1"/>
    <col min="57" max="58" width="8.8984375" style="271" bestFit="1" customWidth="1"/>
    <col min="59" max="59" width="9.19921875" style="271" bestFit="1" customWidth="1"/>
    <col min="60" max="61" width="8.69921875" style="271"/>
    <col min="62" max="64" width="8.69921875" style="268"/>
    <col min="65" max="65" width="9.59765625" style="268" bestFit="1" customWidth="1"/>
    <col min="66" max="16384" width="8.69921875" style="268"/>
  </cols>
  <sheetData>
    <row r="1" spans="1:65" s="336" customFormat="1" ht="13.8">
      <c r="A1" s="586" t="s">
        <v>653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  <c r="V1" s="586"/>
      <c r="W1" s="586"/>
      <c r="X1" s="586"/>
      <c r="Y1" s="586"/>
      <c r="Z1" s="586"/>
      <c r="AA1" s="586"/>
      <c r="AB1" s="586"/>
      <c r="AC1" s="586"/>
      <c r="AD1" s="586"/>
      <c r="AE1" s="586"/>
      <c r="AF1" s="586"/>
      <c r="AG1" s="586"/>
      <c r="AH1" s="586"/>
      <c r="AI1" s="586"/>
      <c r="AJ1" s="586"/>
      <c r="AK1" s="586"/>
      <c r="AL1" s="586"/>
      <c r="AM1" s="586"/>
      <c r="AN1" s="586"/>
      <c r="AO1" s="586"/>
      <c r="AP1" s="586"/>
      <c r="AQ1" s="586"/>
      <c r="AR1" s="586"/>
      <c r="AS1" s="586"/>
      <c r="AT1" s="586"/>
      <c r="AU1" s="586"/>
      <c r="AV1" s="586"/>
      <c r="AW1" s="586"/>
      <c r="AX1" s="586"/>
      <c r="AY1" s="586"/>
      <c r="AZ1" s="586"/>
      <c r="BA1" s="586"/>
      <c r="BB1" s="586"/>
      <c r="BC1" s="586"/>
      <c r="BD1" s="586"/>
      <c r="BE1" s="586"/>
      <c r="BF1" s="586"/>
      <c r="BG1" s="586"/>
      <c r="BH1" s="335"/>
      <c r="BI1" s="335"/>
    </row>
    <row r="2" spans="1:65" s="336" customFormat="1" ht="13.8">
      <c r="A2" s="585" t="s">
        <v>706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/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/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/>
      <c r="AZ2" s="585"/>
      <c r="BA2" s="585"/>
      <c r="BB2" s="585"/>
      <c r="BC2" s="585"/>
      <c r="BD2" s="585"/>
      <c r="BE2" s="585"/>
      <c r="BF2" s="585"/>
      <c r="BG2" s="585"/>
      <c r="BH2" s="335"/>
      <c r="BI2" s="335"/>
    </row>
    <row r="3" spans="1:65" s="336" customFormat="1" ht="13.8">
      <c r="A3" s="594" t="s">
        <v>340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585"/>
      <c r="AL3" s="585"/>
      <c r="AM3" s="585"/>
      <c r="AN3" s="585"/>
      <c r="AO3" s="585"/>
      <c r="AP3" s="585"/>
      <c r="AQ3" s="585"/>
      <c r="AR3" s="585"/>
      <c r="AS3" s="585"/>
      <c r="AT3" s="585"/>
      <c r="AU3" s="585"/>
      <c r="AV3" s="585"/>
      <c r="AW3" s="585"/>
      <c r="AX3" s="585"/>
      <c r="AY3" s="585"/>
      <c r="AZ3" s="585"/>
      <c r="BA3" s="585"/>
      <c r="BB3" s="585"/>
      <c r="BC3" s="585"/>
      <c r="BD3" s="585"/>
      <c r="BE3" s="585"/>
      <c r="BF3" s="585"/>
      <c r="BG3" s="585"/>
      <c r="BH3" s="335"/>
      <c r="BI3" s="335"/>
    </row>
    <row r="4" spans="1:65">
      <c r="A4" s="593" t="s">
        <v>167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593"/>
      <c r="U4" s="593"/>
      <c r="V4" s="593"/>
      <c r="W4" s="593"/>
      <c r="X4" s="593"/>
      <c r="Y4" s="593"/>
      <c r="Z4" s="593"/>
      <c r="AA4" s="593"/>
      <c r="AB4" s="593"/>
      <c r="AC4" s="593"/>
      <c r="AD4" s="593"/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593"/>
      <c r="AS4" s="593"/>
      <c r="AT4" s="593"/>
      <c r="AU4" s="593"/>
      <c r="AV4" s="593"/>
      <c r="AW4" s="593"/>
      <c r="AX4" s="593"/>
      <c r="AY4" s="593"/>
      <c r="AZ4" s="593"/>
      <c r="BA4" s="593"/>
      <c r="BB4" s="593"/>
      <c r="BC4" s="593"/>
      <c r="BD4" s="593"/>
      <c r="BE4" s="593"/>
      <c r="BF4" s="593"/>
      <c r="BG4" s="593"/>
    </row>
    <row r="5" spans="1:65" s="267" customFormat="1">
      <c r="A5" s="604" t="s">
        <v>333</v>
      </c>
      <c r="B5" s="587" t="s">
        <v>2</v>
      </c>
      <c r="C5" s="604" t="s">
        <v>638</v>
      </c>
      <c r="D5" s="606" t="s">
        <v>707</v>
      </c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7"/>
      <c r="S5" s="607"/>
      <c r="T5" s="607"/>
      <c r="U5" s="607"/>
      <c r="V5" s="607"/>
      <c r="W5" s="607"/>
      <c r="X5" s="607"/>
      <c r="Y5" s="607"/>
      <c r="Z5" s="607"/>
      <c r="AA5" s="607"/>
      <c r="AB5" s="607"/>
      <c r="AC5" s="607"/>
      <c r="AD5" s="607"/>
      <c r="AE5" s="607"/>
      <c r="AF5" s="607"/>
      <c r="AG5" s="607"/>
      <c r="AH5" s="607"/>
      <c r="AI5" s="607"/>
      <c r="AJ5" s="607"/>
      <c r="AK5" s="607"/>
      <c r="AL5" s="607"/>
      <c r="AM5" s="607"/>
      <c r="AN5" s="607"/>
      <c r="AO5" s="607"/>
      <c r="AP5" s="607"/>
      <c r="AQ5" s="607"/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596" t="s">
        <v>639</v>
      </c>
      <c r="BF5" s="608" t="s">
        <v>640</v>
      </c>
      <c r="BG5" s="596" t="s">
        <v>643</v>
      </c>
      <c r="BH5" s="337"/>
      <c r="BI5" s="337"/>
    </row>
    <row r="6" spans="1:65" s="267" customFormat="1">
      <c r="A6" s="605"/>
      <c r="B6" s="588"/>
      <c r="C6" s="605"/>
      <c r="D6" s="592" t="s">
        <v>22</v>
      </c>
      <c r="E6" s="591" t="s">
        <v>25</v>
      </c>
      <c r="F6" s="598" t="s">
        <v>27</v>
      </c>
      <c r="G6" s="591" t="s">
        <v>29</v>
      </c>
      <c r="H6" s="600" t="s">
        <v>34</v>
      </c>
      <c r="I6" s="602" t="s">
        <v>37</v>
      </c>
      <c r="J6" s="592" t="s">
        <v>42</v>
      </c>
      <c r="K6" s="592" t="s">
        <v>45</v>
      </c>
      <c r="L6" s="591" t="s">
        <v>39</v>
      </c>
      <c r="M6" s="592" t="s">
        <v>39</v>
      </c>
      <c r="N6" s="592" t="s">
        <v>293</v>
      </c>
      <c r="O6" s="592" t="s">
        <v>48</v>
      </c>
      <c r="P6" s="592" t="s">
        <v>51</v>
      </c>
      <c r="Q6" s="603" t="s">
        <v>54</v>
      </c>
      <c r="R6" s="601" t="s">
        <v>56</v>
      </c>
      <c r="S6" s="590" t="s">
        <v>72</v>
      </c>
      <c r="T6" s="590" t="s">
        <v>75</v>
      </c>
      <c r="U6" s="590" t="s">
        <v>78</v>
      </c>
      <c r="V6" s="590" t="s">
        <v>84</v>
      </c>
      <c r="W6" s="590" t="s">
        <v>87</v>
      </c>
      <c r="X6" s="590" t="s">
        <v>90</v>
      </c>
      <c r="Y6" s="590" t="s">
        <v>95</v>
      </c>
      <c r="Z6" s="592" t="s">
        <v>92</v>
      </c>
      <c r="AA6" s="610" t="s">
        <v>118</v>
      </c>
      <c r="AB6" s="601" t="s">
        <v>120</v>
      </c>
      <c r="AC6" s="601" t="s">
        <v>122</v>
      </c>
      <c r="AD6" s="590" t="s">
        <v>128</v>
      </c>
      <c r="AE6" s="590" t="s">
        <v>130</v>
      </c>
      <c r="AF6" s="590" t="s">
        <v>132</v>
      </c>
      <c r="AG6" s="590" t="s">
        <v>134</v>
      </c>
      <c r="AH6" s="592" t="s">
        <v>124</v>
      </c>
      <c r="AI6" s="592" t="s">
        <v>126</v>
      </c>
      <c r="AJ6" s="592" t="s">
        <v>305</v>
      </c>
      <c r="AK6" s="592" t="s">
        <v>97</v>
      </c>
      <c r="AL6" s="592" t="s">
        <v>103</v>
      </c>
      <c r="AM6" s="592" t="s">
        <v>106</v>
      </c>
      <c r="AN6" s="592" t="s">
        <v>111</v>
      </c>
      <c r="AO6" s="590" t="s">
        <v>136</v>
      </c>
      <c r="AP6" s="590" t="s">
        <v>138</v>
      </c>
      <c r="AQ6" s="590" t="s">
        <v>140</v>
      </c>
      <c r="AR6" s="590" t="s">
        <v>100</v>
      </c>
      <c r="AS6" s="592" t="s">
        <v>143</v>
      </c>
      <c r="AT6" s="592" t="s">
        <v>146</v>
      </c>
      <c r="AU6" s="590" t="s">
        <v>58</v>
      </c>
      <c r="AV6" s="590" t="s">
        <v>60</v>
      </c>
      <c r="AW6" s="590" t="s">
        <v>63</v>
      </c>
      <c r="AX6" s="590" t="s">
        <v>66</v>
      </c>
      <c r="AY6" s="590" t="s">
        <v>69</v>
      </c>
      <c r="AZ6" s="590" t="s">
        <v>109</v>
      </c>
      <c r="BA6" s="590" t="s">
        <v>116</v>
      </c>
      <c r="BB6" s="590" t="s">
        <v>114</v>
      </c>
      <c r="BC6" s="590" t="s">
        <v>149</v>
      </c>
      <c r="BD6" s="592" t="s">
        <v>152</v>
      </c>
      <c r="BE6" s="597"/>
      <c r="BF6" s="609"/>
      <c r="BG6" s="597"/>
      <c r="BH6" s="337"/>
      <c r="BI6" s="337"/>
    </row>
    <row r="7" spans="1:65" s="267" customFormat="1">
      <c r="A7" s="605"/>
      <c r="B7" s="589"/>
      <c r="C7" s="605"/>
      <c r="D7" s="592"/>
      <c r="E7" s="592"/>
      <c r="F7" s="599"/>
      <c r="G7" s="592"/>
      <c r="H7" s="601"/>
      <c r="I7" s="602"/>
      <c r="J7" s="595"/>
      <c r="K7" s="592"/>
      <c r="L7" s="595"/>
      <c r="M7" s="592"/>
      <c r="N7" s="592"/>
      <c r="O7" s="592"/>
      <c r="P7" s="592"/>
      <c r="Q7" s="603"/>
      <c r="R7" s="601"/>
      <c r="S7" s="591"/>
      <c r="T7" s="591"/>
      <c r="U7" s="591"/>
      <c r="V7" s="591"/>
      <c r="W7" s="591"/>
      <c r="X7" s="591"/>
      <c r="Y7" s="591"/>
      <c r="Z7" s="595"/>
      <c r="AA7" s="600"/>
      <c r="AB7" s="611" t="s">
        <v>120</v>
      </c>
      <c r="AC7" s="611" t="s">
        <v>122</v>
      </c>
      <c r="AD7" s="591" t="s">
        <v>128</v>
      </c>
      <c r="AE7" s="591" t="s">
        <v>130</v>
      </c>
      <c r="AF7" s="591" t="s">
        <v>132</v>
      </c>
      <c r="AG7" s="591" t="s">
        <v>134</v>
      </c>
      <c r="AH7" s="595" t="s">
        <v>124</v>
      </c>
      <c r="AI7" s="595" t="s">
        <v>126</v>
      </c>
      <c r="AJ7" s="595" t="s">
        <v>305</v>
      </c>
      <c r="AK7" s="595" t="s">
        <v>97</v>
      </c>
      <c r="AL7" s="595" t="s">
        <v>103</v>
      </c>
      <c r="AM7" s="595" t="s">
        <v>106</v>
      </c>
      <c r="AN7" s="595" t="s">
        <v>111</v>
      </c>
      <c r="AO7" s="591" t="s">
        <v>136</v>
      </c>
      <c r="AP7" s="591" t="s">
        <v>138</v>
      </c>
      <c r="AQ7" s="591" t="s">
        <v>140</v>
      </c>
      <c r="AR7" s="591" t="s">
        <v>100</v>
      </c>
      <c r="AS7" s="595" t="s">
        <v>143</v>
      </c>
      <c r="AT7" s="595" t="s">
        <v>146</v>
      </c>
      <c r="AU7" s="591" t="s">
        <v>58</v>
      </c>
      <c r="AV7" s="591" t="s">
        <v>60</v>
      </c>
      <c r="AW7" s="591" t="s">
        <v>63</v>
      </c>
      <c r="AX7" s="591" t="s">
        <v>66</v>
      </c>
      <c r="AY7" s="591" t="s">
        <v>69</v>
      </c>
      <c r="AZ7" s="591" t="s">
        <v>109</v>
      </c>
      <c r="BA7" s="591" t="s">
        <v>116</v>
      </c>
      <c r="BB7" s="591" t="s">
        <v>114</v>
      </c>
      <c r="BC7" s="591" t="s">
        <v>149</v>
      </c>
      <c r="BD7" s="592" t="s">
        <v>152</v>
      </c>
      <c r="BE7" s="597"/>
      <c r="BF7" s="609"/>
      <c r="BG7" s="597"/>
      <c r="BH7" s="337"/>
      <c r="BI7" s="337"/>
    </row>
    <row r="8" spans="1:65" s="267" customFormat="1">
      <c r="A8" s="420" t="s">
        <v>654</v>
      </c>
      <c r="B8" s="421"/>
      <c r="C8" s="422">
        <v>66414.220722999977</v>
      </c>
      <c r="D8" s="422">
        <v>58690.144250168196</v>
      </c>
      <c r="E8" s="423">
        <v>1020.4820000000001</v>
      </c>
      <c r="F8" s="422">
        <v>74.087230000000005</v>
      </c>
      <c r="G8" s="423">
        <v>946.39476999999999</v>
      </c>
      <c r="H8" s="422">
        <v>235.54100699999998</v>
      </c>
      <c r="I8" s="423">
        <v>50521.898718323195</v>
      </c>
      <c r="J8" s="422">
        <v>512.88672500000007</v>
      </c>
      <c r="K8" s="423">
        <v>0</v>
      </c>
      <c r="L8" s="422">
        <v>5864.1843749999998</v>
      </c>
      <c r="M8" s="423">
        <v>5864.1843749999998</v>
      </c>
      <c r="N8" s="422">
        <v>0</v>
      </c>
      <c r="O8" s="423">
        <v>44.726283845006691</v>
      </c>
      <c r="P8" s="422">
        <v>0</v>
      </c>
      <c r="Q8" s="423">
        <v>490.425141</v>
      </c>
      <c r="R8" s="422">
        <v>7724.0764728317881</v>
      </c>
      <c r="S8" s="423">
        <v>374.66124597094733</v>
      </c>
      <c r="T8" s="422">
        <v>1080.1335779999999</v>
      </c>
      <c r="U8" s="423">
        <v>862.78483199999994</v>
      </c>
      <c r="V8" s="422">
        <v>0</v>
      </c>
      <c r="W8" s="423">
        <v>8.2458519999999993</v>
      </c>
      <c r="X8" s="422">
        <v>457.06079299999999</v>
      </c>
      <c r="Y8" s="423">
        <v>275.29837200000003</v>
      </c>
      <c r="Z8" s="422">
        <v>47.51398300000001</v>
      </c>
      <c r="AA8" s="423">
        <v>2201.0391847058477</v>
      </c>
      <c r="AB8" s="422">
        <v>1581.3146290000002</v>
      </c>
      <c r="AC8" s="423">
        <v>108.31426900000001</v>
      </c>
      <c r="AD8" s="422">
        <v>27.272508999999999</v>
      </c>
      <c r="AE8" s="423">
        <v>32.223337999999998</v>
      </c>
      <c r="AF8" s="422">
        <v>65.462155705847735</v>
      </c>
      <c r="AG8" s="423">
        <v>22.222180999999999</v>
      </c>
      <c r="AH8" s="422">
        <v>221.21611300000001</v>
      </c>
      <c r="AI8" s="423">
        <v>1.6456760000000001</v>
      </c>
      <c r="AJ8" s="422">
        <v>0</v>
      </c>
      <c r="AK8" s="423">
        <v>1.572659</v>
      </c>
      <c r="AL8" s="422">
        <v>24.573335</v>
      </c>
      <c r="AM8" s="423">
        <v>13.322333999999996</v>
      </c>
      <c r="AN8" s="422">
        <v>97.492464000000012</v>
      </c>
      <c r="AO8" s="423">
        <v>0</v>
      </c>
      <c r="AP8" s="422">
        <v>0</v>
      </c>
      <c r="AQ8" s="423">
        <v>4.4075220000000002</v>
      </c>
      <c r="AR8" s="422">
        <v>0</v>
      </c>
      <c r="AS8" s="423">
        <v>12.401898000000001</v>
      </c>
      <c r="AT8" s="422">
        <v>9.9138779999999986</v>
      </c>
      <c r="AU8" s="423">
        <v>559.67882700000007</v>
      </c>
      <c r="AV8" s="422">
        <v>130.01883699999999</v>
      </c>
      <c r="AW8" s="423">
        <v>36.096491999999998</v>
      </c>
      <c r="AX8" s="422">
        <v>0.48929600000000001</v>
      </c>
      <c r="AY8" s="423">
        <v>0</v>
      </c>
      <c r="AZ8" s="422">
        <v>0.27047700000000002</v>
      </c>
      <c r="BA8" s="423">
        <v>1342.4534100000001</v>
      </c>
      <c r="BB8" s="422">
        <v>323.38511615499334</v>
      </c>
      <c r="BC8" s="423">
        <v>2.630401</v>
      </c>
      <c r="BD8" s="422">
        <v>0</v>
      </c>
      <c r="BE8" s="424"/>
      <c r="BF8" s="424"/>
      <c r="BG8" s="425">
        <v>66414.220722999977</v>
      </c>
      <c r="BH8" s="337"/>
      <c r="BI8" s="337"/>
    </row>
    <row r="9" spans="1:65" s="267" customFormat="1">
      <c r="A9" s="426" t="s">
        <v>655</v>
      </c>
      <c r="B9" s="427" t="s">
        <v>22</v>
      </c>
      <c r="C9" s="423">
        <v>58690.144250168196</v>
      </c>
      <c r="D9" s="419">
        <v>47267.822841469992</v>
      </c>
      <c r="E9" s="423">
        <v>0</v>
      </c>
      <c r="F9" s="423">
        <v>0</v>
      </c>
      <c r="G9" s="423">
        <v>0</v>
      </c>
      <c r="H9" s="423">
        <v>10</v>
      </c>
      <c r="I9" s="423">
        <v>5248.6089579999998</v>
      </c>
      <c r="J9" s="423">
        <v>0</v>
      </c>
      <c r="K9" s="423">
        <v>0</v>
      </c>
      <c r="L9" s="423">
        <v>0</v>
      </c>
      <c r="M9" s="423">
        <v>0</v>
      </c>
      <c r="N9" s="423">
        <v>0</v>
      </c>
      <c r="O9" s="423">
        <v>5</v>
      </c>
      <c r="P9" s="423">
        <v>0</v>
      </c>
      <c r="Q9" s="423">
        <v>2339.0318516805442</v>
      </c>
      <c r="R9" s="423">
        <v>11422.321408698226</v>
      </c>
      <c r="S9" s="423">
        <v>557.13</v>
      </c>
      <c r="T9" s="423">
        <v>4.0999999999999988</v>
      </c>
      <c r="U9" s="423">
        <v>2979.193667</v>
      </c>
      <c r="V9" s="423">
        <v>605</v>
      </c>
      <c r="W9" s="423">
        <v>190.92917</v>
      </c>
      <c r="X9" s="423">
        <v>360.06510000000003</v>
      </c>
      <c r="Y9" s="423">
        <v>1021.592176334107</v>
      </c>
      <c r="Z9" s="423">
        <v>532.02</v>
      </c>
      <c r="AA9" s="423">
        <v>3103.8134297330525</v>
      </c>
      <c r="AB9" s="423">
        <v>1803.5948999999998</v>
      </c>
      <c r="AC9" s="423">
        <v>202.8939</v>
      </c>
      <c r="AD9" s="423">
        <v>17.164895999999999</v>
      </c>
      <c r="AE9" s="423">
        <v>0.81114600000000003</v>
      </c>
      <c r="AF9" s="423">
        <v>42.427191565499399</v>
      </c>
      <c r="AG9" s="423">
        <v>63.283846119994401</v>
      </c>
      <c r="AH9" s="423">
        <v>723.94712800000013</v>
      </c>
      <c r="AI9" s="423">
        <v>1.7084110000000003</v>
      </c>
      <c r="AJ9" s="423">
        <v>0</v>
      </c>
      <c r="AK9" s="423">
        <v>9.5</v>
      </c>
      <c r="AL9" s="423">
        <v>46.985676229995732</v>
      </c>
      <c r="AM9" s="423">
        <v>29.667911</v>
      </c>
      <c r="AN9" s="423">
        <v>143.60327181756367</v>
      </c>
      <c r="AO9" s="423">
        <v>0</v>
      </c>
      <c r="AP9" s="423">
        <v>0</v>
      </c>
      <c r="AQ9" s="423">
        <v>18.225151999999998</v>
      </c>
      <c r="AR9" s="423">
        <v>0</v>
      </c>
      <c r="AS9" s="423">
        <v>13.444534631066022</v>
      </c>
      <c r="AT9" s="423">
        <v>20.783999999999999</v>
      </c>
      <c r="AU9" s="423">
        <v>1508.50387</v>
      </c>
      <c r="AV9" s="423">
        <v>420.53999999999996</v>
      </c>
      <c r="AW9" s="423">
        <v>9.1370010000000086</v>
      </c>
      <c r="AX9" s="423">
        <v>0</v>
      </c>
      <c r="AY9" s="423">
        <v>0</v>
      </c>
      <c r="AZ9" s="423">
        <v>3.8</v>
      </c>
      <c r="BA9" s="423">
        <v>0</v>
      </c>
      <c r="BB9" s="423">
        <v>0</v>
      </c>
      <c r="BC9" s="423">
        <v>92.268459999999976</v>
      </c>
      <c r="BD9" s="423">
        <v>0</v>
      </c>
      <c r="BE9" s="424">
        <v>11422.321408698226</v>
      </c>
      <c r="BF9" s="424">
        <v>-11416.519692066586</v>
      </c>
      <c r="BG9" s="424">
        <v>47273.624558101612</v>
      </c>
      <c r="BH9" s="337"/>
      <c r="BI9" s="337"/>
      <c r="BM9" s="410"/>
    </row>
    <row r="10" spans="1:65" s="267" customFormat="1">
      <c r="A10" s="428" t="s">
        <v>656</v>
      </c>
      <c r="B10" s="429" t="s">
        <v>25</v>
      </c>
      <c r="C10" s="404">
        <v>1020.4820000000001</v>
      </c>
      <c r="D10" s="404">
        <v>498.36785800000001</v>
      </c>
      <c r="E10" s="419">
        <v>499.82014200000003</v>
      </c>
      <c r="F10" s="404">
        <v>0</v>
      </c>
      <c r="G10" s="404">
        <v>0</v>
      </c>
      <c r="H10" s="408">
        <v>10</v>
      </c>
      <c r="I10" s="404">
        <v>488.36785800000001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340">
        <v>22.294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8">
        <v>22.294</v>
      </c>
      <c r="AB10" s="408">
        <v>0.5</v>
      </c>
      <c r="AC10" s="408">
        <v>21.794</v>
      </c>
      <c r="AD10" s="404">
        <v>0</v>
      </c>
      <c r="AE10" s="404">
        <v>0</v>
      </c>
      <c r="AF10" s="404">
        <v>0</v>
      </c>
      <c r="AG10" s="404">
        <v>0</v>
      </c>
      <c r="AH10" s="404">
        <v>0</v>
      </c>
      <c r="AI10" s="404">
        <v>0</v>
      </c>
      <c r="AJ10" s="404">
        <v>0</v>
      </c>
      <c r="AK10" s="404">
        <v>0</v>
      </c>
      <c r="AL10" s="404">
        <v>0</v>
      </c>
      <c r="AM10" s="404">
        <v>0</v>
      </c>
      <c r="AN10" s="404">
        <v>0</v>
      </c>
      <c r="AO10" s="404">
        <v>0</v>
      </c>
      <c r="AP10" s="404">
        <v>0</v>
      </c>
      <c r="AQ10" s="404">
        <v>0</v>
      </c>
      <c r="AR10" s="404">
        <v>0</v>
      </c>
      <c r="AS10" s="404">
        <v>0</v>
      </c>
      <c r="AT10" s="404">
        <v>0</v>
      </c>
      <c r="AU10" s="404">
        <v>0</v>
      </c>
      <c r="AV10" s="404">
        <v>0</v>
      </c>
      <c r="AW10" s="404">
        <v>0</v>
      </c>
      <c r="AX10" s="404">
        <v>0</v>
      </c>
      <c r="AY10" s="404">
        <v>0</v>
      </c>
      <c r="AZ10" s="404">
        <v>0</v>
      </c>
      <c r="BA10" s="404">
        <v>0</v>
      </c>
      <c r="BB10" s="404">
        <v>0</v>
      </c>
      <c r="BC10" s="404">
        <v>0</v>
      </c>
      <c r="BD10" s="404">
        <v>0</v>
      </c>
      <c r="BE10" s="430">
        <v>520.66185800000005</v>
      </c>
      <c r="BF10" s="431">
        <v>-520.66185800000005</v>
      </c>
      <c r="BG10" s="431">
        <v>499.82014200000003</v>
      </c>
      <c r="BH10" s="337"/>
      <c r="BI10" s="337"/>
    </row>
    <row r="11" spans="1:65" s="342" customFormat="1" ht="13.8">
      <c r="A11" s="432" t="s">
        <v>26</v>
      </c>
      <c r="B11" s="433" t="s">
        <v>27</v>
      </c>
      <c r="C11" s="405">
        <v>74.087230000000005</v>
      </c>
      <c r="D11" s="405">
        <v>0</v>
      </c>
      <c r="E11" s="411">
        <v>0</v>
      </c>
      <c r="F11" s="459">
        <v>73.087230000000005</v>
      </c>
      <c r="G11" s="411">
        <v>0</v>
      </c>
      <c r="H11" s="411">
        <v>0</v>
      </c>
      <c r="I11" s="411">
        <v>0</v>
      </c>
      <c r="J11" s="411">
        <v>0</v>
      </c>
      <c r="K11" s="411">
        <v>0</v>
      </c>
      <c r="L11" s="411">
        <v>0</v>
      </c>
      <c r="M11" s="411">
        <v>0</v>
      </c>
      <c r="N11" s="411">
        <v>0</v>
      </c>
      <c r="O11" s="411">
        <v>0</v>
      </c>
      <c r="P11" s="411">
        <v>0</v>
      </c>
      <c r="Q11" s="411">
        <v>0</v>
      </c>
      <c r="R11" s="411">
        <v>1</v>
      </c>
      <c r="S11" s="411">
        <v>0</v>
      </c>
      <c r="T11" s="411">
        <v>0</v>
      </c>
      <c r="U11" s="411">
        <v>0</v>
      </c>
      <c r="V11" s="411">
        <v>0</v>
      </c>
      <c r="W11" s="411">
        <v>0</v>
      </c>
      <c r="X11" s="411">
        <v>0</v>
      </c>
      <c r="Y11" s="411">
        <v>0</v>
      </c>
      <c r="Z11" s="411">
        <v>0</v>
      </c>
      <c r="AA11" s="412">
        <v>1</v>
      </c>
      <c r="AB11" s="413">
        <v>0</v>
      </c>
      <c r="AC11" s="413">
        <v>1</v>
      </c>
      <c r="AD11" s="411">
        <v>0</v>
      </c>
      <c r="AE11" s="411">
        <v>0</v>
      </c>
      <c r="AF11" s="411">
        <v>0</v>
      </c>
      <c r="AG11" s="411">
        <v>0</v>
      </c>
      <c r="AH11" s="411">
        <v>0</v>
      </c>
      <c r="AI11" s="411">
        <v>0</v>
      </c>
      <c r="AJ11" s="411">
        <v>0</v>
      </c>
      <c r="AK11" s="411">
        <v>0</v>
      </c>
      <c r="AL11" s="411">
        <v>0</v>
      </c>
      <c r="AM11" s="411">
        <v>0</v>
      </c>
      <c r="AN11" s="411">
        <v>0</v>
      </c>
      <c r="AO11" s="411">
        <v>0</v>
      </c>
      <c r="AP11" s="411">
        <v>0</v>
      </c>
      <c r="AQ11" s="411">
        <v>0</v>
      </c>
      <c r="AR11" s="411">
        <v>0</v>
      </c>
      <c r="AS11" s="411">
        <v>0</v>
      </c>
      <c r="AT11" s="411">
        <v>0</v>
      </c>
      <c r="AU11" s="411">
        <v>0</v>
      </c>
      <c r="AV11" s="411">
        <v>0</v>
      </c>
      <c r="AW11" s="411">
        <v>0</v>
      </c>
      <c r="AX11" s="411">
        <v>0</v>
      </c>
      <c r="AY11" s="411">
        <v>0</v>
      </c>
      <c r="AZ11" s="411">
        <v>0</v>
      </c>
      <c r="BA11" s="411">
        <v>0</v>
      </c>
      <c r="BB11" s="411">
        <v>0</v>
      </c>
      <c r="BC11" s="411">
        <v>0</v>
      </c>
      <c r="BD11" s="411">
        <v>0</v>
      </c>
      <c r="BE11" s="434">
        <v>1</v>
      </c>
      <c r="BF11" s="435">
        <v>-1</v>
      </c>
      <c r="BG11" s="435">
        <v>73.087230000000005</v>
      </c>
      <c r="BH11" s="341"/>
      <c r="BI11" s="341"/>
    </row>
    <row r="12" spans="1:65" s="342" customFormat="1" ht="13.8">
      <c r="A12" s="432" t="s">
        <v>657</v>
      </c>
      <c r="B12" s="433" t="s">
        <v>29</v>
      </c>
      <c r="C12" s="405">
        <v>946.39476999999999</v>
      </c>
      <c r="D12" s="405">
        <v>498.36785800000001</v>
      </c>
      <c r="E12" s="411">
        <v>0</v>
      </c>
      <c r="F12" s="411">
        <v>0</v>
      </c>
      <c r="G12" s="459">
        <v>426.73291199999994</v>
      </c>
      <c r="H12" s="411">
        <v>10</v>
      </c>
      <c r="I12" s="411">
        <v>488.36785800000001</v>
      </c>
      <c r="J12" s="411">
        <v>0</v>
      </c>
      <c r="K12" s="411">
        <v>0</v>
      </c>
      <c r="L12" s="411">
        <v>0</v>
      </c>
      <c r="M12" s="411">
        <v>0</v>
      </c>
      <c r="N12" s="411">
        <v>0</v>
      </c>
      <c r="O12" s="411">
        <v>0</v>
      </c>
      <c r="P12" s="411">
        <v>0</v>
      </c>
      <c r="Q12" s="411">
        <v>0</v>
      </c>
      <c r="R12" s="411">
        <v>21.294</v>
      </c>
      <c r="S12" s="411">
        <v>0</v>
      </c>
      <c r="T12" s="411">
        <v>0</v>
      </c>
      <c r="U12" s="411">
        <v>0</v>
      </c>
      <c r="V12" s="411">
        <v>0</v>
      </c>
      <c r="W12" s="411">
        <v>0</v>
      </c>
      <c r="X12" s="411">
        <v>0</v>
      </c>
      <c r="Y12" s="411">
        <v>0</v>
      </c>
      <c r="Z12" s="411">
        <v>0</v>
      </c>
      <c r="AA12" s="412">
        <v>21.294</v>
      </c>
      <c r="AB12" s="413">
        <v>0.5</v>
      </c>
      <c r="AC12" s="413">
        <v>20.794</v>
      </c>
      <c r="AD12" s="411">
        <v>0</v>
      </c>
      <c r="AE12" s="411">
        <v>0</v>
      </c>
      <c r="AF12" s="411">
        <v>0</v>
      </c>
      <c r="AG12" s="411">
        <v>0</v>
      </c>
      <c r="AH12" s="411">
        <v>0</v>
      </c>
      <c r="AI12" s="411">
        <v>0</v>
      </c>
      <c r="AJ12" s="411">
        <v>0</v>
      </c>
      <c r="AK12" s="411">
        <v>0</v>
      </c>
      <c r="AL12" s="411">
        <v>0</v>
      </c>
      <c r="AM12" s="411">
        <v>0</v>
      </c>
      <c r="AN12" s="411">
        <v>0</v>
      </c>
      <c r="AO12" s="411">
        <v>0</v>
      </c>
      <c r="AP12" s="411">
        <v>0</v>
      </c>
      <c r="AQ12" s="411">
        <v>0</v>
      </c>
      <c r="AR12" s="411">
        <v>0</v>
      </c>
      <c r="AS12" s="411">
        <v>0</v>
      </c>
      <c r="AT12" s="411">
        <v>0</v>
      </c>
      <c r="AU12" s="411">
        <v>0</v>
      </c>
      <c r="AV12" s="411">
        <v>0</v>
      </c>
      <c r="AW12" s="411"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34">
        <v>519.66185800000005</v>
      </c>
      <c r="BF12" s="435">
        <v>-519.66185800000005</v>
      </c>
      <c r="BG12" s="435">
        <v>426.73291199999994</v>
      </c>
      <c r="BH12" s="341"/>
      <c r="BI12" s="341"/>
    </row>
    <row r="13" spans="1:65" s="267" customFormat="1">
      <c r="A13" s="436" t="s">
        <v>658</v>
      </c>
      <c r="B13" s="437" t="s">
        <v>34</v>
      </c>
      <c r="C13" s="406">
        <v>235.54100699999998</v>
      </c>
      <c r="D13" s="406">
        <v>7.88</v>
      </c>
      <c r="E13" s="340">
        <v>0</v>
      </c>
      <c r="F13" s="340">
        <v>0</v>
      </c>
      <c r="G13" s="340">
        <v>0</v>
      </c>
      <c r="H13" s="419">
        <v>221.08399199999997</v>
      </c>
      <c r="I13" s="340">
        <v>2.88</v>
      </c>
      <c r="J13" s="340">
        <v>0</v>
      </c>
      <c r="K13" s="340">
        <v>0</v>
      </c>
      <c r="L13" s="340">
        <v>0</v>
      </c>
      <c r="M13" s="340">
        <v>0</v>
      </c>
      <c r="N13" s="340">
        <v>0</v>
      </c>
      <c r="O13" s="340">
        <v>5</v>
      </c>
      <c r="P13" s="340">
        <v>0</v>
      </c>
      <c r="Q13" s="340">
        <v>0</v>
      </c>
      <c r="R13" s="340">
        <v>6.5770150000000003</v>
      </c>
      <c r="S13" s="340">
        <v>0</v>
      </c>
      <c r="T13" s="340">
        <v>0</v>
      </c>
      <c r="U13" s="340">
        <v>0</v>
      </c>
      <c r="V13" s="340">
        <v>0</v>
      </c>
      <c r="W13" s="340">
        <v>0</v>
      </c>
      <c r="X13" s="340">
        <v>0</v>
      </c>
      <c r="Y13" s="340">
        <v>0</v>
      </c>
      <c r="Z13" s="340">
        <v>0</v>
      </c>
      <c r="AA13" s="408">
        <v>0.15701500000000002</v>
      </c>
      <c r="AB13" s="340">
        <v>0</v>
      </c>
      <c r="AC13" s="340">
        <v>0</v>
      </c>
      <c r="AD13" s="340">
        <v>0</v>
      </c>
      <c r="AE13" s="340">
        <v>0</v>
      </c>
      <c r="AF13" s="340">
        <v>0</v>
      </c>
      <c r="AG13" s="340">
        <v>0</v>
      </c>
      <c r="AH13" s="340">
        <v>0.15701500000000002</v>
      </c>
      <c r="AI13" s="340">
        <v>0</v>
      </c>
      <c r="AJ13" s="340">
        <v>0</v>
      </c>
      <c r="AK13" s="340">
        <v>0</v>
      </c>
      <c r="AL13" s="340">
        <v>0</v>
      </c>
      <c r="AM13" s="340">
        <v>0</v>
      </c>
      <c r="AN13" s="340">
        <v>0</v>
      </c>
      <c r="AO13" s="340">
        <v>0</v>
      </c>
      <c r="AP13" s="340">
        <v>0</v>
      </c>
      <c r="AQ13" s="340">
        <v>0</v>
      </c>
      <c r="AR13" s="340">
        <v>0</v>
      </c>
      <c r="AS13" s="340">
        <v>0</v>
      </c>
      <c r="AT13" s="340">
        <v>0</v>
      </c>
      <c r="AU13" s="340">
        <v>4.4700000000000006</v>
      </c>
      <c r="AV13" s="340">
        <v>1.95</v>
      </c>
      <c r="AW13" s="340">
        <v>0</v>
      </c>
      <c r="AX13" s="340">
        <v>0</v>
      </c>
      <c r="AY13" s="340">
        <v>0</v>
      </c>
      <c r="AZ13" s="340">
        <v>0</v>
      </c>
      <c r="BA13" s="340">
        <v>0</v>
      </c>
      <c r="BB13" s="340">
        <v>0</v>
      </c>
      <c r="BC13" s="340">
        <v>0</v>
      </c>
      <c r="BD13" s="340">
        <v>0</v>
      </c>
      <c r="BE13" s="438">
        <v>14.457015</v>
      </c>
      <c r="BF13" s="439">
        <v>-4.4570150000000002</v>
      </c>
      <c r="BG13" s="439">
        <v>231.08399199999997</v>
      </c>
      <c r="BH13" s="337"/>
      <c r="BI13" s="337"/>
    </row>
    <row r="14" spans="1:65" s="267" customFormat="1">
      <c r="A14" s="436" t="s">
        <v>659</v>
      </c>
      <c r="B14" s="440" t="s">
        <v>37</v>
      </c>
      <c r="C14" s="340">
        <v>50521.898718323195</v>
      </c>
      <c r="D14" s="340">
        <v>1688.7918516805439</v>
      </c>
      <c r="E14" s="340">
        <v>0</v>
      </c>
      <c r="F14" s="340">
        <v>0</v>
      </c>
      <c r="G14" s="340">
        <v>0</v>
      </c>
      <c r="H14" s="340">
        <v>0</v>
      </c>
      <c r="I14" s="419">
        <v>38409.892572944431</v>
      </c>
      <c r="J14" s="340">
        <v>0</v>
      </c>
      <c r="K14" s="340">
        <v>0</v>
      </c>
      <c r="L14" s="340">
        <v>0</v>
      </c>
      <c r="M14" s="340">
        <v>0</v>
      </c>
      <c r="N14" s="340">
        <v>0</v>
      </c>
      <c r="O14" s="340">
        <v>0</v>
      </c>
      <c r="P14" s="340">
        <v>0</v>
      </c>
      <c r="Q14" s="340">
        <v>1688.7918516805439</v>
      </c>
      <c r="R14" s="340">
        <v>10423.214293698225</v>
      </c>
      <c r="S14" s="340">
        <v>557.13</v>
      </c>
      <c r="T14" s="340">
        <v>4.0999999999999988</v>
      </c>
      <c r="U14" s="340">
        <v>2105.6636669999998</v>
      </c>
      <c r="V14" s="340">
        <v>605</v>
      </c>
      <c r="W14" s="340">
        <v>190.92917</v>
      </c>
      <c r="X14" s="340">
        <v>360.06510000000003</v>
      </c>
      <c r="Y14" s="340">
        <v>1021.592176334107</v>
      </c>
      <c r="Z14" s="340">
        <v>511.15</v>
      </c>
      <c r="AA14" s="408">
        <v>3056.0124147330525</v>
      </c>
      <c r="AB14" s="340">
        <v>1777.7448999999997</v>
      </c>
      <c r="AC14" s="340">
        <v>181.09989999999999</v>
      </c>
      <c r="AD14" s="340">
        <v>17.164895999999999</v>
      </c>
      <c r="AE14" s="340">
        <v>0.81114600000000003</v>
      </c>
      <c r="AF14" s="340">
        <v>42.427191565499399</v>
      </c>
      <c r="AG14" s="340">
        <v>63.283846119994401</v>
      </c>
      <c r="AH14" s="340">
        <v>723.79011300000013</v>
      </c>
      <c r="AI14" s="340">
        <v>1.7084110000000003</v>
      </c>
      <c r="AJ14" s="340">
        <v>0</v>
      </c>
      <c r="AK14" s="340">
        <v>9.5</v>
      </c>
      <c r="AL14" s="340">
        <v>46.985676229995732</v>
      </c>
      <c r="AM14" s="340">
        <v>29.667911</v>
      </c>
      <c r="AN14" s="340">
        <v>143.60327181756367</v>
      </c>
      <c r="AO14" s="340">
        <v>0</v>
      </c>
      <c r="AP14" s="340">
        <v>0</v>
      </c>
      <c r="AQ14" s="340">
        <v>18.225151999999998</v>
      </c>
      <c r="AR14" s="340">
        <v>0</v>
      </c>
      <c r="AS14" s="340">
        <v>13.444534631066022</v>
      </c>
      <c r="AT14" s="340">
        <v>20.017899999999997</v>
      </c>
      <c r="AU14" s="340">
        <v>1466.9538700000001</v>
      </c>
      <c r="AV14" s="340">
        <v>405.95</v>
      </c>
      <c r="AW14" s="340">
        <v>9.1370010000000086</v>
      </c>
      <c r="AX14" s="340">
        <v>0</v>
      </c>
      <c r="AY14" s="340">
        <v>0</v>
      </c>
      <c r="AZ14" s="340">
        <v>3.8</v>
      </c>
      <c r="BA14" s="340">
        <v>0</v>
      </c>
      <c r="BB14" s="340">
        <v>0</v>
      </c>
      <c r="BC14" s="340">
        <v>92.268459999999976</v>
      </c>
      <c r="BD14" s="340">
        <v>0</v>
      </c>
      <c r="BE14" s="438">
        <v>12112.006145378769</v>
      </c>
      <c r="BF14" s="439">
        <v>-6857.5954707471301</v>
      </c>
      <c r="BG14" s="439">
        <v>43664.303247576063</v>
      </c>
      <c r="BH14" s="337"/>
      <c r="BI14" s="337"/>
    </row>
    <row r="15" spans="1:65" s="267" customFormat="1">
      <c r="A15" s="441" t="s">
        <v>660</v>
      </c>
      <c r="B15" s="442" t="s">
        <v>42</v>
      </c>
      <c r="C15" s="406">
        <v>512.88672500000007</v>
      </c>
      <c r="D15" s="406">
        <v>506.88672500000001</v>
      </c>
      <c r="E15" s="340">
        <v>0</v>
      </c>
      <c r="F15" s="340">
        <v>0</v>
      </c>
      <c r="G15" s="340">
        <v>0</v>
      </c>
      <c r="H15" s="340">
        <v>0</v>
      </c>
      <c r="I15" s="340">
        <v>506.88672500000001</v>
      </c>
      <c r="J15" s="419">
        <v>0</v>
      </c>
      <c r="K15" s="340">
        <v>0</v>
      </c>
      <c r="L15" s="340">
        <v>0</v>
      </c>
      <c r="M15" s="340">
        <v>0</v>
      </c>
      <c r="N15" s="340">
        <v>0</v>
      </c>
      <c r="O15" s="340">
        <v>0</v>
      </c>
      <c r="P15" s="340">
        <v>0</v>
      </c>
      <c r="Q15" s="340">
        <v>0</v>
      </c>
      <c r="R15" s="340">
        <v>6</v>
      </c>
      <c r="S15" s="340">
        <v>0</v>
      </c>
      <c r="T15" s="340">
        <v>0</v>
      </c>
      <c r="U15" s="340">
        <v>0</v>
      </c>
      <c r="V15" s="340">
        <v>0</v>
      </c>
      <c r="W15" s="340">
        <v>0</v>
      </c>
      <c r="X15" s="340">
        <v>0</v>
      </c>
      <c r="Y15" s="340">
        <v>0</v>
      </c>
      <c r="Z15" s="340">
        <v>6</v>
      </c>
      <c r="AA15" s="408">
        <v>0</v>
      </c>
      <c r="AB15" s="340">
        <v>0</v>
      </c>
      <c r="AC15" s="340">
        <v>0</v>
      </c>
      <c r="AD15" s="340">
        <v>0</v>
      </c>
      <c r="AE15" s="340">
        <v>0</v>
      </c>
      <c r="AF15" s="340">
        <v>0</v>
      </c>
      <c r="AG15" s="340">
        <v>0</v>
      </c>
      <c r="AH15" s="340">
        <v>0</v>
      </c>
      <c r="AI15" s="340">
        <v>0</v>
      </c>
      <c r="AJ15" s="340">
        <v>0</v>
      </c>
      <c r="AK15" s="340">
        <v>0</v>
      </c>
      <c r="AL15" s="340">
        <v>0</v>
      </c>
      <c r="AM15" s="340">
        <v>0</v>
      </c>
      <c r="AN15" s="340">
        <v>0</v>
      </c>
      <c r="AO15" s="340">
        <v>0</v>
      </c>
      <c r="AP15" s="340">
        <v>0</v>
      </c>
      <c r="AQ15" s="340">
        <v>0</v>
      </c>
      <c r="AR15" s="340">
        <v>0</v>
      </c>
      <c r="AS15" s="340">
        <v>0</v>
      </c>
      <c r="AT15" s="340">
        <v>0</v>
      </c>
      <c r="AU15" s="340">
        <v>0</v>
      </c>
      <c r="AV15" s="340">
        <v>0</v>
      </c>
      <c r="AW15" s="340">
        <v>0</v>
      </c>
      <c r="AX15" s="340">
        <v>0</v>
      </c>
      <c r="AY15" s="340">
        <v>0</v>
      </c>
      <c r="AZ15" s="340">
        <v>0</v>
      </c>
      <c r="BA15" s="340">
        <v>0</v>
      </c>
      <c r="BB15" s="340">
        <v>0</v>
      </c>
      <c r="BC15" s="340">
        <v>0</v>
      </c>
      <c r="BD15" s="340">
        <v>0</v>
      </c>
      <c r="BE15" s="438">
        <v>512.88672500000007</v>
      </c>
      <c r="BF15" s="439">
        <v>-512.88672500000007</v>
      </c>
      <c r="BG15" s="439">
        <v>0</v>
      </c>
      <c r="BH15" s="337"/>
      <c r="BI15" s="337"/>
    </row>
    <row r="16" spans="1:65" s="267" customFormat="1">
      <c r="A16" s="441" t="s">
        <v>661</v>
      </c>
      <c r="B16" s="442" t="s">
        <v>45</v>
      </c>
      <c r="C16" s="406">
        <v>0</v>
      </c>
      <c r="D16" s="406">
        <v>0</v>
      </c>
      <c r="E16" s="340">
        <v>0</v>
      </c>
      <c r="F16" s="340">
        <v>0</v>
      </c>
      <c r="G16" s="340">
        <v>0</v>
      </c>
      <c r="H16" s="340">
        <v>0</v>
      </c>
      <c r="I16" s="340">
        <v>0</v>
      </c>
      <c r="J16" s="340">
        <v>0</v>
      </c>
      <c r="K16" s="419">
        <v>0</v>
      </c>
      <c r="L16" s="340">
        <v>0</v>
      </c>
      <c r="M16" s="340">
        <v>0</v>
      </c>
      <c r="N16" s="340">
        <v>0</v>
      </c>
      <c r="O16" s="340">
        <v>0</v>
      </c>
      <c r="P16" s="340">
        <v>0</v>
      </c>
      <c r="Q16" s="340">
        <v>0</v>
      </c>
      <c r="R16" s="340">
        <v>0</v>
      </c>
      <c r="S16" s="340">
        <v>0</v>
      </c>
      <c r="T16" s="340">
        <v>0</v>
      </c>
      <c r="U16" s="340">
        <v>0</v>
      </c>
      <c r="V16" s="340">
        <v>0</v>
      </c>
      <c r="W16" s="340">
        <v>0</v>
      </c>
      <c r="X16" s="340">
        <v>0</v>
      </c>
      <c r="Y16" s="340">
        <v>0</v>
      </c>
      <c r="Z16" s="340">
        <v>0</v>
      </c>
      <c r="AA16" s="408">
        <v>0</v>
      </c>
      <c r="AB16" s="340">
        <v>0</v>
      </c>
      <c r="AC16" s="340">
        <v>0</v>
      </c>
      <c r="AD16" s="340">
        <v>0</v>
      </c>
      <c r="AE16" s="340">
        <v>0</v>
      </c>
      <c r="AF16" s="340">
        <v>0</v>
      </c>
      <c r="AG16" s="340">
        <v>0</v>
      </c>
      <c r="AH16" s="340">
        <v>0</v>
      </c>
      <c r="AI16" s="340">
        <v>0</v>
      </c>
      <c r="AJ16" s="340">
        <v>0</v>
      </c>
      <c r="AK16" s="340">
        <v>0</v>
      </c>
      <c r="AL16" s="340">
        <v>0</v>
      </c>
      <c r="AM16" s="340">
        <v>0</v>
      </c>
      <c r="AN16" s="340">
        <v>0</v>
      </c>
      <c r="AO16" s="340">
        <v>0</v>
      </c>
      <c r="AP16" s="340">
        <v>0</v>
      </c>
      <c r="AQ16" s="340">
        <v>0</v>
      </c>
      <c r="AR16" s="340">
        <v>0</v>
      </c>
      <c r="AS16" s="340">
        <v>0</v>
      </c>
      <c r="AT16" s="340">
        <v>0</v>
      </c>
      <c r="AU16" s="340">
        <v>0</v>
      </c>
      <c r="AV16" s="340">
        <v>0</v>
      </c>
      <c r="AW16" s="340">
        <v>0</v>
      </c>
      <c r="AX16" s="340">
        <v>0</v>
      </c>
      <c r="AY16" s="340">
        <v>0</v>
      </c>
      <c r="AZ16" s="340">
        <v>0</v>
      </c>
      <c r="BA16" s="340">
        <v>0</v>
      </c>
      <c r="BB16" s="340">
        <v>0</v>
      </c>
      <c r="BC16" s="340">
        <v>0</v>
      </c>
      <c r="BD16" s="340">
        <v>0</v>
      </c>
      <c r="BE16" s="438">
        <v>0</v>
      </c>
      <c r="BF16" s="439">
        <v>0</v>
      </c>
      <c r="BG16" s="439">
        <v>0</v>
      </c>
      <c r="BH16" s="337"/>
      <c r="BI16" s="337"/>
    </row>
    <row r="17" spans="1:61" s="267" customFormat="1">
      <c r="A17" s="441" t="s">
        <v>662</v>
      </c>
      <c r="B17" s="442" t="s">
        <v>39</v>
      </c>
      <c r="C17" s="406">
        <v>5864.1843749999998</v>
      </c>
      <c r="D17" s="406">
        <v>4900.7143749999996</v>
      </c>
      <c r="E17" s="340">
        <v>0</v>
      </c>
      <c r="F17" s="340">
        <v>0</v>
      </c>
      <c r="G17" s="340">
        <v>0</v>
      </c>
      <c r="H17" s="340">
        <v>0</v>
      </c>
      <c r="I17" s="340">
        <v>4250.4743749999998</v>
      </c>
      <c r="J17" s="340">
        <v>0</v>
      </c>
      <c r="K17" s="340">
        <v>0</v>
      </c>
      <c r="L17" s="419">
        <v>0</v>
      </c>
      <c r="M17" s="340">
        <v>0</v>
      </c>
      <c r="N17" s="340">
        <v>0</v>
      </c>
      <c r="O17" s="340">
        <v>0</v>
      </c>
      <c r="P17" s="340">
        <v>0</v>
      </c>
      <c r="Q17" s="340">
        <v>650.24</v>
      </c>
      <c r="R17" s="340">
        <v>963.47</v>
      </c>
      <c r="S17" s="340">
        <v>0</v>
      </c>
      <c r="T17" s="340">
        <v>0</v>
      </c>
      <c r="U17" s="340">
        <v>873.53</v>
      </c>
      <c r="V17" s="340">
        <v>0</v>
      </c>
      <c r="W17" s="340">
        <v>0</v>
      </c>
      <c r="X17" s="340">
        <v>0</v>
      </c>
      <c r="Y17" s="340">
        <v>0</v>
      </c>
      <c r="Z17" s="340">
        <v>14.870000000000001</v>
      </c>
      <c r="AA17" s="408">
        <v>25.35</v>
      </c>
      <c r="AB17" s="340">
        <v>25.35</v>
      </c>
      <c r="AC17" s="340">
        <v>0</v>
      </c>
      <c r="AD17" s="340">
        <v>0</v>
      </c>
      <c r="AE17" s="340">
        <v>0</v>
      </c>
      <c r="AF17" s="340">
        <v>0</v>
      </c>
      <c r="AG17" s="340">
        <v>0</v>
      </c>
      <c r="AH17" s="340">
        <v>0</v>
      </c>
      <c r="AI17" s="340">
        <v>0</v>
      </c>
      <c r="AJ17" s="340">
        <v>0</v>
      </c>
      <c r="AK17" s="340">
        <v>0</v>
      </c>
      <c r="AL17" s="340">
        <v>0</v>
      </c>
      <c r="AM17" s="340">
        <v>0</v>
      </c>
      <c r="AN17" s="340">
        <v>0</v>
      </c>
      <c r="AO17" s="340">
        <v>0</v>
      </c>
      <c r="AP17" s="340">
        <v>0</v>
      </c>
      <c r="AQ17" s="340">
        <v>0</v>
      </c>
      <c r="AR17" s="340">
        <v>0</v>
      </c>
      <c r="AS17" s="340">
        <v>0</v>
      </c>
      <c r="AT17" s="340">
        <v>0</v>
      </c>
      <c r="AU17" s="340">
        <v>37.080000000000005</v>
      </c>
      <c r="AV17" s="340">
        <v>12.64</v>
      </c>
      <c r="AW17" s="340">
        <v>0</v>
      </c>
      <c r="AX17" s="340">
        <v>0</v>
      </c>
      <c r="AY17" s="340">
        <v>0</v>
      </c>
      <c r="AZ17" s="340">
        <v>0</v>
      </c>
      <c r="BA17" s="340">
        <v>0</v>
      </c>
      <c r="BB17" s="340">
        <v>0</v>
      </c>
      <c r="BC17" s="340">
        <v>0</v>
      </c>
      <c r="BD17" s="340">
        <v>0</v>
      </c>
      <c r="BE17" s="438">
        <v>5864.1843749999998</v>
      </c>
      <c r="BF17" s="439">
        <v>-5864.1843749999998</v>
      </c>
      <c r="BG17" s="439">
        <v>0</v>
      </c>
      <c r="BH17" s="337"/>
      <c r="BI17" s="337"/>
    </row>
    <row r="18" spans="1:61" s="342" customFormat="1" ht="13.8">
      <c r="A18" s="443" t="s">
        <v>663</v>
      </c>
      <c r="B18" s="444" t="s">
        <v>39</v>
      </c>
      <c r="C18" s="405">
        <v>5864.1843749999998</v>
      </c>
      <c r="D18" s="405">
        <v>4900.7143749999996</v>
      </c>
      <c r="E18" s="411">
        <v>0</v>
      </c>
      <c r="F18" s="411">
        <v>0</v>
      </c>
      <c r="G18" s="411">
        <v>0</v>
      </c>
      <c r="H18" s="411">
        <v>0</v>
      </c>
      <c r="I18" s="411">
        <v>4250.4743749999998</v>
      </c>
      <c r="J18" s="411">
        <v>0</v>
      </c>
      <c r="K18" s="411">
        <v>0</v>
      </c>
      <c r="L18" s="411">
        <v>0</v>
      </c>
      <c r="M18" s="459">
        <v>0</v>
      </c>
      <c r="N18" s="411">
        <v>0</v>
      </c>
      <c r="O18" s="411">
        <v>0</v>
      </c>
      <c r="P18" s="411">
        <v>0</v>
      </c>
      <c r="Q18" s="411">
        <v>650.24</v>
      </c>
      <c r="R18" s="411">
        <v>963.47</v>
      </c>
      <c r="S18" s="411">
        <v>0</v>
      </c>
      <c r="T18" s="411">
        <v>0</v>
      </c>
      <c r="U18" s="411">
        <v>873.53</v>
      </c>
      <c r="V18" s="411">
        <v>0</v>
      </c>
      <c r="W18" s="411">
        <v>0</v>
      </c>
      <c r="X18" s="411">
        <v>0</v>
      </c>
      <c r="Y18" s="411">
        <v>0</v>
      </c>
      <c r="Z18" s="411">
        <v>14.870000000000001</v>
      </c>
      <c r="AA18" s="412">
        <v>25.35</v>
      </c>
      <c r="AB18" s="411">
        <v>25.35</v>
      </c>
      <c r="AC18" s="411">
        <v>0</v>
      </c>
      <c r="AD18" s="411">
        <v>0</v>
      </c>
      <c r="AE18" s="411">
        <v>0</v>
      </c>
      <c r="AF18" s="411">
        <v>0</v>
      </c>
      <c r="AG18" s="411">
        <v>0</v>
      </c>
      <c r="AH18" s="411">
        <v>0</v>
      </c>
      <c r="AI18" s="411">
        <v>0</v>
      </c>
      <c r="AJ18" s="411">
        <v>0</v>
      </c>
      <c r="AK18" s="411">
        <v>0</v>
      </c>
      <c r="AL18" s="411">
        <v>0</v>
      </c>
      <c r="AM18" s="411">
        <v>0</v>
      </c>
      <c r="AN18" s="411">
        <v>0</v>
      </c>
      <c r="AO18" s="411">
        <v>0</v>
      </c>
      <c r="AP18" s="411">
        <v>0</v>
      </c>
      <c r="AQ18" s="411">
        <v>0</v>
      </c>
      <c r="AR18" s="411">
        <v>0</v>
      </c>
      <c r="AS18" s="411">
        <v>0</v>
      </c>
      <c r="AT18" s="411">
        <v>0</v>
      </c>
      <c r="AU18" s="411">
        <v>37.080000000000005</v>
      </c>
      <c r="AV18" s="411">
        <v>12.64</v>
      </c>
      <c r="AW18" s="411">
        <v>0</v>
      </c>
      <c r="AX18" s="411">
        <v>0</v>
      </c>
      <c r="AY18" s="411">
        <v>0</v>
      </c>
      <c r="AZ18" s="411">
        <v>0</v>
      </c>
      <c r="BA18" s="411">
        <v>0</v>
      </c>
      <c r="BB18" s="411">
        <v>0</v>
      </c>
      <c r="BC18" s="411">
        <v>0</v>
      </c>
      <c r="BD18" s="411">
        <v>0</v>
      </c>
      <c r="BE18" s="434">
        <v>5864.1843749999998</v>
      </c>
      <c r="BF18" s="435">
        <v>-5864.1843749999998</v>
      </c>
      <c r="BG18" s="435">
        <v>0</v>
      </c>
      <c r="BH18" s="341"/>
      <c r="BI18" s="341"/>
    </row>
    <row r="19" spans="1:61" s="342" customFormat="1" ht="13.8">
      <c r="A19" s="443" t="s">
        <v>664</v>
      </c>
      <c r="B19" s="444" t="s">
        <v>293</v>
      </c>
      <c r="C19" s="405">
        <v>0</v>
      </c>
      <c r="D19" s="405">
        <v>0</v>
      </c>
      <c r="E19" s="411">
        <v>0</v>
      </c>
      <c r="F19" s="411">
        <v>0</v>
      </c>
      <c r="G19" s="411">
        <v>0</v>
      </c>
      <c r="H19" s="411">
        <v>0</v>
      </c>
      <c r="I19" s="411">
        <v>0</v>
      </c>
      <c r="J19" s="411">
        <v>0</v>
      </c>
      <c r="K19" s="411">
        <v>0</v>
      </c>
      <c r="L19" s="411">
        <v>0</v>
      </c>
      <c r="M19" s="411">
        <v>0</v>
      </c>
      <c r="N19" s="459">
        <v>0</v>
      </c>
      <c r="O19" s="411">
        <v>0</v>
      </c>
      <c r="P19" s="411">
        <v>0</v>
      </c>
      <c r="Q19" s="411">
        <v>0</v>
      </c>
      <c r="R19" s="411">
        <v>0</v>
      </c>
      <c r="S19" s="411">
        <v>0</v>
      </c>
      <c r="T19" s="411">
        <v>0</v>
      </c>
      <c r="U19" s="411">
        <v>0</v>
      </c>
      <c r="V19" s="411">
        <v>0</v>
      </c>
      <c r="W19" s="411">
        <v>0</v>
      </c>
      <c r="X19" s="411">
        <v>0</v>
      </c>
      <c r="Y19" s="411">
        <v>0</v>
      </c>
      <c r="Z19" s="411">
        <v>0</v>
      </c>
      <c r="AA19" s="412">
        <v>0</v>
      </c>
      <c r="AB19" s="413">
        <v>0</v>
      </c>
      <c r="AC19" s="413">
        <v>0</v>
      </c>
      <c r="AD19" s="411">
        <v>0</v>
      </c>
      <c r="AE19" s="411">
        <v>0</v>
      </c>
      <c r="AF19" s="411">
        <v>0</v>
      </c>
      <c r="AG19" s="411">
        <v>0</v>
      </c>
      <c r="AH19" s="411">
        <v>0</v>
      </c>
      <c r="AI19" s="411">
        <v>0</v>
      </c>
      <c r="AJ19" s="411">
        <v>0</v>
      </c>
      <c r="AK19" s="411">
        <v>0</v>
      </c>
      <c r="AL19" s="411">
        <v>0</v>
      </c>
      <c r="AM19" s="411">
        <v>0</v>
      </c>
      <c r="AN19" s="411">
        <v>0</v>
      </c>
      <c r="AO19" s="411">
        <v>0</v>
      </c>
      <c r="AP19" s="411">
        <v>0</v>
      </c>
      <c r="AQ19" s="411">
        <v>0</v>
      </c>
      <c r="AR19" s="411">
        <v>0</v>
      </c>
      <c r="AS19" s="411">
        <v>0</v>
      </c>
      <c r="AT19" s="411">
        <v>0</v>
      </c>
      <c r="AU19" s="411">
        <v>0</v>
      </c>
      <c r="AV19" s="411">
        <v>0</v>
      </c>
      <c r="AW19" s="411">
        <v>0</v>
      </c>
      <c r="AX19" s="411">
        <v>0</v>
      </c>
      <c r="AY19" s="411">
        <v>0</v>
      </c>
      <c r="AZ19" s="411">
        <v>0</v>
      </c>
      <c r="BA19" s="411">
        <v>0</v>
      </c>
      <c r="BB19" s="411">
        <v>0</v>
      </c>
      <c r="BC19" s="411">
        <v>0</v>
      </c>
      <c r="BD19" s="413">
        <v>0</v>
      </c>
      <c r="BE19" s="434">
        <v>0</v>
      </c>
      <c r="BF19" s="435">
        <v>0</v>
      </c>
      <c r="BG19" s="435">
        <v>0</v>
      </c>
      <c r="BH19" s="341"/>
      <c r="BI19" s="341"/>
    </row>
    <row r="20" spans="1:61" s="267" customFormat="1">
      <c r="A20" s="441" t="s">
        <v>665</v>
      </c>
      <c r="B20" s="442" t="s">
        <v>48</v>
      </c>
      <c r="C20" s="406">
        <v>44.726283845006691</v>
      </c>
      <c r="D20" s="406">
        <v>0</v>
      </c>
      <c r="E20" s="340">
        <v>0</v>
      </c>
      <c r="F20" s="340">
        <v>0</v>
      </c>
      <c r="G20" s="340">
        <v>0</v>
      </c>
      <c r="H20" s="340">
        <v>0</v>
      </c>
      <c r="I20" s="340">
        <v>0</v>
      </c>
      <c r="J20" s="340">
        <v>0</v>
      </c>
      <c r="K20" s="340">
        <v>0</v>
      </c>
      <c r="L20" s="340">
        <v>0</v>
      </c>
      <c r="M20" s="340">
        <v>0</v>
      </c>
      <c r="N20" s="340">
        <v>0</v>
      </c>
      <c r="O20" s="419">
        <v>43.960183845006696</v>
      </c>
      <c r="P20" s="340">
        <v>0</v>
      </c>
      <c r="Q20" s="340">
        <v>0</v>
      </c>
      <c r="R20" s="340">
        <v>0.7661</v>
      </c>
      <c r="S20" s="340">
        <v>0</v>
      </c>
      <c r="T20" s="340">
        <v>0</v>
      </c>
      <c r="U20" s="340">
        <v>0</v>
      </c>
      <c r="V20" s="340">
        <v>0</v>
      </c>
      <c r="W20" s="340">
        <v>0</v>
      </c>
      <c r="X20" s="340">
        <v>0</v>
      </c>
      <c r="Y20" s="340">
        <v>0</v>
      </c>
      <c r="Z20" s="340">
        <v>0</v>
      </c>
      <c r="AA20" s="408">
        <v>0</v>
      </c>
      <c r="AB20" s="340">
        <v>0</v>
      </c>
      <c r="AC20" s="340">
        <v>0</v>
      </c>
      <c r="AD20" s="340">
        <v>0</v>
      </c>
      <c r="AE20" s="340">
        <v>0</v>
      </c>
      <c r="AF20" s="340">
        <v>0</v>
      </c>
      <c r="AG20" s="340">
        <v>0</v>
      </c>
      <c r="AH20" s="340">
        <v>0</v>
      </c>
      <c r="AI20" s="340">
        <v>0</v>
      </c>
      <c r="AJ20" s="340">
        <v>0</v>
      </c>
      <c r="AK20" s="340">
        <v>0</v>
      </c>
      <c r="AL20" s="340">
        <v>0</v>
      </c>
      <c r="AM20" s="340">
        <v>0</v>
      </c>
      <c r="AN20" s="340">
        <v>0</v>
      </c>
      <c r="AO20" s="340">
        <v>0</v>
      </c>
      <c r="AP20" s="340">
        <v>0</v>
      </c>
      <c r="AQ20" s="340">
        <v>0</v>
      </c>
      <c r="AR20" s="340">
        <v>0</v>
      </c>
      <c r="AS20" s="340">
        <v>0</v>
      </c>
      <c r="AT20" s="340">
        <v>0.7661</v>
      </c>
      <c r="AU20" s="340">
        <v>0</v>
      </c>
      <c r="AV20" s="340">
        <v>0</v>
      </c>
      <c r="AW20" s="340">
        <v>0</v>
      </c>
      <c r="AX20" s="340">
        <v>0</v>
      </c>
      <c r="AY20" s="340">
        <v>0</v>
      </c>
      <c r="AZ20" s="340">
        <v>0</v>
      </c>
      <c r="BA20" s="340">
        <v>0</v>
      </c>
      <c r="BB20" s="340">
        <v>0</v>
      </c>
      <c r="BC20" s="340">
        <v>0</v>
      </c>
      <c r="BD20" s="340">
        <v>0</v>
      </c>
      <c r="BE20" s="438">
        <v>0.7661</v>
      </c>
      <c r="BF20" s="439">
        <v>4.2339000000000002</v>
      </c>
      <c r="BG20" s="439">
        <v>48.960183845006689</v>
      </c>
      <c r="BH20" s="337"/>
      <c r="BI20" s="337"/>
    </row>
    <row r="21" spans="1:61" s="267" customFormat="1">
      <c r="A21" s="441" t="s">
        <v>666</v>
      </c>
      <c r="B21" s="442" t="s">
        <v>51</v>
      </c>
      <c r="C21" s="406">
        <v>0</v>
      </c>
      <c r="D21" s="406">
        <v>0</v>
      </c>
      <c r="E21" s="340">
        <v>0</v>
      </c>
      <c r="F21" s="340">
        <v>0</v>
      </c>
      <c r="G21" s="340">
        <v>0</v>
      </c>
      <c r="H21" s="340">
        <v>0</v>
      </c>
      <c r="I21" s="340">
        <v>0</v>
      </c>
      <c r="J21" s="340">
        <v>0</v>
      </c>
      <c r="K21" s="340">
        <v>0</v>
      </c>
      <c r="L21" s="340">
        <v>0</v>
      </c>
      <c r="M21" s="340">
        <v>0</v>
      </c>
      <c r="N21" s="340">
        <v>0</v>
      </c>
      <c r="O21" s="340">
        <v>0</v>
      </c>
      <c r="P21" s="419">
        <v>0</v>
      </c>
      <c r="Q21" s="340">
        <v>0</v>
      </c>
      <c r="R21" s="340">
        <v>0</v>
      </c>
      <c r="S21" s="340">
        <v>0</v>
      </c>
      <c r="T21" s="340">
        <v>0</v>
      </c>
      <c r="U21" s="340">
        <v>0</v>
      </c>
      <c r="V21" s="340">
        <v>0</v>
      </c>
      <c r="W21" s="340">
        <v>0</v>
      </c>
      <c r="X21" s="340">
        <v>0</v>
      </c>
      <c r="Y21" s="340">
        <v>0</v>
      </c>
      <c r="Z21" s="340">
        <v>0</v>
      </c>
      <c r="AA21" s="408">
        <v>0</v>
      </c>
      <c r="AB21" s="340">
        <v>0</v>
      </c>
      <c r="AC21" s="340">
        <v>0</v>
      </c>
      <c r="AD21" s="340">
        <v>0</v>
      </c>
      <c r="AE21" s="340">
        <v>0</v>
      </c>
      <c r="AF21" s="340">
        <v>0</v>
      </c>
      <c r="AG21" s="340">
        <v>0</v>
      </c>
      <c r="AH21" s="340">
        <v>0</v>
      </c>
      <c r="AI21" s="340">
        <v>0</v>
      </c>
      <c r="AJ21" s="340">
        <v>0</v>
      </c>
      <c r="AK21" s="340">
        <v>0</v>
      </c>
      <c r="AL21" s="340">
        <v>0</v>
      </c>
      <c r="AM21" s="340">
        <v>0</v>
      </c>
      <c r="AN21" s="340">
        <v>0</v>
      </c>
      <c r="AO21" s="340">
        <v>0</v>
      </c>
      <c r="AP21" s="340">
        <v>0</v>
      </c>
      <c r="AQ21" s="340">
        <v>0</v>
      </c>
      <c r="AR21" s="340">
        <v>0</v>
      </c>
      <c r="AS21" s="340">
        <v>0</v>
      </c>
      <c r="AT21" s="340">
        <v>0</v>
      </c>
      <c r="AU21" s="340">
        <v>0</v>
      </c>
      <c r="AV21" s="340">
        <v>0</v>
      </c>
      <c r="AW21" s="340">
        <v>0</v>
      </c>
      <c r="AX21" s="340">
        <v>0</v>
      </c>
      <c r="AY21" s="340">
        <v>0</v>
      </c>
      <c r="AZ21" s="340">
        <v>0</v>
      </c>
      <c r="BA21" s="340">
        <v>0</v>
      </c>
      <c r="BB21" s="340">
        <v>0</v>
      </c>
      <c r="BC21" s="340">
        <v>0</v>
      </c>
      <c r="BD21" s="340">
        <v>0</v>
      </c>
      <c r="BE21" s="438">
        <v>0</v>
      </c>
      <c r="BF21" s="439">
        <v>0</v>
      </c>
      <c r="BG21" s="439">
        <v>0</v>
      </c>
      <c r="BH21" s="337"/>
      <c r="BI21" s="337"/>
    </row>
    <row r="22" spans="1:61" s="267" customFormat="1">
      <c r="A22" s="445" t="s">
        <v>667</v>
      </c>
      <c r="B22" s="446" t="s">
        <v>54</v>
      </c>
      <c r="C22" s="407">
        <v>490.425141</v>
      </c>
      <c r="D22" s="407">
        <v>0</v>
      </c>
      <c r="E22" s="414">
        <v>0</v>
      </c>
      <c r="F22" s="414">
        <v>0</v>
      </c>
      <c r="G22" s="414">
        <v>0</v>
      </c>
      <c r="H22" s="414">
        <v>0</v>
      </c>
      <c r="I22" s="414">
        <v>0</v>
      </c>
      <c r="J22" s="414">
        <v>0</v>
      </c>
      <c r="K22" s="414">
        <v>0</v>
      </c>
      <c r="L22" s="340">
        <v>0</v>
      </c>
      <c r="M22" s="414">
        <v>0</v>
      </c>
      <c r="N22" s="414">
        <v>0</v>
      </c>
      <c r="O22" s="414">
        <v>0</v>
      </c>
      <c r="P22" s="414">
        <v>0</v>
      </c>
      <c r="Q22" s="419">
        <v>490.425141</v>
      </c>
      <c r="R22" s="340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08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14">
        <v>0</v>
      </c>
      <c r="AI22" s="414">
        <v>0</v>
      </c>
      <c r="AJ22" s="414">
        <v>0</v>
      </c>
      <c r="AK22" s="414">
        <v>0</v>
      </c>
      <c r="AL22" s="414">
        <v>0</v>
      </c>
      <c r="AM22" s="414">
        <v>0</v>
      </c>
      <c r="AN22" s="414">
        <v>0</v>
      </c>
      <c r="AO22" s="414">
        <v>0</v>
      </c>
      <c r="AP22" s="414">
        <v>0</v>
      </c>
      <c r="AQ22" s="414">
        <v>0</v>
      </c>
      <c r="AR22" s="414">
        <v>0</v>
      </c>
      <c r="AS22" s="414">
        <v>0</v>
      </c>
      <c r="AT22" s="414">
        <v>0</v>
      </c>
      <c r="AU22" s="414">
        <v>0</v>
      </c>
      <c r="AV22" s="414">
        <v>0</v>
      </c>
      <c r="AW22" s="414">
        <v>0</v>
      </c>
      <c r="AX22" s="414">
        <v>0</v>
      </c>
      <c r="AY22" s="414">
        <v>0</v>
      </c>
      <c r="AZ22" s="414">
        <v>0</v>
      </c>
      <c r="BA22" s="414">
        <v>0</v>
      </c>
      <c r="BB22" s="414">
        <v>0</v>
      </c>
      <c r="BC22" s="414">
        <v>0</v>
      </c>
      <c r="BD22" s="414">
        <v>0</v>
      </c>
      <c r="BE22" s="447">
        <v>0</v>
      </c>
      <c r="BF22" s="448">
        <v>2339.0318516805442</v>
      </c>
      <c r="BG22" s="448">
        <v>2829.4569926805443</v>
      </c>
      <c r="BH22" s="337"/>
      <c r="BI22" s="337"/>
    </row>
    <row r="23" spans="1:61" s="267" customFormat="1">
      <c r="A23" s="426" t="s">
        <v>668</v>
      </c>
      <c r="B23" s="449" t="s">
        <v>56</v>
      </c>
      <c r="C23" s="423">
        <v>7724.0764728317881</v>
      </c>
      <c r="D23" s="423">
        <v>5.8017166316398923</v>
      </c>
      <c r="E23" s="423">
        <v>0</v>
      </c>
      <c r="F23" s="423">
        <v>0</v>
      </c>
      <c r="G23" s="423">
        <v>0</v>
      </c>
      <c r="H23" s="423">
        <v>0</v>
      </c>
      <c r="I23" s="423">
        <v>5.8017166316398923</v>
      </c>
      <c r="J23" s="423">
        <v>0</v>
      </c>
      <c r="K23" s="423">
        <v>0</v>
      </c>
      <c r="L23" s="423">
        <v>0</v>
      </c>
      <c r="M23" s="423">
        <v>0</v>
      </c>
      <c r="N23" s="423">
        <v>0</v>
      </c>
      <c r="O23" s="423">
        <v>0</v>
      </c>
      <c r="P23" s="423">
        <v>0</v>
      </c>
      <c r="Q23" s="423">
        <v>0</v>
      </c>
      <c r="R23" s="419">
        <v>7718.2747562001468</v>
      </c>
      <c r="S23" s="423">
        <v>0</v>
      </c>
      <c r="T23" s="423">
        <v>0.31161100000000003</v>
      </c>
      <c r="U23" s="423">
        <v>0</v>
      </c>
      <c r="V23" s="423">
        <v>0</v>
      </c>
      <c r="W23" s="423">
        <v>2.8242419999999999</v>
      </c>
      <c r="X23" s="423">
        <v>0</v>
      </c>
      <c r="Y23" s="423">
        <v>16.1278236658931</v>
      </c>
      <c r="Z23" s="423">
        <v>0</v>
      </c>
      <c r="AA23" s="423">
        <v>165.23565269719927</v>
      </c>
      <c r="AB23" s="423">
        <v>49.938729999999993</v>
      </c>
      <c r="AC23" s="423">
        <v>25.506399999999999</v>
      </c>
      <c r="AD23" s="423">
        <v>3.799800619999111</v>
      </c>
      <c r="AE23" s="423">
        <v>0.42993408999830496</v>
      </c>
      <c r="AF23" s="423">
        <v>2.3332963950033041</v>
      </c>
      <c r="AG23" s="423">
        <v>0.59624180244769198</v>
      </c>
      <c r="AH23" s="423">
        <v>58.433543</v>
      </c>
      <c r="AI23" s="423">
        <v>0</v>
      </c>
      <c r="AJ23" s="423">
        <v>0</v>
      </c>
      <c r="AK23" s="423">
        <v>0</v>
      </c>
      <c r="AL23" s="423">
        <v>0</v>
      </c>
      <c r="AM23" s="423">
        <v>0</v>
      </c>
      <c r="AN23" s="423">
        <v>0</v>
      </c>
      <c r="AO23" s="423">
        <v>0</v>
      </c>
      <c r="AP23" s="423">
        <v>22.657395789750886</v>
      </c>
      <c r="AQ23" s="423">
        <v>1.540311</v>
      </c>
      <c r="AR23" s="423">
        <v>0</v>
      </c>
      <c r="AS23" s="423">
        <v>4.2125593574513012</v>
      </c>
      <c r="AT23" s="423">
        <v>0.35639264500086104</v>
      </c>
      <c r="AU23" s="423">
        <v>0.51266999999999996</v>
      </c>
      <c r="AV23" s="423">
        <v>66.799509250000142</v>
      </c>
      <c r="AW23" s="423">
        <v>2.7541999999999955E-2</v>
      </c>
      <c r="AX23" s="423">
        <v>0</v>
      </c>
      <c r="AY23" s="423">
        <v>0</v>
      </c>
      <c r="AZ23" s="423">
        <v>0</v>
      </c>
      <c r="BA23" s="423">
        <v>0</v>
      </c>
      <c r="BB23" s="423">
        <v>0</v>
      </c>
      <c r="BC23" s="423">
        <v>0.598508510008678</v>
      </c>
      <c r="BD23" s="423">
        <v>0</v>
      </c>
      <c r="BE23" s="424">
        <v>5.8017166316398923</v>
      </c>
      <c r="BF23" s="424">
        <v>11416.519692066586</v>
      </c>
      <c r="BG23" s="424">
        <v>19140.596164898372</v>
      </c>
      <c r="BH23" s="337"/>
      <c r="BI23" s="337"/>
    </row>
    <row r="24" spans="1:61" s="267" customFormat="1">
      <c r="A24" s="450" t="s">
        <v>669</v>
      </c>
      <c r="B24" s="451" t="s">
        <v>72</v>
      </c>
      <c r="C24" s="404">
        <v>374.66124597094733</v>
      </c>
      <c r="D24" s="404">
        <v>0</v>
      </c>
      <c r="E24" s="408">
        <v>0</v>
      </c>
      <c r="F24" s="408">
        <v>0</v>
      </c>
      <c r="G24" s="408">
        <v>0</v>
      </c>
      <c r="H24" s="408">
        <v>0</v>
      </c>
      <c r="I24" s="408">
        <v>0</v>
      </c>
      <c r="J24" s="408">
        <v>0</v>
      </c>
      <c r="K24" s="408">
        <v>0</v>
      </c>
      <c r="L24" s="408">
        <v>0</v>
      </c>
      <c r="M24" s="408">
        <v>0</v>
      </c>
      <c r="N24" s="408">
        <v>0</v>
      </c>
      <c r="O24" s="408">
        <v>0</v>
      </c>
      <c r="P24" s="408">
        <v>0</v>
      </c>
      <c r="Q24" s="408">
        <v>0</v>
      </c>
      <c r="R24" s="415">
        <v>0</v>
      </c>
      <c r="S24" s="419">
        <v>374.66124597094733</v>
      </c>
      <c r="T24" s="408">
        <v>0</v>
      </c>
      <c r="U24" s="408">
        <v>0</v>
      </c>
      <c r="V24" s="408">
        <v>0</v>
      </c>
      <c r="W24" s="408">
        <v>0</v>
      </c>
      <c r="X24" s="408">
        <v>0</v>
      </c>
      <c r="Y24" s="408">
        <v>0</v>
      </c>
      <c r="Z24" s="408">
        <v>0</v>
      </c>
      <c r="AA24" s="415">
        <v>0</v>
      </c>
      <c r="AB24" s="415">
        <v>0</v>
      </c>
      <c r="AC24" s="415">
        <v>0</v>
      </c>
      <c r="AD24" s="408">
        <v>0</v>
      </c>
      <c r="AE24" s="408">
        <v>0</v>
      </c>
      <c r="AF24" s="408">
        <v>0</v>
      </c>
      <c r="AG24" s="408">
        <v>0</v>
      </c>
      <c r="AH24" s="408">
        <v>0</v>
      </c>
      <c r="AI24" s="408">
        <v>0</v>
      </c>
      <c r="AJ24" s="408">
        <v>0</v>
      </c>
      <c r="AK24" s="408">
        <v>0</v>
      </c>
      <c r="AL24" s="408">
        <v>0</v>
      </c>
      <c r="AM24" s="408">
        <v>0</v>
      </c>
      <c r="AN24" s="408">
        <v>0</v>
      </c>
      <c r="AO24" s="408">
        <v>0</v>
      </c>
      <c r="AP24" s="408">
        <v>0</v>
      </c>
      <c r="AQ24" s="408">
        <v>0</v>
      </c>
      <c r="AR24" s="408">
        <v>0</v>
      </c>
      <c r="AS24" s="408">
        <v>0</v>
      </c>
      <c r="AT24" s="408">
        <v>0</v>
      </c>
      <c r="AU24" s="408">
        <v>0</v>
      </c>
      <c r="AV24" s="408">
        <v>0</v>
      </c>
      <c r="AW24" s="408">
        <v>0</v>
      </c>
      <c r="AX24" s="408">
        <v>0</v>
      </c>
      <c r="AY24" s="408">
        <v>0</v>
      </c>
      <c r="AZ24" s="408">
        <v>0</v>
      </c>
      <c r="BA24" s="408">
        <v>0</v>
      </c>
      <c r="BB24" s="408">
        <v>0</v>
      </c>
      <c r="BC24" s="408">
        <v>0</v>
      </c>
      <c r="BD24" s="408">
        <v>0</v>
      </c>
      <c r="BE24" s="452">
        <v>0</v>
      </c>
      <c r="BF24" s="453">
        <v>557.13</v>
      </c>
      <c r="BG24" s="453">
        <v>931.79124597094733</v>
      </c>
      <c r="BH24" s="337"/>
      <c r="BI24" s="337"/>
    </row>
    <row r="25" spans="1:61" s="267" customFormat="1">
      <c r="A25" s="441" t="s">
        <v>670</v>
      </c>
      <c r="B25" s="442" t="s">
        <v>75</v>
      </c>
      <c r="C25" s="406">
        <v>1080.1335779999999</v>
      </c>
      <c r="D25" s="404">
        <v>0</v>
      </c>
      <c r="E25" s="340">
        <v>0</v>
      </c>
      <c r="F25" s="340">
        <v>0</v>
      </c>
      <c r="G25" s="340">
        <v>0</v>
      </c>
      <c r="H25" s="340">
        <v>0</v>
      </c>
      <c r="I25" s="340">
        <v>0</v>
      </c>
      <c r="J25" s="340">
        <v>0</v>
      </c>
      <c r="K25" s="340">
        <v>0</v>
      </c>
      <c r="L25" s="408">
        <v>0</v>
      </c>
      <c r="M25" s="340">
        <v>0</v>
      </c>
      <c r="N25" s="340">
        <v>0</v>
      </c>
      <c r="O25" s="340">
        <v>0</v>
      </c>
      <c r="P25" s="340">
        <v>0</v>
      </c>
      <c r="Q25" s="340">
        <v>0</v>
      </c>
      <c r="R25" s="416">
        <v>0</v>
      </c>
      <c r="S25" s="340">
        <v>0</v>
      </c>
      <c r="T25" s="419">
        <v>1080.1335779999999</v>
      </c>
      <c r="U25" s="340">
        <v>0</v>
      </c>
      <c r="V25" s="340">
        <v>0</v>
      </c>
      <c r="W25" s="340">
        <v>0</v>
      </c>
      <c r="X25" s="340">
        <v>0</v>
      </c>
      <c r="Y25" s="340">
        <v>0</v>
      </c>
      <c r="Z25" s="340">
        <v>0</v>
      </c>
      <c r="AA25" s="416">
        <v>0</v>
      </c>
      <c r="AB25" s="416">
        <v>0</v>
      </c>
      <c r="AC25" s="416">
        <v>0</v>
      </c>
      <c r="AD25" s="340">
        <v>0</v>
      </c>
      <c r="AE25" s="340">
        <v>0</v>
      </c>
      <c r="AF25" s="340">
        <v>0</v>
      </c>
      <c r="AG25" s="340">
        <v>0</v>
      </c>
      <c r="AH25" s="340">
        <v>0</v>
      </c>
      <c r="AI25" s="340">
        <v>0</v>
      </c>
      <c r="AJ25" s="340">
        <v>0</v>
      </c>
      <c r="AK25" s="340">
        <v>0</v>
      </c>
      <c r="AL25" s="340">
        <v>0</v>
      </c>
      <c r="AM25" s="340">
        <v>0</v>
      </c>
      <c r="AN25" s="340">
        <v>0</v>
      </c>
      <c r="AO25" s="340">
        <v>0</v>
      </c>
      <c r="AP25" s="340">
        <v>0</v>
      </c>
      <c r="AQ25" s="340">
        <v>0</v>
      </c>
      <c r="AR25" s="340">
        <v>0</v>
      </c>
      <c r="AS25" s="340">
        <v>0</v>
      </c>
      <c r="AT25" s="340">
        <v>0</v>
      </c>
      <c r="AU25" s="340">
        <v>0</v>
      </c>
      <c r="AV25" s="340">
        <v>0</v>
      </c>
      <c r="AW25" s="340">
        <v>0</v>
      </c>
      <c r="AX25" s="340">
        <v>0</v>
      </c>
      <c r="AY25" s="340">
        <v>0</v>
      </c>
      <c r="AZ25" s="340">
        <v>0</v>
      </c>
      <c r="BA25" s="340">
        <v>0</v>
      </c>
      <c r="BB25" s="340">
        <v>0</v>
      </c>
      <c r="BC25" s="340">
        <v>0</v>
      </c>
      <c r="BD25" s="340">
        <v>0</v>
      </c>
      <c r="BE25" s="438">
        <v>0</v>
      </c>
      <c r="BF25" s="439">
        <v>4.4116109999999988</v>
      </c>
      <c r="BG25" s="439">
        <v>1084.5451889999999</v>
      </c>
      <c r="BH25" s="337"/>
      <c r="BI25" s="337"/>
    </row>
    <row r="26" spans="1:61" s="267" customFormat="1">
      <c r="A26" s="441" t="s">
        <v>671</v>
      </c>
      <c r="B26" s="442" t="s">
        <v>78</v>
      </c>
      <c r="C26" s="406">
        <v>862.78483199999994</v>
      </c>
      <c r="D26" s="404">
        <v>0</v>
      </c>
      <c r="E26" s="340">
        <v>0</v>
      </c>
      <c r="F26" s="340">
        <v>0</v>
      </c>
      <c r="G26" s="340">
        <v>0</v>
      </c>
      <c r="H26" s="340">
        <v>0</v>
      </c>
      <c r="I26" s="340">
        <v>0</v>
      </c>
      <c r="J26" s="340">
        <v>0</v>
      </c>
      <c r="K26" s="340">
        <v>0</v>
      </c>
      <c r="L26" s="408">
        <v>0</v>
      </c>
      <c r="M26" s="340">
        <v>0</v>
      </c>
      <c r="N26" s="340">
        <v>0</v>
      </c>
      <c r="O26" s="340">
        <v>0</v>
      </c>
      <c r="P26" s="340">
        <v>0</v>
      </c>
      <c r="Q26" s="340">
        <v>0</v>
      </c>
      <c r="R26" s="416">
        <v>0</v>
      </c>
      <c r="S26" s="340">
        <v>0</v>
      </c>
      <c r="T26" s="340">
        <v>0</v>
      </c>
      <c r="U26" s="419">
        <v>862.78483199999994</v>
      </c>
      <c r="V26" s="340">
        <v>0</v>
      </c>
      <c r="W26" s="340">
        <v>0</v>
      </c>
      <c r="X26" s="340">
        <v>0</v>
      </c>
      <c r="Y26" s="340">
        <v>0</v>
      </c>
      <c r="Z26" s="340">
        <v>0</v>
      </c>
      <c r="AA26" s="416">
        <v>0</v>
      </c>
      <c r="AB26" s="416">
        <v>0</v>
      </c>
      <c r="AC26" s="416">
        <v>0</v>
      </c>
      <c r="AD26" s="340">
        <v>0</v>
      </c>
      <c r="AE26" s="340">
        <v>0</v>
      </c>
      <c r="AF26" s="340">
        <v>0</v>
      </c>
      <c r="AG26" s="340">
        <v>0</v>
      </c>
      <c r="AH26" s="340">
        <v>0</v>
      </c>
      <c r="AI26" s="340">
        <v>0</v>
      </c>
      <c r="AJ26" s="340">
        <v>0</v>
      </c>
      <c r="AK26" s="340">
        <v>0</v>
      </c>
      <c r="AL26" s="340">
        <v>0</v>
      </c>
      <c r="AM26" s="340">
        <v>0</v>
      </c>
      <c r="AN26" s="340">
        <v>0</v>
      </c>
      <c r="AO26" s="340">
        <v>0</v>
      </c>
      <c r="AP26" s="340">
        <v>0</v>
      </c>
      <c r="AQ26" s="340">
        <v>0</v>
      </c>
      <c r="AR26" s="340">
        <v>0</v>
      </c>
      <c r="AS26" s="340">
        <v>0</v>
      </c>
      <c r="AT26" s="340">
        <v>0</v>
      </c>
      <c r="AU26" s="340">
        <v>0</v>
      </c>
      <c r="AV26" s="340">
        <v>0</v>
      </c>
      <c r="AW26" s="340">
        <v>0</v>
      </c>
      <c r="AX26" s="340">
        <v>0</v>
      </c>
      <c r="AY26" s="340">
        <v>0</v>
      </c>
      <c r="AZ26" s="340">
        <v>0</v>
      </c>
      <c r="BA26" s="340">
        <v>0</v>
      </c>
      <c r="BB26" s="340">
        <v>0</v>
      </c>
      <c r="BC26" s="340">
        <v>0</v>
      </c>
      <c r="BD26" s="340">
        <v>0</v>
      </c>
      <c r="BE26" s="438">
        <v>0</v>
      </c>
      <c r="BF26" s="439">
        <v>2979.193667</v>
      </c>
      <c r="BG26" s="439">
        <v>3841.9784989999998</v>
      </c>
      <c r="BH26" s="337"/>
      <c r="BI26" s="337"/>
    </row>
    <row r="27" spans="1:61" s="267" customFormat="1">
      <c r="A27" s="441" t="s">
        <v>672</v>
      </c>
      <c r="B27" s="442" t="s">
        <v>84</v>
      </c>
      <c r="C27" s="406">
        <v>0</v>
      </c>
      <c r="D27" s="404">
        <v>0</v>
      </c>
      <c r="E27" s="340">
        <v>0</v>
      </c>
      <c r="F27" s="340">
        <v>0</v>
      </c>
      <c r="G27" s="340">
        <v>0</v>
      </c>
      <c r="H27" s="340">
        <v>0</v>
      </c>
      <c r="I27" s="340">
        <v>0</v>
      </c>
      <c r="J27" s="340">
        <v>0</v>
      </c>
      <c r="K27" s="340">
        <v>0</v>
      </c>
      <c r="L27" s="408">
        <v>0</v>
      </c>
      <c r="M27" s="340">
        <v>0</v>
      </c>
      <c r="N27" s="340">
        <v>0</v>
      </c>
      <c r="O27" s="340">
        <v>0</v>
      </c>
      <c r="P27" s="340">
        <v>0</v>
      </c>
      <c r="Q27" s="340">
        <v>0</v>
      </c>
      <c r="R27" s="416">
        <v>0</v>
      </c>
      <c r="S27" s="340">
        <v>0</v>
      </c>
      <c r="T27" s="340">
        <v>0</v>
      </c>
      <c r="U27" s="340">
        <v>0</v>
      </c>
      <c r="V27" s="419">
        <v>0</v>
      </c>
      <c r="W27" s="340">
        <v>0</v>
      </c>
      <c r="X27" s="340">
        <v>0</v>
      </c>
      <c r="Y27" s="340">
        <v>0</v>
      </c>
      <c r="Z27" s="340">
        <v>0</v>
      </c>
      <c r="AA27" s="416">
        <v>0</v>
      </c>
      <c r="AB27" s="416">
        <v>0</v>
      </c>
      <c r="AC27" s="416">
        <v>0</v>
      </c>
      <c r="AD27" s="340">
        <v>0</v>
      </c>
      <c r="AE27" s="340">
        <v>0</v>
      </c>
      <c r="AF27" s="340">
        <v>0</v>
      </c>
      <c r="AG27" s="340">
        <v>0</v>
      </c>
      <c r="AH27" s="340">
        <v>0</v>
      </c>
      <c r="AI27" s="340">
        <v>0</v>
      </c>
      <c r="AJ27" s="340">
        <v>0</v>
      </c>
      <c r="AK27" s="340">
        <v>0</v>
      </c>
      <c r="AL27" s="340">
        <v>0</v>
      </c>
      <c r="AM27" s="340">
        <v>0</v>
      </c>
      <c r="AN27" s="340">
        <v>0</v>
      </c>
      <c r="AO27" s="340">
        <v>0</v>
      </c>
      <c r="AP27" s="340">
        <v>0</v>
      </c>
      <c r="AQ27" s="340">
        <v>0</v>
      </c>
      <c r="AR27" s="340">
        <v>0</v>
      </c>
      <c r="AS27" s="340">
        <v>0</v>
      </c>
      <c r="AT27" s="340">
        <v>0</v>
      </c>
      <c r="AU27" s="340">
        <v>0</v>
      </c>
      <c r="AV27" s="340">
        <v>0</v>
      </c>
      <c r="AW27" s="340">
        <v>0</v>
      </c>
      <c r="AX27" s="340">
        <v>0</v>
      </c>
      <c r="AY27" s="340">
        <v>0</v>
      </c>
      <c r="AZ27" s="340">
        <v>0</v>
      </c>
      <c r="BA27" s="340">
        <v>0</v>
      </c>
      <c r="BB27" s="340">
        <v>0</v>
      </c>
      <c r="BC27" s="340">
        <v>0</v>
      </c>
      <c r="BD27" s="340">
        <v>0</v>
      </c>
      <c r="BE27" s="438">
        <v>0</v>
      </c>
      <c r="BF27" s="439">
        <v>605</v>
      </c>
      <c r="BG27" s="439">
        <v>605</v>
      </c>
      <c r="BH27" s="337"/>
      <c r="BI27" s="337"/>
    </row>
    <row r="28" spans="1:61" s="267" customFormat="1">
      <c r="A28" s="441" t="s">
        <v>673</v>
      </c>
      <c r="B28" s="442" t="s">
        <v>87</v>
      </c>
      <c r="C28" s="406">
        <v>8.2458519999999993</v>
      </c>
      <c r="D28" s="404">
        <v>0</v>
      </c>
      <c r="E28" s="340">
        <v>0</v>
      </c>
      <c r="F28" s="340">
        <v>0</v>
      </c>
      <c r="G28" s="340">
        <v>0</v>
      </c>
      <c r="H28" s="340">
        <v>0</v>
      </c>
      <c r="I28" s="340">
        <v>0</v>
      </c>
      <c r="J28" s="340">
        <v>0</v>
      </c>
      <c r="K28" s="340">
        <v>0</v>
      </c>
      <c r="L28" s="408">
        <v>0</v>
      </c>
      <c r="M28" s="340">
        <v>0</v>
      </c>
      <c r="N28" s="340">
        <v>0</v>
      </c>
      <c r="O28" s="340">
        <v>0</v>
      </c>
      <c r="P28" s="340">
        <v>0</v>
      </c>
      <c r="Q28" s="340">
        <v>0</v>
      </c>
      <c r="R28" s="416">
        <v>0.21</v>
      </c>
      <c r="S28" s="340">
        <v>0</v>
      </c>
      <c r="T28" s="340">
        <v>0</v>
      </c>
      <c r="U28" s="340">
        <v>0</v>
      </c>
      <c r="V28" s="340">
        <v>0</v>
      </c>
      <c r="W28" s="419">
        <v>8.0358520000000002</v>
      </c>
      <c r="X28" s="340">
        <v>0</v>
      </c>
      <c r="Y28" s="340">
        <v>0</v>
      </c>
      <c r="Z28" s="340">
        <v>0</v>
      </c>
      <c r="AA28" s="416">
        <v>0</v>
      </c>
      <c r="AB28" s="416">
        <v>0</v>
      </c>
      <c r="AC28" s="416">
        <v>0</v>
      </c>
      <c r="AD28" s="340">
        <v>0</v>
      </c>
      <c r="AE28" s="340">
        <v>0</v>
      </c>
      <c r="AF28" s="340">
        <v>0</v>
      </c>
      <c r="AG28" s="340">
        <v>0</v>
      </c>
      <c r="AH28" s="340">
        <v>0</v>
      </c>
      <c r="AI28" s="340">
        <v>0</v>
      </c>
      <c r="AJ28" s="340">
        <v>0</v>
      </c>
      <c r="AK28" s="340">
        <v>0</v>
      </c>
      <c r="AL28" s="340">
        <v>0</v>
      </c>
      <c r="AM28" s="340">
        <v>0</v>
      </c>
      <c r="AN28" s="340">
        <v>0</v>
      </c>
      <c r="AO28" s="340">
        <v>0</v>
      </c>
      <c r="AP28" s="340">
        <v>0</v>
      </c>
      <c r="AQ28" s="340">
        <v>0</v>
      </c>
      <c r="AR28" s="340">
        <v>0</v>
      </c>
      <c r="AS28" s="340">
        <v>0.21</v>
      </c>
      <c r="AT28" s="340">
        <v>0</v>
      </c>
      <c r="AU28" s="340">
        <v>0</v>
      </c>
      <c r="AV28" s="340">
        <v>0</v>
      </c>
      <c r="AW28" s="340">
        <v>0</v>
      </c>
      <c r="AX28" s="340">
        <v>0</v>
      </c>
      <c r="AY28" s="340">
        <v>0</v>
      </c>
      <c r="AZ28" s="340">
        <v>0</v>
      </c>
      <c r="BA28" s="340">
        <v>0</v>
      </c>
      <c r="BB28" s="340">
        <v>0</v>
      </c>
      <c r="BC28" s="340">
        <v>0</v>
      </c>
      <c r="BD28" s="340">
        <v>0</v>
      </c>
      <c r="BE28" s="438">
        <v>0.21</v>
      </c>
      <c r="BF28" s="439">
        <v>193.54341199999999</v>
      </c>
      <c r="BG28" s="439">
        <v>201.789264</v>
      </c>
      <c r="BH28" s="337"/>
      <c r="BI28" s="337"/>
    </row>
    <row r="29" spans="1:61" s="267" customFormat="1">
      <c r="A29" s="441" t="s">
        <v>674</v>
      </c>
      <c r="B29" s="442" t="s">
        <v>90</v>
      </c>
      <c r="C29" s="406">
        <v>457.06079299999999</v>
      </c>
      <c r="D29" s="404">
        <v>0</v>
      </c>
      <c r="E29" s="340">
        <v>0</v>
      </c>
      <c r="F29" s="340">
        <v>0</v>
      </c>
      <c r="G29" s="340">
        <v>0</v>
      </c>
      <c r="H29" s="340">
        <v>0</v>
      </c>
      <c r="I29" s="340">
        <v>0</v>
      </c>
      <c r="J29" s="340">
        <v>0</v>
      </c>
      <c r="K29" s="340">
        <v>0</v>
      </c>
      <c r="L29" s="408">
        <v>0</v>
      </c>
      <c r="M29" s="340">
        <v>0</v>
      </c>
      <c r="N29" s="340">
        <v>0</v>
      </c>
      <c r="O29" s="340">
        <v>0</v>
      </c>
      <c r="P29" s="340">
        <v>0</v>
      </c>
      <c r="Q29" s="340">
        <v>0</v>
      </c>
      <c r="R29" s="416">
        <v>49.798729999999992</v>
      </c>
      <c r="S29" s="340">
        <v>0</v>
      </c>
      <c r="T29" s="340">
        <v>0</v>
      </c>
      <c r="U29" s="340">
        <v>0</v>
      </c>
      <c r="V29" s="340">
        <v>0</v>
      </c>
      <c r="W29" s="340">
        <v>0</v>
      </c>
      <c r="X29" s="419">
        <v>407.26206300000001</v>
      </c>
      <c r="Y29" s="340">
        <v>0</v>
      </c>
      <c r="Z29" s="340">
        <v>0</v>
      </c>
      <c r="AA29" s="416">
        <v>3.4687299999999901</v>
      </c>
      <c r="AB29" s="416">
        <v>3.4687299999999901</v>
      </c>
      <c r="AC29" s="416">
        <v>0</v>
      </c>
      <c r="AD29" s="340">
        <v>0</v>
      </c>
      <c r="AE29" s="340">
        <v>0</v>
      </c>
      <c r="AF29" s="340">
        <v>0</v>
      </c>
      <c r="AG29" s="340">
        <v>0</v>
      </c>
      <c r="AH29" s="340">
        <v>0</v>
      </c>
      <c r="AI29" s="340">
        <v>0</v>
      </c>
      <c r="AJ29" s="340">
        <v>0</v>
      </c>
      <c r="AK29" s="340">
        <v>0</v>
      </c>
      <c r="AL29" s="340">
        <v>0</v>
      </c>
      <c r="AM29" s="340">
        <v>0</v>
      </c>
      <c r="AN29" s="340">
        <v>0</v>
      </c>
      <c r="AO29" s="340">
        <v>0</v>
      </c>
      <c r="AP29" s="340">
        <v>0</v>
      </c>
      <c r="AQ29" s="340">
        <v>0</v>
      </c>
      <c r="AR29" s="340">
        <v>0</v>
      </c>
      <c r="AS29" s="340">
        <v>0</v>
      </c>
      <c r="AT29" s="340">
        <v>0</v>
      </c>
      <c r="AU29" s="340">
        <v>0</v>
      </c>
      <c r="AV29" s="340">
        <v>46.33</v>
      </c>
      <c r="AW29" s="340">
        <v>0</v>
      </c>
      <c r="AX29" s="340">
        <v>0</v>
      </c>
      <c r="AY29" s="340">
        <v>0</v>
      </c>
      <c r="AZ29" s="340">
        <v>0</v>
      </c>
      <c r="BA29" s="340">
        <v>0</v>
      </c>
      <c r="BB29" s="340">
        <v>0</v>
      </c>
      <c r="BC29" s="340">
        <v>0</v>
      </c>
      <c r="BD29" s="340">
        <v>0</v>
      </c>
      <c r="BE29" s="438">
        <v>49.798729999999992</v>
      </c>
      <c r="BF29" s="439">
        <v>310.26637000000005</v>
      </c>
      <c r="BG29" s="439">
        <v>767.32716300000004</v>
      </c>
      <c r="BH29" s="337"/>
      <c r="BI29" s="337"/>
    </row>
    <row r="30" spans="1:61" s="267" customFormat="1">
      <c r="A30" s="441" t="s">
        <v>675</v>
      </c>
      <c r="B30" s="442" t="s">
        <v>95</v>
      </c>
      <c r="C30" s="406">
        <v>275.29837200000003</v>
      </c>
      <c r="D30" s="404">
        <v>0</v>
      </c>
      <c r="E30" s="340">
        <v>0</v>
      </c>
      <c r="F30" s="340">
        <v>0</v>
      </c>
      <c r="G30" s="340">
        <v>0</v>
      </c>
      <c r="H30" s="340">
        <v>0</v>
      </c>
      <c r="I30" s="340">
        <v>0</v>
      </c>
      <c r="J30" s="340">
        <v>0</v>
      </c>
      <c r="K30" s="340">
        <v>0</v>
      </c>
      <c r="L30" s="408">
        <v>0</v>
      </c>
      <c r="M30" s="340">
        <v>0</v>
      </c>
      <c r="N30" s="340">
        <v>0</v>
      </c>
      <c r="O30" s="340">
        <v>0</v>
      </c>
      <c r="P30" s="340">
        <v>0</v>
      </c>
      <c r="Q30" s="340">
        <v>0</v>
      </c>
      <c r="R30" s="416">
        <v>0</v>
      </c>
      <c r="S30" s="340">
        <v>0</v>
      </c>
      <c r="T30" s="340">
        <v>0</v>
      </c>
      <c r="U30" s="340">
        <v>0</v>
      </c>
      <c r="V30" s="340">
        <v>0</v>
      </c>
      <c r="W30" s="340">
        <v>0</v>
      </c>
      <c r="X30" s="340">
        <v>0</v>
      </c>
      <c r="Y30" s="419">
        <v>275.29837200000003</v>
      </c>
      <c r="Z30" s="416">
        <v>0</v>
      </c>
      <c r="AA30" s="416">
        <v>0</v>
      </c>
      <c r="AB30" s="416">
        <v>0</v>
      </c>
      <c r="AC30" s="416">
        <v>0</v>
      </c>
      <c r="AD30" s="340">
        <v>0</v>
      </c>
      <c r="AE30" s="340">
        <v>0</v>
      </c>
      <c r="AF30" s="340">
        <v>0</v>
      </c>
      <c r="AG30" s="340">
        <v>0</v>
      </c>
      <c r="AH30" s="340">
        <v>0</v>
      </c>
      <c r="AI30" s="340">
        <v>0</v>
      </c>
      <c r="AJ30" s="340">
        <v>0</v>
      </c>
      <c r="AK30" s="340">
        <v>0</v>
      </c>
      <c r="AL30" s="340">
        <v>0</v>
      </c>
      <c r="AM30" s="340">
        <v>0</v>
      </c>
      <c r="AN30" s="340">
        <v>0</v>
      </c>
      <c r="AO30" s="340">
        <v>0</v>
      </c>
      <c r="AP30" s="340">
        <v>0</v>
      </c>
      <c r="AQ30" s="340">
        <v>0</v>
      </c>
      <c r="AR30" s="340">
        <v>0</v>
      </c>
      <c r="AS30" s="340">
        <v>0</v>
      </c>
      <c r="AT30" s="340">
        <v>0</v>
      </c>
      <c r="AU30" s="340">
        <v>0</v>
      </c>
      <c r="AV30" s="340">
        <v>0</v>
      </c>
      <c r="AW30" s="340">
        <v>0</v>
      </c>
      <c r="AX30" s="340">
        <v>0</v>
      </c>
      <c r="AY30" s="340">
        <v>0</v>
      </c>
      <c r="AZ30" s="340">
        <v>0</v>
      </c>
      <c r="BA30" s="340">
        <v>0</v>
      </c>
      <c r="BB30" s="340">
        <v>0</v>
      </c>
      <c r="BC30" s="340">
        <v>0</v>
      </c>
      <c r="BD30" s="340">
        <v>0</v>
      </c>
      <c r="BE30" s="438">
        <v>0</v>
      </c>
      <c r="BF30" s="439">
        <v>1037.72</v>
      </c>
      <c r="BG30" s="439">
        <v>1313.018372</v>
      </c>
      <c r="BH30" s="337"/>
      <c r="BI30" s="337"/>
    </row>
    <row r="31" spans="1:61" s="267" customFormat="1">
      <c r="A31" s="441" t="s">
        <v>676</v>
      </c>
      <c r="B31" s="442" t="s">
        <v>92</v>
      </c>
      <c r="C31" s="406">
        <v>47.51398300000001</v>
      </c>
      <c r="D31" s="404">
        <v>0</v>
      </c>
      <c r="E31" s="340">
        <v>0</v>
      </c>
      <c r="F31" s="340">
        <v>0</v>
      </c>
      <c r="G31" s="340">
        <v>0</v>
      </c>
      <c r="H31" s="340">
        <v>0</v>
      </c>
      <c r="I31" s="340">
        <v>0</v>
      </c>
      <c r="J31" s="340">
        <v>0</v>
      </c>
      <c r="K31" s="340">
        <v>0</v>
      </c>
      <c r="L31" s="408">
        <v>0</v>
      </c>
      <c r="M31" s="340">
        <v>0</v>
      </c>
      <c r="N31" s="340">
        <v>0</v>
      </c>
      <c r="O31" s="340">
        <v>0</v>
      </c>
      <c r="P31" s="340">
        <v>0</v>
      </c>
      <c r="Q31" s="340">
        <v>0</v>
      </c>
      <c r="R31" s="416">
        <v>0</v>
      </c>
      <c r="S31" s="340">
        <v>0</v>
      </c>
      <c r="T31" s="340">
        <v>0</v>
      </c>
      <c r="U31" s="340">
        <v>0</v>
      </c>
      <c r="V31" s="340">
        <v>0</v>
      </c>
      <c r="W31" s="340">
        <v>0</v>
      </c>
      <c r="X31" s="340">
        <v>0</v>
      </c>
      <c r="Y31" s="416">
        <v>0</v>
      </c>
      <c r="Z31" s="419">
        <v>47.51398300000001</v>
      </c>
      <c r="AA31" s="416">
        <v>0</v>
      </c>
      <c r="AB31" s="416">
        <v>0</v>
      </c>
      <c r="AC31" s="416">
        <v>0</v>
      </c>
      <c r="AD31" s="340">
        <v>0</v>
      </c>
      <c r="AE31" s="340">
        <v>0</v>
      </c>
      <c r="AF31" s="340">
        <v>0</v>
      </c>
      <c r="AG31" s="340">
        <v>0</v>
      </c>
      <c r="AH31" s="340">
        <v>0</v>
      </c>
      <c r="AI31" s="340">
        <v>0</v>
      </c>
      <c r="AJ31" s="340">
        <v>0</v>
      </c>
      <c r="AK31" s="340">
        <v>0</v>
      </c>
      <c r="AL31" s="340">
        <v>0</v>
      </c>
      <c r="AM31" s="340">
        <v>0</v>
      </c>
      <c r="AN31" s="340">
        <v>0</v>
      </c>
      <c r="AO31" s="340">
        <v>0</v>
      </c>
      <c r="AP31" s="340">
        <v>0</v>
      </c>
      <c r="AQ31" s="340">
        <v>0</v>
      </c>
      <c r="AR31" s="340">
        <v>0</v>
      </c>
      <c r="AS31" s="340">
        <v>0</v>
      </c>
      <c r="AT31" s="340">
        <v>0</v>
      </c>
      <c r="AU31" s="340">
        <v>0</v>
      </c>
      <c r="AV31" s="340">
        <v>0</v>
      </c>
      <c r="AW31" s="340">
        <v>0</v>
      </c>
      <c r="AX31" s="340">
        <v>0</v>
      </c>
      <c r="AY31" s="340">
        <v>0</v>
      </c>
      <c r="AZ31" s="340">
        <v>0</v>
      </c>
      <c r="BA31" s="340">
        <v>0</v>
      </c>
      <c r="BB31" s="340">
        <v>0</v>
      </c>
      <c r="BC31" s="340">
        <v>0</v>
      </c>
      <c r="BD31" s="340">
        <v>0</v>
      </c>
      <c r="BE31" s="438">
        <v>0</v>
      </c>
      <c r="BF31" s="439">
        <v>532.02</v>
      </c>
      <c r="BG31" s="439">
        <v>579.53398300000003</v>
      </c>
      <c r="BH31" s="337"/>
      <c r="BI31" s="337"/>
    </row>
    <row r="32" spans="1:61" s="267" customFormat="1">
      <c r="A32" s="441" t="s">
        <v>677</v>
      </c>
      <c r="B32" s="442" t="s">
        <v>118</v>
      </c>
      <c r="C32" s="406">
        <v>2201.0391847058477</v>
      </c>
      <c r="D32" s="404">
        <v>5.7761975416401263</v>
      </c>
      <c r="E32" s="340">
        <v>0</v>
      </c>
      <c r="F32" s="340">
        <v>0</v>
      </c>
      <c r="G32" s="340">
        <v>0</v>
      </c>
      <c r="H32" s="340">
        <v>0</v>
      </c>
      <c r="I32" s="340">
        <v>5.7761975416401263</v>
      </c>
      <c r="J32" s="340">
        <v>0</v>
      </c>
      <c r="K32" s="340">
        <v>0</v>
      </c>
      <c r="L32" s="340">
        <v>0</v>
      </c>
      <c r="M32" s="340">
        <v>0</v>
      </c>
      <c r="N32" s="340">
        <v>0</v>
      </c>
      <c r="O32" s="340">
        <v>0</v>
      </c>
      <c r="P32" s="340">
        <v>0</v>
      </c>
      <c r="Q32" s="340">
        <v>0</v>
      </c>
      <c r="R32" s="416">
        <v>52.304411798099864</v>
      </c>
      <c r="S32" s="340">
        <v>0</v>
      </c>
      <c r="T32" s="340">
        <v>0</v>
      </c>
      <c r="U32" s="340">
        <v>0</v>
      </c>
      <c r="V32" s="340">
        <v>0</v>
      </c>
      <c r="W32" s="340">
        <v>0.2</v>
      </c>
      <c r="X32" s="340">
        <v>0</v>
      </c>
      <c r="Y32" s="340">
        <v>16.1278236658931</v>
      </c>
      <c r="Z32" s="340">
        <v>0</v>
      </c>
      <c r="AA32" s="419">
        <v>2142.9585753661081</v>
      </c>
      <c r="AB32" s="416">
        <v>0</v>
      </c>
      <c r="AC32" s="416">
        <v>1.0941000000000001</v>
      </c>
      <c r="AD32" s="340">
        <v>2.2564306199991111</v>
      </c>
      <c r="AE32" s="340">
        <v>0.159744089998305</v>
      </c>
      <c r="AF32" s="340">
        <v>0.2</v>
      </c>
      <c r="AG32" s="340">
        <v>0.52913637999932506</v>
      </c>
      <c r="AH32" s="340">
        <v>2.9694479999999999</v>
      </c>
      <c r="AI32" s="340">
        <v>0</v>
      </c>
      <c r="AJ32" s="340">
        <v>0</v>
      </c>
      <c r="AK32" s="340">
        <v>0</v>
      </c>
      <c r="AL32" s="340">
        <v>0</v>
      </c>
      <c r="AM32" s="340">
        <v>0</v>
      </c>
      <c r="AN32" s="340">
        <v>0</v>
      </c>
      <c r="AO32" s="340">
        <v>0</v>
      </c>
      <c r="AP32" s="340">
        <v>22.657395789750886</v>
      </c>
      <c r="AQ32" s="340">
        <v>1.1486000000000001</v>
      </c>
      <c r="AR32" s="340">
        <v>0</v>
      </c>
      <c r="AS32" s="340">
        <v>4.0025593574513012</v>
      </c>
      <c r="AT32" s="340">
        <v>0.35639264500086104</v>
      </c>
      <c r="AU32" s="340">
        <v>8.7860000000000008E-2</v>
      </c>
      <c r="AV32" s="340">
        <v>0</v>
      </c>
      <c r="AW32" s="340">
        <v>2.7541999999999955E-2</v>
      </c>
      <c r="AX32" s="340">
        <v>0</v>
      </c>
      <c r="AY32" s="340">
        <v>0</v>
      </c>
      <c r="AZ32" s="340">
        <v>0</v>
      </c>
      <c r="BA32" s="340">
        <v>0</v>
      </c>
      <c r="BB32" s="340">
        <v>0</v>
      </c>
      <c r="BC32" s="340">
        <v>0.48737925000697402</v>
      </c>
      <c r="BD32" s="340">
        <v>0</v>
      </c>
      <c r="BE32" s="438">
        <v>58.080609339739986</v>
      </c>
      <c r="BF32" s="439">
        <v>3210.9684730905119</v>
      </c>
      <c r="BG32" s="439">
        <v>5412.0076577963591</v>
      </c>
      <c r="BH32" s="337"/>
      <c r="BI32" s="337"/>
    </row>
    <row r="33" spans="1:61" s="342" customFormat="1" ht="13.8">
      <c r="A33" s="443" t="s">
        <v>678</v>
      </c>
      <c r="B33" s="444" t="s">
        <v>120</v>
      </c>
      <c r="C33" s="405">
        <v>1581.3146290000002</v>
      </c>
      <c r="D33" s="417">
        <v>0</v>
      </c>
      <c r="E33" s="411">
        <v>0</v>
      </c>
      <c r="F33" s="411">
        <v>0</v>
      </c>
      <c r="G33" s="411">
        <v>0</v>
      </c>
      <c r="H33" s="411">
        <v>0</v>
      </c>
      <c r="I33" s="411">
        <v>0</v>
      </c>
      <c r="J33" s="411">
        <v>0</v>
      </c>
      <c r="K33" s="411">
        <v>0</v>
      </c>
      <c r="L33" s="411">
        <v>0</v>
      </c>
      <c r="M33" s="411">
        <v>0</v>
      </c>
      <c r="N33" s="411">
        <v>0</v>
      </c>
      <c r="O33" s="411">
        <v>0</v>
      </c>
      <c r="P33" s="411">
        <v>0</v>
      </c>
      <c r="Q33" s="411">
        <v>0</v>
      </c>
      <c r="R33" s="413">
        <v>1.0941000000000001</v>
      </c>
      <c r="S33" s="411">
        <v>0</v>
      </c>
      <c r="T33" s="411">
        <v>0</v>
      </c>
      <c r="U33" s="411">
        <v>0</v>
      </c>
      <c r="V33" s="411">
        <v>0</v>
      </c>
      <c r="W33" s="411">
        <v>0</v>
      </c>
      <c r="X33" s="411">
        <v>0</v>
      </c>
      <c r="Y33" s="411">
        <v>0</v>
      </c>
      <c r="Z33" s="411">
        <v>0</v>
      </c>
      <c r="AA33" s="413">
        <v>1.0941000000000001</v>
      </c>
      <c r="AB33" s="459">
        <v>1580.2205290000002</v>
      </c>
      <c r="AC33" s="413">
        <v>1.0941000000000001</v>
      </c>
      <c r="AD33" s="411">
        <v>0</v>
      </c>
      <c r="AE33" s="411">
        <v>0</v>
      </c>
      <c r="AF33" s="411">
        <v>0</v>
      </c>
      <c r="AG33" s="411">
        <v>0</v>
      </c>
      <c r="AH33" s="411">
        <v>0</v>
      </c>
      <c r="AI33" s="411">
        <v>0</v>
      </c>
      <c r="AJ33" s="411">
        <v>0</v>
      </c>
      <c r="AK33" s="411">
        <v>0</v>
      </c>
      <c r="AL33" s="411">
        <v>0</v>
      </c>
      <c r="AM33" s="411">
        <v>0</v>
      </c>
      <c r="AN33" s="411">
        <v>0</v>
      </c>
      <c r="AO33" s="411">
        <v>0</v>
      </c>
      <c r="AP33" s="411">
        <v>0</v>
      </c>
      <c r="AQ33" s="411">
        <v>0</v>
      </c>
      <c r="AR33" s="411">
        <v>0</v>
      </c>
      <c r="AS33" s="411">
        <v>0</v>
      </c>
      <c r="AT33" s="411">
        <v>0</v>
      </c>
      <c r="AU33" s="411">
        <v>0</v>
      </c>
      <c r="AV33" s="411">
        <v>0</v>
      </c>
      <c r="AW33" s="411">
        <v>0</v>
      </c>
      <c r="AX33" s="411">
        <v>0</v>
      </c>
      <c r="AY33" s="411">
        <v>0</v>
      </c>
      <c r="AZ33" s="411">
        <v>0</v>
      </c>
      <c r="BA33" s="411">
        <v>0</v>
      </c>
      <c r="BB33" s="411">
        <v>0</v>
      </c>
      <c r="BC33" s="411">
        <v>0</v>
      </c>
      <c r="BD33" s="411">
        <v>0</v>
      </c>
      <c r="BE33" s="434">
        <v>1.0941000000000001</v>
      </c>
      <c r="BF33" s="435">
        <v>1852.4395299999999</v>
      </c>
      <c r="BG33" s="435">
        <v>3433.7541590000001</v>
      </c>
      <c r="BH33" s="341"/>
      <c r="BI33" s="341"/>
    </row>
    <row r="34" spans="1:61" s="342" customFormat="1" ht="13.8">
      <c r="A34" s="443" t="s">
        <v>679</v>
      </c>
      <c r="B34" s="444" t="s">
        <v>122</v>
      </c>
      <c r="C34" s="405">
        <v>108.31426900000001</v>
      </c>
      <c r="D34" s="417">
        <v>0</v>
      </c>
      <c r="E34" s="411">
        <v>0</v>
      </c>
      <c r="F34" s="411">
        <v>0</v>
      </c>
      <c r="G34" s="411">
        <v>0</v>
      </c>
      <c r="H34" s="411">
        <v>0</v>
      </c>
      <c r="I34" s="411">
        <v>0</v>
      </c>
      <c r="J34" s="411">
        <v>0</v>
      </c>
      <c r="K34" s="411">
        <v>0</v>
      </c>
      <c r="L34" s="411">
        <v>0</v>
      </c>
      <c r="M34" s="411">
        <v>0</v>
      </c>
      <c r="N34" s="411">
        <v>0</v>
      </c>
      <c r="O34" s="411">
        <v>0</v>
      </c>
      <c r="P34" s="411">
        <v>0</v>
      </c>
      <c r="Q34" s="411">
        <v>0</v>
      </c>
      <c r="R34" s="413">
        <v>0</v>
      </c>
      <c r="S34" s="411">
        <v>0</v>
      </c>
      <c r="T34" s="411">
        <v>0</v>
      </c>
      <c r="U34" s="411">
        <v>0</v>
      </c>
      <c r="V34" s="411">
        <v>0</v>
      </c>
      <c r="W34" s="411">
        <v>0</v>
      </c>
      <c r="X34" s="411">
        <v>0</v>
      </c>
      <c r="Y34" s="411">
        <v>0</v>
      </c>
      <c r="Z34" s="411">
        <v>0</v>
      </c>
      <c r="AA34" s="413">
        <v>0</v>
      </c>
      <c r="AB34" s="413">
        <v>0</v>
      </c>
      <c r="AC34" s="459">
        <v>108.31426900000001</v>
      </c>
      <c r="AD34" s="411">
        <v>0</v>
      </c>
      <c r="AE34" s="411">
        <v>0</v>
      </c>
      <c r="AF34" s="411">
        <v>0</v>
      </c>
      <c r="AG34" s="411">
        <v>0</v>
      </c>
      <c r="AH34" s="411">
        <v>0</v>
      </c>
      <c r="AI34" s="411">
        <v>0</v>
      </c>
      <c r="AJ34" s="411">
        <v>0</v>
      </c>
      <c r="AK34" s="411">
        <v>0</v>
      </c>
      <c r="AL34" s="411">
        <v>0</v>
      </c>
      <c r="AM34" s="411">
        <v>0</v>
      </c>
      <c r="AN34" s="411">
        <v>0</v>
      </c>
      <c r="AO34" s="411">
        <v>0</v>
      </c>
      <c r="AP34" s="411">
        <v>0</v>
      </c>
      <c r="AQ34" s="411">
        <v>0</v>
      </c>
      <c r="AR34" s="411">
        <v>0</v>
      </c>
      <c r="AS34" s="411">
        <v>0</v>
      </c>
      <c r="AT34" s="411">
        <v>0</v>
      </c>
      <c r="AU34" s="411">
        <v>0</v>
      </c>
      <c r="AV34" s="411">
        <v>0</v>
      </c>
      <c r="AW34" s="411">
        <v>0</v>
      </c>
      <c r="AX34" s="411">
        <v>0</v>
      </c>
      <c r="AY34" s="411">
        <v>0</v>
      </c>
      <c r="AZ34" s="411">
        <v>0</v>
      </c>
      <c r="BA34" s="411">
        <v>0</v>
      </c>
      <c r="BB34" s="411">
        <v>0</v>
      </c>
      <c r="BC34" s="411">
        <v>0</v>
      </c>
      <c r="BD34" s="411">
        <v>0</v>
      </c>
      <c r="BE34" s="434">
        <v>0</v>
      </c>
      <c r="BF34" s="435">
        <v>228.40030000000002</v>
      </c>
      <c r="BG34" s="435">
        <v>336.71456900000004</v>
      </c>
      <c r="BH34" s="341"/>
      <c r="BI34" s="341"/>
    </row>
    <row r="35" spans="1:61" s="342" customFormat="1" ht="13.8">
      <c r="A35" s="443" t="s">
        <v>680</v>
      </c>
      <c r="B35" s="454" t="s">
        <v>128</v>
      </c>
      <c r="C35" s="405">
        <v>27.272508999999999</v>
      </c>
      <c r="D35" s="417">
        <v>0</v>
      </c>
      <c r="E35" s="411">
        <v>0</v>
      </c>
      <c r="F35" s="411">
        <v>0</v>
      </c>
      <c r="G35" s="411">
        <v>0</v>
      </c>
      <c r="H35" s="411">
        <v>0</v>
      </c>
      <c r="I35" s="411">
        <v>0</v>
      </c>
      <c r="J35" s="411">
        <v>0</v>
      </c>
      <c r="K35" s="411">
        <v>0</v>
      </c>
      <c r="L35" s="411">
        <v>0</v>
      </c>
      <c r="M35" s="411">
        <v>0</v>
      </c>
      <c r="N35" s="411">
        <v>0</v>
      </c>
      <c r="O35" s="411">
        <v>0</v>
      </c>
      <c r="P35" s="411">
        <v>0</v>
      </c>
      <c r="Q35" s="411">
        <v>0</v>
      </c>
      <c r="R35" s="413">
        <v>0.74164600000000003</v>
      </c>
      <c r="S35" s="411">
        <v>0</v>
      </c>
      <c r="T35" s="411">
        <v>0</v>
      </c>
      <c r="U35" s="411">
        <v>0</v>
      </c>
      <c r="V35" s="411">
        <v>0</v>
      </c>
      <c r="W35" s="411">
        <v>0</v>
      </c>
      <c r="X35" s="411">
        <v>0</v>
      </c>
      <c r="Y35" s="411">
        <v>0</v>
      </c>
      <c r="Z35" s="411">
        <v>0</v>
      </c>
      <c r="AA35" s="413">
        <v>0</v>
      </c>
      <c r="AB35" s="413">
        <v>0</v>
      </c>
      <c r="AC35" s="413">
        <v>0</v>
      </c>
      <c r="AD35" s="459">
        <v>26.530862999999997</v>
      </c>
      <c r="AE35" s="411">
        <v>0</v>
      </c>
      <c r="AF35" s="411">
        <v>0</v>
      </c>
      <c r="AG35" s="411">
        <v>0</v>
      </c>
      <c r="AH35" s="411">
        <v>0</v>
      </c>
      <c r="AI35" s="411">
        <v>0</v>
      </c>
      <c r="AJ35" s="411">
        <v>0</v>
      </c>
      <c r="AK35" s="411">
        <v>0</v>
      </c>
      <c r="AL35" s="411">
        <v>0</v>
      </c>
      <c r="AM35" s="411">
        <v>0</v>
      </c>
      <c r="AN35" s="411">
        <v>0</v>
      </c>
      <c r="AO35" s="411">
        <v>0</v>
      </c>
      <c r="AP35" s="411">
        <v>0</v>
      </c>
      <c r="AQ35" s="411">
        <v>0</v>
      </c>
      <c r="AR35" s="411">
        <v>0</v>
      </c>
      <c r="AS35" s="411">
        <v>0.74164600000000003</v>
      </c>
      <c r="AT35" s="411">
        <v>0</v>
      </c>
      <c r="AU35" s="411">
        <v>0</v>
      </c>
      <c r="AV35" s="411">
        <v>0</v>
      </c>
      <c r="AW35" s="411">
        <v>0</v>
      </c>
      <c r="AX35" s="411">
        <v>0</v>
      </c>
      <c r="AY35" s="411">
        <v>0</v>
      </c>
      <c r="AZ35" s="411">
        <v>0</v>
      </c>
      <c r="BA35" s="411">
        <v>0</v>
      </c>
      <c r="BB35" s="411">
        <v>0</v>
      </c>
      <c r="BC35" s="411">
        <v>0</v>
      </c>
      <c r="BD35" s="411">
        <v>0</v>
      </c>
      <c r="BE35" s="434">
        <v>0.74164600000000003</v>
      </c>
      <c r="BF35" s="435">
        <v>20.22305061999911</v>
      </c>
      <c r="BG35" s="435">
        <v>47.495559619999113</v>
      </c>
      <c r="BH35" s="341"/>
      <c r="BI35" s="341"/>
    </row>
    <row r="36" spans="1:61" s="342" customFormat="1" ht="13.8">
      <c r="A36" s="443" t="s">
        <v>681</v>
      </c>
      <c r="B36" s="454" t="s">
        <v>130</v>
      </c>
      <c r="C36" s="405">
        <v>32.223337999999998</v>
      </c>
      <c r="D36" s="417">
        <v>0</v>
      </c>
      <c r="E36" s="411">
        <v>0</v>
      </c>
      <c r="F36" s="411">
        <v>0</v>
      </c>
      <c r="G36" s="411">
        <v>0</v>
      </c>
      <c r="H36" s="411">
        <v>0</v>
      </c>
      <c r="I36" s="411">
        <v>0</v>
      </c>
      <c r="J36" s="411">
        <v>0</v>
      </c>
      <c r="K36" s="411">
        <v>0</v>
      </c>
      <c r="L36" s="411">
        <v>0</v>
      </c>
      <c r="M36" s="411">
        <v>0</v>
      </c>
      <c r="N36" s="411">
        <v>0</v>
      </c>
      <c r="O36" s="411">
        <v>0</v>
      </c>
      <c r="P36" s="411">
        <v>0</v>
      </c>
      <c r="Q36" s="411">
        <v>0</v>
      </c>
      <c r="R36" s="413">
        <v>23.529175789750887</v>
      </c>
      <c r="S36" s="411">
        <v>0</v>
      </c>
      <c r="T36" s="411">
        <v>0</v>
      </c>
      <c r="U36" s="411">
        <v>0</v>
      </c>
      <c r="V36" s="411">
        <v>0</v>
      </c>
      <c r="W36" s="411">
        <v>0</v>
      </c>
      <c r="X36" s="411">
        <v>0</v>
      </c>
      <c r="Y36" s="411">
        <v>0</v>
      </c>
      <c r="Z36" s="411">
        <v>0</v>
      </c>
      <c r="AA36" s="413">
        <v>23.499175789750886</v>
      </c>
      <c r="AB36" s="413">
        <v>0</v>
      </c>
      <c r="AC36" s="413">
        <v>0</v>
      </c>
      <c r="AD36" s="411">
        <v>0</v>
      </c>
      <c r="AE36" s="459">
        <v>8.694162210249111</v>
      </c>
      <c r="AF36" s="411">
        <v>0</v>
      </c>
      <c r="AG36" s="411">
        <v>0</v>
      </c>
      <c r="AH36" s="411">
        <v>0</v>
      </c>
      <c r="AI36" s="411">
        <v>0</v>
      </c>
      <c r="AJ36" s="411">
        <v>0</v>
      </c>
      <c r="AK36" s="411">
        <v>0</v>
      </c>
      <c r="AL36" s="411">
        <v>0</v>
      </c>
      <c r="AM36" s="411">
        <v>0</v>
      </c>
      <c r="AN36" s="411">
        <v>0</v>
      </c>
      <c r="AO36" s="411">
        <v>0</v>
      </c>
      <c r="AP36" s="411">
        <v>22.657395789750886</v>
      </c>
      <c r="AQ36" s="411">
        <v>0.84177999999999997</v>
      </c>
      <c r="AR36" s="411">
        <v>0</v>
      </c>
      <c r="AS36" s="411">
        <v>0.03</v>
      </c>
      <c r="AT36" s="411">
        <v>0</v>
      </c>
      <c r="AU36" s="411">
        <v>0</v>
      </c>
      <c r="AV36" s="411">
        <v>0</v>
      </c>
      <c r="AW36" s="411">
        <v>0</v>
      </c>
      <c r="AX36" s="411">
        <v>0</v>
      </c>
      <c r="AY36" s="411">
        <v>0</v>
      </c>
      <c r="AZ36" s="411">
        <v>0</v>
      </c>
      <c r="BA36" s="411">
        <v>0</v>
      </c>
      <c r="BB36" s="411">
        <v>0</v>
      </c>
      <c r="BC36" s="411">
        <v>0</v>
      </c>
      <c r="BD36" s="411">
        <v>0</v>
      </c>
      <c r="BE36" s="434">
        <v>23.529175789750887</v>
      </c>
      <c r="BF36" s="435">
        <v>-22.288095699752581</v>
      </c>
      <c r="BG36" s="435">
        <v>9.9352423002474168</v>
      </c>
      <c r="BH36" s="341"/>
      <c r="BI36" s="341"/>
    </row>
    <row r="37" spans="1:61" s="342" customFormat="1" ht="13.8">
      <c r="A37" s="443" t="s">
        <v>682</v>
      </c>
      <c r="B37" s="454" t="s">
        <v>132</v>
      </c>
      <c r="C37" s="405">
        <v>65.462155705847735</v>
      </c>
      <c r="D37" s="417">
        <v>0.2131102850014884</v>
      </c>
      <c r="E37" s="411">
        <v>0</v>
      </c>
      <c r="F37" s="411">
        <v>0</v>
      </c>
      <c r="G37" s="411">
        <v>0</v>
      </c>
      <c r="H37" s="411">
        <v>0</v>
      </c>
      <c r="I37" s="411">
        <v>0.2131102850014884</v>
      </c>
      <c r="J37" s="411">
        <v>0</v>
      </c>
      <c r="K37" s="411">
        <v>0</v>
      </c>
      <c r="L37" s="411">
        <v>0</v>
      </c>
      <c r="M37" s="411">
        <v>0</v>
      </c>
      <c r="N37" s="411">
        <v>0</v>
      </c>
      <c r="O37" s="411">
        <v>0</v>
      </c>
      <c r="P37" s="411">
        <v>0</v>
      </c>
      <c r="Q37" s="411">
        <v>0</v>
      </c>
      <c r="R37" s="413">
        <v>4.8899763724486531</v>
      </c>
      <c r="S37" s="411">
        <v>0</v>
      </c>
      <c r="T37" s="411">
        <v>0</v>
      </c>
      <c r="U37" s="411">
        <v>0</v>
      </c>
      <c r="V37" s="411">
        <v>0</v>
      </c>
      <c r="W37" s="411">
        <v>0.2</v>
      </c>
      <c r="X37" s="411">
        <v>0</v>
      </c>
      <c r="Y37" s="411">
        <v>0</v>
      </c>
      <c r="Z37" s="411">
        <v>0</v>
      </c>
      <c r="AA37" s="413">
        <v>1.312977089996741</v>
      </c>
      <c r="AB37" s="413">
        <v>0</v>
      </c>
      <c r="AC37" s="413">
        <v>0</v>
      </c>
      <c r="AD37" s="411">
        <v>0.41107661999911099</v>
      </c>
      <c r="AE37" s="411">
        <v>0.159744089998305</v>
      </c>
      <c r="AF37" s="459">
        <v>60.3590690483976</v>
      </c>
      <c r="AG37" s="411">
        <v>0.52913637999932506</v>
      </c>
      <c r="AH37" s="411">
        <v>0</v>
      </c>
      <c r="AI37" s="411">
        <v>0</v>
      </c>
      <c r="AJ37" s="411">
        <v>0</v>
      </c>
      <c r="AK37" s="411">
        <v>0</v>
      </c>
      <c r="AL37" s="411">
        <v>0</v>
      </c>
      <c r="AM37" s="411">
        <v>0</v>
      </c>
      <c r="AN37" s="411">
        <v>0</v>
      </c>
      <c r="AO37" s="411">
        <v>0</v>
      </c>
      <c r="AP37" s="411">
        <v>0</v>
      </c>
      <c r="AQ37" s="411">
        <v>0.21301999999999999</v>
      </c>
      <c r="AR37" s="411">
        <v>0</v>
      </c>
      <c r="AS37" s="411">
        <v>2.4453673874440764</v>
      </c>
      <c r="AT37" s="411">
        <v>0.35639264500086104</v>
      </c>
      <c r="AU37" s="411">
        <v>8.7860000000000008E-2</v>
      </c>
      <c r="AV37" s="411">
        <v>0</v>
      </c>
      <c r="AW37" s="411">
        <v>0</v>
      </c>
      <c r="AX37" s="411">
        <v>0</v>
      </c>
      <c r="AY37" s="411">
        <v>0</v>
      </c>
      <c r="AZ37" s="411">
        <v>0</v>
      </c>
      <c r="BA37" s="411">
        <v>0</v>
      </c>
      <c r="BB37" s="411">
        <v>0</v>
      </c>
      <c r="BC37" s="411">
        <v>0.48737925000697402</v>
      </c>
      <c r="BD37" s="411">
        <v>0</v>
      </c>
      <c r="BE37" s="434">
        <v>5.1030866574501417</v>
      </c>
      <c r="BF37" s="435">
        <v>39.657401303052559</v>
      </c>
      <c r="BG37" s="435">
        <v>105.1195570089003</v>
      </c>
      <c r="BH37" s="341"/>
      <c r="BI37" s="341"/>
    </row>
    <row r="38" spans="1:61" s="342" customFormat="1" ht="13.8">
      <c r="A38" s="443" t="s">
        <v>683</v>
      </c>
      <c r="B38" s="454" t="s">
        <v>134</v>
      </c>
      <c r="C38" s="405">
        <v>22.222180999999999</v>
      </c>
      <c r="D38" s="417">
        <v>0</v>
      </c>
      <c r="E38" s="411">
        <v>0</v>
      </c>
      <c r="F38" s="411">
        <v>0</v>
      </c>
      <c r="G38" s="411">
        <v>0</v>
      </c>
      <c r="H38" s="411">
        <v>0</v>
      </c>
      <c r="I38" s="411">
        <v>0</v>
      </c>
      <c r="J38" s="411">
        <v>0</v>
      </c>
      <c r="K38" s="411">
        <v>0</v>
      </c>
      <c r="L38" s="411">
        <v>0</v>
      </c>
      <c r="M38" s="411">
        <v>0</v>
      </c>
      <c r="N38" s="411">
        <v>0</v>
      </c>
      <c r="O38" s="411">
        <v>0</v>
      </c>
      <c r="P38" s="411">
        <v>0</v>
      </c>
      <c r="Q38" s="411">
        <v>0</v>
      </c>
      <c r="R38" s="413">
        <v>2.199234520003662</v>
      </c>
      <c r="S38" s="411">
        <v>0</v>
      </c>
      <c r="T38" s="411">
        <v>0</v>
      </c>
      <c r="U38" s="411">
        <v>0</v>
      </c>
      <c r="V38" s="411">
        <v>0</v>
      </c>
      <c r="W38" s="411">
        <v>0</v>
      </c>
      <c r="X38" s="411">
        <v>0</v>
      </c>
      <c r="Y38" s="411">
        <v>0</v>
      </c>
      <c r="Z38" s="411">
        <v>0</v>
      </c>
      <c r="AA38" s="413">
        <v>2.0453540000000001</v>
      </c>
      <c r="AB38" s="413">
        <v>0</v>
      </c>
      <c r="AC38" s="413">
        <v>0</v>
      </c>
      <c r="AD38" s="411">
        <v>1.8453539999999999</v>
      </c>
      <c r="AE38" s="411">
        <v>0</v>
      </c>
      <c r="AF38" s="411">
        <v>0.2</v>
      </c>
      <c r="AG38" s="459">
        <v>20.022946479996339</v>
      </c>
      <c r="AH38" s="413">
        <v>0</v>
      </c>
      <c r="AI38" s="413">
        <v>0</v>
      </c>
      <c r="AJ38" s="413">
        <v>0</v>
      </c>
      <c r="AK38" s="413">
        <v>0</v>
      </c>
      <c r="AL38" s="413">
        <v>0</v>
      </c>
      <c r="AM38" s="413">
        <v>0</v>
      </c>
      <c r="AN38" s="413">
        <v>0</v>
      </c>
      <c r="AO38" s="411">
        <v>0</v>
      </c>
      <c r="AP38" s="411">
        <v>0</v>
      </c>
      <c r="AQ38" s="411">
        <v>0</v>
      </c>
      <c r="AR38" s="411">
        <v>0</v>
      </c>
      <c r="AS38" s="411">
        <v>0.15388052000366201</v>
      </c>
      <c r="AT38" s="411">
        <v>0</v>
      </c>
      <c r="AU38" s="411">
        <v>0</v>
      </c>
      <c r="AV38" s="411">
        <v>0</v>
      </c>
      <c r="AW38" s="411">
        <v>0</v>
      </c>
      <c r="AX38" s="411">
        <v>0</v>
      </c>
      <c r="AY38" s="411">
        <v>0</v>
      </c>
      <c r="AZ38" s="411">
        <v>0</v>
      </c>
      <c r="BA38" s="411">
        <v>0</v>
      </c>
      <c r="BB38" s="411">
        <v>0</v>
      </c>
      <c r="BC38" s="411">
        <v>0</v>
      </c>
      <c r="BD38" s="411">
        <v>0</v>
      </c>
      <c r="BE38" s="434">
        <v>2.199234520003662</v>
      </c>
      <c r="BF38" s="435">
        <v>61.68085340243843</v>
      </c>
      <c r="BG38" s="435">
        <v>83.903034402438436</v>
      </c>
      <c r="BH38" s="341"/>
      <c r="BI38" s="341"/>
    </row>
    <row r="39" spans="1:61" s="342" customFormat="1" ht="13.8">
      <c r="A39" s="455" t="s">
        <v>684</v>
      </c>
      <c r="B39" s="454" t="s">
        <v>124</v>
      </c>
      <c r="C39" s="405">
        <v>221.21611300000001</v>
      </c>
      <c r="D39" s="417">
        <v>0</v>
      </c>
      <c r="E39" s="411">
        <v>0</v>
      </c>
      <c r="F39" s="411">
        <v>0</v>
      </c>
      <c r="G39" s="411">
        <v>0</v>
      </c>
      <c r="H39" s="411">
        <v>0</v>
      </c>
      <c r="I39" s="411">
        <v>0</v>
      </c>
      <c r="J39" s="411">
        <v>0</v>
      </c>
      <c r="K39" s="411">
        <v>0</v>
      </c>
      <c r="L39" s="411">
        <v>0</v>
      </c>
      <c r="M39" s="411">
        <v>0</v>
      </c>
      <c r="N39" s="411">
        <v>0</v>
      </c>
      <c r="O39" s="411">
        <v>0</v>
      </c>
      <c r="P39" s="411">
        <v>0</v>
      </c>
      <c r="Q39" s="411">
        <v>0</v>
      </c>
      <c r="R39" s="413">
        <v>0</v>
      </c>
      <c r="S39" s="411">
        <v>0</v>
      </c>
      <c r="T39" s="411">
        <v>0</v>
      </c>
      <c r="U39" s="411">
        <v>0</v>
      </c>
      <c r="V39" s="411">
        <v>0</v>
      </c>
      <c r="W39" s="411">
        <v>0</v>
      </c>
      <c r="X39" s="411">
        <v>0</v>
      </c>
      <c r="Y39" s="411">
        <v>0</v>
      </c>
      <c r="Z39" s="411">
        <v>0</v>
      </c>
      <c r="AA39" s="413">
        <v>0</v>
      </c>
      <c r="AB39" s="413">
        <v>0</v>
      </c>
      <c r="AC39" s="413">
        <v>0</v>
      </c>
      <c r="AD39" s="411">
        <v>0</v>
      </c>
      <c r="AE39" s="411">
        <v>0</v>
      </c>
      <c r="AF39" s="411">
        <v>0</v>
      </c>
      <c r="AG39" s="413">
        <v>0</v>
      </c>
      <c r="AH39" s="459">
        <v>221.21611300000001</v>
      </c>
      <c r="AI39" s="413">
        <v>0</v>
      </c>
      <c r="AJ39" s="413">
        <v>0</v>
      </c>
      <c r="AK39" s="413">
        <v>0</v>
      </c>
      <c r="AL39" s="413">
        <v>0</v>
      </c>
      <c r="AM39" s="413">
        <v>0</v>
      </c>
      <c r="AN39" s="413">
        <v>0</v>
      </c>
      <c r="AO39" s="411">
        <v>0</v>
      </c>
      <c r="AP39" s="411">
        <v>0</v>
      </c>
      <c r="AQ39" s="411">
        <v>0</v>
      </c>
      <c r="AR39" s="411">
        <v>0</v>
      </c>
      <c r="AS39" s="411">
        <v>0</v>
      </c>
      <c r="AT39" s="411">
        <v>0</v>
      </c>
      <c r="AU39" s="411">
        <v>0</v>
      </c>
      <c r="AV39" s="411">
        <v>0</v>
      </c>
      <c r="AW39" s="411">
        <v>0</v>
      </c>
      <c r="AX39" s="411">
        <v>0</v>
      </c>
      <c r="AY39" s="411">
        <v>0</v>
      </c>
      <c r="AZ39" s="411">
        <v>0</v>
      </c>
      <c r="BA39" s="411">
        <v>0</v>
      </c>
      <c r="BB39" s="411">
        <v>0</v>
      </c>
      <c r="BC39" s="411">
        <v>0</v>
      </c>
      <c r="BD39" s="411">
        <v>0</v>
      </c>
      <c r="BE39" s="434">
        <v>0</v>
      </c>
      <c r="BF39" s="435">
        <v>782.38067100000012</v>
      </c>
      <c r="BG39" s="435">
        <v>1003.5967840000001</v>
      </c>
      <c r="BH39" s="341"/>
      <c r="BI39" s="341"/>
    </row>
    <row r="40" spans="1:61" s="342" customFormat="1" ht="13.8">
      <c r="A40" s="455" t="s">
        <v>685</v>
      </c>
      <c r="B40" s="454" t="s">
        <v>126</v>
      </c>
      <c r="C40" s="405">
        <v>1.6456760000000001</v>
      </c>
      <c r="D40" s="417">
        <v>0</v>
      </c>
      <c r="E40" s="411">
        <v>0</v>
      </c>
      <c r="F40" s="411">
        <v>0</v>
      </c>
      <c r="G40" s="411">
        <v>0</v>
      </c>
      <c r="H40" s="411">
        <v>0</v>
      </c>
      <c r="I40" s="411">
        <v>0</v>
      </c>
      <c r="J40" s="411">
        <v>0</v>
      </c>
      <c r="K40" s="411">
        <v>0</v>
      </c>
      <c r="L40" s="411">
        <v>0</v>
      </c>
      <c r="M40" s="411">
        <v>0</v>
      </c>
      <c r="N40" s="411">
        <v>0</v>
      </c>
      <c r="O40" s="411">
        <v>0</v>
      </c>
      <c r="P40" s="411">
        <v>0</v>
      </c>
      <c r="Q40" s="411">
        <v>0</v>
      </c>
      <c r="R40" s="413">
        <v>0.12134199999999996</v>
      </c>
      <c r="S40" s="411">
        <v>0</v>
      </c>
      <c r="T40" s="411">
        <v>0</v>
      </c>
      <c r="U40" s="411">
        <v>0</v>
      </c>
      <c r="V40" s="411">
        <v>0</v>
      </c>
      <c r="W40" s="411">
        <v>0</v>
      </c>
      <c r="X40" s="411">
        <v>0</v>
      </c>
      <c r="Y40" s="411">
        <v>0</v>
      </c>
      <c r="Z40" s="411">
        <v>0</v>
      </c>
      <c r="AA40" s="413">
        <v>9.3800000000000008E-2</v>
      </c>
      <c r="AB40" s="413">
        <v>0</v>
      </c>
      <c r="AC40" s="413">
        <v>0</v>
      </c>
      <c r="AD40" s="411">
        <v>0</v>
      </c>
      <c r="AE40" s="411">
        <v>0</v>
      </c>
      <c r="AF40" s="411">
        <v>0</v>
      </c>
      <c r="AG40" s="413">
        <v>0</v>
      </c>
      <c r="AH40" s="413">
        <v>0</v>
      </c>
      <c r="AI40" s="459">
        <v>1.5243340000000001</v>
      </c>
      <c r="AJ40" s="413">
        <v>0</v>
      </c>
      <c r="AK40" s="413">
        <v>0</v>
      </c>
      <c r="AL40" s="413">
        <v>0</v>
      </c>
      <c r="AM40" s="413">
        <v>0</v>
      </c>
      <c r="AN40" s="413">
        <v>0</v>
      </c>
      <c r="AO40" s="411">
        <v>0</v>
      </c>
      <c r="AP40" s="411">
        <v>0</v>
      </c>
      <c r="AQ40" s="411">
        <v>9.3800000000000008E-2</v>
      </c>
      <c r="AR40" s="411">
        <v>0</v>
      </c>
      <c r="AS40" s="411">
        <v>0</v>
      </c>
      <c r="AT40" s="411">
        <v>0</v>
      </c>
      <c r="AU40" s="411">
        <v>0</v>
      </c>
      <c r="AV40" s="411">
        <v>0</v>
      </c>
      <c r="AW40" s="411">
        <v>2.7541999999999955E-2</v>
      </c>
      <c r="AX40" s="411">
        <v>0</v>
      </c>
      <c r="AY40" s="411">
        <v>0</v>
      </c>
      <c r="AZ40" s="411">
        <v>0</v>
      </c>
      <c r="BA40" s="411">
        <v>0</v>
      </c>
      <c r="BB40" s="411">
        <v>0</v>
      </c>
      <c r="BC40" s="411">
        <v>0</v>
      </c>
      <c r="BD40" s="411">
        <v>0</v>
      </c>
      <c r="BE40" s="434">
        <v>0.12134199999999996</v>
      </c>
      <c r="BF40" s="435">
        <v>1.5870690000000003</v>
      </c>
      <c r="BG40" s="435">
        <v>3.2327450000000004</v>
      </c>
      <c r="BH40" s="341"/>
      <c r="BI40" s="341"/>
    </row>
    <row r="41" spans="1:61" s="342" customFormat="1" ht="13.8">
      <c r="A41" s="455" t="s">
        <v>686</v>
      </c>
      <c r="B41" s="454" t="s">
        <v>305</v>
      </c>
      <c r="C41" s="405">
        <v>0</v>
      </c>
      <c r="D41" s="417">
        <v>0</v>
      </c>
      <c r="E41" s="411">
        <v>0</v>
      </c>
      <c r="F41" s="411">
        <v>0</v>
      </c>
      <c r="G41" s="411">
        <v>0</v>
      </c>
      <c r="H41" s="411">
        <v>0</v>
      </c>
      <c r="I41" s="411">
        <v>0</v>
      </c>
      <c r="J41" s="411">
        <v>0</v>
      </c>
      <c r="K41" s="411">
        <v>0</v>
      </c>
      <c r="L41" s="411">
        <v>0</v>
      </c>
      <c r="M41" s="411">
        <v>0</v>
      </c>
      <c r="N41" s="411">
        <v>0</v>
      </c>
      <c r="O41" s="411">
        <v>0</v>
      </c>
      <c r="P41" s="411">
        <v>0</v>
      </c>
      <c r="Q41" s="411">
        <v>0</v>
      </c>
      <c r="R41" s="413">
        <v>0</v>
      </c>
      <c r="S41" s="411">
        <v>0</v>
      </c>
      <c r="T41" s="411">
        <v>0</v>
      </c>
      <c r="U41" s="411">
        <v>0</v>
      </c>
      <c r="V41" s="411">
        <v>0</v>
      </c>
      <c r="W41" s="411">
        <v>0</v>
      </c>
      <c r="X41" s="411">
        <v>0</v>
      </c>
      <c r="Y41" s="411">
        <v>0</v>
      </c>
      <c r="Z41" s="411">
        <v>0</v>
      </c>
      <c r="AA41" s="413">
        <v>0</v>
      </c>
      <c r="AB41" s="413">
        <v>0</v>
      </c>
      <c r="AC41" s="413">
        <v>0</v>
      </c>
      <c r="AD41" s="411">
        <v>0</v>
      </c>
      <c r="AE41" s="411">
        <v>0</v>
      </c>
      <c r="AF41" s="411">
        <v>0</v>
      </c>
      <c r="AG41" s="413">
        <v>0</v>
      </c>
      <c r="AH41" s="413">
        <v>0</v>
      </c>
      <c r="AI41" s="413">
        <v>0</v>
      </c>
      <c r="AJ41" s="459">
        <v>0</v>
      </c>
      <c r="AK41" s="413">
        <v>0</v>
      </c>
      <c r="AL41" s="413">
        <v>0</v>
      </c>
      <c r="AM41" s="413">
        <v>0</v>
      </c>
      <c r="AN41" s="413">
        <v>0</v>
      </c>
      <c r="AO41" s="411">
        <v>0</v>
      </c>
      <c r="AP41" s="411">
        <v>0</v>
      </c>
      <c r="AQ41" s="411">
        <v>0</v>
      </c>
      <c r="AR41" s="411">
        <v>0</v>
      </c>
      <c r="AS41" s="411">
        <v>0</v>
      </c>
      <c r="AT41" s="411">
        <v>0</v>
      </c>
      <c r="AU41" s="411">
        <v>0</v>
      </c>
      <c r="AV41" s="411">
        <v>0</v>
      </c>
      <c r="AW41" s="411">
        <v>0</v>
      </c>
      <c r="AX41" s="411">
        <v>0</v>
      </c>
      <c r="AY41" s="411">
        <v>0</v>
      </c>
      <c r="AZ41" s="411">
        <v>0</v>
      </c>
      <c r="BA41" s="411">
        <v>0</v>
      </c>
      <c r="BB41" s="411">
        <v>0</v>
      </c>
      <c r="BC41" s="411">
        <v>0</v>
      </c>
      <c r="BD41" s="411">
        <v>0</v>
      </c>
      <c r="BE41" s="434">
        <v>0</v>
      </c>
      <c r="BF41" s="435">
        <v>0</v>
      </c>
      <c r="BG41" s="435">
        <v>0</v>
      </c>
      <c r="BH41" s="341"/>
      <c r="BI41" s="341"/>
    </row>
    <row r="42" spans="1:61" s="342" customFormat="1" ht="13.8">
      <c r="A42" s="455" t="s">
        <v>708</v>
      </c>
      <c r="B42" s="454" t="s">
        <v>97</v>
      </c>
      <c r="C42" s="405">
        <v>1.572659</v>
      </c>
      <c r="D42" s="417">
        <v>0</v>
      </c>
      <c r="E42" s="411">
        <v>0</v>
      </c>
      <c r="F42" s="411">
        <v>0</v>
      </c>
      <c r="G42" s="411">
        <v>0</v>
      </c>
      <c r="H42" s="411">
        <v>0</v>
      </c>
      <c r="I42" s="411">
        <v>0</v>
      </c>
      <c r="J42" s="411">
        <v>0</v>
      </c>
      <c r="K42" s="411">
        <v>0</v>
      </c>
      <c r="L42" s="411">
        <v>0</v>
      </c>
      <c r="M42" s="411">
        <v>0</v>
      </c>
      <c r="N42" s="411">
        <v>0</v>
      </c>
      <c r="O42" s="411">
        <v>0</v>
      </c>
      <c r="P42" s="411">
        <v>0</v>
      </c>
      <c r="Q42" s="411">
        <v>0</v>
      </c>
      <c r="R42" s="413">
        <v>0</v>
      </c>
      <c r="S42" s="411">
        <v>0</v>
      </c>
      <c r="T42" s="411">
        <v>0</v>
      </c>
      <c r="U42" s="411">
        <v>0</v>
      </c>
      <c r="V42" s="411">
        <v>0</v>
      </c>
      <c r="W42" s="411">
        <v>0</v>
      </c>
      <c r="X42" s="411">
        <v>0</v>
      </c>
      <c r="Y42" s="411">
        <v>0</v>
      </c>
      <c r="Z42" s="411">
        <v>0</v>
      </c>
      <c r="AA42" s="413">
        <v>0</v>
      </c>
      <c r="AB42" s="413">
        <v>0</v>
      </c>
      <c r="AC42" s="413">
        <v>0</v>
      </c>
      <c r="AD42" s="411">
        <v>0</v>
      </c>
      <c r="AE42" s="411">
        <v>0</v>
      </c>
      <c r="AF42" s="411">
        <v>0</v>
      </c>
      <c r="AG42" s="413">
        <v>0</v>
      </c>
      <c r="AH42" s="413">
        <v>0</v>
      </c>
      <c r="AI42" s="413">
        <v>0</v>
      </c>
      <c r="AJ42" s="413">
        <v>0</v>
      </c>
      <c r="AK42" s="459">
        <v>1.572659</v>
      </c>
      <c r="AL42" s="413">
        <v>0</v>
      </c>
      <c r="AM42" s="413">
        <v>0</v>
      </c>
      <c r="AN42" s="413">
        <v>0</v>
      </c>
      <c r="AO42" s="411">
        <v>0</v>
      </c>
      <c r="AP42" s="411">
        <v>0</v>
      </c>
      <c r="AQ42" s="411">
        <v>0</v>
      </c>
      <c r="AR42" s="411">
        <v>0</v>
      </c>
      <c r="AS42" s="411">
        <v>0</v>
      </c>
      <c r="AT42" s="411">
        <v>0</v>
      </c>
      <c r="AU42" s="411">
        <v>0</v>
      </c>
      <c r="AV42" s="411">
        <v>0</v>
      </c>
      <c r="AW42" s="411">
        <v>0</v>
      </c>
      <c r="AX42" s="411">
        <v>0</v>
      </c>
      <c r="AY42" s="411">
        <v>0</v>
      </c>
      <c r="AZ42" s="411">
        <v>0</v>
      </c>
      <c r="BA42" s="411">
        <v>0</v>
      </c>
      <c r="BB42" s="411">
        <v>0</v>
      </c>
      <c r="BC42" s="411">
        <v>0</v>
      </c>
      <c r="BD42" s="411">
        <v>0</v>
      </c>
      <c r="BE42" s="434">
        <v>0</v>
      </c>
      <c r="BF42" s="435">
        <v>9.5</v>
      </c>
      <c r="BG42" s="435">
        <v>11.072659</v>
      </c>
      <c r="BH42" s="341"/>
      <c r="BI42" s="341"/>
    </row>
    <row r="43" spans="1:61" s="342" customFormat="1" ht="13.8">
      <c r="A43" s="455" t="s">
        <v>687</v>
      </c>
      <c r="B43" s="454" t="s">
        <v>103</v>
      </c>
      <c r="C43" s="405">
        <v>24.573335</v>
      </c>
      <c r="D43" s="417">
        <v>4.4605439999999996</v>
      </c>
      <c r="E43" s="411">
        <v>0</v>
      </c>
      <c r="F43" s="411">
        <v>0</v>
      </c>
      <c r="G43" s="411">
        <v>0</v>
      </c>
      <c r="H43" s="411">
        <v>0</v>
      </c>
      <c r="I43" s="411">
        <v>4.4605439999999996</v>
      </c>
      <c r="J43" s="411">
        <v>0</v>
      </c>
      <c r="K43" s="411">
        <v>0</v>
      </c>
      <c r="L43" s="411">
        <v>0</v>
      </c>
      <c r="M43" s="411">
        <v>0</v>
      </c>
      <c r="N43" s="411">
        <v>0</v>
      </c>
      <c r="O43" s="411">
        <v>0</v>
      </c>
      <c r="P43" s="411">
        <v>0</v>
      </c>
      <c r="Q43" s="411">
        <v>0</v>
      </c>
      <c r="R43" s="413">
        <v>16.1278236658931</v>
      </c>
      <c r="S43" s="411">
        <v>0</v>
      </c>
      <c r="T43" s="411">
        <v>0</v>
      </c>
      <c r="U43" s="411">
        <v>0</v>
      </c>
      <c r="V43" s="411">
        <v>0</v>
      </c>
      <c r="W43" s="411">
        <v>0</v>
      </c>
      <c r="X43" s="411">
        <v>0</v>
      </c>
      <c r="Y43" s="411">
        <v>16.1278236658931</v>
      </c>
      <c r="Z43" s="411">
        <v>0</v>
      </c>
      <c r="AA43" s="413">
        <v>0</v>
      </c>
      <c r="AB43" s="413">
        <v>0</v>
      </c>
      <c r="AC43" s="413">
        <v>0</v>
      </c>
      <c r="AD43" s="411">
        <v>0</v>
      </c>
      <c r="AE43" s="411">
        <v>0</v>
      </c>
      <c r="AF43" s="411">
        <v>0</v>
      </c>
      <c r="AG43" s="413">
        <v>0</v>
      </c>
      <c r="AH43" s="413">
        <v>0</v>
      </c>
      <c r="AI43" s="413">
        <v>0</v>
      </c>
      <c r="AJ43" s="413">
        <v>0</v>
      </c>
      <c r="AK43" s="413">
        <v>0</v>
      </c>
      <c r="AL43" s="459">
        <v>3.9849673341069005</v>
      </c>
      <c r="AM43" s="413">
        <v>0</v>
      </c>
      <c r="AN43" s="413">
        <v>0</v>
      </c>
      <c r="AO43" s="411">
        <v>0</v>
      </c>
      <c r="AP43" s="411">
        <v>0</v>
      </c>
      <c r="AQ43" s="411">
        <v>0</v>
      </c>
      <c r="AR43" s="411">
        <v>0</v>
      </c>
      <c r="AS43" s="411">
        <v>0</v>
      </c>
      <c r="AT43" s="411">
        <v>0</v>
      </c>
      <c r="AU43" s="411">
        <v>0</v>
      </c>
      <c r="AV43" s="411">
        <v>0</v>
      </c>
      <c r="AW43" s="411">
        <v>0</v>
      </c>
      <c r="AX43" s="411">
        <v>0</v>
      </c>
      <c r="AY43" s="411">
        <v>0</v>
      </c>
      <c r="AZ43" s="411">
        <v>0</v>
      </c>
      <c r="BA43" s="411">
        <v>0</v>
      </c>
      <c r="BB43" s="411">
        <v>0</v>
      </c>
      <c r="BC43" s="411">
        <v>0</v>
      </c>
      <c r="BD43" s="411">
        <v>0</v>
      </c>
      <c r="BE43" s="434">
        <v>20.588367665893099</v>
      </c>
      <c r="BF43" s="435">
        <v>26.397308564102634</v>
      </c>
      <c r="BG43" s="435">
        <v>50.97064356410263</v>
      </c>
      <c r="BH43" s="341"/>
      <c r="BI43" s="341"/>
    </row>
    <row r="44" spans="1:61" s="342" customFormat="1" ht="13.8">
      <c r="A44" s="455" t="s">
        <v>688</v>
      </c>
      <c r="B44" s="454" t="s">
        <v>106</v>
      </c>
      <c r="C44" s="405">
        <v>13.322333999999996</v>
      </c>
      <c r="D44" s="417">
        <v>0</v>
      </c>
      <c r="E44" s="411">
        <v>0</v>
      </c>
      <c r="F44" s="411">
        <v>0</v>
      </c>
      <c r="G44" s="411">
        <v>0</v>
      </c>
      <c r="H44" s="411">
        <v>0</v>
      </c>
      <c r="I44" s="411">
        <v>0</v>
      </c>
      <c r="J44" s="411">
        <v>0</v>
      </c>
      <c r="K44" s="411">
        <v>0</v>
      </c>
      <c r="L44" s="411">
        <v>0</v>
      </c>
      <c r="M44" s="411">
        <v>0</v>
      </c>
      <c r="N44" s="411">
        <v>0</v>
      </c>
      <c r="O44" s="411">
        <v>0</v>
      </c>
      <c r="P44" s="411">
        <v>0</v>
      </c>
      <c r="Q44" s="411">
        <v>0</v>
      </c>
      <c r="R44" s="413">
        <v>0</v>
      </c>
      <c r="S44" s="411">
        <v>0</v>
      </c>
      <c r="T44" s="411">
        <v>0</v>
      </c>
      <c r="U44" s="411">
        <v>0</v>
      </c>
      <c r="V44" s="411">
        <v>0</v>
      </c>
      <c r="W44" s="411">
        <v>0</v>
      </c>
      <c r="X44" s="411">
        <v>0</v>
      </c>
      <c r="Y44" s="411">
        <v>0</v>
      </c>
      <c r="Z44" s="411">
        <v>0</v>
      </c>
      <c r="AA44" s="413">
        <v>0</v>
      </c>
      <c r="AB44" s="413">
        <v>0</v>
      </c>
      <c r="AC44" s="413">
        <v>0</v>
      </c>
      <c r="AD44" s="411">
        <v>0</v>
      </c>
      <c r="AE44" s="411">
        <v>0</v>
      </c>
      <c r="AF44" s="411">
        <v>0</v>
      </c>
      <c r="AG44" s="413">
        <v>0</v>
      </c>
      <c r="AH44" s="413">
        <v>0</v>
      </c>
      <c r="AI44" s="413">
        <v>0</v>
      </c>
      <c r="AJ44" s="413">
        <v>0</v>
      </c>
      <c r="AK44" s="413">
        <v>0</v>
      </c>
      <c r="AL44" s="413">
        <v>0</v>
      </c>
      <c r="AM44" s="459">
        <v>13.322333999999996</v>
      </c>
      <c r="AN44" s="413">
        <v>0</v>
      </c>
      <c r="AO44" s="411">
        <v>0</v>
      </c>
      <c r="AP44" s="411">
        <v>0</v>
      </c>
      <c r="AQ44" s="411">
        <v>0</v>
      </c>
      <c r="AR44" s="411">
        <v>0</v>
      </c>
      <c r="AS44" s="411">
        <v>0</v>
      </c>
      <c r="AT44" s="411">
        <v>0</v>
      </c>
      <c r="AU44" s="411">
        <v>0</v>
      </c>
      <c r="AV44" s="411">
        <v>0</v>
      </c>
      <c r="AW44" s="411">
        <v>0</v>
      </c>
      <c r="AX44" s="411">
        <v>0</v>
      </c>
      <c r="AY44" s="411">
        <v>0</v>
      </c>
      <c r="AZ44" s="411">
        <v>0</v>
      </c>
      <c r="BA44" s="411">
        <v>0</v>
      </c>
      <c r="BB44" s="411">
        <v>0</v>
      </c>
      <c r="BC44" s="411">
        <v>0</v>
      </c>
      <c r="BD44" s="411">
        <v>0</v>
      </c>
      <c r="BE44" s="434">
        <v>0</v>
      </c>
      <c r="BF44" s="435">
        <v>29.667911</v>
      </c>
      <c r="BG44" s="435">
        <v>42.990244999999994</v>
      </c>
      <c r="BH44" s="341"/>
      <c r="BI44" s="341"/>
    </row>
    <row r="45" spans="1:61" s="342" customFormat="1" ht="13.8">
      <c r="A45" s="455" t="s">
        <v>689</v>
      </c>
      <c r="B45" s="454" t="s">
        <v>111</v>
      </c>
      <c r="C45" s="405">
        <v>97.492464000000012</v>
      </c>
      <c r="D45" s="417">
        <v>1.1025432566386388</v>
      </c>
      <c r="E45" s="411">
        <v>0</v>
      </c>
      <c r="F45" s="411">
        <v>0</v>
      </c>
      <c r="G45" s="411">
        <v>0</v>
      </c>
      <c r="H45" s="411">
        <v>0</v>
      </c>
      <c r="I45" s="411">
        <v>1.1025432566386388</v>
      </c>
      <c r="J45" s="411">
        <v>0</v>
      </c>
      <c r="K45" s="411">
        <v>0</v>
      </c>
      <c r="L45" s="411">
        <v>0</v>
      </c>
      <c r="M45" s="411">
        <v>0</v>
      </c>
      <c r="N45" s="411">
        <v>0</v>
      </c>
      <c r="O45" s="411">
        <v>0</v>
      </c>
      <c r="P45" s="411">
        <v>0</v>
      </c>
      <c r="Q45" s="411">
        <v>0</v>
      </c>
      <c r="R45" s="413">
        <v>3.2859909999999997</v>
      </c>
      <c r="S45" s="411">
        <v>0</v>
      </c>
      <c r="T45" s="411">
        <v>0</v>
      </c>
      <c r="U45" s="411">
        <v>0</v>
      </c>
      <c r="V45" s="411">
        <v>0</v>
      </c>
      <c r="W45" s="411">
        <v>0</v>
      </c>
      <c r="X45" s="411">
        <v>0</v>
      </c>
      <c r="Y45" s="411">
        <v>0</v>
      </c>
      <c r="Z45" s="411">
        <v>0</v>
      </c>
      <c r="AA45" s="413">
        <v>2.9694479999999999</v>
      </c>
      <c r="AB45" s="413">
        <v>0</v>
      </c>
      <c r="AC45" s="413">
        <v>0</v>
      </c>
      <c r="AD45" s="411">
        <v>0</v>
      </c>
      <c r="AE45" s="411">
        <v>0</v>
      </c>
      <c r="AF45" s="411">
        <v>0</v>
      </c>
      <c r="AG45" s="413">
        <v>0</v>
      </c>
      <c r="AH45" s="413">
        <v>2.9694479999999999</v>
      </c>
      <c r="AI45" s="413">
        <v>0</v>
      </c>
      <c r="AJ45" s="413">
        <v>0</v>
      </c>
      <c r="AK45" s="413">
        <v>0</v>
      </c>
      <c r="AL45" s="413">
        <v>0</v>
      </c>
      <c r="AM45" s="413">
        <v>0</v>
      </c>
      <c r="AN45" s="459">
        <v>93.103929743361363</v>
      </c>
      <c r="AO45" s="411">
        <v>0</v>
      </c>
      <c r="AP45" s="411">
        <v>0</v>
      </c>
      <c r="AQ45" s="411">
        <v>0</v>
      </c>
      <c r="AR45" s="411">
        <v>0</v>
      </c>
      <c r="AS45" s="411">
        <v>0.31654299999999996</v>
      </c>
      <c r="AT45" s="411">
        <v>0</v>
      </c>
      <c r="AU45" s="411">
        <v>0</v>
      </c>
      <c r="AV45" s="411">
        <v>0</v>
      </c>
      <c r="AW45" s="411">
        <v>0</v>
      </c>
      <c r="AX45" s="411">
        <v>0</v>
      </c>
      <c r="AY45" s="411">
        <v>0</v>
      </c>
      <c r="AZ45" s="411">
        <v>0</v>
      </c>
      <c r="BA45" s="411">
        <v>0</v>
      </c>
      <c r="BB45" s="411">
        <v>0</v>
      </c>
      <c r="BC45" s="411">
        <v>0</v>
      </c>
      <c r="BD45" s="411">
        <v>0</v>
      </c>
      <c r="BE45" s="434">
        <v>4.3885342566386383</v>
      </c>
      <c r="BF45" s="435">
        <v>5</v>
      </c>
      <c r="BG45" s="435">
        <v>102.49246400000001</v>
      </c>
      <c r="BH45" s="341"/>
      <c r="BI45" s="341"/>
    </row>
    <row r="46" spans="1:61" s="342" customFormat="1" ht="13.8">
      <c r="A46" s="443" t="s">
        <v>690</v>
      </c>
      <c r="B46" s="454" t="s">
        <v>136</v>
      </c>
      <c r="C46" s="405">
        <v>0</v>
      </c>
      <c r="D46" s="417">
        <v>0</v>
      </c>
      <c r="E46" s="411">
        <v>0</v>
      </c>
      <c r="F46" s="411">
        <v>0</v>
      </c>
      <c r="G46" s="411">
        <v>0</v>
      </c>
      <c r="H46" s="411">
        <v>0</v>
      </c>
      <c r="I46" s="411">
        <v>0</v>
      </c>
      <c r="J46" s="411">
        <v>0</v>
      </c>
      <c r="K46" s="411">
        <v>0</v>
      </c>
      <c r="L46" s="411">
        <v>0</v>
      </c>
      <c r="M46" s="411">
        <v>0</v>
      </c>
      <c r="N46" s="411">
        <v>0</v>
      </c>
      <c r="O46" s="411">
        <v>0</v>
      </c>
      <c r="P46" s="411">
        <v>0</v>
      </c>
      <c r="Q46" s="411">
        <v>0</v>
      </c>
      <c r="R46" s="413">
        <v>0</v>
      </c>
      <c r="S46" s="411">
        <v>0</v>
      </c>
      <c r="T46" s="411">
        <v>0</v>
      </c>
      <c r="U46" s="411">
        <v>0</v>
      </c>
      <c r="V46" s="411">
        <v>0</v>
      </c>
      <c r="W46" s="411">
        <v>0</v>
      </c>
      <c r="X46" s="411">
        <v>0</v>
      </c>
      <c r="Y46" s="411">
        <v>0</v>
      </c>
      <c r="Z46" s="411">
        <v>0</v>
      </c>
      <c r="AA46" s="413">
        <v>0</v>
      </c>
      <c r="AB46" s="413">
        <v>0</v>
      </c>
      <c r="AC46" s="413">
        <v>0</v>
      </c>
      <c r="AD46" s="411">
        <v>0</v>
      </c>
      <c r="AE46" s="411">
        <v>0</v>
      </c>
      <c r="AF46" s="411">
        <v>0</v>
      </c>
      <c r="AG46" s="411">
        <v>0</v>
      </c>
      <c r="AH46" s="411">
        <v>0</v>
      </c>
      <c r="AI46" s="411">
        <v>0</v>
      </c>
      <c r="AJ46" s="411">
        <v>0</v>
      </c>
      <c r="AK46" s="411">
        <v>0</v>
      </c>
      <c r="AL46" s="411">
        <v>0</v>
      </c>
      <c r="AM46" s="411">
        <v>0</v>
      </c>
      <c r="AN46" s="411">
        <v>0</v>
      </c>
      <c r="AO46" s="459">
        <v>0</v>
      </c>
      <c r="AP46" s="411">
        <v>0</v>
      </c>
      <c r="AQ46" s="411">
        <v>0</v>
      </c>
      <c r="AR46" s="411">
        <v>0</v>
      </c>
      <c r="AS46" s="411">
        <v>0</v>
      </c>
      <c r="AT46" s="411">
        <v>0</v>
      </c>
      <c r="AU46" s="411">
        <v>0</v>
      </c>
      <c r="AV46" s="411">
        <v>0</v>
      </c>
      <c r="AW46" s="411">
        <v>0</v>
      </c>
      <c r="AX46" s="411">
        <v>0</v>
      </c>
      <c r="AY46" s="411">
        <v>0</v>
      </c>
      <c r="AZ46" s="411">
        <v>0</v>
      </c>
      <c r="BA46" s="411">
        <v>0</v>
      </c>
      <c r="BB46" s="411">
        <v>0</v>
      </c>
      <c r="BC46" s="411">
        <v>0</v>
      </c>
      <c r="BD46" s="411">
        <v>0</v>
      </c>
      <c r="BE46" s="434">
        <v>0</v>
      </c>
      <c r="BF46" s="435">
        <v>0</v>
      </c>
      <c r="BG46" s="435">
        <v>0</v>
      </c>
      <c r="BH46" s="341"/>
      <c r="BI46" s="341"/>
    </row>
    <row r="47" spans="1:61" s="342" customFormat="1" ht="13.8">
      <c r="A47" s="443" t="s">
        <v>691</v>
      </c>
      <c r="B47" s="454" t="s">
        <v>138</v>
      </c>
      <c r="C47" s="405">
        <v>0</v>
      </c>
      <c r="D47" s="417">
        <v>0</v>
      </c>
      <c r="E47" s="411">
        <v>0</v>
      </c>
      <c r="F47" s="411">
        <v>0</v>
      </c>
      <c r="G47" s="411">
        <v>0</v>
      </c>
      <c r="H47" s="411">
        <v>0</v>
      </c>
      <c r="I47" s="411">
        <v>0</v>
      </c>
      <c r="J47" s="411">
        <v>0</v>
      </c>
      <c r="K47" s="411">
        <v>0</v>
      </c>
      <c r="L47" s="411">
        <v>0</v>
      </c>
      <c r="M47" s="411">
        <v>0</v>
      </c>
      <c r="N47" s="411">
        <v>0</v>
      </c>
      <c r="O47" s="411">
        <v>0</v>
      </c>
      <c r="P47" s="411">
        <v>0</v>
      </c>
      <c r="Q47" s="411">
        <v>0</v>
      </c>
      <c r="R47" s="413">
        <v>0</v>
      </c>
      <c r="S47" s="411">
        <v>0</v>
      </c>
      <c r="T47" s="411">
        <v>0</v>
      </c>
      <c r="U47" s="411">
        <v>0</v>
      </c>
      <c r="V47" s="411">
        <v>0</v>
      </c>
      <c r="W47" s="411">
        <v>0</v>
      </c>
      <c r="X47" s="411">
        <v>0</v>
      </c>
      <c r="Y47" s="411">
        <v>0</v>
      </c>
      <c r="Z47" s="411">
        <v>0</v>
      </c>
      <c r="AA47" s="413">
        <v>0</v>
      </c>
      <c r="AB47" s="413">
        <v>0</v>
      </c>
      <c r="AC47" s="413">
        <v>0</v>
      </c>
      <c r="AD47" s="411">
        <v>0</v>
      </c>
      <c r="AE47" s="411">
        <v>0</v>
      </c>
      <c r="AF47" s="411">
        <v>0</v>
      </c>
      <c r="AG47" s="411">
        <v>0</v>
      </c>
      <c r="AH47" s="411">
        <v>0</v>
      </c>
      <c r="AI47" s="411">
        <v>0</v>
      </c>
      <c r="AJ47" s="411">
        <v>0</v>
      </c>
      <c r="AK47" s="411">
        <v>0</v>
      </c>
      <c r="AL47" s="411">
        <v>0</v>
      </c>
      <c r="AM47" s="411">
        <v>0</v>
      </c>
      <c r="AN47" s="411">
        <v>0</v>
      </c>
      <c r="AO47" s="411">
        <v>0</v>
      </c>
      <c r="AP47" s="459">
        <v>0</v>
      </c>
      <c r="AQ47" s="411">
        <v>0</v>
      </c>
      <c r="AR47" s="411">
        <v>0</v>
      </c>
      <c r="AS47" s="411">
        <v>0</v>
      </c>
      <c r="AT47" s="411">
        <v>0</v>
      </c>
      <c r="AU47" s="411">
        <v>0</v>
      </c>
      <c r="AV47" s="411">
        <v>0</v>
      </c>
      <c r="AW47" s="411">
        <v>0</v>
      </c>
      <c r="AX47" s="411">
        <v>0</v>
      </c>
      <c r="AY47" s="411">
        <v>0</v>
      </c>
      <c r="AZ47" s="411">
        <v>0</v>
      </c>
      <c r="BA47" s="411">
        <v>0</v>
      </c>
      <c r="BB47" s="411">
        <v>0</v>
      </c>
      <c r="BC47" s="411">
        <v>0</v>
      </c>
      <c r="BD47" s="411">
        <v>0</v>
      </c>
      <c r="BE47" s="434">
        <v>0</v>
      </c>
      <c r="BF47" s="435">
        <v>22.657395789750886</v>
      </c>
      <c r="BG47" s="435">
        <v>22.657395789750886</v>
      </c>
      <c r="BH47" s="341"/>
      <c r="BI47" s="341"/>
    </row>
    <row r="48" spans="1:61" s="342" customFormat="1" ht="13.8">
      <c r="A48" s="443" t="s">
        <v>692</v>
      </c>
      <c r="B48" s="454" t="s">
        <v>140</v>
      </c>
      <c r="C48" s="405">
        <v>4.4075220000000002</v>
      </c>
      <c r="D48" s="417">
        <v>0</v>
      </c>
      <c r="E48" s="411">
        <v>0</v>
      </c>
      <c r="F48" s="411">
        <v>0</v>
      </c>
      <c r="G48" s="411">
        <v>0</v>
      </c>
      <c r="H48" s="411">
        <v>0</v>
      </c>
      <c r="I48" s="411">
        <v>0</v>
      </c>
      <c r="J48" s="411">
        <v>0</v>
      </c>
      <c r="K48" s="411">
        <v>0</v>
      </c>
      <c r="L48" s="411">
        <v>0</v>
      </c>
      <c r="M48" s="411">
        <v>0</v>
      </c>
      <c r="N48" s="411">
        <v>0</v>
      </c>
      <c r="O48" s="411">
        <v>0</v>
      </c>
      <c r="P48" s="411">
        <v>0</v>
      </c>
      <c r="Q48" s="411">
        <v>0</v>
      </c>
      <c r="R48" s="413">
        <v>0.31512245000356304</v>
      </c>
      <c r="S48" s="411">
        <v>0</v>
      </c>
      <c r="T48" s="411">
        <v>0</v>
      </c>
      <c r="U48" s="411">
        <v>0</v>
      </c>
      <c r="V48" s="411">
        <v>0</v>
      </c>
      <c r="W48" s="411">
        <v>0</v>
      </c>
      <c r="X48" s="411">
        <v>0</v>
      </c>
      <c r="Y48" s="411">
        <v>0</v>
      </c>
      <c r="Z48" s="411">
        <v>0</v>
      </c>
      <c r="AA48" s="413">
        <v>0</v>
      </c>
      <c r="AB48" s="413">
        <v>0</v>
      </c>
      <c r="AC48" s="413">
        <v>0</v>
      </c>
      <c r="AD48" s="411">
        <v>0</v>
      </c>
      <c r="AE48" s="411">
        <v>0</v>
      </c>
      <c r="AF48" s="411">
        <v>0</v>
      </c>
      <c r="AG48" s="411">
        <v>0</v>
      </c>
      <c r="AH48" s="411">
        <v>0</v>
      </c>
      <c r="AI48" s="411">
        <v>0</v>
      </c>
      <c r="AJ48" s="411">
        <v>0</v>
      </c>
      <c r="AK48" s="411">
        <v>0</v>
      </c>
      <c r="AL48" s="411">
        <v>0</v>
      </c>
      <c r="AM48" s="411">
        <v>0</v>
      </c>
      <c r="AN48" s="411">
        <v>0</v>
      </c>
      <c r="AO48" s="411">
        <v>0</v>
      </c>
      <c r="AP48" s="411">
        <v>0</v>
      </c>
      <c r="AQ48" s="459">
        <v>4.0923995499964363</v>
      </c>
      <c r="AR48" s="411">
        <v>0</v>
      </c>
      <c r="AS48" s="411">
        <v>0.31512245000356304</v>
      </c>
      <c r="AT48" s="411">
        <v>0</v>
      </c>
      <c r="AU48" s="411">
        <v>0</v>
      </c>
      <c r="AV48" s="411">
        <v>0</v>
      </c>
      <c r="AW48" s="411">
        <v>0</v>
      </c>
      <c r="AX48" s="411">
        <v>0</v>
      </c>
      <c r="AY48" s="411">
        <v>0</v>
      </c>
      <c r="AZ48" s="411">
        <v>0</v>
      </c>
      <c r="BA48" s="411">
        <v>0</v>
      </c>
      <c r="BB48" s="411">
        <v>0</v>
      </c>
      <c r="BC48" s="411">
        <v>0</v>
      </c>
      <c r="BD48" s="411">
        <v>0</v>
      </c>
      <c r="BE48" s="434">
        <v>0.31512245000356304</v>
      </c>
      <c r="BF48" s="435">
        <v>19.450340549996433</v>
      </c>
      <c r="BG48" s="435">
        <v>23.857862549996433</v>
      </c>
      <c r="BH48" s="341"/>
      <c r="BI48" s="341"/>
    </row>
    <row r="49" spans="1:61" s="267" customFormat="1">
      <c r="A49" s="441" t="s">
        <v>693</v>
      </c>
      <c r="B49" s="456" t="s">
        <v>100</v>
      </c>
      <c r="C49" s="406">
        <v>0</v>
      </c>
      <c r="D49" s="404">
        <v>0</v>
      </c>
      <c r="E49" s="340">
        <v>0</v>
      </c>
      <c r="F49" s="340">
        <v>0</v>
      </c>
      <c r="G49" s="340">
        <v>0</v>
      </c>
      <c r="H49" s="340">
        <v>0</v>
      </c>
      <c r="I49" s="340">
        <v>0</v>
      </c>
      <c r="J49" s="340">
        <v>0</v>
      </c>
      <c r="K49" s="340">
        <v>0</v>
      </c>
      <c r="L49" s="340">
        <v>0</v>
      </c>
      <c r="M49" s="340">
        <v>0</v>
      </c>
      <c r="N49" s="340">
        <v>0</v>
      </c>
      <c r="O49" s="340">
        <v>0</v>
      </c>
      <c r="P49" s="340">
        <v>0</v>
      </c>
      <c r="Q49" s="340">
        <v>0</v>
      </c>
      <c r="R49" s="416">
        <v>0</v>
      </c>
      <c r="S49" s="340">
        <v>0</v>
      </c>
      <c r="T49" s="340">
        <v>0</v>
      </c>
      <c r="U49" s="340">
        <v>0</v>
      </c>
      <c r="V49" s="340">
        <v>0</v>
      </c>
      <c r="W49" s="340">
        <v>0</v>
      </c>
      <c r="X49" s="340">
        <v>0</v>
      </c>
      <c r="Y49" s="340">
        <v>0</v>
      </c>
      <c r="Z49" s="340">
        <v>0</v>
      </c>
      <c r="AA49" s="416">
        <v>0</v>
      </c>
      <c r="AB49" s="416">
        <v>0</v>
      </c>
      <c r="AC49" s="416">
        <v>0</v>
      </c>
      <c r="AD49" s="340">
        <v>0</v>
      </c>
      <c r="AE49" s="340">
        <v>0</v>
      </c>
      <c r="AF49" s="340">
        <v>0</v>
      </c>
      <c r="AG49" s="340">
        <v>0</v>
      </c>
      <c r="AH49" s="340">
        <v>0</v>
      </c>
      <c r="AI49" s="340">
        <v>0</v>
      </c>
      <c r="AJ49" s="340">
        <v>0</v>
      </c>
      <c r="AK49" s="340">
        <v>0</v>
      </c>
      <c r="AL49" s="340">
        <v>0</v>
      </c>
      <c r="AM49" s="340">
        <v>0</v>
      </c>
      <c r="AN49" s="340">
        <v>0</v>
      </c>
      <c r="AO49" s="340">
        <v>0</v>
      </c>
      <c r="AP49" s="340">
        <v>0</v>
      </c>
      <c r="AQ49" s="340">
        <v>0</v>
      </c>
      <c r="AR49" s="419">
        <v>0</v>
      </c>
      <c r="AS49" s="416">
        <v>0</v>
      </c>
      <c r="AT49" s="416">
        <v>0</v>
      </c>
      <c r="AU49" s="340">
        <v>0</v>
      </c>
      <c r="AV49" s="340">
        <v>0</v>
      </c>
      <c r="AW49" s="340">
        <v>0</v>
      </c>
      <c r="AX49" s="340">
        <v>0</v>
      </c>
      <c r="AY49" s="340">
        <v>0</v>
      </c>
      <c r="AZ49" s="340">
        <v>0</v>
      </c>
      <c r="BA49" s="340">
        <v>0</v>
      </c>
      <c r="BB49" s="340">
        <v>0</v>
      </c>
      <c r="BC49" s="340">
        <v>0</v>
      </c>
      <c r="BD49" s="340">
        <v>0</v>
      </c>
      <c r="BE49" s="438">
        <v>0</v>
      </c>
      <c r="BF49" s="439">
        <v>0</v>
      </c>
      <c r="BG49" s="439">
        <v>0</v>
      </c>
      <c r="BH49" s="337"/>
      <c r="BI49" s="337"/>
    </row>
    <row r="50" spans="1:61" s="267" customFormat="1">
      <c r="A50" s="441" t="s">
        <v>694</v>
      </c>
      <c r="B50" s="456" t="s">
        <v>143</v>
      </c>
      <c r="C50" s="406">
        <v>12.401898000000001</v>
      </c>
      <c r="D50" s="404">
        <v>2.5519089999765199E-2</v>
      </c>
      <c r="E50" s="340">
        <v>0</v>
      </c>
      <c r="F50" s="340">
        <v>0</v>
      </c>
      <c r="G50" s="340">
        <v>0</v>
      </c>
      <c r="H50" s="340">
        <v>0</v>
      </c>
      <c r="I50" s="340">
        <v>2.5519089999765199E-2</v>
      </c>
      <c r="J50" s="340">
        <v>0</v>
      </c>
      <c r="K50" s="340">
        <v>0</v>
      </c>
      <c r="L50" s="340">
        <v>0</v>
      </c>
      <c r="M50" s="340">
        <v>0</v>
      </c>
      <c r="N50" s="340">
        <v>0</v>
      </c>
      <c r="O50" s="340">
        <v>0</v>
      </c>
      <c r="P50" s="340">
        <v>0</v>
      </c>
      <c r="Q50" s="340">
        <v>0</v>
      </c>
      <c r="R50" s="416">
        <v>1.4643898274535203</v>
      </c>
      <c r="S50" s="340">
        <v>0</v>
      </c>
      <c r="T50" s="340">
        <v>0</v>
      </c>
      <c r="U50" s="340">
        <v>0</v>
      </c>
      <c r="V50" s="340">
        <v>0</v>
      </c>
      <c r="W50" s="340">
        <v>0</v>
      </c>
      <c r="X50" s="340">
        <v>0</v>
      </c>
      <c r="Y50" s="340">
        <v>0</v>
      </c>
      <c r="Z50" s="340">
        <v>0</v>
      </c>
      <c r="AA50" s="416">
        <v>1.2632883174516709</v>
      </c>
      <c r="AB50" s="416">
        <v>0</v>
      </c>
      <c r="AC50" s="416">
        <v>0</v>
      </c>
      <c r="AD50" s="340">
        <v>0</v>
      </c>
      <c r="AE50" s="340">
        <v>0</v>
      </c>
      <c r="AF50" s="340">
        <v>1.196182895003304</v>
      </c>
      <c r="AG50" s="340">
        <v>6.7105422448366897E-2</v>
      </c>
      <c r="AH50" s="340">
        <v>0</v>
      </c>
      <c r="AI50" s="340">
        <v>0</v>
      </c>
      <c r="AJ50" s="340">
        <v>0</v>
      </c>
      <c r="AK50" s="340">
        <v>0</v>
      </c>
      <c r="AL50" s="340">
        <v>0</v>
      </c>
      <c r="AM50" s="340">
        <v>0</v>
      </c>
      <c r="AN50" s="340">
        <v>0</v>
      </c>
      <c r="AO50" s="340">
        <v>0</v>
      </c>
      <c r="AP50" s="340">
        <v>0</v>
      </c>
      <c r="AQ50" s="340">
        <v>0</v>
      </c>
      <c r="AR50" s="416">
        <v>0</v>
      </c>
      <c r="AS50" s="419">
        <v>10.911989082546716</v>
      </c>
      <c r="AT50" s="416">
        <v>0</v>
      </c>
      <c r="AU50" s="340">
        <v>7.4810000000000001E-2</v>
      </c>
      <c r="AV50" s="340">
        <v>1.5162250000145301E-2</v>
      </c>
      <c r="AW50" s="340">
        <v>0</v>
      </c>
      <c r="AX50" s="340">
        <v>0</v>
      </c>
      <c r="AY50" s="340">
        <v>0</v>
      </c>
      <c r="AZ50" s="340">
        <v>0</v>
      </c>
      <c r="BA50" s="340">
        <v>0</v>
      </c>
      <c r="BB50" s="340">
        <v>0</v>
      </c>
      <c r="BC50" s="340">
        <v>0.11112926000170401</v>
      </c>
      <c r="BD50" s="340">
        <v>0</v>
      </c>
      <c r="BE50" s="438">
        <v>1.4899089174532856</v>
      </c>
      <c r="BF50" s="439">
        <v>16.16718507106404</v>
      </c>
      <c r="BG50" s="439">
        <v>28.569083071064043</v>
      </c>
      <c r="BH50" s="337"/>
      <c r="BI50" s="337"/>
    </row>
    <row r="51" spans="1:61" s="267" customFormat="1">
      <c r="A51" s="441" t="s">
        <v>695</v>
      </c>
      <c r="B51" s="456" t="s">
        <v>146</v>
      </c>
      <c r="C51" s="406">
        <v>9.9138779999999986</v>
      </c>
      <c r="D51" s="404">
        <v>0</v>
      </c>
      <c r="E51" s="340">
        <v>0</v>
      </c>
      <c r="F51" s="340">
        <v>0</v>
      </c>
      <c r="G51" s="340">
        <v>0</v>
      </c>
      <c r="H51" s="340">
        <v>0</v>
      </c>
      <c r="I51" s="340">
        <v>0</v>
      </c>
      <c r="J51" s="340">
        <v>0</v>
      </c>
      <c r="K51" s="340">
        <v>0</v>
      </c>
      <c r="L51" s="340">
        <v>0</v>
      </c>
      <c r="M51" s="340">
        <v>0</v>
      </c>
      <c r="N51" s="340">
        <v>0</v>
      </c>
      <c r="O51" s="340">
        <v>0</v>
      </c>
      <c r="P51" s="340">
        <v>0</v>
      </c>
      <c r="Q51" s="340">
        <v>0</v>
      </c>
      <c r="R51" s="416">
        <v>0.27718500000000001</v>
      </c>
      <c r="S51" s="340">
        <v>0</v>
      </c>
      <c r="T51" s="340">
        <v>0</v>
      </c>
      <c r="U51" s="340">
        <v>0</v>
      </c>
      <c r="V51" s="340">
        <v>0</v>
      </c>
      <c r="W51" s="340">
        <v>0</v>
      </c>
      <c r="X51" s="340">
        <v>0</v>
      </c>
      <c r="Y51" s="340">
        <v>0</v>
      </c>
      <c r="Z51" s="340">
        <v>0</v>
      </c>
      <c r="AA51" s="416">
        <v>0.27718500000000001</v>
      </c>
      <c r="AB51" s="416">
        <v>0</v>
      </c>
      <c r="AC51" s="416">
        <v>0</v>
      </c>
      <c r="AD51" s="340">
        <v>0</v>
      </c>
      <c r="AE51" s="340">
        <v>0</v>
      </c>
      <c r="AF51" s="340">
        <v>0.27718500000000001</v>
      </c>
      <c r="AG51" s="340">
        <v>0</v>
      </c>
      <c r="AH51" s="340">
        <v>0</v>
      </c>
      <c r="AI51" s="340">
        <v>0</v>
      </c>
      <c r="AJ51" s="340">
        <v>0</v>
      </c>
      <c r="AK51" s="340">
        <v>0</v>
      </c>
      <c r="AL51" s="340">
        <v>0</v>
      </c>
      <c r="AM51" s="340">
        <v>0</v>
      </c>
      <c r="AN51" s="340">
        <v>0</v>
      </c>
      <c r="AO51" s="340">
        <v>0</v>
      </c>
      <c r="AP51" s="340">
        <v>0</v>
      </c>
      <c r="AQ51" s="340">
        <v>0</v>
      </c>
      <c r="AR51" s="416">
        <v>0</v>
      </c>
      <c r="AS51" s="416">
        <v>0</v>
      </c>
      <c r="AT51" s="419">
        <v>9.6366929999999993</v>
      </c>
      <c r="AU51" s="340">
        <v>0</v>
      </c>
      <c r="AV51" s="340">
        <v>0</v>
      </c>
      <c r="AW51" s="340">
        <v>0</v>
      </c>
      <c r="AX51" s="340">
        <v>0</v>
      </c>
      <c r="AY51" s="340">
        <v>0</v>
      </c>
      <c r="AZ51" s="340">
        <v>0</v>
      </c>
      <c r="BA51" s="340">
        <v>0</v>
      </c>
      <c r="BB51" s="340">
        <v>0</v>
      </c>
      <c r="BC51" s="340">
        <v>0</v>
      </c>
      <c r="BD51" s="340">
        <v>0</v>
      </c>
      <c r="BE51" s="438">
        <v>0.27718500000000001</v>
      </c>
      <c r="BF51" s="439">
        <v>20.863207645000859</v>
      </c>
      <c r="BG51" s="439">
        <v>30.777085645000859</v>
      </c>
      <c r="BH51" s="337"/>
      <c r="BI51" s="337"/>
    </row>
    <row r="52" spans="1:61" s="267" customFormat="1">
      <c r="A52" s="441" t="s">
        <v>696</v>
      </c>
      <c r="B52" s="442" t="s">
        <v>58</v>
      </c>
      <c r="C52" s="406">
        <v>559.67882700000007</v>
      </c>
      <c r="D52" s="404">
        <v>0</v>
      </c>
      <c r="E52" s="340">
        <v>0</v>
      </c>
      <c r="F52" s="340">
        <v>0</v>
      </c>
      <c r="G52" s="340">
        <v>0</v>
      </c>
      <c r="H52" s="340">
        <v>0</v>
      </c>
      <c r="I52" s="340">
        <v>0</v>
      </c>
      <c r="J52" s="340">
        <v>0</v>
      </c>
      <c r="K52" s="340">
        <v>0</v>
      </c>
      <c r="L52" s="340">
        <v>0</v>
      </c>
      <c r="M52" s="340">
        <v>0</v>
      </c>
      <c r="N52" s="340">
        <v>0</v>
      </c>
      <c r="O52" s="340">
        <v>0</v>
      </c>
      <c r="P52" s="340">
        <v>0</v>
      </c>
      <c r="Q52" s="340">
        <v>0</v>
      </c>
      <c r="R52" s="416">
        <v>60.24927550000001</v>
      </c>
      <c r="S52" s="340">
        <v>0</v>
      </c>
      <c r="T52" s="340">
        <v>0</v>
      </c>
      <c r="U52" s="340">
        <v>0</v>
      </c>
      <c r="V52" s="340">
        <v>0</v>
      </c>
      <c r="W52" s="340">
        <v>8.4999999999999992E-2</v>
      </c>
      <c r="X52" s="340">
        <v>0</v>
      </c>
      <c r="Y52" s="340">
        <v>0</v>
      </c>
      <c r="Z52" s="340">
        <v>0</v>
      </c>
      <c r="AA52" s="416">
        <v>39.709928500000004</v>
      </c>
      <c r="AB52" s="416">
        <v>38.549999999999997</v>
      </c>
      <c r="AC52" s="416">
        <v>0.5</v>
      </c>
      <c r="AD52" s="340">
        <v>0</v>
      </c>
      <c r="AE52" s="340">
        <v>0</v>
      </c>
      <c r="AF52" s="340">
        <v>0.65992849999999992</v>
      </c>
      <c r="AG52" s="340">
        <v>0</v>
      </c>
      <c r="AH52" s="340">
        <v>0</v>
      </c>
      <c r="AI52" s="340">
        <v>0</v>
      </c>
      <c r="AJ52" s="340">
        <v>0</v>
      </c>
      <c r="AK52" s="340">
        <v>0</v>
      </c>
      <c r="AL52" s="340">
        <v>0</v>
      </c>
      <c r="AM52" s="340">
        <v>0</v>
      </c>
      <c r="AN52" s="340">
        <v>0</v>
      </c>
      <c r="AO52" s="340">
        <v>0</v>
      </c>
      <c r="AP52" s="340">
        <v>0</v>
      </c>
      <c r="AQ52" s="340">
        <v>0</v>
      </c>
      <c r="AR52" s="340">
        <v>0</v>
      </c>
      <c r="AS52" s="340">
        <v>0</v>
      </c>
      <c r="AT52" s="340">
        <v>0</v>
      </c>
      <c r="AU52" s="419">
        <v>499.4295515</v>
      </c>
      <c r="AV52" s="340">
        <v>20.454346999999999</v>
      </c>
      <c r="AW52" s="340">
        <v>0</v>
      </c>
      <c r="AX52" s="340">
        <v>0</v>
      </c>
      <c r="AY52" s="340">
        <v>0</v>
      </c>
      <c r="AZ52" s="340">
        <v>0</v>
      </c>
      <c r="BA52" s="340">
        <v>0</v>
      </c>
      <c r="BB52" s="340">
        <v>0</v>
      </c>
      <c r="BC52" s="340">
        <v>0</v>
      </c>
      <c r="BD52" s="340">
        <v>0</v>
      </c>
      <c r="BE52" s="438">
        <v>60.24927550000001</v>
      </c>
      <c r="BF52" s="439">
        <v>1448.7672645</v>
      </c>
      <c r="BG52" s="439">
        <v>2008.4460915</v>
      </c>
      <c r="BH52" s="337"/>
      <c r="BI52" s="337"/>
    </row>
    <row r="53" spans="1:61" s="267" customFormat="1">
      <c r="A53" s="441" t="s">
        <v>697</v>
      </c>
      <c r="B53" s="442" t="s">
        <v>60</v>
      </c>
      <c r="C53" s="406">
        <v>130.01883699999999</v>
      </c>
      <c r="D53" s="404">
        <v>0</v>
      </c>
      <c r="E53" s="340">
        <v>0</v>
      </c>
      <c r="F53" s="340">
        <v>0</v>
      </c>
      <c r="G53" s="340">
        <v>0</v>
      </c>
      <c r="H53" s="340">
        <v>0</v>
      </c>
      <c r="I53" s="340">
        <v>0</v>
      </c>
      <c r="J53" s="340">
        <v>0</v>
      </c>
      <c r="K53" s="340">
        <v>0</v>
      </c>
      <c r="L53" s="340">
        <v>0</v>
      </c>
      <c r="M53" s="340">
        <v>0</v>
      </c>
      <c r="N53" s="340">
        <v>0</v>
      </c>
      <c r="O53" s="340">
        <v>0</v>
      </c>
      <c r="P53" s="340">
        <v>0</v>
      </c>
      <c r="Q53" s="340">
        <v>0</v>
      </c>
      <c r="R53" s="416">
        <v>5.5153910000000002</v>
      </c>
      <c r="S53" s="340">
        <v>0</v>
      </c>
      <c r="T53" s="340">
        <v>0</v>
      </c>
      <c r="U53" s="340">
        <v>0</v>
      </c>
      <c r="V53" s="340">
        <v>0</v>
      </c>
      <c r="W53" s="340">
        <v>4.4999999999999998E-2</v>
      </c>
      <c r="X53" s="340">
        <v>0</v>
      </c>
      <c r="Y53" s="340">
        <v>0</v>
      </c>
      <c r="Z53" s="340">
        <v>0</v>
      </c>
      <c r="AA53" s="416">
        <v>5.4703910000000002</v>
      </c>
      <c r="AB53" s="416">
        <v>5.17</v>
      </c>
      <c r="AC53" s="416">
        <v>0</v>
      </c>
      <c r="AD53" s="340">
        <v>0</v>
      </c>
      <c r="AE53" s="340">
        <v>0</v>
      </c>
      <c r="AF53" s="340">
        <v>0</v>
      </c>
      <c r="AG53" s="340">
        <v>0</v>
      </c>
      <c r="AH53" s="340">
        <v>0</v>
      </c>
      <c r="AI53" s="340">
        <v>0</v>
      </c>
      <c r="AJ53" s="340">
        <v>0</v>
      </c>
      <c r="AK53" s="340">
        <v>0</v>
      </c>
      <c r="AL53" s="340">
        <v>0</v>
      </c>
      <c r="AM53" s="340">
        <v>0</v>
      </c>
      <c r="AN53" s="340">
        <v>0</v>
      </c>
      <c r="AO53" s="340">
        <v>0</v>
      </c>
      <c r="AP53" s="340">
        <v>0</v>
      </c>
      <c r="AQ53" s="340">
        <v>0.30039099999999996</v>
      </c>
      <c r="AR53" s="340">
        <v>0</v>
      </c>
      <c r="AS53" s="340">
        <v>0</v>
      </c>
      <c r="AT53" s="340">
        <v>0</v>
      </c>
      <c r="AU53" s="340">
        <v>0</v>
      </c>
      <c r="AV53" s="419">
        <v>124.503446</v>
      </c>
      <c r="AW53" s="340">
        <v>0</v>
      </c>
      <c r="AX53" s="340">
        <v>0</v>
      </c>
      <c r="AY53" s="340">
        <v>0</v>
      </c>
      <c r="AZ53" s="340">
        <v>0</v>
      </c>
      <c r="BA53" s="340">
        <v>0</v>
      </c>
      <c r="BB53" s="340">
        <v>0</v>
      </c>
      <c r="BC53" s="340">
        <v>0</v>
      </c>
      <c r="BD53" s="340">
        <v>0</v>
      </c>
      <c r="BE53" s="438">
        <v>5.5153910000000002</v>
      </c>
      <c r="BF53" s="439">
        <v>481.82411825000008</v>
      </c>
      <c r="BG53" s="439">
        <v>611.84295525000005</v>
      </c>
      <c r="BH53" s="337"/>
      <c r="BI53" s="337"/>
    </row>
    <row r="54" spans="1:61" s="267" customFormat="1">
      <c r="A54" s="441" t="s">
        <v>698</v>
      </c>
      <c r="B54" s="442" t="s">
        <v>63</v>
      </c>
      <c r="C54" s="406">
        <v>36.096491999999998</v>
      </c>
      <c r="D54" s="404">
        <v>0</v>
      </c>
      <c r="E54" s="340">
        <v>0</v>
      </c>
      <c r="F54" s="340">
        <v>0</v>
      </c>
      <c r="G54" s="340">
        <v>0</v>
      </c>
      <c r="H54" s="340">
        <v>0</v>
      </c>
      <c r="I54" s="340">
        <v>0</v>
      </c>
      <c r="J54" s="340">
        <v>0</v>
      </c>
      <c r="K54" s="340">
        <v>0</v>
      </c>
      <c r="L54" s="340">
        <v>0</v>
      </c>
      <c r="M54" s="340">
        <v>0</v>
      </c>
      <c r="N54" s="340">
        <v>0</v>
      </c>
      <c r="O54" s="340">
        <v>0</v>
      </c>
      <c r="P54" s="340">
        <v>0</v>
      </c>
      <c r="Q54" s="340">
        <v>0</v>
      </c>
      <c r="R54" s="416">
        <v>4.0468630000000001</v>
      </c>
      <c r="S54" s="340">
        <v>0</v>
      </c>
      <c r="T54" s="340">
        <v>0.31161100000000003</v>
      </c>
      <c r="U54" s="340">
        <v>0</v>
      </c>
      <c r="V54" s="340">
        <v>0</v>
      </c>
      <c r="W54" s="340">
        <v>2.4942419999999998</v>
      </c>
      <c r="X54" s="340">
        <v>0</v>
      </c>
      <c r="Y54" s="340">
        <v>0</v>
      </c>
      <c r="Z54" s="340">
        <v>0</v>
      </c>
      <c r="AA54" s="416">
        <v>0.89100999999999997</v>
      </c>
      <c r="AB54" s="416">
        <v>0</v>
      </c>
      <c r="AC54" s="416">
        <v>0</v>
      </c>
      <c r="AD54" s="340">
        <v>0.52949999999999997</v>
      </c>
      <c r="AE54" s="340">
        <v>0.27018999999999999</v>
      </c>
      <c r="AF54" s="340">
        <v>0</v>
      </c>
      <c r="AG54" s="340">
        <v>0</v>
      </c>
      <c r="AH54" s="340">
        <v>0</v>
      </c>
      <c r="AI54" s="340">
        <v>0</v>
      </c>
      <c r="AJ54" s="340">
        <v>0</v>
      </c>
      <c r="AK54" s="340">
        <v>0</v>
      </c>
      <c r="AL54" s="340">
        <v>0</v>
      </c>
      <c r="AM54" s="340">
        <v>0</v>
      </c>
      <c r="AN54" s="340">
        <v>0</v>
      </c>
      <c r="AO54" s="340">
        <v>0</v>
      </c>
      <c r="AP54" s="340">
        <v>0</v>
      </c>
      <c r="AQ54" s="340">
        <v>9.1319999999999998E-2</v>
      </c>
      <c r="AR54" s="340">
        <v>0</v>
      </c>
      <c r="AS54" s="340">
        <v>0</v>
      </c>
      <c r="AT54" s="340">
        <v>0</v>
      </c>
      <c r="AU54" s="340">
        <v>0.35</v>
      </c>
      <c r="AV54" s="340">
        <v>0</v>
      </c>
      <c r="AW54" s="419">
        <v>32.049628999999996</v>
      </c>
      <c r="AX54" s="340">
        <v>0</v>
      </c>
      <c r="AY54" s="340">
        <v>0</v>
      </c>
      <c r="AZ54" s="340">
        <v>0</v>
      </c>
      <c r="BA54" s="340">
        <v>0</v>
      </c>
      <c r="BB54" s="340">
        <v>0</v>
      </c>
      <c r="BC54" s="340">
        <v>0</v>
      </c>
      <c r="BD54" s="340">
        <v>0</v>
      </c>
      <c r="BE54" s="438">
        <v>4.0468630000000001</v>
      </c>
      <c r="BF54" s="439">
        <v>5.1176800000000089</v>
      </c>
      <c r="BG54" s="439">
        <v>41.214172000000005</v>
      </c>
      <c r="BH54" s="337"/>
      <c r="BI54" s="337"/>
    </row>
    <row r="55" spans="1:61" s="267" customFormat="1">
      <c r="A55" s="441" t="s">
        <v>699</v>
      </c>
      <c r="B55" s="442" t="s">
        <v>66</v>
      </c>
      <c r="C55" s="406">
        <v>0.48929600000000001</v>
      </c>
      <c r="D55" s="404">
        <v>0</v>
      </c>
      <c r="E55" s="340">
        <v>0</v>
      </c>
      <c r="F55" s="340">
        <v>0</v>
      </c>
      <c r="G55" s="340">
        <v>0</v>
      </c>
      <c r="H55" s="340">
        <v>0</v>
      </c>
      <c r="I55" s="340">
        <v>0</v>
      </c>
      <c r="J55" s="340">
        <v>0</v>
      </c>
      <c r="K55" s="340">
        <v>0</v>
      </c>
      <c r="L55" s="340">
        <v>0</v>
      </c>
      <c r="M55" s="340">
        <v>0</v>
      </c>
      <c r="N55" s="340">
        <v>0</v>
      </c>
      <c r="O55" s="340">
        <v>0</v>
      </c>
      <c r="P55" s="340">
        <v>0</v>
      </c>
      <c r="Q55" s="340">
        <v>0</v>
      </c>
      <c r="R55" s="416">
        <v>0</v>
      </c>
      <c r="S55" s="340">
        <v>0</v>
      </c>
      <c r="T55" s="340">
        <v>0</v>
      </c>
      <c r="U55" s="340">
        <v>0</v>
      </c>
      <c r="V55" s="340">
        <v>0</v>
      </c>
      <c r="W55" s="340">
        <v>0</v>
      </c>
      <c r="X55" s="340">
        <v>0</v>
      </c>
      <c r="Y55" s="340">
        <v>0</v>
      </c>
      <c r="Z55" s="340">
        <v>0</v>
      </c>
      <c r="AA55" s="416">
        <v>0</v>
      </c>
      <c r="AB55" s="416">
        <v>0</v>
      </c>
      <c r="AC55" s="416">
        <v>0</v>
      </c>
      <c r="AD55" s="340">
        <v>0</v>
      </c>
      <c r="AE55" s="340">
        <v>0</v>
      </c>
      <c r="AF55" s="340">
        <v>0</v>
      </c>
      <c r="AG55" s="340">
        <v>0</v>
      </c>
      <c r="AH55" s="340">
        <v>0</v>
      </c>
      <c r="AI55" s="340">
        <v>0</v>
      </c>
      <c r="AJ55" s="340">
        <v>0</v>
      </c>
      <c r="AK55" s="340">
        <v>0</v>
      </c>
      <c r="AL55" s="340">
        <v>0</v>
      </c>
      <c r="AM55" s="340">
        <v>0</v>
      </c>
      <c r="AN55" s="340">
        <v>0</v>
      </c>
      <c r="AO55" s="340">
        <v>0</v>
      </c>
      <c r="AP55" s="340">
        <v>0</v>
      </c>
      <c r="AQ55" s="340">
        <v>0</v>
      </c>
      <c r="AR55" s="340">
        <v>0</v>
      </c>
      <c r="AS55" s="340">
        <v>0</v>
      </c>
      <c r="AT55" s="340">
        <v>0</v>
      </c>
      <c r="AU55" s="340">
        <v>0</v>
      </c>
      <c r="AV55" s="340">
        <v>0</v>
      </c>
      <c r="AW55" s="340">
        <v>0</v>
      </c>
      <c r="AX55" s="419">
        <v>0.48929600000000001</v>
      </c>
      <c r="AY55" s="340">
        <v>0</v>
      </c>
      <c r="AZ55" s="340">
        <v>0</v>
      </c>
      <c r="BA55" s="340">
        <v>0</v>
      </c>
      <c r="BB55" s="340">
        <v>0</v>
      </c>
      <c r="BC55" s="340">
        <v>0</v>
      </c>
      <c r="BD55" s="340">
        <v>0</v>
      </c>
      <c r="BE55" s="438">
        <v>0</v>
      </c>
      <c r="BF55" s="439">
        <v>0</v>
      </c>
      <c r="BG55" s="439">
        <v>0.48929600000000001</v>
      </c>
      <c r="BH55" s="337"/>
      <c r="BI55" s="337"/>
    </row>
    <row r="56" spans="1:61" s="267" customFormat="1">
      <c r="A56" s="441" t="s">
        <v>700</v>
      </c>
      <c r="B56" s="442" t="s">
        <v>69</v>
      </c>
      <c r="C56" s="406">
        <v>0</v>
      </c>
      <c r="D56" s="404">
        <v>0</v>
      </c>
      <c r="E56" s="340">
        <v>0</v>
      </c>
      <c r="F56" s="340">
        <v>0</v>
      </c>
      <c r="G56" s="340">
        <v>0</v>
      </c>
      <c r="H56" s="340">
        <v>0</v>
      </c>
      <c r="I56" s="340">
        <v>0</v>
      </c>
      <c r="J56" s="340">
        <v>0</v>
      </c>
      <c r="K56" s="340">
        <v>0</v>
      </c>
      <c r="L56" s="340">
        <v>0</v>
      </c>
      <c r="M56" s="340">
        <v>0</v>
      </c>
      <c r="N56" s="340">
        <v>0</v>
      </c>
      <c r="O56" s="340">
        <v>0</v>
      </c>
      <c r="P56" s="340">
        <v>0</v>
      </c>
      <c r="Q56" s="340">
        <v>0</v>
      </c>
      <c r="R56" s="416">
        <v>0</v>
      </c>
      <c r="S56" s="340">
        <v>0</v>
      </c>
      <c r="T56" s="340">
        <v>0</v>
      </c>
      <c r="U56" s="340">
        <v>0</v>
      </c>
      <c r="V56" s="340">
        <v>0</v>
      </c>
      <c r="W56" s="340">
        <v>0</v>
      </c>
      <c r="X56" s="340">
        <v>0</v>
      </c>
      <c r="Y56" s="340">
        <v>0</v>
      </c>
      <c r="Z56" s="340">
        <v>0</v>
      </c>
      <c r="AA56" s="416">
        <v>0</v>
      </c>
      <c r="AB56" s="416">
        <v>0</v>
      </c>
      <c r="AC56" s="416">
        <v>0</v>
      </c>
      <c r="AD56" s="340">
        <v>0</v>
      </c>
      <c r="AE56" s="340">
        <v>0</v>
      </c>
      <c r="AF56" s="340">
        <v>0</v>
      </c>
      <c r="AG56" s="340">
        <v>0</v>
      </c>
      <c r="AH56" s="340">
        <v>0</v>
      </c>
      <c r="AI56" s="340">
        <v>0</v>
      </c>
      <c r="AJ56" s="340">
        <v>0</v>
      </c>
      <c r="AK56" s="340">
        <v>0</v>
      </c>
      <c r="AL56" s="340">
        <v>0</v>
      </c>
      <c r="AM56" s="340">
        <v>0</v>
      </c>
      <c r="AN56" s="340">
        <v>0</v>
      </c>
      <c r="AO56" s="340">
        <v>0</v>
      </c>
      <c r="AP56" s="340">
        <v>0</v>
      </c>
      <c r="AQ56" s="340">
        <v>0</v>
      </c>
      <c r="AR56" s="340">
        <v>0</v>
      </c>
      <c r="AS56" s="340">
        <v>0</v>
      </c>
      <c r="AT56" s="340">
        <v>0</v>
      </c>
      <c r="AU56" s="340">
        <v>0</v>
      </c>
      <c r="AV56" s="340">
        <v>0</v>
      </c>
      <c r="AW56" s="340">
        <v>0</v>
      </c>
      <c r="AX56" s="340">
        <v>0</v>
      </c>
      <c r="AY56" s="419">
        <v>0</v>
      </c>
      <c r="AZ56" s="340">
        <v>0</v>
      </c>
      <c r="BA56" s="340">
        <v>0</v>
      </c>
      <c r="BB56" s="340">
        <v>0</v>
      </c>
      <c r="BC56" s="340">
        <v>0</v>
      </c>
      <c r="BD56" s="340">
        <v>0</v>
      </c>
      <c r="BE56" s="438">
        <v>0</v>
      </c>
      <c r="BF56" s="439">
        <v>0</v>
      </c>
      <c r="BG56" s="439">
        <v>0</v>
      </c>
      <c r="BH56" s="337"/>
      <c r="BI56" s="337"/>
    </row>
    <row r="57" spans="1:61" s="267" customFormat="1">
      <c r="A57" s="441" t="s">
        <v>701</v>
      </c>
      <c r="B57" s="442" t="s">
        <v>109</v>
      </c>
      <c r="C57" s="406">
        <v>0.27047700000000002</v>
      </c>
      <c r="D57" s="404">
        <v>0</v>
      </c>
      <c r="E57" s="340">
        <v>0</v>
      </c>
      <c r="F57" s="340">
        <v>0</v>
      </c>
      <c r="G57" s="340">
        <v>0</v>
      </c>
      <c r="H57" s="340">
        <v>0</v>
      </c>
      <c r="I57" s="340">
        <v>0</v>
      </c>
      <c r="J57" s="340">
        <v>0</v>
      </c>
      <c r="K57" s="340">
        <v>0</v>
      </c>
      <c r="L57" s="340">
        <v>0</v>
      </c>
      <c r="M57" s="340">
        <v>0</v>
      </c>
      <c r="N57" s="340">
        <v>0</v>
      </c>
      <c r="O57" s="340">
        <v>0</v>
      </c>
      <c r="P57" s="340">
        <v>0</v>
      </c>
      <c r="Q57" s="340">
        <v>0</v>
      </c>
      <c r="R57" s="416">
        <v>0</v>
      </c>
      <c r="S57" s="340">
        <v>0</v>
      </c>
      <c r="T57" s="340">
        <v>0</v>
      </c>
      <c r="U57" s="340">
        <v>0</v>
      </c>
      <c r="V57" s="340">
        <v>0</v>
      </c>
      <c r="W57" s="340">
        <v>0</v>
      </c>
      <c r="X57" s="340">
        <v>0</v>
      </c>
      <c r="Y57" s="340">
        <v>0</v>
      </c>
      <c r="Z57" s="340">
        <v>0</v>
      </c>
      <c r="AA57" s="416">
        <v>0</v>
      </c>
      <c r="AB57" s="416">
        <v>0</v>
      </c>
      <c r="AC57" s="416">
        <v>0</v>
      </c>
      <c r="AD57" s="340">
        <v>0</v>
      </c>
      <c r="AE57" s="340">
        <v>0</v>
      </c>
      <c r="AF57" s="340">
        <v>0</v>
      </c>
      <c r="AG57" s="340">
        <v>0</v>
      </c>
      <c r="AH57" s="340">
        <v>0</v>
      </c>
      <c r="AI57" s="340">
        <v>0</v>
      </c>
      <c r="AJ57" s="340">
        <v>0</v>
      </c>
      <c r="AK57" s="340">
        <v>0</v>
      </c>
      <c r="AL57" s="340">
        <v>0</v>
      </c>
      <c r="AM57" s="340">
        <v>0</v>
      </c>
      <c r="AN57" s="340">
        <v>0</v>
      </c>
      <c r="AO57" s="340">
        <v>0</v>
      </c>
      <c r="AP57" s="340">
        <v>0</v>
      </c>
      <c r="AQ57" s="340">
        <v>0</v>
      </c>
      <c r="AR57" s="340">
        <v>0</v>
      </c>
      <c r="AS57" s="340">
        <v>0</v>
      </c>
      <c r="AT57" s="340">
        <v>0</v>
      </c>
      <c r="AU57" s="340">
        <v>0</v>
      </c>
      <c r="AV57" s="340">
        <v>0</v>
      </c>
      <c r="AW57" s="340">
        <v>0</v>
      </c>
      <c r="AX57" s="340">
        <v>0</v>
      </c>
      <c r="AY57" s="340">
        <v>0</v>
      </c>
      <c r="AZ57" s="419">
        <v>0.27047700000000002</v>
      </c>
      <c r="BA57" s="340">
        <v>0</v>
      </c>
      <c r="BB57" s="340">
        <v>0</v>
      </c>
      <c r="BC57" s="340">
        <v>0</v>
      </c>
      <c r="BD57" s="340">
        <v>0</v>
      </c>
      <c r="BE57" s="438">
        <v>0</v>
      </c>
      <c r="BF57" s="439">
        <v>3.8</v>
      </c>
      <c r="BG57" s="439">
        <v>4.0704769999999995</v>
      </c>
      <c r="BH57" s="337"/>
      <c r="BI57" s="337"/>
    </row>
    <row r="58" spans="1:61" s="267" customFormat="1">
      <c r="A58" s="441" t="s">
        <v>702</v>
      </c>
      <c r="B58" s="442" t="s">
        <v>116</v>
      </c>
      <c r="C58" s="406">
        <v>1342.4534100000001</v>
      </c>
      <c r="D58" s="404">
        <v>0</v>
      </c>
      <c r="E58" s="340">
        <v>0</v>
      </c>
      <c r="F58" s="340">
        <v>0</v>
      </c>
      <c r="G58" s="340">
        <v>0</v>
      </c>
      <c r="H58" s="340">
        <v>0</v>
      </c>
      <c r="I58" s="340">
        <v>0</v>
      </c>
      <c r="J58" s="340">
        <v>0</v>
      </c>
      <c r="K58" s="340">
        <v>0</v>
      </c>
      <c r="L58" s="340">
        <v>0</v>
      </c>
      <c r="M58" s="340">
        <v>0</v>
      </c>
      <c r="N58" s="340">
        <v>0</v>
      </c>
      <c r="O58" s="340">
        <v>0</v>
      </c>
      <c r="P58" s="340">
        <v>0</v>
      </c>
      <c r="Q58" s="340">
        <v>0</v>
      </c>
      <c r="R58" s="416">
        <v>76.662300000000002</v>
      </c>
      <c r="S58" s="340">
        <v>0</v>
      </c>
      <c r="T58" s="340">
        <v>0</v>
      </c>
      <c r="U58" s="340">
        <v>0</v>
      </c>
      <c r="V58" s="340">
        <v>0</v>
      </c>
      <c r="W58" s="340">
        <v>0</v>
      </c>
      <c r="X58" s="340">
        <v>0</v>
      </c>
      <c r="Y58" s="340">
        <v>0</v>
      </c>
      <c r="Z58" s="340">
        <v>0</v>
      </c>
      <c r="AA58" s="416">
        <v>76.662300000000002</v>
      </c>
      <c r="AB58" s="416">
        <v>2.75</v>
      </c>
      <c r="AC58" s="416">
        <v>23.912299999999998</v>
      </c>
      <c r="AD58" s="340">
        <v>0</v>
      </c>
      <c r="AE58" s="340">
        <v>0</v>
      </c>
      <c r="AF58" s="340">
        <v>0</v>
      </c>
      <c r="AG58" s="340">
        <v>0</v>
      </c>
      <c r="AH58" s="340">
        <v>50</v>
      </c>
      <c r="AI58" s="340">
        <v>0</v>
      </c>
      <c r="AJ58" s="340">
        <v>0</v>
      </c>
      <c r="AK58" s="340">
        <v>0</v>
      </c>
      <c r="AL58" s="340">
        <v>0</v>
      </c>
      <c r="AM58" s="340">
        <v>0</v>
      </c>
      <c r="AN58" s="340">
        <v>0</v>
      </c>
      <c r="AO58" s="340">
        <v>0</v>
      </c>
      <c r="AP58" s="340">
        <v>0</v>
      </c>
      <c r="AQ58" s="340">
        <v>0</v>
      </c>
      <c r="AR58" s="340">
        <v>0</v>
      </c>
      <c r="AS58" s="340">
        <v>0</v>
      </c>
      <c r="AT58" s="340">
        <v>0</v>
      </c>
      <c r="AU58" s="340">
        <v>0</v>
      </c>
      <c r="AV58" s="340">
        <v>0</v>
      </c>
      <c r="AW58" s="340">
        <v>0</v>
      </c>
      <c r="AX58" s="340">
        <v>0</v>
      </c>
      <c r="AY58" s="340">
        <v>0</v>
      </c>
      <c r="AZ58" s="340">
        <v>0</v>
      </c>
      <c r="BA58" s="419">
        <v>1265.7911100000001</v>
      </c>
      <c r="BB58" s="340">
        <v>0</v>
      </c>
      <c r="BC58" s="340">
        <v>0</v>
      </c>
      <c r="BD58" s="340">
        <v>0</v>
      </c>
      <c r="BE58" s="438">
        <v>76.662300000000002</v>
      </c>
      <c r="BF58" s="439">
        <v>-76.662300000000002</v>
      </c>
      <c r="BG58" s="439">
        <v>1265.7911100000001</v>
      </c>
      <c r="BH58" s="337"/>
      <c r="BI58" s="337"/>
    </row>
    <row r="59" spans="1:61" s="267" customFormat="1">
      <c r="A59" s="441" t="s">
        <v>703</v>
      </c>
      <c r="B59" s="442" t="s">
        <v>114</v>
      </c>
      <c r="C59" s="406">
        <v>323.38511615499334</v>
      </c>
      <c r="D59" s="404">
        <v>0</v>
      </c>
      <c r="E59" s="340">
        <v>0</v>
      </c>
      <c r="F59" s="340">
        <v>0</v>
      </c>
      <c r="G59" s="340">
        <v>0</v>
      </c>
      <c r="H59" s="340">
        <v>0</v>
      </c>
      <c r="I59" s="340">
        <v>0</v>
      </c>
      <c r="J59" s="340">
        <v>0</v>
      </c>
      <c r="K59" s="340">
        <v>0</v>
      </c>
      <c r="L59" s="340">
        <v>0</v>
      </c>
      <c r="M59" s="340">
        <v>0</v>
      </c>
      <c r="N59" s="340">
        <v>0</v>
      </c>
      <c r="O59" s="340">
        <v>0</v>
      </c>
      <c r="P59" s="340">
        <v>0</v>
      </c>
      <c r="Q59" s="340">
        <v>0</v>
      </c>
      <c r="R59" s="416">
        <v>5.4640950000000004</v>
      </c>
      <c r="S59" s="340">
        <v>0</v>
      </c>
      <c r="T59" s="340">
        <v>0</v>
      </c>
      <c r="U59" s="340">
        <v>0</v>
      </c>
      <c r="V59" s="340">
        <v>0</v>
      </c>
      <c r="W59" s="340">
        <v>0</v>
      </c>
      <c r="X59" s="340">
        <v>0</v>
      </c>
      <c r="Y59" s="340">
        <v>0</v>
      </c>
      <c r="Z59" s="340">
        <v>0</v>
      </c>
      <c r="AA59" s="416">
        <v>5.4640950000000004</v>
      </c>
      <c r="AB59" s="416">
        <v>0</v>
      </c>
      <c r="AC59" s="416">
        <v>0</v>
      </c>
      <c r="AD59" s="340">
        <v>0</v>
      </c>
      <c r="AE59" s="340">
        <v>0</v>
      </c>
      <c r="AF59" s="340">
        <v>0</v>
      </c>
      <c r="AG59" s="340">
        <v>0</v>
      </c>
      <c r="AH59" s="340">
        <v>5.4640950000000004</v>
      </c>
      <c r="AI59" s="340">
        <v>0</v>
      </c>
      <c r="AJ59" s="340">
        <v>0</v>
      </c>
      <c r="AK59" s="340">
        <v>0</v>
      </c>
      <c r="AL59" s="340">
        <v>0</v>
      </c>
      <c r="AM59" s="340">
        <v>0</v>
      </c>
      <c r="AN59" s="340">
        <v>0</v>
      </c>
      <c r="AO59" s="340">
        <v>0</v>
      </c>
      <c r="AP59" s="340">
        <v>0</v>
      </c>
      <c r="AQ59" s="340">
        <v>0</v>
      </c>
      <c r="AR59" s="340">
        <v>0</v>
      </c>
      <c r="AS59" s="340">
        <v>0</v>
      </c>
      <c r="AT59" s="340">
        <v>0</v>
      </c>
      <c r="AU59" s="340">
        <v>0</v>
      </c>
      <c r="AV59" s="340">
        <v>0</v>
      </c>
      <c r="AW59" s="340">
        <v>0</v>
      </c>
      <c r="AX59" s="340">
        <v>0</v>
      </c>
      <c r="AY59" s="340">
        <v>0</v>
      </c>
      <c r="AZ59" s="340">
        <v>0</v>
      </c>
      <c r="BA59" s="340">
        <v>0</v>
      </c>
      <c r="BB59" s="419">
        <v>317.92102115499335</v>
      </c>
      <c r="BC59" s="340">
        <v>0</v>
      </c>
      <c r="BD59" s="340">
        <v>0</v>
      </c>
      <c r="BE59" s="438">
        <v>5.4640950000000004</v>
      </c>
      <c r="BF59" s="439">
        <v>-5.4640950000000004</v>
      </c>
      <c r="BG59" s="439">
        <v>317.92102115499335</v>
      </c>
      <c r="BH59" s="337"/>
      <c r="BI59" s="337"/>
    </row>
    <row r="60" spans="1:61" s="267" customFormat="1">
      <c r="A60" s="445" t="s">
        <v>704</v>
      </c>
      <c r="B60" s="446" t="s">
        <v>149</v>
      </c>
      <c r="C60" s="407">
        <v>2.630401</v>
      </c>
      <c r="D60" s="404">
        <v>0</v>
      </c>
      <c r="E60" s="414">
        <v>0</v>
      </c>
      <c r="F60" s="414">
        <v>0</v>
      </c>
      <c r="G60" s="414">
        <v>0</v>
      </c>
      <c r="H60" s="414">
        <v>0</v>
      </c>
      <c r="I60" s="414">
        <v>0</v>
      </c>
      <c r="J60" s="414">
        <v>0</v>
      </c>
      <c r="K60" s="414">
        <v>0</v>
      </c>
      <c r="L60" s="340">
        <v>0</v>
      </c>
      <c r="M60" s="414">
        <v>0</v>
      </c>
      <c r="N60" s="414">
        <v>0</v>
      </c>
      <c r="O60" s="414">
        <v>0</v>
      </c>
      <c r="P60" s="414">
        <v>0</v>
      </c>
      <c r="Q60" s="414">
        <v>0</v>
      </c>
      <c r="R60" s="418">
        <v>1.01387</v>
      </c>
      <c r="S60" s="414">
        <v>0</v>
      </c>
      <c r="T60" s="414">
        <v>0</v>
      </c>
      <c r="U60" s="414">
        <v>0</v>
      </c>
      <c r="V60" s="414">
        <v>0</v>
      </c>
      <c r="W60" s="414">
        <v>0</v>
      </c>
      <c r="X60" s="414">
        <v>0</v>
      </c>
      <c r="Y60" s="414">
        <v>0</v>
      </c>
      <c r="Z60" s="414">
        <v>0</v>
      </c>
      <c r="AA60" s="416">
        <v>1.01387</v>
      </c>
      <c r="AB60" s="418">
        <v>0</v>
      </c>
      <c r="AC60" s="418">
        <v>0</v>
      </c>
      <c r="AD60" s="414">
        <v>1.01387</v>
      </c>
      <c r="AE60" s="414">
        <v>0</v>
      </c>
      <c r="AF60" s="414">
        <v>0</v>
      </c>
      <c r="AG60" s="414">
        <v>0</v>
      </c>
      <c r="AH60" s="414">
        <v>0</v>
      </c>
      <c r="AI60" s="414">
        <v>0</v>
      </c>
      <c r="AJ60" s="414">
        <v>0</v>
      </c>
      <c r="AK60" s="414">
        <v>0</v>
      </c>
      <c r="AL60" s="414">
        <v>0</v>
      </c>
      <c r="AM60" s="414">
        <v>0</v>
      </c>
      <c r="AN60" s="414">
        <v>0</v>
      </c>
      <c r="AO60" s="414">
        <v>0</v>
      </c>
      <c r="AP60" s="414">
        <v>0</v>
      </c>
      <c r="AQ60" s="414">
        <v>0</v>
      </c>
      <c r="AR60" s="414">
        <v>0</v>
      </c>
      <c r="AS60" s="414">
        <v>0</v>
      </c>
      <c r="AT60" s="414">
        <v>0</v>
      </c>
      <c r="AU60" s="414">
        <v>0</v>
      </c>
      <c r="AV60" s="414">
        <v>0</v>
      </c>
      <c r="AW60" s="414">
        <v>0</v>
      </c>
      <c r="AX60" s="414">
        <v>0</v>
      </c>
      <c r="AY60" s="414">
        <v>0</v>
      </c>
      <c r="AZ60" s="414">
        <v>0</v>
      </c>
      <c r="BA60" s="414">
        <v>0</v>
      </c>
      <c r="BB60" s="414">
        <v>0</v>
      </c>
      <c r="BC60" s="419">
        <v>1.6165310000000002</v>
      </c>
      <c r="BD60" s="414">
        <v>0</v>
      </c>
      <c r="BE60" s="447">
        <v>1.01387</v>
      </c>
      <c r="BF60" s="448">
        <v>91.853098510008664</v>
      </c>
      <c r="BG60" s="448">
        <v>94.48349951000867</v>
      </c>
      <c r="BH60" s="337"/>
      <c r="BI60" s="337"/>
    </row>
    <row r="61" spans="1:61" s="267" customFormat="1">
      <c r="A61" s="426" t="s">
        <v>705</v>
      </c>
      <c r="B61" s="449" t="s">
        <v>152</v>
      </c>
      <c r="C61" s="423">
        <v>0</v>
      </c>
      <c r="D61" s="423">
        <v>0</v>
      </c>
      <c r="E61" s="423">
        <v>0</v>
      </c>
      <c r="F61" s="423">
        <v>0</v>
      </c>
      <c r="G61" s="423">
        <v>0</v>
      </c>
      <c r="H61" s="457">
        <v>0</v>
      </c>
      <c r="I61" s="423">
        <v>0</v>
      </c>
      <c r="J61" s="423">
        <v>0</v>
      </c>
      <c r="K61" s="423">
        <v>0</v>
      </c>
      <c r="L61" s="423">
        <v>0</v>
      </c>
      <c r="M61" s="423">
        <v>0</v>
      </c>
      <c r="N61" s="423">
        <v>0</v>
      </c>
      <c r="O61" s="423">
        <v>0</v>
      </c>
      <c r="P61" s="423">
        <v>0</v>
      </c>
      <c r="Q61" s="423">
        <v>0</v>
      </c>
      <c r="R61" s="423">
        <v>0</v>
      </c>
      <c r="S61" s="423">
        <v>0</v>
      </c>
      <c r="T61" s="423">
        <v>0</v>
      </c>
      <c r="U61" s="423">
        <v>0</v>
      </c>
      <c r="V61" s="423">
        <v>0</v>
      </c>
      <c r="W61" s="423">
        <v>0</v>
      </c>
      <c r="X61" s="423">
        <v>0</v>
      </c>
      <c r="Y61" s="423">
        <v>0</v>
      </c>
      <c r="Z61" s="423">
        <v>0</v>
      </c>
      <c r="AA61" s="423">
        <v>0</v>
      </c>
      <c r="AB61" s="423">
        <v>0</v>
      </c>
      <c r="AC61" s="423">
        <v>0</v>
      </c>
      <c r="AD61" s="423">
        <v>0</v>
      </c>
      <c r="AE61" s="423">
        <v>0</v>
      </c>
      <c r="AF61" s="423">
        <v>0</v>
      </c>
      <c r="AG61" s="423">
        <v>0</v>
      </c>
      <c r="AH61" s="423">
        <v>0</v>
      </c>
      <c r="AI61" s="423">
        <v>0</v>
      </c>
      <c r="AJ61" s="423">
        <v>0</v>
      </c>
      <c r="AK61" s="423">
        <v>0</v>
      </c>
      <c r="AL61" s="423">
        <v>0</v>
      </c>
      <c r="AM61" s="423">
        <v>0</v>
      </c>
      <c r="AN61" s="423">
        <v>0</v>
      </c>
      <c r="AO61" s="423">
        <v>0</v>
      </c>
      <c r="AP61" s="423">
        <v>0</v>
      </c>
      <c r="AQ61" s="423">
        <v>0</v>
      </c>
      <c r="AR61" s="423">
        <v>0</v>
      </c>
      <c r="AS61" s="423">
        <v>0</v>
      </c>
      <c r="AT61" s="423">
        <v>0</v>
      </c>
      <c r="AU61" s="423">
        <v>0</v>
      </c>
      <c r="AV61" s="423">
        <v>0</v>
      </c>
      <c r="AW61" s="423">
        <v>0</v>
      </c>
      <c r="AX61" s="423">
        <v>0</v>
      </c>
      <c r="AY61" s="423">
        <v>0</v>
      </c>
      <c r="AZ61" s="423">
        <v>0</v>
      </c>
      <c r="BA61" s="423">
        <v>0</v>
      </c>
      <c r="BB61" s="423">
        <v>0</v>
      </c>
      <c r="BC61" s="423">
        <v>0</v>
      </c>
      <c r="BD61" s="419">
        <v>0</v>
      </c>
      <c r="BE61" s="424">
        <v>0</v>
      </c>
      <c r="BF61" s="424">
        <v>0</v>
      </c>
      <c r="BG61" s="424">
        <v>0</v>
      </c>
      <c r="BH61" s="337"/>
      <c r="BI61" s="337"/>
    </row>
    <row r="62" spans="1:61" s="267" customFormat="1">
      <c r="A62" s="420" t="s">
        <v>234</v>
      </c>
      <c r="B62" s="420"/>
      <c r="C62" s="423"/>
      <c r="D62" s="423">
        <v>5.8017166316398923</v>
      </c>
      <c r="E62" s="423">
        <v>0</v>
      </c>
      <c r="F62" s="423">
        <v>0</v>
      </c>
      <c r="G62" s="423">
        <v>0</v>
      </c>
      <c r="H62" s="423">
        <v>10</v>
      </c>
      <c r="I62" s="423">
        <v>5254.4106746316393</v>
      </c>
      <c r="J62" s="423">
        <v>0</v>
      </c>
      <c r="K62" s="423">
        <v>0</v>
      </c>
      <c r="L62" s="423">
        <v>0</v>
      </c>
      <c r="M62" s="423">
        <v>0</v>
      </c>
      <c r="N62" s="423">
        <v>0</v>
      </c>
      <c r="O62" s="423">
        <v>5</v>
      </c>
      <c r="P62" s="423">
        <v>0</v>
      </c>
      <c r="Q62" s="423">
        <v>2339.0318516805442</v>
      </c>
      <c r="R62" s="423">
        <v>11422.321408698226</v>
      </c>
      <c r="S62" s="423">
        <v>557.13</v>
      </c>
      <c r="T62" s="423">
        <v>4.4116109999999988</v>
      </c>
      <c r="U62" s="423">
        <v>2979.193667</v>
      </c>
      <c r="V62" s="423">
        <v>605</v>
      </c>
      <c r="W62" s="423">
        <v>193.753412</v>
      </c>
      <c r="X62" s="423">
        <v>360.06510000000003</v>
      </c>
      <c r="Y62" s="423">
        <v>1037.72</v>
      </c>
      <c r="Z62" s="423">
        <v>532.02</v>
      </c>
      <c r="AA62" s="423">
        <v>3269.0490824302519</v>
      </c>
      <c r="AB62" s="423">
        <v>1853.5336299999999</v>
      </c>
      <c r="AC62" s="423">
        <v>228.40030000000002</v>
      </c>
      <c r="AD62" s="423">
        <v>20.96469661999911</v>
      </c>
      <c r="AE62" s="423">
        <v>1.241080089998305</v>
      </c>
      <c r="AF62" s="423">
        <v>44.760487960502701</v>
      </c>
      <c r="AG62" s="423">
        <v>63.880087922442094</v>
      </c>
      <c r="AH62" s="423">
        <v>782.38067100000012</v>
      </c>
      <c r="AI62" s="423">
        <v>1.7084110000000003</v>
      </c>
      <c r="AJ62" s="423">
        <v>0</v>
      </c>
      <c r="AK62" s="423">
        <v>9.5</v>
      </c>
      <c r="AL62" s="423">
        <v>46.985676229995732</v>
      </c>
      <c r="AM62" s="423">
        <v>29.667911</v>
      </c>
      <c r="AN62" s="423">
        <v>143.60327181756367</v>
      </c>
      <c r="AO62" s="423">
        <v>0</v>
      </c>
      <c r="AP62" s="423">
        <v>22.657395789750886</v>
      </c>
      <c r="AQ62" s="423">
        <v>19.765462999999997</v>
      </c>
      <c r="AR62" s="423">
        <v>0</v>
      </c>
      <c r="AS62" s="423">
        <v>17.657093988517325</v>
      </c>
      <c r="AT62" s="423">
        <v>21.140392645000858</v>
      </c>
      <c r="AU62" s="423">
        <v>1509.0165400000001</v>
      </c>
      <c r="AV62" s="423">
        <v>487.33950925000011</v>
      </c>
      <c r="AW62" s="423">
        <v>9.164543000000009</v>
      </c>
      <c r="AX62" s="423">
        <v>0</v>
      </c>
      <c r="AY62" s="423">
        <v>0</v>
      </c>
      <c r="AZ62" s="423">
        <v>3.8</v>
      </c>
      <c r="BA62" s="423">
        <v>0</v>
      </c>
      <c r="BB62" s="423">
        <v>0</v>
      </c>
      <c r="BC62" s="423">
        <v>92.866968510008661</v>
      </c>
      <c r="BD62" s="423">
        <v>0</v>
      </c>
      <c r="BE62" s="424"/>
      <c r="BF62" s="424"/>
      <c r="BG62" s="424"/>
      <c r="BH62" s="337"/>
      <c r="BI62" s="337"/>
    </row>
    <row r="63" spans="1:61" s="339" customFormat="1">
      <c r="A63" s="420" t="s">
        <v>643</v>
      </c>
      <c r="B63" s="458"/>
      <c r="C63" s="423"/>
      <c r="D63" s="423">
        <v>58695.945966799838</v>
      </c>
      <c r="E63" s="423">
        <v>1020.4820000000001</v>
      </c>
      <c r="F63" s="423">
        <v>74.087230000000005</v>
      </c>
      <c r="G63" s="423">
        <v>946.39476999999999</v>
      </c>
      <c r="H63" s="423">
        <v>245.54100699999998</v>
      </c>
      <c r="I63" s="423">
        <v>55776.309392954834</v>
      </c>
      <c r="J63" s="423">
        <v>512.88672500000007</v>
      </c>
      <c r="K63" s="423">
        <v>0</v>
      </c>
      <c r="L63" s="423">
        <v>5864.1843749999998</v>
      </c>
      <c r="M63" s="423">
        <v>5864.1843749999998</v>
      </c>
      <c r="N63" s="423">
        <v>0</v>
      </c>
      <c r="O63" s="423">
        <v>49.726283845006691</v>
      </c>
      <c r="P63" s="423">
        <v>0</v>
      </c>
      <c r="Q63" s="423">
        <v>2829.4569926805443</v>
      </c>
      <c r="R63" s="423">
        <v>19146.397881530014</v>
      </c>
      <c r="S63" s="423">
        <v>931.79124597094733</v>
      </c>
      <c r="T63" s="423">
        <v>1084.5451889999999</v>
      </c>
      <c r="U63" s="423">
        <v>3841.9784989999998</v>
      </c>
      <c r="V63" s="423">
        <v>605</v>
      </c>
      <c r="W63" s="423">
        <v>201.99926399999998</v>
      </c>
      <c r="X63" s="423">
        <v>817.12589300000002</v>
      </c>
      <c r="Y63" s="423">
        <v>1313.018372</v>
      </c>
      <c r="Z63" s="423">
        <v>579.53398300000003</v>
      </c>
      <c r="AA63" s="423">
        <v>5470.0882671360996</v>
      </c>
      <c r="AB63" s="423">
        <v>3434.8482590000003</v>
      </c>
      <c r="AC63" s="423">
        <v>336.71456900000004</v>
      </c>
      <c r="AD63" s="423">
        <v>48.237205619999109</v>
      </c>
      <c r="AE63" s="423">
        <v>33.464418089998304</v>
      </c>
      <c r="AF63" s="423">
        <v>110.22264366635044</v>
      </c>
      <c r="AG63" s="423">
        <v>86.102268922442093</v>
      </c>
      <c r="AH63" s="423">
        <v>1003.5967840000001</v>
      </c>
      <c r="AI63" s="423">
        <v>3.3540870000000007</v>
      </c>
      <c r="AJ63" s="423">
        <v>0</v>
      </c>
      <c r="AK63" s="423">
        <v>11.072659</v>
      </c>
      <c r="AL63" s="423">
        <v>71.559011229995733</v>
      </c>
      <c r="AM63" s="423">
        <v>42.990244999999994</v>
      </c>
      <c r="AN63" s="423">
        <v>241.09573581756368</v>
      </c>
      <c r="AO63" s="423">
        <v>0</v>
      </c>
      <c r="AP63" s="423">
        <v>22.657395789750886</v>
      </c>
      <c r="AQ63" s="423">
        <v>24.172984999999997</v>
      </c>
      <c r="AR63" s="423">
        <v>0</v>
      </c>
      <c r="AS63" s="423">
        <v>30.058991988517327</v>
      </c>
      <c r="AT63" s="423">
        <v>31.054270645000855</v>
      </c>
      <c r="AU63" s="423">
        <v>2068.6953670000003</v>
      </c>
      <c r="AV63" s="423">
        <v>617.35834625000007</v>
      </c>
      <c r="AW63" s="423">
        <v>45.261035000000007</v>
      </c>
      <c r="AX63" s="423">
        <v>0.48929600000000001</v>
      </c>
      <c r="AY63" s="423">
        <v>0</v>
      </c>
      <c r="AZ63" s="423">
        <v>4.0704769999999995</v>
      </c>
      <c r="BA63" s="423">
        <v>1342.4534100000001</v>
      </c>
      <c r="BB63" s="423">
        <v>323.38511615499334</v>
      </c>
      <c r="BC63" s="423">
        <v>95.497369510008667</v>
      </c>
      <c r="BD63" s="423">
        <v>0</v>
      </c>
      <c r="BE63" s="424"/>
      <c r="BF63" s="424"/>
      <c r="BG63" s="424"/>
      <c r="BH63" s="338"/>
      <c r="BI63" s="338"/>
    </row>
    <row r="65" spans="4:18">
      <c r="R65" s="409"/>
    </row>
    <row r="66" spans="4:18">
      <c r="D66" s="409"/>
    </row>
  </sheetData>
  <mergeCells count="64">
    <mergeCell ref="A5:A7"/>
    <mergeCell ref="C5:C7"/>
    <mergeCell ref="D5:BD5"/>
    <mergeCell ref="BE5:BE7"/>
    <mergeCell ref="BF5:BF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C6:AC7"/>
    <mergeCell ref="BG5:BG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AD6:AD7"/>
    <mergeCell ref="AE6:AE7"/>
    <mergeCell ref="AF6:AF7"/>
    <mergeCell ref="AG6:AG7"/>
    <mergeCell ref="AH6:AH7"/>
    <mergeCell ref="AI6:AI7"/>
    <mergeCell ref="AJ6:AJ7"/>
    <mergeCell ref="AK6:AK7"/>
    <mergeCell ref="AL6:AL7"/>
    <mergeCell ref="AU6:AU7"/>
    <mergeCell ref="AV6:AV7"/>
    <mergeCell ref="AM6:AM7"/>
    <mergeCell ref="AN6:AN7"/>
    <mergeCell ref="AO6:AO7"/>
    <mergeCell ref="AP6:AP7"/>
    <mergeCell ref="AQ6:AQ7"/>
    <mergeCell ref="A2:BG2"/>
    <mergeCell ref="A1:BG1"/>
    <mergeCell ref="B5:B7"/>
    <mergeCell ref="BB6:BB7"/>
    <mergeCell ref="BC6:BC7"/>
    <mergeCell ref="BD6:BD7"/>
    <mergeCell ref="A4:BG4"/>
    <mergeCell ref="A3:BG3"/>
    <mergeCell ref="AW6:AW7"/>
    <mergeCell ref="AX6:AX7"/>
    <mergeCell ref="AY6:AY7"/>
    <mergeCell ref="AZ6:AZ7"/>
    <mergeCell ref="BA6:BA7"/>
    <mergeCell ref="AR6:AR7"/>
    <mergeCell ref="AS6:AS7"/>
    <mergeCell ref="AT6:AT7"/>
  </mergeCells>
  <printOptions verticalCentered="1"/>
  <pageMargins left="0.59055118110236227" right="0.19685039370078741" top="0.78740157480314965" bottom="0.78740157480314965" header="0" footer="0"/>
  <pageSetup paperSize="8" scale="67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rgb="FF00B0F0"/>
  </sheetPr>
  <dimension ref="A1:M900"/>
  <sheetViews>
    <sheetView tabSelected="1" topLeftCell="A53" workbookViewId="0">
      <selection activeCell="A53" sqref="A1:XFD1048576"/>
    </sheetView>
  </sheetViews>
  <sheetFormatPr defaultColWidth="9" defaultRowHeight="13.2"/>
  <cols>
    <col min="1" max="1" width="5.19921875" style="537" customWidth="1"/>
    <col min="2" max="2" width="28.19921875" style="485" customWidth="1"/>
    <col min="3" max="4" width="8.3984375" style="538" customWidth="1"/>
    <col min="5" max="5" width="9.09765625" style="538" bestFit="1" customWidth="1"/>
    <col min="6" max="6" width="11.19921875" style="539" customWidth="1"/>
    <col min="7" max="7" width="9.59765625" style="485" customWidth="1"/>
    <col min="8" max="8" width="18.59765625" style="485" hidden="1" customWidth="1"/>
    <col min="9" max="9" width="29.3984375" style="485" customWidth="1"/>
    <col min="10" max="10" width="8.69921875" style="539" customWidth="1"/>
    <col min="11" max="11" width="6.59765625" style="485" customWidth="1"/>
    <col min="12" max="12" width="10.296875" style="485" bestFit="1" customWidth="1"/>
    <col min="13" max="13" width="9.09765625" style="485" bestFit="1" customWidth="1"/>
    <col min="14" max="16384" width="9" style="485"/>
  </cols>
  <sheetData>
    <row r="1" spans="1:11">
      <c r="A1" s="573" t="s">
        <v>1187</v>
      </c>
      <c r="B1" s="573"/>
      <c r="C1" s="573"/>
      <c r="D1" s="573"/>
      <c r="E1" s="573"/>
      <c r="F1" s="573"/>
      <c r="G1" s="573"/>
      <c r="H1" s="573"/>
      <c r="I1" s="483"/>
      <c r="J1" s="484"/>
    </row>
    <row r="2" spans="1:11">
      <c r="A2" s="577" t="s">
        <v>351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</row>
    <row r="3" spans="1:11">
      <c r="A3" s="580" t="s">
        <v>340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</row>
    <row r="4" spans="1:11">
      <c r="A4" s="486"/>
      <c r="B4" s="487"/>
      <c r="C4" s="488"/>
      <c r="D4" s="488"/>
      <c r="E4" s="488"/>
      <c r="F4" s="487"/>
      <c r="G4" s="487"/>
      <c r="H4" s="487"/>
      <c r="I4" s="489"/>
      <c r="J4" s="487"/>
    </row>
    <row r="5" spans="1:11">
      <c r="A5" s="574" t="s">
        <v>0</v>
      </c>
      <c r="B5" s="575" t="s">
        <v>235</v>
      </c>
      <c r="C5" s="576" t="s">
        <v>355</v>
      </c>
      <c r="D5" s="576" t="s">
        <v>267</v>
      </c>
      <c r="E5" s="575" t="s">
        <v>206</v>
      </c>
      <c r="F5" s="575"/>
      <c r="G5" s="575" t="s">
        <v>335</v>
      </c>
      <c r="H5" s="575" t="s">
        <v>336</v>
      </c>
      <c r="I5" s="575" t="s">
        <v>352</v>
      </c>
      <c r="J5" s="575" t="s">
        <v>273</v>
      </c>
      <c r="K5" s="575" t="s">
        <v>353</v>
      </c>
    </row>
    <row r="6" spans="1:11" s="492" customFormat="1" ht="121.5" customHeight="1">
      <c r="A6" s="574"/>
      <c r="B6" s="575"/>
      <c r="C6" s="576"/>
      <c r="D6" s="576"/>
      <c r="E6" s="490" t="s">
        <v>3</v>
      </c>
      <c r="F6" s="491" t="s">
        <v>207</v>
      </c>
      <c r="G6" s="575"/>
      <c r="H6" s="575"/>
      <c r="I6" s="575"/>
      <c r="J6" s="575"/>
      <c r="K6" s="575"/>
    </row>
    <row r="7" spans="1:11" s="496" customFormat="1" ht="10.199999999999999">
      <c r="A7" s="493">
        <v>-1</v>
      </c>
      <c r="B7" s="494">
        <v>-2</v>
      </c>
      <c r="C7" s="495" t="s">
        <v>268</v>
      </c>
      <c r="D7" s="494">
        <v>-4</v>
      </c>
      <c r="E7" s="494">
        <v>-5</v>
      </c>
      <c r="F7" s="494">
        <v>-6</v>
      </c>
      <c r="G7" s="494">
        <v>-7</v>
      </c>
      <c r="H7" s="494">
        <v>-8</v>
      </c>
      <c r="I7" s="494">
        <v>-9</v>
      </c>
      <c r="J7" s="494">
        <v>-10</v>
      </c>
      <c r="K7" s="494">
        <v>-11</v>
      </c>
    </row>
    <row r="8" spans="1:11">
      <c r="A8" s="497">
        <v>1</v>
      </c>
      <c r="B8" s="578" t="s">
        <v>354</v>
      </c>
      <c r="C8" s="578"/>
      <c r="D8" s="578"/>
      <c r="E8" s="578"/>
      <c r="F8" s="578"/>
      <c r="G8" s="578"/>
      <c r="H8" s="578"/>
      <c r="I8" s="578"/>
      <c r="J8" s="578"/>
      <c r="K8" s="578"/>
    </row>
    <row r="9" spans="1:11" s="499" customFormat="1" ht="13.8">
      <c r="A9" s="498" t="s">
        <v>23</v>
      </c>
      <c r="B9" s="581" t="s">
        <v>208</v>
      </c>
      <c r="C9" s="581"/>
      <c r="D9" s="581"/>
      <c r="E9" s="581"/>
      <c r="F9" s="581"/>
      <c r="G9" s="581"/>
      <c r="H9" s="581"/>
      <c r="I9" s="579"/>
      <c r="J9" s="579"/>
      <c r="K9" s="579"/>
    </row>
    <row r="10" spans="1:11" ht="13.8">
      <c r="A10" s="500" t="s">
        <v>345</v>
      </c>
      <c r="B10" s="501" t="s">
        <v>71</v>
      </c>
      <c r="C10" s="502">
        <v>636.33000000000004</v>
      </c>
      <c r="D10" s="502">
        <v>79.2</v>
      </c>
      <c r="E10" s="502">
        <v>557.13</v>
      </c>
      <c r="F10" s="503"/>
      <c r="G10" s="501"/>
      <c r="H10" s="501"/>
      <c r="I10" s="504"/>
      <c r="J10" s="505"/>
      <c r="K10" s="504"/>
    </row>
    <row r="11" spans="1:11" ht="26.4">
      <c r="A11" s="506">
        <v>1</v>
      </c>
      <c r="B11" s="507" t="s">
        <v>356</v>
      </c>
      <c r="C11" s="508">
        <v>25</v>
      </c>
      <c r="D11" s="509"/>
      <c r="E11" s="508">
        <v>25</v>
      </c>
      <c r="F11" s="510" t="s">
        <v>37</v>
      </c>
      <c r="G11" s="507" t="s">
        <v>369</v>
      </c>
      <c r="H11" s="507"/>
      <c r="I11" s="507" t="s">
        <v>357</v>
      </c>
      <c r="J11" s="510">
        <v>2022</v>
      </c>
      <c r="K11" s="507"/>
    </row>
    <row r="12" spans="1:11" ht="26.4">
      <c r="A12" s="506">
        <v>2</v>
      </c>
      <c r="B12" s="507" t="s">
        <v>358</v>
      </c>
      <c r="C12" s="508">
        <v>25</v>
      </c>
      <c r="D12" s="509"/>
      <c r="E12" s="508">
        <v>25</v>
      </c>
      <c r="F12" s="510" t="s">
        <v>37</v>
      </c>
      <c r="G12" s="507" t="s">
        <v>380</v>
      </c>
      <c r="H12" s="507"/>
      <c r="I12" s="507" t="s">
        <v>357</v>
      </c>
      <c r="J12" s="510">
        <v>2023</v>
      </c>
      <c r="K12" s="507"/>
    </row>
    <row r="13" spans="1:11" ht="26.4">
      <c r="A13" s="506">
        <v>3</v>
      </c>
      <c r="B13" s="507" t="s">
        <v>359</v>
      </c>
      <c r="C13" s="508">
        <v>50</v>
      </c>
      <c r="D13" s="509"/>
      <c r="E13" s="508">
        <v>50</v>
      </c>
      <c r="F13" s="510" t="s">
        <v>37</v>
      </c>
      <c r="G13" s="507" t="s">
        <v>370</v>
      </c>
      <c r="H13" s="507"/>
      <c r="I13" s="507" t="s">
        <v>357</v>
      </c>
      <c r="J13" s="510">
        <v>2023</v>
      </c>
      <c r="K13" s="507"/>
    </row>
    <row r="14" spans="1:11" ht="26.4">
      <c r="A14" s="506">
        <v>4</v>
      </c>
      <c r="B14" s="507" t="s">
        <v>714</v>
      </c>
      <c r="C14" s="508">
        <v>261.8</v>
      </c>
      <c r="D14" s="509">
        <v>79.2</v>
      </c>
      <c r="E14" s="508">
        <v>182.60000000000002</v>
      </c>
      <c r="F14" s="510" t="s">
        <v>37</v>
      </c>
      <c r="G14" s="507" t="s">
        <v>417</v>
      </c>
      <c r="H14" s="507"/>
      <c r="I14" s="507" t="s">
        <v>357</v>
      </c>
      <c r="J14" s="510">
        <v>2026</v>
      </c>
      <c r="K14" s="507"/>
    </row>
    <row r="15" spans="1:11" ht="79.2">
      <c r="A15" s="506">
        <v>5</v>
      </c>
      <c r="B15" s="507" t="s">
        <v>361</v>
      </c>
      <c r="C15" s="508">
        <v>25.53</v>
      </c>
      <c r="D15" s="509"/>
      <c r="E15" s="508">
        <v>25.53</v>
      </c>
      <c r="F15" s="510" t="s">
        <v>37</v>
      </c>
      <c r="G15" s="507" t="s">
        <v>379</v>
      </c>
      <c r="H15" s="507"/>
      <c r="I15" s="507" t="s">
        <v>362</v>
      </c>
      <c r="J15" s="510">
        <v>2021</v>
      </c>
      <c r="K15" s="507"/>
    </row>
    <row r="16" spans="1:11" ht="79.2">
      <c r="A16" s="506">
        <v>6</v>
      </c>
      <c r="B16" s="507" t="s">
        <v>713</v>
      </c>
      <c r="C16" s="508">
        <v>30</v>
      </c>
      <c r="D16" s="509"/>
      <c r="E16" s="508">
        <v>30</v>
      </c>
      <c r="F16" s="510" t="s">
        <v>37</v>
      </c>
      <c r="G16" s="507" t="s">
        <v>380</v>
      </c>
      <c r="H16" s="507"/>
      <c r="I16" s="507" t="s">
        <v>364</v>
      </c>
      <c r="J16" s="510">
        <v>2021</v>
      </c>
      <c r="K16" s="507"/>
    </row>
    <row r="17" spans="1:11" ht="26.4">
      <c r="A17" s="506">
        <v>7</v>
      </c>
      <c r="B17" s="507" t="s">
        <v>1181</v>
      </c>
      <c r="C17" s="508">
        <v>30</v>
      </c>
      <c r="D17" s="509"/>
      <c r="E17" s="508">
        <v>30</v>
      </c>
      <c r="F17" s="510" t="s">
        <v>37</v>
      </c>
      <c r="G17" s="507" t="s">
        <v>379</v>
      </c>
      <c r="H17" s="507"/>
      <c r="I17" s="507" t="s">
        <v>636</v>
      </c>
      <c r="J17" s="510">
        <v>2025</v>
      </c>
      <c r="K17" s="507"/>
    </row>
    <row r="18" spans="1:11" ht="26.4">
      <c r="A18" s="506">
        <v>8</v>
      </c>
      <c r="B18" s="507" t="s">
        <v>583</v>
      </c>
      <c r="C18" s="508">
        <v>100</v>
      </c>
      <c r="D18" s="509"/>
      <c r="E18" s="508">
        <v>100</v>
      </c>
      <c r="F18" s="510" t="s">
        <v>37</v>
      </c>
      <c r="G18" s="507" t="s">
        <v>380</v>
      </c>
      <c r="H18" s="507"/>
      <c r="I18" s="507" t="s">
        <v>636</v>
      </c>
      <c r="J18" s="510">
        <v>2030</v>
      </c>
      <c r="K18" s="507"/>
    </row>
    <row r="19" spans="1:11" ht="26.4">
      <c r="A19" s="506">
        <v>9</v>
      </c>
      <c r="B19" s="507" t="s">
        <v>633</v>
      </c>
      <c r="C19" s="508">
        <v>25</v>
      </c>
      <c r="D19" s="509"/>
      <c r="E19" s="508">
        <v>25</v>
      </c>
      <c r="F19" s="510" t="s">
        <v>37</v>
      </c>
      <c r="G19" s="507" t="s">
        <v>417</v>
      </c>
      <c r="H19" s="507"/>
      <c r="I19" s="507" t="s">
        <v>636</v>
      </c>
      <c r="J19" s="510">
        <v>2023</v>
      </c>
      <c r="K19" s="507"/>
    </row>
    <row r="20" spans="1:11" ht="26.4">
      <c r="A20" s="506">
        <v>10</v>
      </c>
      <c r="B20" s="507" t="s">
        <v>634</v>
      </c>
      <c r="C20" s="508">
        <v>50</v>
      </c>
      <c r="D20" s="509"/>
      <c r="E20" s="508">
        <v>50</v>
      </c>
      <c r="F20" s="510" t="s">
        <v>37</v>
      </c>
      <c r="G20" s="507" t="s">
        <v>372</v>
      </c>
      <c r="H20" s="507"/>
      <c r="I20" s="507" t="s">
        <v>636</v>
      </c>
      <c r="J20" s="510">
        <v>2025</v>
      </c>
      <c r="K20" s="507"/>
    </row>
    <row r="21" spans="1:11" ht="26.4">
      <c r="A21" s="506">
        <v>11</v>
      </c>
      <c r="B21" s="507" t="s">
        <v>635</v>
      </c>
      <c r="C21" s="508">
        <v>14</v>
      </c>
      <c r="D21" s="509"/>
      <c r="E21" s="508">
        <v>14</v>
      </c>
      <c r="F21" s="510" t="s">
        <v>37</v>
      </c>
      <c r="G21" s="507" t="s">
        <v>408</v>
      </c>
      <c r="H21" s="507"/>
      <c r="I21" s="507" t="s">
        <v>636</v>
      </c>
      <c r="J21" s="510">
        <v>2023</v>
      </c>
      <c r="K21" s="507"/>
    </row>
    <row r="22" spans="1:11" s="492" customFormat="1">
      <c r="A22" s="511" t="s">
        <v>345</v>
      </c>
      <c r="B22" s="512" t="s">
        <v>74</v>
      </c>
      <c r="C22" s="502">
        <v>4.4116109999999988</v>
      </c>
      <c r="D22" s="502">
        <v>0</v>
      </c>
      <c r="E22" s="502">
        <v>4.4116109999999988</v>
      </c>
      <c r="F22" s="503"/>
      <c r="G22" s="512"/>
      <c r="H22" s="512"/>
      <c r="I22" s="512"/>
      <c r="J22" s="503"/>
      <c r="K22" s="512"/>
    </row>
    <row r="23" spans="1:11" ht="26.4">
      <c r="A23" s="506">
        <v>1</v>
      </c>
      <c r="B23" s="507" t="s">
        <v>715</v>
      </c>
      <c r="C23" s="508">
        <v>0.4</v>
      </c>
      <c r="D23" s="509"/>
      <c r="E23" s="508">
        <v>0.4</v>
      </c>
      <c r="F23" s="510" t="s">
        <v>37</v>
      </c>
      <c r="G23" s="507" t="s">
        <v>393</v>
      </c>
      <c r="H23" s="507"/>
      <c r="I23" s="507" t="s">
        <v>735</v>
      </c>
      <c r="J23" s="510">
        <v>2025</v>
      </c>
      <c r="K23" s="507"/>
    </row>
    <row r="24" spans="1:11" ht="26.4">
      <c r="A24" s="506">
        <v>2</v>
      </c>
      <c r="B24" s="507" t="s">
        <v>716</v>
      </c>
      <c r="C24" s="508">
        <v>0.1</v>
      </c>
      <c r="D24" s="509"/>
      <c r="E24" s="508">
        <v>0.1</v>
      </c>
      <c r="F24" s="510" t="s">
        <v>37</v>
      </c>
      <c r="G24" s="507" t="s">
        <v>393</v>
      </c>
      <c r="H24" s="507"/>
      <c r="I24" s="507" t="s">
        <v>735</v>
      </c>
      <c r="J24" s="510">
        <v>2025</v>
      </c>
      <c r="K24" s="507"/>
    </row>
    <row r="25" spans="1:11" ht="26.4">
      <c r="A25" s="506">
        <v>3</v>
      </c>
      <c r="B25" s="507" t="s">
        <v>717</v>
      </c>
      <c r="C25" s="508">
        <v>3.9116109999999993</v>
      </c>
      <c r="D25" s="509"/>
      <c r="E25" s="508">
        <v>3.9116109999999993</v>
      </c>
      <c r="F25" s="510"/>
      <c r="G25" s="507"/>
      <c r="H25" s="507"/>
      <c r="I25" s="507" t="s">
        <v>735</v>
      </c>
      <c r="J25" s="510">
        <v>2025</v>
      </c>
      <c r="K25" s="507"/>
    </row>
    <row r="26" spans="1:11" s="499" customFormat="1">
      <c r="A26" s="513" t="s">
        <v>345</v>
      </c>
      <c r="B26" s="514" t="s">
        <v>718</v>
      </c>
      <c r="C26" s="515">
        <v>0.3</v>
      </c>
      <c r="D26" s="516"/>
      <c r="E26" s="515">
        <v>0.3</v>
      </c>
      <c r="F26" s="517" t="s">
        <v>37</v>
      </c>
      <c r="G26" s="514" t="s">
        <v>393</v>
      </c>
      <c r="H26" s="514"/>
      <c r="I26" s="514"/>
      <c r="J26" s="517"/>
      <c r="K26" s="514"/>
    </row>
    <row r="27" spans="1:11" s="499" customFormat="1">
      <c r="A27" s="513" t="s">
        <v>345</v>
      </c>
      <c r="B27" s="514" t="s">
        <v>719</v>
      </c>
      <c r="C27" s="515">
        <v>0.3</v>
      </c>
      <c r="D27" s="516"/>
      <c r="E27" s="515">
        <v>0.3</v>
      </c>
      <c r="F27" s="517" t="s">
        <v>37</v>
      </c>
      <c r="G27" s="514" t="s">
        <v>369</v>
      </c>
      <c r="H27" s="514"/>
      <c r="I27" s="514"/>
      <c r="J27" s="517"/>
      <c r="K27" s="514"/>
    </row>
    <row r="28" spans="1:11" s="499" customFormat="1">
      <c r="A28" s="513" t="s">
        <v>345</v>
      </c>
      <c r="B28" s="514" t="s">
        <v>720</v>
      </c>
      <c r="C28" s="515">
        <v>0.3</v>
      </c>
      <c r="D28" s="516"/>
      <c r="E28" s="515">
        <v>0.3</v>
      </c>
      <c r="F28" s="517" t="s">
        <v>37</v>
      </c>
      <c r="G28" s="514" t="s">
        <v>390</v>
      </c>
      <c r="H28" s="514"/>
      <c r="I28" s="514"/>
      <c r="J28" s="517"/>
      <c r="K28" s="514"/>
    </row>
    <row r="29" spans="1:11" s="499" customFormat="1">
      <c r="A29" s="513" t="s">
        <v>345</v>
      </c>
      <c r="B29" s="514" t="s">
        <v>721</v>
      </c>
      <c r="C29" s="515">
        <v>0.3</v>
      </c>
      <c r="D29" s="516"/>
      <c r="E29" s="515">
        <v>0.3</v>
      </c>
      <c r="F29" s="517" t="s">
        <v>37</v>
      </c>
      <c r="G29" s="514" t="s">
        <v>365</v>
      </c>
      <c r="H29" s="514"/>
      <c r="I29" s="514"/>
      <c r="J29" s="517"/>
      <c r="K29" s="514"/>
    </row>
    <row r="30" spans="1:11" s="499" customFormat="1">
      <c r="A30" s="513" t="s">
        <v>345</v>
      </c>
      <c r="B30" s="514" t="s">
        <v>722</v>
      </c>
      <c r="C30" s="515">
        <v>0.3</v>
      </c>
      <c r="D30" s="516"/>
      <c r="E30" s="515">
        <v>0.3</v>
      </c>
      <c r="F30" s="517" t="s">
        <v>37</v>
      </c>
      <c r="G30" s="514" t="s">
        <v>367</v>
      </c>
      <c r="H30" s="514"/>
      <c r="I30" s="514"/>
      <c r="J30" s="517"/>
      <c r="K30" s="514"/>
    </row>
    <row r="31" spans="1:11" s="499" customFormat="1">
      <c r="A31" s="513" t="s">
        <v>345</v>
      </c>
      <c r="B31" s="514" t="s">
        <v>723</v>
      </c>
      <c r="C31" s="515">
        <v>0.3</v>
      </c>
      <c r="D31" s="516"/>
      <c r="E31" s="515">
        <v>0.3</v>
      </c>
      <c r="F31" s="517" t="s">
        <v>37</v>
      </c>
      <c r="G31" s="514" t="s">
        <v>370</v>
      </c>
      <c r="H31" s="514"/>
      <c r="I31" s="514"/>
      <c r="J31" s="517"/>
      <c r="K31" s="514"/>
    </row>
    <row r="32" spans="1:11" s="499" customFormat="1">
      <c r="A32" s="513" t="s">
        <v>345</v>
      </c>
      <c r="B32" s="514" t="s">
        <v>724</v>
      </c>
      <c r="C32" s="515">
        <v>0.3</v>
      </c>
      <c r="D32" s="516"/>
      <c r="E32" s="515">
        <v>0.3</v>
      </c>
      <c r="F32" s="517" t="s">
        <v>37</v>
      </c>
      <c r="G32" s="514" t="s">
        <v>372</v>
      </c>
      <c r="H32" s="514"/>
      <c r="I32" s="514"/>
      <c r="J32" s="517"/>
      <c r="K32" s="514"/>
    </row>
    <row r="33" spans="1:11" s="499" customFormat="1">
      <c r="A33" s="513" t="s">
        <v>345</v>
      </c>
      <c r="B33" s="514" t="s">
        <v>725</v>
      </c>
      <c r="C33" s="515">
        <v>0.3</v>
      </c>
      <c r="D33" s="516"/>
      <c r="E33" s="515">
        <v>0.3</v>
      </c>
      <c r="F33" s="517" t="s">
        <v>37</v>
      </c>
      <c r="G33" s="514" t="s">
        <v>379</v>
      </c>
      <c r="H33" s="514"/>
      <c r="I33" s="514"/>
      <c r="J33" s="517"/>
      <c r="K33" s="514"/>
    </row>
    <row r="34" spans="1:11" s="499" customFormat="1">
      <c r="A34" s="513" t="s">
        <v>345</v>
      </c>
      <c r="B34" s="514" t="s">
        <v>726</v>
      </c>
      <c r="C34" s="515">
        <v>0.3</v>
      </c>
      <c r="D34" s="516"/>
      <c r="E34" s="515">
        <v>0.3</v>
      </c>
      <c r="F34" s="517" t="s">
        <v>37</v>
      </c>
      <c r="G34" s="514" t="s">
        <v>408</v>
      </c>
      <c r="H34" s="514"/>
      <c r="I34" s="514"/>
      <c r="J34" s="517"/>
      <c r="K34" s="514"/>
    </row>
    <row r="35" spans="1:11" s="499" customFormat="1">
      <c r="A35" s="513" t="s">
        <v>345</v>
      </c>
      <c r="B35" s="514" t="s">
        <v>727</v>
      </c>
      <c r="C35" s="515">
        <v>0.3</v>
      </c>
      <c r="D35" s="516"/>
      <c r="E35" s="515">
        <v>0.3</v>
      </c>
      <c r="F35" s="517" t="s">
        <v>37</v>
      </c>
      <c r="G35" s="514" t="s">
        <v>380</v>
      </c>
      <c r="H35" s="514"/>
      <c r="I35" s="514"/>
      <c r="J35" s="517"/>
      <c r="K35" s="514"/>
    </row>
    <row r="36" spans="1:11" s="499" customFormat="1">
      <c r="A36" s="513" t="s">
        <v>345</v>
      </c>
      <c r="B36" s="514" t="s">
        <v>728</v>
      </c>
      <c r="C36" s="515">
        <v>0.3</v>
      </c>
      <c r="D36" s="516"/>
      <c r="E36" s="515">
        <v>0.3</v>
      </c>
      <c r="F36" s="517" t="s">
        <v>37</v>
      </c>
      <c r="G36" s="514" t="s">
        <v>417</v>
      </c>
      <c r="H36" s="514"/>
      <c r="I36" s="514"/>
      <c r="J36" s="517"/>
      <c r="K36" s="514"/>
    </row>
    <row r="37" spans="1:11" s="499" customFormat="1">
      <c r="A37" s="513" t="s">
        <v>345</v>
      </c>
      <c r="B37" s="514" t="s">
        <v>729</v>
      </c>
      <c r="C37" s="515">
        <v>0.31161100000000003</v>
      </c>
      <c r="D37" s="516"/>
      <c r="E37" s="515">
        <v>0.31161100000000003</v>
      </c>
      <c r="F37" s="517" t="s">
        <v>63</v>
      </c>
      <c r="G37" s="514" t="s">
        <v>391</v>
      </c>
      <c r="H37" s="514"/>
      <c r="I37" s="514"/>
      <c r="J37" s="517"/>
      <c r="K37" s="514"/>
    </row>
    <row r="38" spans="1:11" s="499" customFormat="1">
      <c r="A38" s="513" t="s">
        <v>345</v>
      </c>
      <c r="B38" s="514" t="s">
        <v>730</v>
      </c>
      <c r="C38" s="515">
        <v>0.3</v>
      </c>
      <c r="D38" s="516"/>
      <c r="E38" s="515">
        <v>0.3</v>
      </c>
      <c r="F38" s="517" t="s">
        <v>37</v>
      </c>
      <c r="G38" s="514" t="s">
        <v>389</v>
      </c>
      <c r="H38" s="514"/>
      <c r="I38" s="514"/>
      <c r="J38" s="517"/>
      <c r="K38" s="514"/>
    </row>
    <row r="39" spans="1:11" s="499" customFormat="1" ht="13.8">
      <c r="A39" s="498" t="s">
        <v>32</v>
      </c>
      <c r="B39" s="581" t="s">
        <v>269</v>
      </c>
      <c r="C39" s="581"/>
      <c r="D39" s="581"/>
      <c r="E39" s="581"/>
      <c r="F39" s="581"/>
      <c r="G39" s="581"/>
      <c r="H39" s="581"/>
      <c r="I39" s="579"/>
      <c r="J39" s="579"/>
      <c r="K39" s="579"/>
    </row>
    <row r="40" spans="1:11" ht="13.8">
      <c r="A40" s="497" t="s">
        <v>209</v>
      </c>
      <c r="B40" s="578" t="s">
        <v>210</v>
      </c>
      <c r="C40" s="578"/>
      <c r="D40" s="578"/>
      <c r="E40" s="578"/>
      <c r="F40" s="578"/>
      <c r="G40" s="578"/>
      <c r="H40" s="578"/>
      <c r="I40" s="579"/>
      <c r="J40" s="579"/>
      <c r="K40" s="579"/>
    </row>
    <row r="41" spans="1:11">
      <c r="A41" s="506"/>
      <c r="B41" s="507"/>
      <c r="C41" s="508"/>
      <c r="D41" s="509"/>
      <c r="E41" s="508"/>
      <c r="F41" s="510"/>
      <c r="G41" s="507"/>
      <c r="H41" s="507"/>
      <c r="I41" s="507"/>
      <c r="J41" s="510"/>
      <c r="K41" s="507"/>
    </row>
    <row r="42" spans="1:11">
      <c r="A42" s="506"/>
      <c r="B42" s="507"/>
      <c r="C42" s="508"/>
      <c r="D42" s="509"/>
      <c r="E42" s="508"/>
      <c r="F42" s="510"/>
      <c r="G42" s="507"/>
      <c r="H42" s="507"/>
      <c r="I42" s="507"/>
      <c r="J42" s="510"/>
      <c r="K42" s="507"/>
    </row>
    <row r="43" spans="1:11" ht="13.8">
      <c r="A43" s="497" t="s">
        <v>211</v>
      </c>
      <c r="B43" s="578" t="s">
        <v>337</v>
      </c>
      <c r="C43" s="578"/>
      <c r="D43" s="578"/>
      <c r="E43" s="578"/>
      <c r="F43" s="578"/>
      <c r="G43" s="578"/>
      <c r="H43" s="578"/>
      <c r="I43" s="579"/>
      <c r="J43" s="579"/>
      <c r="K43" s="579"/>
    </row>
    <row r="44" spans="1:11">
      <c r="A44" s="506"/>
      <c r="B44" s="507"/>
      <c r="C44" s="508"/>
      <c r="D44" s="509"/>
      <c r="E44" s="508"/>
      <c r="F44" s="510"/>
      <c r="G44" s="507"/>
      <c r="H44" s="507"/>
      <c r="I44" s="507"/>
      <c r="J44" s="518"/>
      <c r="K44" s="507"/>
    </row>
    <row r="45" spans="1:11">
      <c r="A45" s="506"/>
      <c r="B45" s="507"/>
      <c r="C45" s="508"/>
      <c r="D45" s="509"/>
      <c r="E45" s="508"/>
      <c r="F45" s="510"/>
      <c r="G45" s="507"/>
      <c r="H45" s="507"/>
      <c r="I45" s="507"/>
      <c r="J45" s="510"/>
      <c r="K45" s="507"/>
    </row>
    <row r="46" spans="1:11" ht="13.8">
      <c r="A46" s="497">
        <v>2</v>
      </c>
      <c r="B46" s="578" t="s">
        <v>338</v>
      </c>
      <c r="C46" s="578"/>
      <c r="D46" s="578"/>
      <c r="E46" s="578"/>
      <c r="F46" s="578"/>
      <c r="G46" s="578"/>
      <c r="H46" s="578"/>
      <c r="I46" s="579"/>
      <c r="J46" s="579"/>
      <c r="K46" s="579"/>
    </row>
    <row r="47" spans="1:11">
      <c r="A47" s="500" t="s">
        <v>345</v>
      </c>
      <c r="B47" s="501" t="s">
        <v>77</v>
      </c>
      <c r="C47" s="502">
        <v>3793.8958990000001</v>
      </c>
      <c r="D47" s="502">
        <v>814.70223199999998</v>
      </c>
      <c r="E47" s="502">
        <v>2979.193667</v>
      </c>
      <c r="F47" s="503"/>
      <c r="G47" s="501"/>
      <c r="H47" s="501"/>
      <c r="I47" s="519"/>
      <c r="J47" s="520"/>
      <c r="K47" s="519"/>
    </row>
    <row r="48" spans="1:11" ht="26.4">
      <c r="A48" s="521">
        <v>1</v>
      </c>
      <c r="B48" s="522" t="s">
        <v>1066</v>
      </c>
      <c r="C48" s="508">
        <v>160.005899</v>
      </c>
      <c r="D48" s="508">
        <v>160.005899</v>
      </c>
      <c r="E48" s="508">
        <v>0</v>
      </c>
      <c r="F48" s="510"/>
      <c r="G48" s="522" t="s">
        <v>393</v>
      </c>
      <c r="H48" s="522"/>
      <c r="I48" s="507" t="s">
        <v>1123</v>
      </c>
      <c r="J48" s="510">
        <v>2021</v>
      </c>
      <c r="K48" s="507"/>
    </row>
    <row r="49" spans="1:11" ht="26.4">
      <c r="A49" s="506">
        <v>2</v>
      </c>
      <c r="B49" s="522" t="s">
        <v>731</v>
      </c>
      <c r="C49" s="508">
        <v>655</v>
      </c>
      <c r="D49" s="509">
        <v>654.69633299999998</v>
      </c>
      <c r="E49" s="508">
        <v>0.30366700000001856</v>
      </c>
      <c r="F49" s="510" t="s">
        <v>37</v>
      </c>
      <c r="G49" s="522" t="s">
        <v>369</v>
      </c>
      <c r="H49" s="507"/>
      <c r="I49" s="507" t="s">
        <v>1123</v>
      </c>
      <c r="J49" s="510">
        <v>2021</v>
      </c>
      <c r="K49" s="507"/>
    </row>
    <row r="50" spans="1:11" ht="105.6">
      <c r="A50" s="506">
        <v>3</v>
      </c>
      <c r="B50" s="522" t="s">
        <v>732</v>
      </c>
      <c r="C50" s="508">
        <v>1000</v>
      </c>
      <c r="D50" s="509"/>
      <c r="E50" s="508">
        <v>1000</v>
      </c>
      <c r="F50" s="510"/>
      <c r="G50" s="522"/>
      <c r="H50" s="509"/>
      <c r="I50" s="507" t="s">
        <v>1125</v>
      </c>
      <c r="J50" s="510">
        <v>2025</v>
      </c>
      <c r="K50" s="507"/>
    </row>
    <row r="51" spans="1:11" s="499" customFormat="1">
      <c r="A51" s="513"/>
      <c r="B51" s="523"/>
      <c r="C51" s="515">
        <v>688.04</v>
      </c>
      <c r="D51" s="516"/>
      <c r="E51" s="515">
        <v>688.04</v>
      </c>
      <c r="F51" s="517" t="s">
        <v>1126</v>
      </c>
      <c r="G51" s="523" t="s">
        <v>369</v>
      </c>
      <c r="H51" s="514"/>
      <c r="I51" s="514"/>
      <c r="J51" s="517"/>
      <c r="K51" s="514"/>
    </row>
    <row r="52" spans="1:11" s="499" customFormat="1">
      <c r="A52" s="513"/>
      <c r="B52" s="523"/>
      <c r="C52" s="515">
        <v>311.96000000000009</v>
      </c>
      <c r="D52" s="516"/>
      <c r="E52" s="515">
        <v>311.96000000000009</v>
      </c>
      <c r="F52" s="517" t="s">
        <v>1126</v>
      </c>
      <c r="G52" s="523" t="s">
        <v>370</v>
      </c>
      <c r="H52" s="514"/>
      <c r="I52" s="514"/>
      <c r="J52" s="517"/>
      <c r="K52" s="514"/>
    </row>
    <row r="53" spans="1:11" ht="92.4">
      <c r="A53" s="506">
        <v>4</v>
      </c>
      <c r="B53" s="522" t="s">
        <v>392</v>
      </c>
      <c r="C53" s="508">
        <v>848.02</v>
      </c>
      <c r="D53" s="509"/>
      <c r="E53" s="508">
        <v>848.02</v>
      </c>
      <c r="F53" s="510"/>
      <c r="G53" s="522"/>
      <c r="H53" s="507"/>
      <c r="I53" s="507" t="s">
        <v>1124</v>
      </c>
      <c r="J53" s="510">
        <v>2023</v>
      </c>
      <c r="K53" s="507"/>
    </row>
    <row r="54" spans="1:11" s="499" customFormat="1">
      <c r="A54" s="513"/>
      <c r="B54" s="523"/>
      <c r="C54" s="515">
        <v>277.97999999999996</v>
      </c>
      <c r="D54" s="516"/>
      <c r="E54" s="515">
        <v>277.97999999999996</v>
      </c>
      <c r="F54" s="517" t="s">
        <v>37</v>
      </c>
      <c r="G54" s="523" t="s">
        <v>369</v>
      </c>
      <c r="H54" s="514" t="s">
        <v>394</v>
      </c>
      <c r="I54" s="514"/>
      <c r="J54" s="517"/>
      <c r="K54" s="514"/>
    </row>
    <row r="55" spans="1:11" s="499" customFormat="1">
      <c r="A55" s="513"/>
      <c r="B55" s="523"/>
      <c r="C55" s="515">
        <v>274.10000000000002</v>
      </c>
      <c r="D55" s="516"/>
      <c r="E55" s="515">
        <v>274.10000000000002</v>
      </c>
      <c r="F55" s="517" t="s">
        <v>37</v>
      </c>
      <c r="G55" s="523" t="s">
        <v>393</v>
      </c>
      <c r="H55" s="514" t="s">
        <v>394</v>
      </c>
      <c r="I55" s="514"/>
      <c r="J55" s="517"/>
      <c r="K55" s="514"/>
    </row>
    <row r="56" spans="1:11" s="499" customFormat="1">
      <c r="A56" s="513"/>
      <c r="B56" s="523"/>
      <c r="C56" s="515">
        <v>295.94</v>
      </c>
      <c r="D56" s="516"/>
      <c r="E56" s="515">
        <v>295.94</v>
      </c>
      <c r="F56" s="517" t="s">
        <v>37</v>
      </c>
      <c r="G56" s="523" t="s">
        <v>370</v>
      </c>
      <c r="H56" s="514" t="s">
        <v>394</v>
      </c>
      <c r="I56" s="514"/>
      <c r="J56" s="517"/>
      <c r="K56" s="514"/>
    </row>
    <row r="57" spans="1:11" ht="66">
      <c r="A57" s="506">
        <v>5</v>
      </c>
      <c r="B57" s="522" t="s">
        <v>395</v>
      </c>
      <c r="C57" s="508">
        <v>590.11999999999989</v>
      </c>
      <c r="D57" s="509"/>
      <c r="E57" s="508">
        <v>590.11999999999989</v>
      </c>
      <c r="F57" s="510"/>
      <c r="G57" s="522"/>
      <c r="H57" s="507"/>
      <c r="I57" s="507" t="s">
        <v>1067</v>
      </c>
      <c r="J57" s="510">
        <v>2025</v>
      </c>
      <c r="K57" s="507"/>
    </row>
    <row r="58" spans="1:11" s="499" customFormat="1">
      <c r="A58" s="513"/>
      <c r="B58" s="523"/>
      <c r="C58" s="515">
        <v>534.67999999999995</v>
      </c>
      <c r="D58" s="516"/>
      <c r="E58" s="515">
        <v>534.67999999999995</v>
      </c>
      <c r="F58" s="517"/>
      <c r="G58" s="523" t="s">
        <v>370</v>
      </c>
      <c r="H58" s="514" t="s">
        <v>733</v>
      </c>
      <c r="I58" s="514"/>
      <c r="J58" s="517"/>
      <c r="K58" s="514"/>
    </row>
    <row r="59" spans="1:11" s="499" customFormat="1">
      <c r="A59" s="513"/>
      <c r="B59" s="523"/>
      <c r="C59" s="515">
        <v>55.44</v>
      </c>
      <c r="D59" s="516"/>
      <c r="E59" s="515">
        <v>55.44</v>
      </c>
      <c r="F59" s="517"/>
      <c r="G59" s="523" t="s">
        <v>390</v>
      </c>
      <c r="H59" s="514" t="s">
        <v>733</v>
      </c>
      <c r="I59" s="514"/>
      <c r="J59" s="517"/>
      <c r="K59" s="514"/>
    </row>
    <row r="60" spans="1:11" ht="66">
      <c r="A60" s="506">
        <v>6</v>
      </c>
      <c r="B60" s="522" t="s">
        <v>396</v>
      </c>
      <c r="C60" s="508">
        <v>540.75</v>
      </c>
      <c r="D60" s="509"/>
      <c r="E60" s="508">
        <v>540.75</v>
      </c>
      <c r="F60" s="510"/>
      <c r="G60" s="522" t="s">
        <v>391</v>
      </c>
      <c r="H60" s="507" t="s">
        <v>734</v>
      </c>
      <c r="I60" s="507" t="s">
        <v>1067</v>
      </c>
      <c r="J60" s="510">
        <v>2027</v>
      </c>
      <c r="K60" s="507"/>
    </row>
    <row r="61" spans="1:11">
      <c r="A61" s="500" t="s">
        <v>345</v>
      </c>
      <c r="B61" s="501" t="s">
        <v>83</v>
      </c>
      <c r="C61" s="502">
        <v>605</v>
      </c>
      <c r="D61" s="502">
        <v>0</v>
      </c>
      <c r="E61" s="502">
        <v>605</v>
      </c>
      <c r="F61" s="503"/>
      <c r="G61" s="501"/>
      <c r="H61" s="501"/>
      <c r="I61" s="519"/>
      <c r="J61" s="520"/>
      <c r="K61" s="519"/>
    </row>
    <row r="62" spans="1:11">
      <c r="A62" s="521">
        <v>1</v>
      </c>
      <c r="B62" s="522" t="s">
        <v>1188</v>
      </c>
      <c r="C62" s="508">
        <v>70</v>
      </c>
      <c r="D62" s="508"/>
      <c r="E62" s="508">
        <v>70</v>
      </c>
      <c r="F62" s="510" t="s">
        <v>37</v>
      </c>
      <c r="G62" s="522" t="s">
        <v>390</v>
      </c>
      <c r="H62" s="522"/>
      <c r="I62" s="507"/>
      <c r="J62" s="510"/>
      <c r="K62" s="507"/>
    </row>
    <row r="63" spans="1:11">
      <c r="A63" s="521">
        <v>2</v>
      </c>
      <c r="B63" s="522" t="s">
        <v>1189</v>
      </c>
      <c r="C63" s="508">
        <v>70</v>
      </c>
      <c r="D63" s="508"/>
      <c r="E63" s="508">
        <v>70</v>
      </c>
      <c r="F63" s="510"/>
      <c r="G63" s="522"/>
      <c r="H63" s="522"/>
      <c r="I63" s="507"/>
      <c r="J63" s="510"/>
      <c r="K63" s="507"/>
    </row>
    <row r="64" spans="1:11" s="499" customFormat="1">
      <c r="A64" s="524"/>
      <c r="B64" s="523"/>
      <c r="C64" s="515">
        <v>60</v>
      </c>
      <c r="D64" s="515"/>
      <c r="E64" s="515">
        <v>60</v>
      </c>
      <c r="F64" s="517" t="s">
        <v>37</v>
      </c>
      <c r="G64" s="523" t="s">
        <v>393</v>
      </c>
      <c r="H64" s="523"/>
      <c r="I64" s="514"/>
      <c r="J64" s="517"/>
      <c r="K64" s="514"/>
    </row>
    <row r="65" spans="1:11" s="499" customFormat="1">
      <c r="A65" s="524"/>
      <c r="B65" s="523"/>
      <c r="C65" s="515">
        <v>10</v>
      </c>
      <c r="D65" s="515"/>
      <c r="E65" s="515">
        <v>10</v>
      </c>
      <c r="F65" s="517" t="s">
        <v>37</v>
      </c>
      <c r="G65" s="523" t="s">
        <v>390</v>
      </c>
      <c r="H65" s="523"/>
      <c r="I65" s="514"/>
      <c r="J65" s="517"/>
      <c r="K65" s="514"/>
    </row>
    <row r="66" spans="1:11">
      <c r="A66" s="521">
        <v>3</v>
      </c>
      <c r="B66" s="522" t="s">
        <v>1190</v>
      </c>
      <c r="C66" s="508">
        <v>75</v>
      </c>
      <c r="D66" s="508"/>
      <c r="E66" s="508">
        <v>75</v>
      </c>
      <c r="F66" s="510" t="s">
        <v>37</v>
      </c>
      <c r="G66" s="522" t="s">
        <v>390</v>
      </c>
      <c r="H66" s="522"/>
      <c r="I66" s="507"/>
      <c r="J66" s="510"/>
      <c r="K66" s="507"/>
    </row>
    <row r="67" spans="1:11" ht="52.8">
      <c r="A67" s="521">
        <v>4</v>
      </c>
      <c r="B67" s="522" t="s">
        <v>401</v>
      </c>
      <c r="C67" s="508">
        <v>20</v>
      </c>
      <c r="D67" s="508"/>
      <c r="E67" s="508">
        <v>20</v>
      </c>
      <c r="F67" s="510" t="s">
        <v>37</v>
      </c>
      <c r="G67" s="522" t="s">
        <v>393</v>
      </c>
      <c r="H67" s="522"/>
      <c r="I67" s="507" t="s">
        <v>406</v>
      </c>
      <c r="J67" s="510">
        <v>2021</v>
      </c>
      <c r="K67" s="507"/>
    </row>
    <row r="68" spans="1:11" ht="26.4">
      <c r="A68" s="521">
        <v>5</v>
      </c>
      <c r="B68" s="522" t="s">
        <v>736</v>
      </c>
      <c r="C68" s="508">
        <v>70</v>
      </c>
      <c r="D68" s="508"/>
      <c r="E68" s="508">
        <v>70</v>
      </c>
      <c r="F68" s="510" t="s">
        <v>37</v>
      </c>
      <c r="G68" s="522" t="s">
        <v>367</v>
      </c>
      <c r="H68" s="522"/>
      <c r="I68" s="507" t="s">
        <v>737</v>
      </c>
      <c r="J68" s="510">
        <v>2025</v>
      </c>
      <c r="K68" s="507"/>
    </row>
    <row r="69" spans="1:11" ht="118.8">
      <c r="A69" s="521">
        <v>6</v>
      </c>
      <c r="B69" s="522" t="s">
        <v>397</v>
      </c>
      <c r="C69" s="508">
        <v>75</v>
      </c>
      <c r="D69" s="508"/>
      <c r="E69" s="508">
        <v>75</v>
      </c>
      <c r="F69" s="510" t="s">
        <v>37</v>
      </c>
      <c r="G69" s="522" t="s">
        <v>372</v>
      </c>
      <c r="H69" s="507" t="s">
        <v>398</v>
      </c>
      <c r="I69" s="507" t="s">
        <v>1127</v>
      </c>
      <c r="J69" s="510">
        <v>2021</v>
      </c>
      <c r="K69" s="507"/>
    </row>
    <row r="70" spans="1:11" ht="118.8">
      <c r="A70" s="521">
        <v>7</v>
      </c>
      <c r="B70" s="522" t="s">
        <v>399</v>
      </c>
      <c r="C70" s="508">
        <v>75</v>
      </c>
      <c r="D70" s="508"/>
      <c r="E70" s="508">
        <v>75</v>
      </c>
      <c r="F70" s="510" t="s">
        <v>37</v>
      </c>
      <c r="G70" s="522" t="s">
        <v>379</v>
      </c>
      <c r="H70" s="507" t="s">
        <v>403</v>
      </c>
      <c r="I70" s="507" t="s">
        <v>1127</v>
      </c>
      <c r="J70" s="510">
        <v>2021</v>
      </c>
      <c r="K70" s="507"/>
    </row>
    <row r="71" spans="1:11" ht="118.8">
      <c r="A71" s="521">
        <v>8</v>
      </c>
      <c r="B71" s="522" t="s">
        <v>400</v>
      </c>
      <c r="C71" s="508">
        <v>75</v>
      </c>
      <c r="D71" s="508"/>
      <c r="E71" s="508">
        <v>75</v>
      </c>
      <c r="F71" s="510" t="s">
        <v>37</v>
      </c>
      <c r="G71" s="522" t="s">
        <v>380</v>
      </c>
      <c r="H71" s="507" t="s">
        <v>404</v>
      </c>
      <c r="I71" s="507" t="s">
        <v>1127</v>
      </c>
      <c r="J71" s="510">
        <v>2021</v>
      </c>
      <c r="K71" s="507"/>
    </row>
    <row r="72" spans="1:11" ht="118.8">
      <c r="A72" s="521">
        <v>9</v>
      </c>
      <c r="B72" s="522" t="s">
        <v>402</v>
      </c>
      <c r="C72" s="508">
        <v>75</v>
      </c>
      <c r="D72" s="508"/>
      <c r="E72" s="508">
        <v>75</v>
      </c>
      <c r="F72" s="510" t="s">
        <v>37</v>
      </c>
      <c r="G72" s="522" t="s">
        <v>389</v>
      </c>
      <c r="H72" s="507" t="s">
        <v>405</v>
      </c>
      <c r="I72" s="507" t="s">
        <v>1127</v>
      </c>
      <c r="J72" s="510">
        <v>2021</v>
      </c>
      <c r="K72" s="507"/>
    </row>
    <row r="73" spans="1:11" s="492" customFormat="1">
      <c r="A73" s="511" t="s">
        <v>345</v>
      </c>
      <c r="B73" s="501" t="s">
        <v>86</v>
      </c>
      <c r="C73" s="502">
        <v>190.03393043863329</v>
      </c>
      <c r="D73" s="502">
        <v>0.28044543863327698</v>
      </c>
      <c r="E73" s="502">
        <v>189.75348500000001</v>
      </c>
      <c r="F73" s="503"/>
      <c r="G73" s="501"/>
      <c r="H73" s="512"/>
      <c r="I73" s="512"/>
      <c r="J73" s="503"/>
      <c r="K73" s="512"/>
    </row>
    <row r="74" spans="1:11" ht="26.4">
      <c r="A74" s="506">
        <v>1</v>
      </c>
      <c r="B74" s="522" t="s">
        <v>416</v>
      </c>
      <c r="C74" s="508">
        <v>0.12</v>
      </c>
      <c r="D74" s="509">
        <v>0.12</v>
      </c>
      <c r="E74" s="508">
        <v>0</v>
      </c>
      <c r="F74" s="510" t="s">
        <v>37</v>
      </c>
      <c r="G74" s="522" t="s">
        <v>390</v>
      </c>
      <c r="H74" s="507"/>
      <c r="I74" s="507" t="s">
        <v>1072</v>
      </c>
      <c r="J74" s="510">
        <v>2025</v>
      </c>
      <c r="K74" s="507"/>
    </row>
    <row r="75" spans="1:11" ht="26.4">
      <c r="A75" s="506">
        <v>2</v>
      </c>
      <c r="B75" s="522" t="s">
        <v>1068</v>
      </c>
      <c r="C75" s="508">
        <v>9.0073E-2</v>
      </c>
      <c r="D75" s="509"/>
      <c r="E75" s="508">
        <v>9.0073E-2</v>
      </c>
      <c r="F75" s="510" t="s">
        <v>793</v>
      </c>
      <c r="G75" s="522" t="s">
        <v>393</v>
      </c>
      <c r="H75" s="507"/>
      <c r="I75" s="507"/>
      <c r="J75" s="510">
        <v>2025</v>
      </c>
      <c r="K75" s="507"/>
    </row>
    <row r="76" spans="1:11">
      <c r="A76" s="506">
        <v>3</v>
      </c>
      <c r="B76" s="522" t="s">
        <v>1069</v>
      </c>
      <c r="C76" s="508">
        <v>1.2</v>
      </c>
      <c r="D76" s="509"/>
      <c r="E76" s="508">
        <v>1.2</v>
      </c>
      <c r="F76" s="510" t="s">
        <v>37</v>
      </c>
      <c r="G76" s="522" t="s">
        <v>393</v>
      </c>
      <c r="H76" s="507"/>
      <c r="I76" s="507"/>
      <c r="J76" s="510">
        <v>2025</v>
      </c>
      <c r="K76" s="507"/>
    </row>
    <row r="77" spans="1:11" ht="26.4">
      <c r="A77" s="506">
        <v>4</v>
      </c>
      <c r="B77" s="522" t="s">
        <v>738</v>
      </c>
      <c r="C77" s="508">
        <v>3.5</v>
      </c>
      <c r="D77" s="509"/>
      <c r="E77" s="508">
        <v>3.5</v>
      </c>
      <c r="F77" s="510" t="s">
        <v>37</v>
      </c>
      <c r="G77" s="522" t="s">
        <v>393</v>
      </c>
      <c r="H77" s="507"/>
      <c r="I77" s="507" t="s">
        <v>1071</v>
      </c>
      <c r="J77" s="510"/>
      <c r="K77" s="507"/>
    </row>
    <row r="78" spans="1:11" ht="26.4">
      <c r="A78" s="506">
        <v>5</v>
      </c>
      <c r="B78" s="522" t="s">
        <v>414</v>
      </c>
      <c r="C78" s="508">
        <v>70</v>
      </c>
      <c r="D78" s="509"/>
      <c r="E78" s="508">
        <v>70</v>
      </c>
      <c r="F78" s="510" t="s">
        <v>37</v>
      </c>
      <c r="G78" s="522" t="s">
        <v>393</v>
      </c>
      <c r="H78" s="507"/>
      <c r="I78" s="507" t="s">
        <v>1071</v>
      </c>
      <c r="J78" s="510">
        <v>2025</v>
      </c>
      <c r="K78" s="507"/>
    </row>
    <row r="79" spans="1:11" ht="26.4">
      <c r="A79" s="506">
        <v>6</v>
      </c>
      <c r="B79" s="522" t="s">
        <v>412</v>
      </c>
      <c r="C79" s="508">
        <v>0.08</v>
      </c>
      <c r="D79" s="509"/>
      <c r="E79" s="508">
        <v>0.08</v>
      </c>
      <c r="F79" s="510" t="s">
        <v>37</v>
      </c>
      <c r="G79" s="522" t="s">
        <v>393</v>
      </c>
      <c r="H79" s="507"/>
      <c r="I79" s="507" t="s">
        <v>1070</v>
      </c>
      <c r="J79" s="510">
        <v>2021</v>
      </c>
      <c r="K79" s="507"/>
    </row>
    <row r="80" spans="1:11" ht="26.4">
      <c r="A80" s="506">
        <v>7</v>
      </c>
      <c r="B80" s="522" t="s">
        <v>413</v>
      </c>
      <c r="C80" s="508">
        <v>2.0691700000000002</v>
      </c>
      <c r="D80" s="509"/>
      <c r="E80" s="508">
        <v>2.0691700000000002</v>
      </c>
      <c r="F80" s="510" t="s">
        <v>37</v>
      </c>
      <c r="G80" s="522" t="s">
        <v>393</v>
      </c>
      <c r="H80" s="507"/>
      <c r="I80" s="507" t="s">
        <v>1128</v>
      </c>
      <c r="J80" s="510">
        <v>2021</v>
      </c>
      <c r="K80" s="507"/>
    </row>
    <row r="81" spans="1:11" ht="52.8">
      <c r="A81" s="506">
        <v>8</v>
      </c>
      <c r="B81" s="522" t="s">
        <v>739</v>
      </c>
      <c r="C81" s="508">
        <v>0.24004600000000001</v>
      </c>
      <c r="D81" s="509"/>
      <c r="E81" s="508">
        <v>0.24004600000000001</v>
      </c>
      <c r="F81" s="510" t="s">
        <v>742</v>
      </c>
      <c r="G81" s="522" t="s">
        <v>393</v>
      </c>
      <c r="H81" s="507"/>
      <c r="I81" s="507" t="s">
        <v>1129</v>
      </c>
      <c r="J81" s="510">
        <v>2021</v>
      </c>
      <c r="K81" s="507"/>
    </row>
    <row r="82" spans="1:11" ht="26.4">
      <c r="A82" s="506">
        <v>9</v>
      </c>
      <c r="B82" s="522" t="s">
        <v>741</v>
      </c>
      <c r="C82" s="508">
        <v>2.354196</v>
      </c>
      <c r="D82" s="509"/>
      <c r="E82" s="508">
        <v>2.354196</v>
      </c>
      <c r="F82" s="510" t="s">
        <v>63</v>
      </c>
      <c r="G82" s="522" t="s">
        <v>393</v>
      </c>
      <c r="H82" s="507"/>
      <c r="I82" s="507" t="s">
        <v>1071</v>
      </c>
      <c r="J82" s="510">
        <v>2025</v>
      </c>
      <c r="K82" s="507"/>
    </row>
    <row r="83" spans="1:11" ht="26.4">
      <c r="A83" s="506">
        <v>10</v>
      </c>
      <c r="B83" s="522" t="s">
        <v>743</v>
      </c>
      <c r="C83" s="508">
        <v>0.13</v>
      </c>
      <c r="D83" s="509"/>
      <c r="E83" s="508">
        <v>0.13</v>
      </c>
      <c r="F83" s="510" t="s">
        <v>37</v>
      </c>
      <c r="G83" s="522" t="s">
        <v>390</v>
      </c>
      <c r="H83" s="507"/>
      <c r="I83" s="507" t="s">
        <v>1130</v>
      </c>
      <c r="J83" s="510">
        <v>2021</v>
      </c>
      <c r="K83" s="507"/>
    </row>
    <row r="84" spans="1:11" ht="26.4">
      <c r="A84" s="506">
        <v>11</v>
      </c>
      <c r="B84" s="522" t="s">
        <v>1068</v>
      </c>
      <c r="C84" s="508">
        <v>0.09</v>
      </c>
      <c r="D84" s="509"/>
      <c r="E84" s="508">
        <v>0.09</v>
      </c>
      <c r="F84" s="510" t="s">
        <v>746</v>
      </c>
      <c r="G84" s="522" t="s">
        <v>390</v>
      </c>
      <c r="H84" s="507"/>
      <c r="I84" s="507"/>
      <c r="J84" s="510">
        <v>2030</v>
      </c>
      <c r="K84" s="507"/>
    </row>
    <row r="85" spans="1:11">
      <c r="A85" s="506">
        <v>12</v>
      </c>
      <c r="B85" s="522" t="s">
        <v>744</v>
      </c>
      <c r="C85" s="508">
        <v>0.09</v>
      </c>
      <c r="D85" s="509"/>
      <c r="E85" s="508">
        <v>0.09</v>
      </c>
      <c r="F85" s="510" t="s">
        <v>37</v>
      </c>
      <c r="G85" s="522" t="s">
        <v>365</v>
      </c>
      <c r="H85" s="507"/>
      <c r="I85" s="507"/>
      <c r="J85" s="510">
        <v>2030</v>
      </c>
      <c r="K85" s="507"/>
    </row>
    <row r="86" spans="1:11">
      <c r="A86" s="506">
        <v>13</v>
      </c>
      <c r="B86" s="522" t="s">
        <v>264</v>
      </c>
      <c r="C86" s="508">
        <v>0.3</v>
      </c>
      <c r="D86" s="509"/>
      <c r="E86" s="508">
        <v>0.3</v>
      </c>
      <c r="F86" s="510" t="s">
        <v>37</v>
      </c>
      <c r="G86" s="522" t="s">
        <v>365</v>
      </c>
      <c r="H86" s="507"/>
      <c r="I86" s="507"/>
      <c r="J86" s="510">
        <v>2030</v>
      </c>
      <c r="K86" s="507"/>
    </row>
    <row r="87" spans="1:11">
      <c r="A87" s="506">
        <v>14</v>
      </c>
      <c r="B87" s="522" t="s">
        <v>745</v>
      </c>
      <c r="C87" s="508">
        <v>0.4</v>
      </c>
      <c r="D87" s="509"/>
      <c r="E87" s="508">
        <v>0.4</v>
      </c>
      <c r="F87" s="510" t="s">
        <v>37</v>
      </c>
      <c r="G87" s="522" t="s">
        <v>365</v>
      </c>
      <c r="H87" s="507"/>
      <c r="I87" s="507"/>
      <c r="J87" s="510">
        <v>2030</v>
      </c>
      <c r="K87" s="507"/>
    </row>
    <row r="88" spans="1:11" ht="26.4">
      <c r="A88" s="506">
        <v>15</v>
      </c>
      <c r="B88" s="522" t="s">
        <v>407</v>
      </c>
      <c r="C88" s="508">
        <v>0.54</v>
      </c>
      <c r="D88" s="509"/>
      <c r="E88" s="508">
        <v>0.54</v>
      </c>
      <c r="F88" s="510" t="s">
        <v>746</v>
      </c>
      <c r="G88" s="522" t="s">
        <v>367</v>
      </c>
      <c r="H88" s="507"/>
      <c r="I88" s="507" t="s">
        <v>1073</v>
      </c>
      <c r="J88" s="510">
        <v>2021</v>
      </c>
      <c r="K88" s="507"/>
    </row>
    <row r="89" spans="1:11" ht="26.4">
      <c r="A89" s="506">
        <v>16</v>
      </c>
      <c r="B89" s="522" t="s">
        <v>747</v>
      </c>
      <c r="C89" s="508">
        <v>0.09</v>
      </c>
      <c r="D89" s="509"/>
      <c r="E89" s="508">
        <v>0.09</v>
      </c>
      <c r="F89" s="510" t="s">
        <v>37</v>
      </c>
      <c r="G89" s="522" t="s">
        <v>408</v>
      </c>
      <c r="H89" s="507"/>
      <c r="I89" s="507" t="s">
        <v>1074</v>
      </c>
      <c r="J89" s="510">
        <v>2021</v>
      </c>
      <c r="K89" s="507"/>
    </row>
    <row r="90" spans="1:11">
      <c r="A90" s="506">
        <v>17</v>
      </c>
      <c r="B90" s="522" t="s">
        <v>409</v>
      </c>
      <c r="C90" s="508">
        <v>0.26044543863327702</v>
      </c>
      <c r="D90" s="509">
        <v>0.16044543863327698</v>
      </c>
      <c r="E90" s="508">
        <v>0.10000000000000003</v>
      </c>
      <c r="F90" s="510" t="s">
        <v>37</v>
      </c>
      <c r="G90" s="522" t="s">
        <v>408</v>
      </c>
      <c r="H90" s="507"/>
      <c r="I90" s="507"/>
      <c r="J90" s="510">
        <v>2030</v>
      </c>
      <c r="K90" s="507"/>
    </row>
    <row r="91" spans="1:11" ht="26.4">
      <c r="A91" s="506">
        <v>18</v>
      </c>
      <c r="B91" s="522" t="s">
        <v>410</v>
      </c>
      <c r="C91" s="508">
        <v>0.08</v>
      </c>
      <c r="D91" s="509"/>
      <c r="E91" s="508">
        <v>0.08</v>
      </c>
      <c r="F91" s="510" t="s">
        <v>37</v>
      </c>
      <c r="G91" s="522" t="s">
        <v>380</v>
      </c>
      <c r="H91" s="507"/>
      <c r="I91" s="507" t="s">
        <v>1075</v>
      </c>
      <c r="J91" s="510">
        <v>2021</v>
      </c>
      <c r="K91" s="507"/>
    </row>
    <row r="92" spans="1:11">
      <c r="A92" s="506">
        <v>19</v>
      </c>
      <c r="B92" s="522" t="s">
        <v>411</v>
      </c>
      <c r="C92" s="508">
        <v>0.1</v>
      </c>
      <c r="D92" s="509"/>
      <c r="E92" s="508">
        <v>0.1</v>
      </c>
      <c r="F92" s="510" t="s">
        <v>37</v>
      </c>
      <c r="G92" s="522" t="s">
        <v>380</v>
      </c>
      <c r="H92" s="507"/>
      <c r="I92" s="507"/>
      <c r="J92" s="510">
        <v>2030</v>
      </c>
      <c r="K92" s="507"/>
    </row>
    <row r="93" spans="1:11">
      <c r="A93" s="506">
        <v>20</v>
      </c>
      <c r="B93" s="522" t="s">
        <v>415</v>
      </c>
      <c r="C93" s="508">
        <v>0.12</v>
      </c>
      <c r="D93" s="509"/>
      <c r="E93" s="508">
        <v>0.12</v>
      </c>
      <c r="F93" s="510" t="s">
        <v>37</v>
      </c>
      <c r="G93" s="522" t="s">
        <v>391</v>
      </c>
      <c r="H93" s="507"/>
      <c r="I93" s="507"/>
      <c r="J93" s="510">
        <v>2030</v>
      </c>
      <c r="K93" s="507"/>
    </row>
    <row r="94" spans="1:11" ht="26.4">
      <c r="A94" s="506">
        <v>21</v>
      </c>
      <c r="B94" s="522" t="s">
        <v>1131</v>
      </c>
      <c r="C94" s="508">
        <v>0.08</v>
      </c>
      <c r="D94" s="509"/>
      <c r="E94" s="508">
        <v>0.08</v>
      </c>
      <c r="F94" s="510" t="s">
        <v>37</v>
      </c>
      <c r="G94" s="522" t="s">
        <v>391</v>
      </c>
      <c r="H94" s="507"/>
      <c r="I94" s="507" t="s">
        <v>1132</v>
      </c>
      <c r="J94" s="510">
        <v>2021</v>
      </c>
      <c r="K94" s="507"/>
    </row>
    <row r="95" spans="1:11">
      <c r="A95" s="506">
        <v>22</v>
      </c>
      <c r="B95" s="522" t="s">
        <v>748</v>
      </c>
      <c r="C95" s="508">
        <v>0.2</v>
      </c>
      <c r="D95" s="509"/>
      <c r="E95" s="508">
        <v>0.2</v>
      </c>
      <c r="F95" s="510" t="s">
        <v>132</v>
      </c>
      <c r="G95" s="522" t="s">
        <v>389</v>
      </c>
      <c r="H95" s="507"/>
      <c r="I95" s="507"/>
      <c r="J95" s="510">
        <v>2030</v>
      </c>
      <c r="K95" s="507"/>
    </row>
    <row r="96" spans="1:11">
      <c r="A96" s="506">
        <v>23</v>
      </c>
      <c r="B96" s="522" t="s">
        <v>749</v>
      </c>
      <c r="C96" s="508">
        <v>7.0000000000000007E-2</v>
      </c>
      <c r="D96" s="509"/>
      <c r="E96" s="508">
        <v>7.0000000000000007E-2</v>
      </c>
      <c r="F96" s="510" t="s">
        <v>37</v>
      </c>
      <c r="G96" s="522" t="s">
        <v>389</v>
      </c>
      <c r="H96" s="507"/>
      <c r="I96" s="507"/>
      <c r="J96" s="510">
        <v>2030</v>
      </c>
      <c r="K96" s="507"/>
    </row>
    <row r="97" spans="1:13" ht="26.4">
      <c r="A97" s="506">
        <v>24</v>
      </c>
      <c r="B97" s="522" t="s">
        <v>740</v>
      </c>
      <c r="C97" s="508">
        <v>107.7</v>
      </c>
      <c r="D97" s="509"/>
      <c r="E97" s="508">
        <v>107.7</v>
      </c>
      <c r="F97" s="510"/>
      <c r="G97" s="522"/>
      <c r="H97" s="507"/>
      <c r="I97" s="507"/>
      <c r="J97" s="510"/>
      <c r="K97" s="507"/>
    </row>
    <row r="98" spans="1:13" s="499" customFormat="1">
      <c r="A98" s="513"/>
      <c r="B98" s="523"/>
      <c r="C98" s="515">
        <v>20</v>
      </c>
      <c r="D98" s="516"/>
      <c r="E98" s="515">
        <v>20</v>
      </c>
      <c r="F98" s="517" t="s">
        <v>37</v>
      </c>
      <c r="G98" s="523" t="s">
        <v>393</v>
      </c>
      <c r="H98" s="514"/>
      <c r="I98" s="514"/>
      <c r="J98" s="517"/>
      <c r="K98" s="514"/>
    </row>
    <row r="99" spans="1:13" s="499" customFormat="1">
      <c r="A99" s="513"/>
      <c r="B99" s="523"/>
      <c r="C99" s="515">
        <v>5</v>
      </c>
      <c r="D99" s="516"/>
      <c r="E99" s="515">
        <v>5</v>
      </c>
      <c r="F99" s="517" t="s">
        <v>37</v>
      </c>
      <c r="G99" s="523" t="s">
        <v>369</v>
      </c>
      <c r="H99" s="514"/>
      <c r="I99" s="514"/>
      <c r="J99" s="517"/>
      <c r="K99" s="514"/>
    </row>
    <row r="100" spans="1:13" s="499" customFormat="1">
      <c r="A100" s="513"/>
      <c r="B100" s="523"/>
      <c r="C100" s="515">
        <v>10</v>
      </c>
      <c r="D100" s="516"/>
      <c r="E100" s="515">
        <v>10</v>
      </c>
      <c r="F100" s="517" t="s">
        <v>37</v>
      </c>
      <c r="G100" s="523" t="s">
        <v>390</v>
      </c>
      <c r="H100" s="514"/>
      <c r="I100" s="514"/>
      <c r="J100" s="517"/>
      <c r="K100" s="514"/>
    </row>
    <row r="101" spans="1:13" s="499" customFormat="1">
      <c r="A101" s="513"/>
      <c r="B101" s="523"/>
      <c r="C101" s="515">
        <v>5.2</v>
      </c>
      <c r="D101" s="516"/>
      <c r="E101" s="515">
        <v>5.2</v>
      </c>
      <c r="F101" s="517" t="s">
        <v>37</v>
      </c>
      <c r="G101" s="523" t="s">
        <v>365</v>
      </c>
      <c r="H101" s="514"/>
      <c r="I101" s="514"/>
      <c r="J101" s="517"/>
      <c r="K101" s="514"/>
    </row>
    <row r="102" spans="1:13" s="499" customFormat="1">
      <c r="A102" s="513"/>
      <c r="B102" s="523"/>
      <c r="C102" s="515">
        <v>2.5</v>
      </c>
      <c r="D102" s="516"/>
      <c r="E102" s="515">
        <v>2.5</v>
      </c>
      <c r="F102" s="517" t="s">
        <v>37</v>
      </c>
      <c r="G102" s="523" t="s">
        <v>367</v>
      </c>
      <c r="H102" s="514"/>
      <c r="I102" s="514"/>
      <c r="J102" s="517"/>
      <c r="K102" s="514"/>
    </row>
    <row r="103" spans="1:13" s="499" customFormat="1">
      <c r="A103" s="513"/>
      <c r="B103" s="523"/>
      <c r="C103" s="515">
        <v>6</v>
      </c>
      <c r="D103" s="516"/>
      <c r="E103" s="515">
        <v>6</v>
      </c>
      <c r="F103" s="517" t="s">
        <v>37</v>
      </c>
      <c r="G103" s="523" t="s">
        <v>370</v>
      </c>
      <c r="H103" s="514"/>
      <c r="I103" s="514"/>
      <c r="J103" s="517"/>
      <c r="K103" s="514"/>
    </row>
    <row r="104" spans="1:13" s="499" customFormat="1">
      <c r="A104" s="513"/>
      <c r="B104" s="523"/>
      <c r="C104" s="515">
        <v>5</v>
      </c>
      <c r="D104" s="516"/>
      <c r="E104" s="515">
        <v>5</v>
      </c>
      <c r="F104" s="517" t="s">
        <v>37</v>
      </c>
      <c r="G104" s="523" t="s">
        <v>372</v>
      </c>
      <c r="H104" s="514"/>
      <c r="I104" s="514"/>
      <c r="J104" s="517"/>
      <c r="K104" s="514"/>
    </row>
    <row r="105" spans="1:13" s="499" customFormat="1">
      <c r="A105" s="513"/>
      <c r="B105" s="523"/>
      <c r="C105" s="515">
        <v>8</v>
      </c>
      <c r="D105" s="516"/>
      <c r="E105" s="515">
        <v>8</v>
      </c>
      <c r="F105" s="517" t="s">
        <v>37</v>
      </c>
      <c r="G105" s="523" t="s">
        <v>379</v>
      </c>
      <c r="H105" s="514"/>
      <c r="I105" s="514"/>
      <c r="J105" s="517"/>
      <c r="K105" s="514"/>
    </row>
    <row r="106" spans="1:13" s="499" customFormat="1">
      <c r="A106" s="513"/>
      <c r="B106" s="523"/>
      <c r="C106" s="515">
        <v>20</v>
      </c>
      <c r="D106" s="516"/>
      <c r="E106" s="515">
        <v>20</v>
      </c>
      <c r="F106" s="517" t="s">
        <v>37</v>
      </c>
      <c r="G106" s="523" t="s">
        <v>408</v>
      </c>
      <c r="H106" s="514"/>
      <c r="I106" s="514"/>
      <c r="J106" s="517"/>
      <c r="K106" s="514"/>
    </row>
    <row r="107" spans="1:13" s="499" customFormat="1">
      <c r="A107" s="513"/>
      <c r="B107" s="523"/>
      <c r="C107" s="515">
        <v>5</v>
      </c>
      <c r="D107" s="516"/>
      <c r="E107" s="515">
        <v>5</v>
      </c>
      <c r="F107" s="517" t="s">
        <v>37</v>
      </c>
      <c r="G107" s="523" t="s">
        <v>380</v>
      </c>
      <c r="H107" s="514"/>
      <c r="I107" s="514"/>
      <c r="J107" s="517"/>
      <c r="K107" s="514"/>
    </row>
    <row r="108" spans="1:13" s="499" customFormat="1">
      <c r="A108" s="513"/>
      <c r="B108" s="523"/>
      <c r="C108" s="515">
        <v>5</v>
      </c>
      <c r="D108" s="516"/>
      <c r="E108" s="515">
        <v>5</v>
      </c>
      <c r="F108" s="517" t="s">
        <v>37</v>
      </c>
      <c r="G108" s="523" t="s">
        <v>417</v>
      </c>
      <c r="H108" s="514"/>
      <c r="I108" s="514"/>
      <c r="J108" s="517"/>
      <c r="K108" s="514"/>
    </row>
    <row r="109" spans="1:13" s="499" customFormat="1">
      <c r="A109" s="513"/>
      <c r="B109" s="523"/>
      <c r="C109" s="515">
        <v>10</v>
      </c>
      <c r="D109" s="516"/>
      <c r="E109" s="515">
        <v>10</v>
      </c>
      <c r="F109" s="517" t="s">
        <v>37</v>
      </c>
      <c r="G109" s="523" t="s">
        <v>391</v>
      </c>
      <c r="H109" s="514"/>
      <c r="I109" s="514"/>
      <c r="J109" s="517"/>
      <c r="K109" s="514"/>
    </row>
    <row r="110" spans="1:13" s="499" customFormat="1">
      <c r="A110" s="513"/>
      <c r="B110" s="523"/>
      <c r="C110" s="515">
        <v>6</v>
      </c>
      <c r="D110" s="516"/>
      <c r="E110" s="515">
        <v>6</v>
      </c>
      <c r="F110" s="517" t="s">
        <v>37</v>
      </c>
      <c r="G110" s="523" t="s">
        <v>389</v>
      </c>
      <c r="H110" s="514"/>
      <c r="I110" s="514"/>
      <c r="J110" s="517"/>
      <c r="K110" s="514"/>
    </row>
    <row r="111" spans="1:13" ht="26.4">
      <c r="A111" s="506">
        <v>25</v>
      </c>
      <c r="B111" s="522" t="s">
        <v>418</v>
      </c>
      <c r="C111" s="508">
        <v>0.13</v>
      </c>
      <c r="D111" s="509"/>
      <c r="E111" s="508">
        <v>0.13</v>
      </c>
      <c r="F111" s="510" t="s">
        <v>37</v>
      </c>
      <c r="G111" s="522" t="s">
        <v>393</v>
      </c>
      <c r="H111" s="507"/>
      <c r="I111" s="507"/>
      <c r="J111" s="510">
        <v>2021</v>
      </c>
      <c r="K111" s="507"/>
    </row>
    <row r="112" spans="1:13" s="492" customFormat="1">
      <c r="A112" s="511" t="s">
        <v>345</v>
      </c>
      <c r="B112" s="501" t="s">
        <v>89</v>
      </c>
      <c r="C112" s="502">
        <v>360.06509999999997</v>
      </c>
      <c r="D112" s="502">
        <v>0</v>
      </c>
      <c r="E112" s="502">
        <v>360.06509999999997</v>
      </c>
      <c r="F112" s="503"/>
      <c r="G112" s="501"/>
      <c r="H112" s="512"/>
      <c r="I112" s="512"/>
      <c r="J112" s="503"/>
      <c r="K112" s="512"/>
      <c r="L112" s="492">
        <v>325.06510000000003</v>
      </c>
      <c r="M112" s="525">
        <v>34.999999999999943</v>
      </c>
    </row>
    <row r="113" spans="1:11">
      <c r="A113" s="506">
        <v>1</v>
      </c>
      <c r="B113" s="522" t="s">
        <v>429</v>
      </c>
      <c r="C113" s="508">
        <v>0.1</v>
      </c>
      <c r="D113" s="509"/>
      <c r="E113" s="508">
        <v>0.1</v>
      </c>
      <c r="F113" s="510" t="s">
        <v>37</v>
      </c>
      <c r="G113" s="522" t="s">
        <v>393</v>
      </c>
      <c r="H113" s="507"/>
      <c r="I113" s="507"/>
      <c r="J113" s="510">
        <v>2030</v>
      </c>
      <c r="K113" s="507"/>
    </row>
    <row r="114" spans="1:11">
      <c r="A114" s="506">
        <v>2</v>
      </c>
      <c r="B114" s="522" t="s">
        <v>430</v>
      </c>
      <c r="C114" s="508">
        <v>1</v>
      </c>
      <c r="D114" s="509"/>
      <c r="E114" s="508">
        <v>1</v>
      </c>
      <c r="F114" s="510" t="s">
        <v>37</v>
      </c>
      <c r="G114" s="522" t="s">
        <v>390</v>
      </c>
      <c r="H114" s="507"/>
      <c r="I114" s="507"/>
      <c r="J114" s="510">
        <v>2030</v>
      </c>
      <c r="K114" s="507"/>
    </row>
    <row r="115" spans="1:11">
      <c r="A115" s="506">
        <v>3</v>
      </c>
      <c r="B115" s="522" t="s">
        <v>431</v>
      </c>
      <c r="C115" s="508">
        <v>1</v>
      </c>
      <c r="D115" s="509"/>
      <c r="E115" s="508">
        <v>1</v>
      </c>
      <c r="F115" s="510" t="s">
        <v>37</v>
      </c>
      <c r="G115" s="522" t="s">
        <v>390</v>
      </c>
      <c r="H115" s="507"/>
      <c r="I115" s="507"/>
      <c r="J115" s="510">
        <v>2030</v>
      </c>
      <c r="K115" s="507"/>
    </row>
    <row r="116" spans="1:11">
      <c r="A116" s="506">
        <v>4</v>
      </c>
      <c r="B116" s="522" t="s">
        <v>432</v>
      </c>
      <c r="C116" s="508">
        <v>3</v>
      </c>
      <c r="D116" s="509"/>
      <c r="E116" s="508">
        <v>3</v>
      </c>
      <c r="F116" s="510" t="s">
        <v>37</v>
      </c>
      <c r="G116" s="522" t="s">
        <v>390</v>
      </c>
      <c r="H116" s="507"/>
      <c r="I116" s="507"/>
      <c r="J116" s="510">
        <v>2030</v>
      </c>
      <c r="K116" s="507"/>
    </row>
    <row r="117" spans="1:11" ht="26.4">
      <c r="A117" s="506">
        <v>5</v>
      </c>
      <c r="B117" s="522" t="s">
        <v>419</v>
      </c>
      <c r="C117" s="508">
        <v>5</v>
      </c>
      <c r="D117" s="509"/>
      <c r="E117" s="508">
        <v>5</v>
      </c>
      <c r="F117" s="510" t="s">
        <v>37</v>
      </c>
      <c r="G117" s="522" t="s">
        <v>370</v>
      </c>
      <c r="H117" s="507"/>
      <c r="I117" s="507" t="s">
        <v>602</v>
      </c>
      <c r="J117" s="510">
        <v>2021</v>
      </c>
      <c r="K117" s="507"/>
    </row>
    <row r="118" spans="1:11" ht="26.4">
      <c r="A118" s="506">
        <v>6</v>
      </c>
      <c r="B118" s="522" t="s">
        <v>420</v>
      </c>
      <c r="C118" s="508">
        <v>2.0499999999999998</v>
      </c>
      <c r="D118" s="509"/>
      <c r="E118" s="508">
        <v>2.0499999999999998</v>
      </c>
      <c r="F118" s="510" t="s">
        <v>37</v>
      </c>
      <c r="G118" s="522" t="s">
        <v>370</v>
      </c>
      <c r="H118" s="507"/>
      <c r="I118" s="507" t="s">
        <v>601</v>
      </c>
      <c r="J118" s="510">
        <v>2021</v>
      </c>
      <c r="K118" s="507"/>
    </row>
    <row r="119" spans="1:11" ht="26.4">
      <c r="A119" s="506">
        <v>7</v>
      </c>
      <c r="B119" s="522" t="s">
        <v>421</v>
      </c>
      <c r="C119" s="508">
        <v>3</v>
      </c>
      <c r="D119" s="509"/>
      <c r="E119" s="508">
        <v>3</v>
      </c>
      <c r="F119" s="510" t="s">
        <v>37</v>
      </c>
      <c r="G119" s="522" t="s">
        <v>370</v>
      </c>
      <c r="H119" s="507"/>
      <c r="I119" s="507" t="s">
        <v>1133</v>
      </c>
      <c r="J119" s="510"/>
      <c r="K119" s="507"/>
    </row>
    <row r="120" spans="1:11">
      <c r="A120" s="506">
        <v>8</v>
      </c>
      <c r="B120" s="522" t="s">
        <v>422</v>
      </c>
      <c r="C120" s="508">
        <v>0.17760000000000001</v>
      </c>
      <c r="D120" s="509"/>
      <c r="E120" s="508">
        <v>0.17760000000000001</v>
      </c>
      <c r="F120" s="510" t="s">
        <v>37</v>
      </c>
      <c r="G120" s="522" t="s">
        <v>379</v>
      </c>
      <c r="H120" s="507"/>
      <c r="I120" s="507"/>
      <c r="J120" s="510"/>
      <c r="K120" s="507"/>
    </row>
    <row r="121" spans="1:11">
      <c r="A121" s="506">
        <v>9</v>
      </c>
      <c r="B121" s="522" t="s">
        <v>423</v>
      </c>
      <c r="C121" s="508">
        <v>0.2</v>
      </c>
      <c r="D121" s="509"/>
      <c r="E121" s="508">
        <v>0.2</v>
      </c>
      <c r="F121" s="510" t="s">
        <v>37</v>
      </c>
      <c r="G121" s="522" t="s">
        <v>408</v>
      </c>
      <c r="H121" s="507"/>
      <c r="I121" s="507"/>
      <c r="J121" s="510"/>
      <c r="K121" s="507"/>
    </row>
    <row r="122" spans="1:11">
      <c r="A122" s="506">
        <v>10</v>
      </c>
      <c r="B122" s="522" t="s">
        <v>424</v>
      </c>
      <c r="C122" s="508">
        <v>0.5</v>
      </c>
      <c r="D122" s="509"/>
      <c r="E122" s="508">
        <v>0.5</v>
      </c>
      <c r="F122" s="510" t="s">
        <v>37</v>
      </c>
      <c r="G122" s="522" t="s">
        <v>408</v>
      </c>
      <c r="H122" s="507"/>
      <c r="I122" s="507"/>
      <c r="J122" s="510"/>
      <c r="K122" s="507"/>
    </row>
    <row r="123" spans="1:11">
      <c r="A123" s="506">
        <v>11</v>
      </c>
      <c r="B123" s="522" t="s">
        <v>425</v>
      </c>
      <c r="C123" s="508">
        <v>1.5</v>
      </c>
      <c r="D123" s="509"/>
      <c r="E123" s="508">
        <v>1.5</v>
      </c>
      <c r="F123" s="510" t="s">
        <v>37</v>
      </c>
      <c r="G123" s="522" t="s">
        <v>408</v>
      </c>
      <c r="H123" s="507"/>
      <c r="I123" s="507"/>
      <c r="J123" s="510"/>
      <c r="K123" s="507"/>
    </row>
    <row r="124" spans="1:11">
      <c r="A124" s="506">
        <v>12</v>
      </c>
      <c r="B124" s="522" t="s">
        <v>426</v>
      </c>
      <c r="C124" s="508">
        <v>1</v>
      </c>
      <c r="D124" s="509"/>
      <c r="E124" s="508">
        <v>1</v>
      </c>
      <c r="F124" s="510" t="s">
        <v>37</v>
      </c>
      <c r="G124" s="522" t="s">
        <v>408</v>
      </c>
      <c r="H124" s="507"/>
      <c r="I124" s="507"/>
      <c r="J124" s="510"/>
      <c r="K124" s="507"/>
    </row>
    <row r="125" spans="1:11" ht="39.6">
      <c r="A125" s="506">
        <v>13</v>
      </c>
      <c r="B125" s="522" t="s">
        <v>427</v>
      </c>
      <c r="C125" s="508">
        <v>0.86</v>
      </c>
      <c r="D125" s="509"/>
      <c r="E125" s="508">
        <v>0.86</v>
      </c>
      <c r="F125" s="510" t="s">
        <v>37</v>
      </c>
      <c r="G125" s="522" t="s">
        <v>380</v>
      </c>
      <c r="H125" s="507"/>
      <c r="I125" s="507" t="s">
        <v>603</v>
      </c>
      <c r="J125" s="510">
        <v>2021</v>
      </c>
      <c r="K125" s="507"/>
    </row>
    <row r="126" spans="1:11">
      <c r="A126" s="506">
        <v>14</v>
      </c>
      <c r="B126" s="522" t="s">
        <v>428</v>
      </c>
      <c r="C126" s="508">
        <v>0.5</v>
      </c>
      <c r="D126" s="509"/>
      <c r="E126" s="508">
        <v>0.5</v>
      </c>
      <c r="F126" s="510" t="s">
        <v>37</v>
      </c>
      <c r="G126" s="522" t="s">
        <v>380</v>
      </c>
      <c r="H126" s="507"/>
      <c r="I126" s="507"/>
      <c r="J126" s="510"/>
      <c r="K126" s="507"/>
    </row>
    <row r="127" spans="1:11" ht="39.6">
      <c r="A127" s="506">
        <v>15</v>
      </c>
      <c r="B127" s="522" t="s">
        <v>753</v>
      </c>
      <c r="C127" s="508">
        <v>10</v>
      </c>
      <c r="D127" s="509"/>
      <c r="E127" s="508">
        <v>10</v>
      </c>
      <c r="F127" s="510" t="s">
        <v>37</v>
      </c>
      <c r="G127" s="522" t="s">
        <v>380</v>
      </c>
      <c r="H127" s="507"/>
      <c r="I127" s="507" t="s">
        <v>1134</v>
      </c>
      <c r="J127" s="510">
        <v>2025</v>
      </c>
      <c r="K127" s="507"/>
    </row>
    <row r="128" spans="1:11" ht="26.4">
      <c r="A128" s="506">
        <v>16</v>
      </c>
      <c r="B128" s="522" t="s">
        <v>1135</v>
      </c>
      <c r="C128" s="508">
        <v>1.6</v>
      </c>
      <c r="D128" s="509"/>
      <c r="E128" s="508">
        <v>1.6</v>
      </c>
      <c r="F128" s="510" t="s">
        <v>37</v>
      </c>
      <c r="G128" s="522" t="s">
        <v>389</v>
      </c>
      <c r="H128" s="507"/>
      <c r="I128" s="507" t="s">
        <v>1136</v>
      </c>
      <c r="J128" s="510">
        <v>2021</v>
      </c>
      <c r="K128" s="507"/>
    </row>
    <row r="129" spans="1:11" ht="26.4">
      <c r="A129" s="506">
        <v>17</v>
      </c>
      <c r="B129" s="522" t="s">
        <v>752</v>
      </c>
      <c r="C129" s="508">
        <v>7.1775000000000002</v>
      </c>
      <c r="D129" s="509"/>
      <c r="E129" s="508">
        <v>7.1775000000000002</v>
      </c>
      <c r="F129" s="510"/>
      <c r="G129" s="522"/>
      <c r="H129" s="507"/>
      <c r="I129" s="507"/>
      <c r="J129" s="510"/>
      <c r="K129" s="507"/>
    </row>
    <row r="130" spans="1:11" s="499" customFormat="1">
      <c r="A130" s="513"/>
      <c r="B130" s="523"/>
      <c r="C130" s="515">
        <v>5</v>
      </c>
      <c r="D130" s="516"/>
      <c r="E130" s="515">
        <v>5</v>
      </c>
      <c r="F130" s="510" t="s">
        <v>37</v>
      </c>
      <c r="G130" s="523" t="s">
        <v>379</v>
      </c>
      <c r="H130" s="514"/>
      <c r="I130" s="514"/>
      <c r="J130" s="517"/>
      <c r="K130" s="514"/>
    </row>
    <row r="131" spans="1:11" s="499" customFormat="1">
      <c r="A131" s="513"/>
      <c r="B131" s="523"/>
      <c r="C131" s="515">
        <v>2.1775000000000002</v>
      </c>
      <c r="D131" s="516"/>
      <c r="E131" s="515">
        <v>2.1775000000000002</v>
      </c>
      <c r="F131" s="510" t="s">
        <v>37</v>
      </c>
      <c r="G131" s="523" t="s">
        <v>380</v>
      </c>
      <c r="H131" s="514"/>
      <c r="I131" s="514"/>
      <c r="J131" s="517"/>
      <c r="K131" s="514"/>
    </row>
    <row r="132" spans="1:11" ht="26.4">
      <c r="A132" s="506">
        <v>17</v>
      </c>
      <c r="B132" s="522" t="s">
        <v>751</v>
      </c>
      <c r="C132" s="508">
        <v>2</v>
      </c>
      <c r="D132" s="509"/>
      <c r="E132" s="508">
        <v>2</v>
      </c>
      <c r="F132" s="510" t="s">
        <v>37</v>
      </c>
      <c r="G132" s="522" t="s">
        <v>369</v>
      </c>
      <c r="H132" s="507"/>
      <c r="I132" s="507"/>
      <c r="J132" s="510"/>
      <c r="K132" s="507"/>
    </row>
    <row r="133" spans="1:11" ht="26.4">
      <c r="A133" s="506">
        <v>18</v>
      </c>
      <c r="B133" s="522" t="s">
        <v>750</v>
      </c>
      <c r="C133" s="508">
        <v>308</v>
      </c>
      <c r="D133" s="509"/>
      <c r="E133" s="508">
        <v>308</v>
      </c>
      <c r="F133" s="510"/>
      <c r="G133" s="522"/>
      <c r="H133" s="507"/>
      <c r="I133" s="507"/>
      <c r="J133" s="510"/>
      <c r="K133" s="507"/>
    </row>
    <row r="134" spans="1:11" s="499" customFormat="1">
      <c r="A134" s="513"/>
      <c r="B134" s="523"/>
      <c r="C134" s="515">
        <v>20</v>
      </c>
      <c r="D134" s="516"/>
      <c r="E134" s="515">
        <v>20</v>
      </c>
      <c r="F134" s="517" t="s">
        <v>37</v>
      </c>
      <c r="G134" s="523" t="s">
        <v>393</v>
      </c>
      <c r="H134" s="514"/>
      <c r="I134" s="514"/>
      <c r="J134" s="517"/>
      <c r="K134" s="514"/>
    </row>
    <row r="135" spans="1:11" s="499" customFormat="1">
      <c r="A135" s="513"/>
      <c r="B135" s="523"/>
      <c r="C135" s="515">
        <v>18</v>
      </c>
      <c r="D135" s="516"/>
      <c r="E135" s="515">
        <v>18</v>
      </c>
      <c r="F135" s="517" t="s">
        <v>37</v>
      </c>
      <c r="G135" s="523" t="s">
        <v>369</v>
      </c>
      <c r="H135" s="514"/>
      <c r="I135" s="514"/>
      <c r="J135" s="517"/>
      <c r="K135" s="514"/>
    </row>
    <row r="136" spans="1:11" s="499" customFormat="1">
      <c r="A136" s="513"/>
      <c r="B136" s="523"/>
      <c r="C136" s="515">
        <v>40</v>
      </c>
      <c r="D136" s="516"/>
      <c r="E136" s="515">
        <v>40</v>
      </c>
      <c r="F136" s="517" t="s">
        <v>37</v>
      </c>
      <c r="G136" s="523" t="s">
        <v>390</v>
      </c>
      <c r="H136" s="514"/>
      <c r="I136" s="514"/>
      <c r="J136" s="517"/>
      <c r="K136" s="514"/>
    </row>
    <row r="137" spans="1:11" s="499" customFormat="1">
      <c r="A137" s="513"/>
      <c r="B137" s="523"/>
      <c r="C137" s="515">
        <v>35</v>
      </c>
      <c r="D137" s="516"/>
      <c r="E137" s="515">
        <v>35</v>
      </c>
      <c r="F137" s="517" t="s">
        <v>37</v>
      </c>
      <c r="G137" s="523" t="s">
        <v>365</v>
      </c>
      <c r="H137" s="514"/>
      <c r="I137" s="514"/>
      <c r="J137" s="517"/>
      <c r="K137" s="514"/>
    </row>
    <row r="138" spans="1:11" s="499" customFormat="1">
      <c r="A138" s="513"/>
      <c r="B138" s="523"/>
      <c r="C138" s="515">
        <v>15</v>
      </c>
      <c r="D138" s="516"/>
      <c r="E138" s="515">
        <v>15</v>
      </c>
      <c r="F138" s="517" t="s">
        <v>37</v>
      </c>
      <c r="G138" s="523" t="s">
        <v>367</v>
      </c>
      <c r="H138" s="514"/>
      <c r="I138" s="514"/>
      <c r="J138" s="517"/>
      <c r="K138" s="514"/>
    </row>
    <row r="139" spans="1:11" s="499" customFormat="1">
      <c r="A139" s="513"/>
      <c r="B139" s="523"/>
      <c r="C139" s="515">
        <v>35</v>
      </c>
      <c r="D139" s="515"/>
      <c r="E139" s="515">
        <v>35</v>
      </c>
      <c r="F139" s="517" t="s">
        <v>37</v>
      </c>
      <c r="G139" s="523" t="s">
        <v>370</v>
      </c>
      <c r="H139" s="523"/>
      <c r="I139" s="514"/>
      <c r="J139" s="517"/>
      <c r="K139" s="514"/>
    </row>
    <row r="140" spans="1:11" s="499" customFormat="1">
      <c r="A140" s="524"/>
      <c r="B140" s="523"/>
      <c r="C140" s="515">
        <v>50</v>
      </c>
      <c r="D140" s="515"/>
      <c r="E140" s="515">
        <v>50</v>
      </c>
      <c r="F140" s="517" t="s">
        <v>37</v>
      </c>
      <c r="G140" s="523" t="s">
        <v>372</v>
      </c>
      <c r="H140" s="523"/>
      <c r="I140" s="514"/>
      <c r="J140" s="517"/>
      <c r="K140" s="514"/>
    </row>
    <row r="141" spans="1:11" s="499" customFormat="1">
      <c r="A141" s="524"/>
      <c r="B141" s="514"/>
      <c r="C141" s="516">
        <v>5</v>
      </c>
      <c r="D141" s="516"/>
      <c r="E141" s="515">
        <v>5</v>
      </c>
      <c r="F141" s="517" t="s">
        <v>37</v>
      </c>
      <c r="G141" s="514" t="s">
        <v>379</v>
      </c>
      <c r="H141" s="514"/>
      <c r="I141" s="514"/>
      <c r="J141" s="517"/>
      <c r="K141" s="514"/>
    </row>
    <row r="142" spans="1:11" s="499" customFormat="1">
      <c r="A142" s="524"/>
      <c r="B142" s="514"/>
      <c r="C142" s="516">
        <v>45</v>
      </c>
      <c r="D142" s="516"/>
      <c r="E142" s="515">
        <v>45</v>
      </c>
      <c r="F142" s="517" t="s">
        <v>37</v>
      </c>
      <c r="G142" s="514" t="s">
        <v>408</v>
      </c>
      <c r="H142" s="514"/>
      <c r="I142" s="514"/>
      <c r="J142" s="517"/>
      <c r="K142" s="514"/>
    </row>
    <row r="143" spans="1:11" s="499" customFormat="1">
      <c r="A143" s="524"/>
      <c r="B143" s="514"/>
      <c r="C143" s="516">
        <v>5</v>
      </c>
      <c r="D143" s="516"/>
      <c r="E143" s="515">
        <v>5</v>
      </c>
      <c r="F143" s="517" t="s">
        <v>37</v>
      </c>
      <c r="G143" s="514" t="s">
        <v>380</v>
      </c>
      <c r="H143" s="514"/>
      <c r="I143" s="514"/>
      <c r="J143" s="517"/>
      <c r="K143" s="514"/>
    </row>
    <row r="144" spans="1:11" s="499" customFormat="1">
      <c r="A144" s="524"/>
      <c r="B144" s="514"/>
      <c r="C144" s="516">
        <v>15</v>
      </c>
      <c r="D144" s="516"/>
      <c r="E144" s="515">
        <v>15</v>
      </c>
      <c r="F144" s="517" t="s">
        <v>37</v>
      </c>
      <c r="G144" s="514" t="s">
        <v>417</v>
      </c>
      <c r="H144" s="514"/>
      <c r="I144" s="514"/>
      <c r="J144" s="517"/>
      <c r="K144" s="514"/>
    </row>
    <row r="145" spans="1:11" s="499" customFormat="1">
      <c r="A145" s="524"/>
      <c r="B145" s="514"/>
      <c r="C145" s="516">
        <v>15</v>
      </c>
      <c r="D145" s="516"/>
      <c r="E145" s="515">
        <v>15</v>
      </c>
      <c r="F145" s="517" t="s">
        <v>37</v>
      </c>
      <c r="G145" s="514" t="s">
        <v>391</v>
      </c>
      <c r="H145" s="514"/>
      <c r="I145" s="514"/>
      <c r="J145" s="517"/>
      <c r="K145" s="514"/>
    </row>
    <row r="146" spans="1:11" s="499" customFormat="1">
      <c r="A146" s="524"/>
      <c r="B146" s="514"/>
      <c r="C146" s="516">
        <v>10</v>
      </c>
      <c r="D146" s="516"/>
      <c r="E146" s="515">
        <v>10</v>
      </c>
      <c r="F146" s="517" t="s">
        <v>37</v>
      </c>
      <c r="G146" s="514" t="s">
        <v>389</v>
      </c>
      <c r="H146" s="514"/>
      <c r="I146" s="514"/>
      <c r="J146" s="517"/>
      <c r="K146" s="514"/>
    </row>
    <row r="147" spans="1:11" ht="39.6">
      <c r="A147" s="521">
        <v>19</v>
      </c>
      <c r="B147" s="522" t="s">
        <v>433</v>
      </c>
      <c r="C147" s="509">
        <v>11.399999999999999</v>
      </c>
      <c r="D147" s="509"/>
      <c r="E147" s="508">
        <v>11.399999999999999</v>
      </c>
      <c r="F147" s="510"/>
      <c r="G147" s="507"/>
      <c r="H147" s="507"/>
      <c r="I147" s="507" t="s">
        <v>1137</v>
      </c>
      <c r="J147" s="510">
        <v>2021</v>
      </c>
      <c r="K147" s="507"/>
    </row>
    <row r="148" spans="1:11" s="499" customFormat="1">
      <c r="A148" s="524"/>
      <c r="B148" s="514"/>
      <c r="C148" s="516">
        <v>4.12</v>
      </c>
      <c r="D148" s="516"/>
      <c r="E148" s="515">
        <v>4.12</v>
      </c>
      <c r="F148" s="517" t="s">
        <v>37</v>
      </c>
      <c r="G148" s="523" t="s">
        <v>393</v>
      </c>
      <c r="H148" s="514"/>
      <c r="I148" s="514"/>
      <c r="J148" s="517"/>
      <c r="K148" s="514"/>
    </row>
    <row r="149" spans="1:11" s="499" customFormat="1">
      <c r="A149" s="524"/>
      <c r="B149" s="514"/>
      <c r="C149" s="516">
        <v>1.95</v>
      </c>
      <c r="D149" s="516"/>
      <c r="E149" s="515">
        <v>1.95</v>
      </c>
      <c r="F149" s="517" t="s">
        <v>37</v>
      </c>
      <c r="G149" s="523" t="s">
        <v>369</v>
      </c>
      <c r="H149" s="514"/>
      <c r="I149" s="514"/>
      <c r="J149" s="517"/>
      <c r="K149" s="514"/>
    </row>
    <row r="150" spans="1:11" s="499" customFormat="1">
      <c r="A150" s="524"/>
      <c r="B150" s="514"/>
      <c r="C150" s="516">
        <v>0.22</v>
      </c>
      <c r="D150" s="516"/>
      <c r="E150" s="515">
        <v>0.22</v>
      </c>
      <c r="F150" s="517" t="s">
        <v>37</v>
      </c>
      <c r="G150" s="514" t="s">
        <v>380</v>
      </c>
      <c r="H150" s="514"/>
      <c r="I150" s="514"/>
      <c r="J150" s="517"/>
      <c r="K150" s="514"/>
    </row>
    <row r="151" spans="1:11" s="499" customFormat="1">
      <c r="A151" s="524"/>
      <c r="B151" s="514"/>
      <c r="C151" s="516">
        <v>3</v>
      </c>
      <c r="D151" s="516"/>
      <c r="E151" s="515">
        <v>3</v>
      </c>
      <c r="F151" s="517" t="s">
        <v>37</v>
      </c>
      <c r="G151" s="514" t="s">
        <v>391</v>
      </c>
      <c r="H151" s="514"/>
      <c r="I151" s="514"/>
      <c r="J151" s="517"/>
      <c r="K151" s="514"/>
    </row>
    <row r="152" spans="1:11" s="499" customFormat="1">
      <c r="A152" s="524"/>
      <c r="B152" s="514"/>
      <c r="C152" s="516">
        <v>2.11</v>
      </c>
      <c r="D152" s="516"/>
      <c r="E152" s="515">
        <v>2.11</v>
      </c>
      <c r="F152" s="517" t="s">
        <v>37</v>
      </c>
      <c r="G152" s="514" t="s">
        <v>389</v>
      </c>
      <c r="H152" s="514"/>
      <c r="I152" s="514"/>
      <c r="J152" s="517"/>
      <c r="K152" s="514"/>
    </row>
    <row r="153" spans="1:11" s="492" customFormat="1" ht="26.4">
      <c r="A153" s="511" t="s">
        <v>345</v>
      </c>
      <c r="B153" s="501" t="s">
        <v>343</v>
      </c>
      <c r="C153" s="502">
        <v>1183.1600000000001</v>
      </c>
      <c r="D153" s="502">
        <v>145.46</v>
      </c>
      <c r="E153" s="502">
        <v>1037.7</v>
      </c>
      <c r="F153" s="503"/>
      <c r="G153" s="501"/>
      <c r="H153" s="512"/>
      <c r="I153" s="512"/>
      <c r="J153" s="503"/>
      <c r="K153" s="512"/>
    </row>
    <row r="154" spans="1:11" ht="52.8">
      <c r="A154" s="506">
        <v>1</v>
      </c>
      <c r="B154" s="522" t="s">
        <v>434</v>
      </c>
      <c r="C154" s="508">
        <v>198.06</v>
      </c>
      <c r="D154" s="508">
        <v>52.760000000000005</v>
      </c>
      <c r="E154" s="508">
        <v>145.30000000000001</v>
      </c>
      <c r="F154" s="510"/>
      <c r="G154" s="522"/>
      <c r="H154" s="507"/>
      <c r="I154" s="507" t="s">
        <v>1076</v>
      </c>
      <c r="J154" s="510">
        <v>2021</v>
      </c>
      <c r="K154" s="507"/>
    </row>
    <row r="155" spans="1:11" s="499" customFormat="1">
      <c r="A155" s="513"/>
      <c r="B155" s="523"/>
      <c r="C155" s="515">
        <v>171.86</v>
      </c>
      <c r="D155" s="516">
        <v>45.92</v>
      </c>
      <c r="E155" s="515">
        <v>125.94000000000001</v>
      </c>
      <c r="F155" s="517" t="s">
        <v>37</v>
      </c>
      <c r="G155" s="523" t="s">
        <v>367</v>
      </c>
      <c r="H155" s="514"/>
      <c r="I155" s="514"/>
      <c r="J155" s="517"/>
      <c r="K155" s="514"/>
    </row>
    <row r="156" spans="1:11" s="499" customFormat="1">
      <c r="A156" s="513"/>
      <c r="B156" s="523"/>
      <c r="C156" s="515">
        <v>26.2</v>
      </c>
      <c r="D156" s="526">
        <v>6.84</v>
      </c>
      <c r="E156" s="515">
        <v>19.36</v>
      </c>
      <c r="F156" s="517" t="s">
        <v>37</v>
      </c>
      <c r="G156" s="523" t="s">
        <v>372</v>
      </c>
      <c r="H156" s="516"/>
      <c r="I156" s="514"/>
      <c r="J156" s="517"/>
      <c r="K156" s="514"/>
    </row>
    <row r="157" spans="1:11" ht="79.2">
      <c r="A157" s="506">
        <v>2</v>
      </c>
      <c r="B157" s="522" t="s">
        <v>755</v>
      </c>
      <c r="C157" s="508">
        <v>440.6</v>
      </c>
      <c r="D157" s="508">
        <v>0</v>
      </c>
      <c r="E157" s="508">
        <v>440.6</v>
      </c>
      <c r="F157" s="510"/>
      <c r="G157" s="522"/>
      <c r="H157" s="507"/>
      <c r="I157" s="507" t="s">
        <v>1141</v>
      </c>
      <c r="J157" s="510">
        <v>2025</v>
      </c>
      <c r="K157" s="507"/>
    </row>
    <row r="158" spans="1:11" s="499" customFormat="1">
      <c r="A158" s="513" t="s">
        <v>345</v>
      </c>
      <c r="B158" s="523" t="s">
        <v>758</v>
      </c>
      <c r="C158" s="515">
        <v>70.2</v>
      </c>
      <c r="D158" s="527"/>
      <c r="E158" s="515">
        <v>70.2</v>
      </c>
      <c r="F158" s="517" t="s">
        <v>37</v>
      </c>
      <c r="G158" s="523" t="s">
        <v>372</v>
      </c>
      <c r="H158" s="514"/>
      <c r="I158" s="514"/>
      <c r="J158" s="517"/>
      <c r="K158" s="514"/>
    </row>
    <row r="159" spans="1:11" s="499" customFormat="1">
      <c r="A159" s="513" t="s">
        <v>345</v>
      </c>
      <c r="B159" s="523" t="s">
        <v>756</v>
      </c>
      <c r="C159" s="515">
        <v>200</v>
      </c>
      <c r="D159" s="516"/>
      <c r="E159" s="515">
        <v>200</v>
      </c>
      <c r="F159" s="517" t="s">
        <v>37</v>
      </c>
      <c r="G159" s="523" t="s">
        <v>367</v>
      </c>
      <c r="H159" s="514"/>
      <c r="I159" s="514"/>
      <c r="J159" s="517"/>
      <c r="K159" s="514"/>
    </row>
    <row r="160" spans="1:11" s="499" customFormat="1">
      <c r="A160" s="513" t="s">
        <v>345</v>
      </c>
      <c r="B160" s="523" t="s">
        <v>757</v>
      </c>
      <c r="C160" s="515">
        <v>66.400000000000006</v>
      </c>
      <c r="D160" s="516"/>
      <c r="E160" s="515">
        <v>66.400000000000006</v>
      </c>
      <c r="F160" s="517" t="s">
        <v>37</v>
      </c>
      <c r="G160" s="523" t="s">
        <v>367</v>
      </c>
      <c r="H160" s="514"/>
      <c r="I160" s="514"/>
      <c r="J160" s="517"/>
      <c r="K160" s="514"/>
    </row>
    <row r="161" spans="1:11" s="499" customFormat="1">
      <c r="A161" s="513" t="s">
        <v>345</v>
      </c>
      <c r="B161" s="523" t="s">
        <v>759</v>
      </c>
      <c r="C161" s="515">
        <v>2</v>
      </c>
      <c r="D161" s="516"/>
      <c r="E161" s="515">
        <v>2</v>
      </c>
      <c r="F161" s="517" t="s">
        <v>37</v>
      </c>
      <c r="G161" s="523" t="s">
        <v>372</v>
      </c>
      <c r="H161" s="514"/>
      <c r="I161" s="514"/>
      <c r="J161" s="517"/>
      <c r="K161" s="514"/>
    </row>
    <row r="162" spans="1:11" s="499" customFormat="1">
      <c r="A162" s="513" t="s">
        <v>345</v>
      </c>
      <c r="B162" s="523" t="s">
        <v>760</v>
      </c>
      <c r="C162" s="515">
        <v>102</v>
      </c>
      <c r="D162" s="516"/>
      <c r="E162" s="515">
        <v>102</v>
      </c>
      <c r="F162" s="517" t="s">
        <v>37</v>
      </c>
      <c r="G162" s="523" t="s">
        <v>372</v>
      </c>
      <c r="H162" s="514"/>
      <c r="I162" s="514"/>
      <c r="J162" s="517"/>
      <c r="K162" s="514"/>
    </row>
    <row r="163" spans="1:11" ht="37.950000000000003" customHeight="1">
      <c r="A163" s="506">
        <v>3</v>
      </c>
      <c r="B163" s="522" t="s">
        <v>754</v>
      </c>
      <c r="C163" s="508">
        <v>13</v>
      </c>
      <c r="D163" s="508">
        <v>0</v>
      </c>
      <c r="E163" s="508">
        <v>13</v>
      </c>
      <c r="F163" s="510"/>
      <c r="G163" s="522"/>
      <c r="H163" s="507"/>
      <c r="I163" s="507"/>
      <c r="J163" s="510">
        <v>2025</v>
      </c>
      <c r="K163" s="507"/>
    </row>
    <row r="164" spans="1:11" s="499" customFormat="1">
      <c r="A164" s="513"/>
      <c r="B164" s="523"/>
      <c r="C164" s="515">
        <v>11</v>
      </c>
      <c r="D164" s="516"/>
      <c r="E164" s="515">
        <v>11</v>
      </c>
      <c r="F164" s="517" t="s">
        <v>37</v>
      </c>
      <c r="G164" s="523" t="s">
        <v>367</v>
      </c>
      <c r="H164" s="514"/>
      <c r="I164" s="514"/>
      <c r="J164" s="517"/>
      <c r="K164" s="514"/>
    </row>
    <row r="165" spans="1:11" s="499" customFormat="1">
      <c r="A165" s="506"/>
      <c r="B165" s="523"/>
      <c r="C165" s="515">
        <v>2</v>
      </c>
      <c r="D165" s="516"/>
      <c r="E165" s="515">
        <v>2</v>
      </c>
      <c r="F165" s="517" t="s">
        <v>37</v>
      </c>
      <c r="G165" s="523" t="s">
        <v>372</v>
      </c>
      <c r="H165" s="514"/>
      <c r="I165" s="514"/>
      <c r="J165" s="517"/>
      <c r="K165" s="514"/>
    </row>
    <row r="166" spans="1:11">
      <c r="A166" s="506">
        <v>4</v>
      </c>
      <c r="B166" s="522" t="s">
        <v>761</v>
      </c>
      <c r="C166" s="508">
        <v>531.5</v>
      </c>
      <c r="D166" s="508">
        <v>92.7</v>
      </c>
      <c r="E166" s="508">
        <v>438.79999999999995</v>
      </c>
      <c r="F166" s="510"/>
      <c r="G166" s="522"/>
      <c r="H166" s="507"/>
      <c r="I166" s="507"/>
      <c r="J166" s="510"/>
      <c r="K166" s="507"/>
    </row>
    <row r="167" spans="1:11" s="499" customFormat="1" ht="26.4">
      <c r="A167" s="513" t="s">
        <v>345</v>
      </c>
      <c r="B167" s="523" t="s">
        <v>762</v>
      </c>
      <c r="C167" s="515">
        <v>200</v>
      </c>
      <c r="D167" s="515">
        <v>47.7</v>
      </c>
      <c r="E167" s="515">
        <v>152.29999999999998</v>
      </c>
      <c r="F167" s="517"/>
      <c r="G167" s="523"/>
      <c r="H167" s="514"/>
      <c r="I167" s="514" t="s">
        <v>1077</v>
      </c>
      <c r="J167" s="517"/>
      <c r="K167" s="514"/>
    </row>
    <row r="168" spans="1:11" s="499" customFormat="1">
      <c r="A168" s="513"/>
      <c r="B168" s="523"/>
      <c r="C168" s="515">
        <v>11.1</v>
      </c>
      <c r="D168" s="516"/>
      <c r="E168" s="515">
        <v>11.1</v>
      </c>
      <c r="F168" s="517" t="s">
        <v>37</v>
      </c>
      <c r="G168" s="523" t="s">
        <v>367</v>
      </c>
      <c r="H168" s="514"/>
      <c r="I168" s="514"/>
      <c r="J168" s="517"/>
      <c r="K168" s="514"/>
    </row>
    <row r="169" spans="1:11" s="499" customFormat="1">
      <c r="A169" s="513"/>
      <c r="B169" s="523"/>
      <c r="C169" s="515">
        <v>188.9</v>
      </c>
      <c r="D169" s="516">
        <v>47.7</v>
      </c>
      <c r="E169" s="515">
        <v>141.19999999999999</v>
      </c>
      <c r="F169" s="517" t="s">
        <v>37</v>
      </c>
      <c r="G169" s="523" t="s">
        <v>372</v>
      </c>
      <c r="H169" s="514"/>
      <c r="I169" s="514"/>
      <c r="J169" s="517"/>
      <c r="K169" s="514"/>
    </row>
    <row r="170" spans="1:11" s="499" customFormat="1" ht="52.8">
      <c r="A170" s="513" t="s">
        <v>345</v>
      </c>
      <c r="B170" s="523" t="s">
        <v>763</v>
      </c>
      <c r="C170" s="515">
        <v>209</v>
      </c>
      <c r="D170" s="516">
        <v>45</v>
      </c>
      <c r="E170" s="515">
        <v>164</v>
      </c>
      <c r="F170" s="517" t="s">
        <v>37</v>
      </c>
      <c r="G170" s="523" t="s">
        <v>372</v>
      </c>
      <c r="H170" s="514"/>
      <c r="I170" s="528" t="s">
        <v>1140</v>
      </c>
      <c r="J170" s="517"/>
      <c r="K170" s="514"/>
    </row>
    <row r="171" spans="1:11" s="499" customFormat="1" ht="26.4">
      <c r="A171" s="513" t="s">
        <v>345</v>
      </c>
      <c r="B171" s="523" t="s">
        <v>764</v>
      </c>
      <c r="C171" s="515">
        <v>50</v>
      </c>
      <c r="D171" s="516"/>
      <c r="E171" s="515">
        <v>50</v>
      </c>
      <c r="F171" s="517" t="s">
        <v>37</v>
      </c>
      <c r="G171" s="523" t="s">
        <v>372</v>
      </c>
      <c r="H171" s="514"/>
      <c r="I171" s="514" t="s">
        <v>1077</v>
      </c>
      <c r="J171" s="517"/>
      <c r="K171" s="514"/>
    </row>
    <row r="172" spans="1:11" s="499" customFormat="1" ht="26.4">
      <c r="A172" s="513" t="s">
        <v>345</v>
      </c>
      <c r="B172" s="523" t="s">
        <v>765</v>
      </c>
      <c r="C172" s="515">
        <v>50</v>
      </c>
      <c r="D172" s="516"/>
      <c r="E172" s="515">
        <v>50</v>
      </c>
      <c r="F172" s="517" t="s">
        <v>37</v>
      </c>
      <c r="G172" s="523" t="s">
        <v>372</v>
      </c>
      <c r="H172" s="514"/>
      <c r="I172" s="514" t="s">
        <v>1138</v>
      </c>
      <c r="J172" s="517"/>
      <c r="K172" s="514"/>
    </row>
    <row r="173" spans="1:11" s="499" customFormat="1" ht="26.4">
      <c r="A173" s="513" t="s">
        <v>345</v>
      </c>
      <c r="B173" s="523" t="s">
        <v>766</v>
      </c>
      <c r="C173" s="515">
        <v>10</v>
      </c>
      <c r="D173" s="516"/>
      <c r="E173" s="515">
        <v>10</v>
      </c>
      <c r="F173" s="517" t="s">
        <v>37</v>
      </c>
      <c r="G173" s="523" t="s">
        <v>372</v>
      </c>
      <c r="H173" s="514"/>
      <c r="I173" s="514" t="s">
        <v>1139</v>
      </c>
      <c r="J173" s="517"/>
      <c r="K173" s="514"/>
    </row>
    <row r="174" spans="1:11" s="499" customFormat="1" ht="26.4">
      <c r="A174" s="513" t="s">
        <v>345</v>
      </c>
      <c r="B174" s="523" t="s">
        <v>759</v>
      </c>
      <c r="C174" s="515">
        <v>2</v>
      </c>
      <c r="D174" s="516"/>
      <c r="E174" s="515">
        <v>2</v>
      </c>
      <c r="F174" s="517" t="s">
        <v>37</v>
      </c>
      <c r="G174" s="523" t="s">
        <v>372</v>
      </c>
      <c r="H174" s="514"/>
      <c r="I174" s="514" t="s">
        <v>1138</v>
      </c>
      <c r="J174" s="517"/>
      <c r="K174" s="514"/>
    </row>
    <row r="175" spans="1:11" s="499" customFormat="1" ht="26.4">
      <c r="A175" s="513" t="s">
        <v>345</v>
      </c>
      <c r="B175" s="523" t="s">
        <v>767</v>
      </c>
      <c r="C175" s="515">
        <v>0.75</v>
      </c>
      <c r="D175" s="516"/>
      <c r="E175" s="515">
        <v>0.75</v>
      </c>
      <c r="F175" s="517" t="s">
        <v>37</v>
      </c>
      <c r="G175" s="523" t="s">
        <v>372</v>
      </c>
      <c r="H175" s="514"/>
      <c r="I175" s="514" t="s">
        <v>1138</v>
      </c>
      <c r="J175" s="517"/>
      <c r="K175" s="514"/>
    </row>
    <row r="176" spans="1:11" s="499" customFormat="1" ht="26.4">
      <c r="A176" s="513" t="s">
        <v>345</v>
      </c>
      <c r="B176" s="523" t="s">
        <v>768</v>
      </c>
      <c r="C176" s="515">
        <v>0.75</v>
      </c>
      <c r="D176" s="516"/>
      <c r="E176" s="515">
        <v>0.75</v>
      </c>
      <c r="F176" s="517" t="s">
        <v>37</v>
      </c>
      <c r="G176" s="523" t="s">
        <v>372</v>
      </c>
      <c r="H176" s="514"/>
      <c r="I176" s="514" t="s">
        <v>1138</v>
      </c>
      <c r="J176" s="517"/>
      <c r="K176" s="514"/>
    </row>
    <row r="177" spans="1:11" s="499" customFormat="1" ht="26.4">
      <c r="A177" s="513" t="s">
        <v>345</v>
      </c>
      <c r="B177" s="523" t="s">
        <v>1142</v>
      </c>
      <c r="C177" s="515">
        <v>9</v>
      </c>
      <c r="D177" s="516"/>
      <c r="E177" s="515">
        <v>9</v>
      </c>
      <c r="F177" s="517" t="s">
        <v>37</v>
      </c>
      <c r="G177" s="523" t="s">
        <v>372</v>
      </c>
      <c r="H177" s="514"/>
      <c r="I177" s="514" t="s">
        <v>1139</v>
      </c>
      <c r="J177" s="517"/>
      <c r="K177" s="514"/>
    </row>
    <row r="178" spans="1:11" s="492" customFormat="1" ht="26.4">
      <c r="A178" s="529" t="s">
        <v>345</v>
      </c>
      <c r="B178" s="501" t="s">
        <v>241</v>
      </c>
      <c r="C178" s="502">
        <v>591.77059999999994</v>
      </c>
      <c r="D178" s="502">
        <v>15</v>
      </c>
      <c r="E178" s="502">
        <v>599.52059999999994</v>
      </c>
      <c r="F178" s="503"/>
      <c r="G178" s="501"/>
      <c r="H178" s="512"/>
      <c r="I178" s="512"/>
      <c r="J178" s="503"/>
      <c r="K178" s="512"/>
    </row>
    <row r="179" spans="1:11" ht="39.6">
      <c r="A179" s="521">
        <v>1</v>
      </c>
      <c r="B179" s="522" t="s">
        <v>769</v>
      </c>
      <c r="C179" s="508">
        <v>15.709999999999999</v>
      </c>
      <c r="D179" s="508">
        <v>0</v>
      </c>
      <c r="E179" s="508">
        <v>15.709999999999999</v>
      </c>
      <c r="F179" s="510"/>
      <c r="G179" s="522"/>
      <c r="H179" s="507"/>
      <c r="I179" s="507"/>
      <c r="J179" s="510"/>
      <c r="K179" s="507"/>
    </row>
    <row r="180" spans="1:11" s="499" customFormat="1">
      <c r="A180" s="524"/>
      <c r="B180" s="523"/>
      <c r="C180" s="515">
        <v>8.61</v>
      </c>
      <c r="D180" s="516"/>
      <c r="E180" s="515">
        <v>8.61</v>
      </c>
      <c r="F180" s="517"/>
      <c r="G180" s="523" t="s">
        <v>390</v>
      </c>
      <c r="H180" s="514"/>
      <c r="I180" s="514"/>
      <c r="J180" s="517"/>
      <c r="K180" s="514"/>
    </row>
    <row r="181" spans="1:11" s="499" customFormat="1">
      <c r="A181" s="524"/>
      <c r="B181" s="523"/>
      <c r="C181" s="515">
        <v>7.1</v>
      </c>
      <c r="D181" s="516"/>
      <c r="E181" s="515">
        <v>7.1</v>
      </c>
      <c r="F181" s="517"/>
      <c r="G181" s="523" t="s">
        <v>417</v>
      </c>
      <c r="H181" s="514"/>
      <c r="I181" s="514"/>
      <c r="J181" s="517"/>
      <c r="K181" s="514"/>
    </row>
    <row r="182" spans="1:11" ht="26.4">
      <c r="A182" s="521">
        <v>2</v>
      </c>
      <c r="B182" s="507" t="s">
        <v>435</v>
      </c>
      <c r="C182" s="509">
        <v>7.47</v>
      </c>
      <c r="D182" s="509"/>
      <c r="E182" s="509">
        <v>7.47</v>
      </c>
      <c r="F182" s="510" t="s">
        <v>39</v>
      </c>
      <c r="G182" s="507" t="s">
        <v>370</v>
      </c>
      <c r="H182" s="507"/>
      <c r="I182" s="507" t="s">
        <v>1144</v>
      </c>
      <c r="J182" s="510">
        <v>2021</v>
      </c>
      <c r="K182" s="507"/>
    </row>
    <row r="183" spans="1:11" ht="26.4">
      <c r="A183" s="521">
        <v>3</v>
      </c>
      <c r="B183" s="507" t="s">
        <v>1192</v>
      </c>
      <c r="C183" s="509">
        <v>22</v>
      </c>
      <c r="D183" s="509">
        <v>15</v>
      </c>
      <c r="E183" s="509">
        <v>7</v>
      </c>
      <c r="F183" s="510" t="s">
        <v>1194</v>
      </c>
      <c r="G183" s="507" t="s">
        <v>370</v>
      </c>
      <c r="H183" s="507"/>
      <c r="I183" s="507" t="s">
        <v>1193</v>
      </c>
      <c r="J183" s="510"/>
      <c r="K183" s="507"/>
    </row>
    <row r="184" spans="1:11" ht="26.4">
      <c r="A184" s="521">
        <v>4</v>
      </c>
      <c r="B184" s="507" t="s">
        <v>770</v>
      </c>
      <c r="C184" s="509">
        <v>6.9</v>
      </c>
      <c r="D184" s="509"/>
      <c r="E184" s="509">
        <v>6.9</v>
      </c>
      <c r="F184" s="510" t="s">
        <v>39</v>
      </c>
      <c r="G184" s="507" t="s">
        <v>370</v>
      </c>
      <c r="H184" s="507"/>
      <c r="I184" s="507" t="s">
        <v>1145</v>
      </c>
      <c r="J184" s="510"/>
      <c r="K184" s="507"/>
    </row>
    <row r="185" spans="1:11" ht="26.4">
      <c r="A185" s="521">
        <v>5</v>
      </c>
      <c r="B185" s="507" t="s">
        <v>436</v>
      </c>
      <c r="C185" s="509">
        <v>25.5</v>
      </c>
      <c r="D185" s="509"/>
      <c r="E185" s="509">
        <v>25.5</v>
      </c>
      <c r="F185" s="510" t="s">
        <v>37</v>
      </c>
      <c r="G185" s="507" t="s">
        <v>372</v>
      </c>
      <c r="H185" s="507"/>
      <c r="I185" s="507" t="s">
        <v>1146</v>
      </c>
      <c r="J185" s="510">
        <v>2025</v>
      </c>
      <c r="K185" s="507"/>
    </row>
    <row r="186" spans="1:11" ht="39.6">
      <c r="A186" s="521"/>
      <c r="B186" s="507" t="s">
        <v>1148</v>
      </c>
      <c r="C186" s="509"/>
      <c r="D186" s="509"/>
      <c r="E186" s="509">
        <v>22.75</v>
      </c>
      <c r="F186" s="510" t="s">
        <v>37</v>
      </c>
      <c r="G186" s="507" t="s">
        <v>365</v>
      </c>
      <c r="H186" s="507"/>
      <c r="I186" s="507" t="s">
        <v>1149</v>
      </c>
      <c r="J186" s="510">
        <v>2021</v>
      </c>
      <c r="K186" s="507"/>
    </row>
    <row r="187" spans="1:11" ht="39.6">
      <c r="A187" s="521">
        <v>6</v>
      </c>
      <c r="B187" s="507" t="s">
        <v>771</v>
      </c>
      <c r="C187" s="509">
        <v>29</v>
      </c>
      <c r="D187" s="509"/>
      <c r="E187" s="509">
        <v>29</v>
      </c>
      <c r="F187" s="510" t="s">
        <v>37</v>
      </c>
      <c r="G187" s="507" t="s">
        <v>417</v>
      </c>
      <c r="H187" s="507"/>
      <c r="I187" s="507" t="s">
        <v>1143</v>
      </c>
      <c r="J187" s="510"/>
      <c r="K187" s="507"/>
    </row>
    <row r="188" spans="1:11" ht="26.4">
      <c r="A188" s="521">
        <v>7</v>
      </c>
      <c r="B188" s="507" t="s">
        <v>437</v>
      </c>
      <c r="C188" s="509">
        <v>16</v>
      </c>
      <c r="D188" s="509"/>
      <c r="E188" s="509">
        <v>16</v>
      </c>
      <c r="F188" s="510" t="s">
        <v>37</v>
      </c>
      <c r="G188" s="507" t="s">
        <v>417</v>
      </c>
      <c r="H188" s="507"/>
      <c r="I188" s="507" t="s">
        <v>1147</v>
      </c>
      <c r="J188" s="510"/>
      <c r="K188" s="507"/>
    </row>
    <row r="189" spans="1:11" ht="26.4">
      <c r="A189" s="521">
        <v>8</v>
      </c>
      <c r="B189" s="507" t="s">
        <v>772</v>
      </c>
      <c r="C189" s="509">
        <v>18.819700000000001</v>
      </c>
      <c r="D189" s="509"/>
      <c r="E189" s="509">
        <v>18.819700000000001</v>
      </c>
      <c r="F189" s="510"/>
      <c r="G189" s="507" t="s">
        <v>417</v>
      </c>
      <c r="H189" s="507"/>
      <c r="I189" s="507"/>
      <c r="J189" s="510"/>
      <c r="K189" s="507"/>
    </row>
    <row r="190" spans="1:11" ht="26.4">
      <c r="A190" s="521">
        <v>9</v>
      </c>
      <c r="B190" s="507" t="s">
        <v>1115</v>
      </c>
      <c r="C190" s="509">
        <v>17.171900000000001</v>
      </c>
      <c r="D190" s="509"/>
      <c r="E190" s="509">
        <v>17.171900000000001</v>
      </c>
      <c r="F190" s="510"/>
      <c r="G190" s="507" t="s">
        <v>417</v>
      </c>
      <c r="H190" s="507"/>
      <c r="I190" s="507"/>
      <c r="J190" s="510"/>
      <c r="K190" s="507"/>
    </row>
    <row r="191" spans="1:11" ht="26.4">
      <c r="A191" s="521">
        <v>10</v>
      </c>
      <c r="B191" s="507" t="s">
        <v>773</v>
      </c>
      <c r="C191" s="509">
        <v>15.798999999999999</v>
      </c>
      <c r="D191" s="509"/>
      <c r="E191" s="509">
        <v>15.798999999999999</v>
      </c>
      <c r="F191" s="510"/>
      <c r="G191" s="507" t="s">
        <v>417</v>
      </c>
      <c r="H191" s="507"/>
      <c r="I191" s="507"/>
      <c r="J191" s="510"/>
      <c r="K191" s="507"/>
    </row>
    <row r="192" spans="1:11" ht="26.4">
      <c r="A192" s="521">
        <v>11</v>
      </c>
      <c r="B192" s="507" t="s">
        <v>774</v>
      </c>
      <c r="C192" s="509">
        <v>2</v>
      </c>
      <c r="D192" s="509"/>
      <c r="E192" s="509">
        <v>2</v>
      </c>
      <c r="F192" s="510" t="s">
        <v>37</v>
      </c>
      <c r="G192" s="507" t="s">
        <v>391</v>
      </c>
      <c r="H192" s="507"/>
      <c r="I192" s="507" t="s">
        <v>1150</v>
      </c>
      <c r="J192" s="510"/>
      <c r="K192" s="507"/>
    </row>
    <row r="193" spans="1:11" ht="26.4">
      <c r="A193" s="521">
        <v>12</v>
      </c>
      <c r="B193" s="507" t="s">
        <v>775</v>
      </c>
      <c r="C193" s="509">
        <v>5.0999999999999996</v>
      </c>
      <c r="D193" s="509"/>
      <c r="E193" s="509">
        <v>5.0999999999999996</v>
      </c>
      <c r="F193" s="510" t="s">
        <v>37</v>
      </c>
      <c r="G193" s="507" t="s">
        <v>389</v>
      </c>
      <c r="H193" s="507"/>
      <c r="I193" s="507" t="s">
        <v>1150</v>
      </c>
      <c r="J193" s="510"/>
      <c r="K193" s="507"/>
    </row>
    <row r="194" spans="1:11" ht="26.4">
      <c r="A194" s="521">
        <v>13</v>
      </c>
      <c r="B194" s="507" t="s">
        <v>776</v>
      </c>
      <c r="C194" s="509">
        <v>410.29999999999995</v>
      </c>
      <c r="D194" s="509">
        <v>0</v>
      </c>
      <c r="E194" s="509">
        <v>410.29999999999995</v>
      </c>
      <c r="F194" s="510"/>
      <c r="G194" s="507"/>
      <c r="H194" s="509"/>
      <c r="I194" s="507" t="s">
        <v>1150</v>
      </c>
      <c r="J194" s="510"/>
      <c r="K194" s="507"/>
    </row>
    <row r="195" spans="1:11" s="499" customFormat="1">
      <c r="A195" s="524" t="s">
        <v>345</v>
      </c>
      <c r="B195" s="514" t="s">
        <v>777</v>
      </c>
      <c r="C195" s="516">
        <v>100</v>
      </c>
      <c r="D195" s="516"/>
      <c r="E195" s="516">
        <v>100</v>
      </c>
      <c r="F195" s="517" t="s">
        <v>37</v>
      </c>
      <c r="G195" s="514" t="s">
        <v>367</v>
      </c>
      <c r="H195" s="514"/>
      <c r="I195" s="514"/>
      <c r="J195" s="517"/>
      <c r="K195" s="514"/>
    </row>
    <row r="196" spans="1:11" s="499" customFormat="1">
      <c r="A196" s="524" t="s">
        <v>345</v>
      </c>
      <c r="B196" s="514" t="s">
        <v>779</v>
      </c>
      <c r="C196" s="516">
        <v>19.5</v>
      </c>
      <c r="D196" s="516"/>
      <c r="E196" s="516">
        <v>19.5</v>
      </c>
      <c r="F196" s="517" t="s">
        <v>37</v>
      </c>
      <c r="G196" s="514" t="s">
        <v>370</v>
      </c>
      <c r="H196" s="514"/>
      <c r="I196" s="514"/>
      <c r="J196" s="517"/>
      <c r="K196" s="514"/>
    </row>
    <row r="197" spans="1:11" s="499" customFormat="1">
      <c r="A197" s="524" t="s">
        <v>345</v>
      </c>
      <c r="B197" s="514" t="s">
        <v>778</v>
      </c>
      <c r="C197" s="516">
        <v>14</v>
      </c>
      <c r="D197" s="516"/>
      <c r="E197" s="516">
        <v>14</v>
      </c>
      <c r="F197" s="517" t="s">
        <v>37</v>
      </c>
      <c r="G197" s="514" t="s">
        <v>370</v>
      </c>
      <c r="H197" s="514"/>
      <c r="I197" s="514"/>
      <c r="J197" s="517"/>
      <c r="K197" s="514"/>
    </row>
    <row r="198" spans="1:11" s="499" customFormat="1">
      <c r="A198" s="524" t="s">
        <v>345</v>
      </c>
      <c r="B198" s="514" t="s">
        <v>360</v>
      </c>
      <c r="C198" s="516">
        <v>10</v>
      </c>
      <c r="D198" s="516"/>
      <c r="E198" s="516">
        <v>10</v>
      </c>
      <c r="F198" s="517" t="s">
        <v>37</v>
      </c>
      <c r="G198" s="514" t="s">
        <v>370</v>
      </c>
      <c r="H198" s="514"/>
      <c r="I198" s="514"/>
      <c r="J198" s="517"/>
      <c r="K198" s="514"/>
    </row>
    <row r="199" spans="1:11" s="499" customFormat="1">
      <c r="A199" s="524" t="s">
        <v>345</v>
      </c>
      <c r="B199" s="514" t="s">
        <v>780</v>
      </c>
      <c r="C199" s="516">
        <v>21.9</v>
      </c>
      <c r="D199" s="516"/>
      <c r="E199" s="516">
        <v>21.9</v>
      </c>
      <c r="F199" s="517" t="s">
        <v>37</v>
      </c>
      <c r="G199" s="514" t="s">
        <v>372</v>
      </c>
      <c r="H199" s="514"/>
      <c r="I199" s="514"/>
      <c r="J199" s="517"/>
      <c r="K199" s="514"/>
    </row>
    <row r="200" spans="1:11" s="499" customFormat="1">
      <c r="A200" s="524" t="s">
        <v>345</v>
      </c>
      <c r="B200" s="514" t="s">
        <v>781</v>
      </c>
      <c r="C200" s="516">
        <v>113.39999999999999</v>
      </c>
      <c r="D200" s="516"/>
      <c r="E200" s="516">
        <v>113.39999999999999</v>
      </c>
      <c r="F200" s="517" t="s">
        <v>37</v>
      </c>
      <c r="G200" s="514" t="s">
        <v>372</v>
      </c>
      <c r="H200" s="514"/>
      <c r="I200" s="514"/>
      <c r="J200" s="517"/>
      <c r="K200" s="514"/>
    </row>
    <row r="201" spans="1:11" s="499" customFormat="1">
      <c r="A201" s="524" t="s">
        <v>345</v>
      </c>
      <c r="B201" s="514" t="s">
        <v>782</v>
      </c>
      <c r="C201" s="516">
        <v>4.7</v>
      </c>
      <c r="D201" s="516"/>
      <c r="E201" s="516">
        <v>4.7</v>
      </c>
      <c r="F201" s="517" t="s">
        <v>37</v>
      </c>
      <c r="G201" s="514" t="s">
        <v>372</v>
      </c>
      <c r="H201" s="514"/>
      <c r="I201" s="514"/>
      <c r="J201" s="517"/>
      <c r="K201" s="514"/>
    </row>
    <row r="202" spans="1:11" s="499" customFormat="1">
      <c r="A202" s="524" t="s">
        <v>345</v>
      </c>
      <c r="B202" s="514" t="s">
        <v>783</v>
      </c>
      <c r="C202" s="516">
        <v>46.9</v>
      </c>
      <c r="D202" s="516"/>
      <c r="E202" s="516">
        <v>46.9</v>
      </c>
      <c r="F202" s="517" t="s">
        <v>37</v>
      </c>
      <c r="G202" s="514" t="s">
        <v>372</v>
      </c>
      <c r="H202" s="514"/>
      <c r="I202" s="514"/>
      <c r="J202" s="517"/>
      <c r="K202" s="514"/>
    </row>
    <row r="203" spans="1:11" s="499" customFormat="1">
      <c r="A203" s="524" t="s">
        <v>345</v>
      </c>
      <c r="B203" s="514" t="s">
        <v>785</v>
      </c>
      <c r="C203" s="516">
        <v>15</v>
      </c>
      <c r="D203" s="516"/>
      <c r="E203" s="516">
        <v>15</v>
      </c>
      <c r="F203" s="517" t="s">
        <v>37</v>
      </c>
      <c r="G203" s="514" t="s">
        <v>379</v>
      </c>
      <c r="H203" s="514"/>
      <c r="I203" s="514"/>
      <c r="J203" s="517"/>
      <c r="K203" s="514"/>
    </row>
    <row r="204" spans="1:11" s="499" customFormat="1">
      <c r="A204" s="524" t="s">
        <v>345</v>
      </c>
      <c r="B204" s="514" t="s">
        <v>784</v>
      </c>
      <c r="C204" s="516">
        <v>10</v>
      </c>
      <c r="D204" s="516"/>
      <c r="E204" s="516">
        <v>10</v>
      </c>
      <c r="F204" s="517" t="s">
        <v>37</v>
      </c>
      <c r="G204" s="514" t="s">
        <v>408</v>
      </c>
      <c r="H204" s="514"/>
      <c r="I204" s="514"/>
      <c r="J204" s="517"/>
      <c r="K204" s="514"/>
    </row>
    <row r="205" spans="1:11" s="499" customFormat="1">
      <c r="A205" s="524" t="s">
        <v>345</v>
      </c>
      <c r="B205" s="514" t="s">
        <v>786</v>
      </c>
      <c r="C205" s="516">
        <v>7.5</v>
      </c>
      <c r="D205" s="516"/>
      <c r="E205" s="516">
        <v>7.5</v>
      </c>
      <c r="F205" s="517" t="s">
        <v>37</v>
      </c>
      <c r="G205" s="514" t="s">
        <v>380</v>
      </c>
      <c r="H205" s="514"/>
      <c r="I205" s="514"/>
      <c r="J205" s="517"/>
      <c r="K205" s="514"/>
    </row>
    <row r="206" spans="1:11" s="499" customFormat="1">
      <c r="A206" s="524" t="s">
        <v>345</v>
      </c>
      <c r="B206" s="514" t="s">
        <v>363</v>
      </c>
      <c r="C206" s="516">
        <v>12.4</v>
      </c>
      <c r="D206" s="516"/>
      <c r="E206" s="516">
        <v>12.4</v>
      </c>
      <c r="F206" s="517" t="s">
        <v>37</v>
      </c>
      <c r="G206" s="514" t="s">
        <v>380</v>
      </c>
      <c r="H206" s="514"/>
      <c r="I206" s="514"/>
      <c r="J206" s="517"/>
      <c r="K206" s="514"/>
    </row>
    <row r="207" spans="1:11" s="499" customFormat="1">
      <c r="A207" s="524" t="s">
        <v>345</v>
      </c>
      <c r="B207" s="514" t="s">
        <v>787</v>
      </c>
      <c r="C207" s="516">
        <v>5</v>
      </c>
      <c r="D207" s="516"/>
      <c r="E207" s="516">
        <v>5</v>
      </c>
      <c r="F207" s="517" t="s">
        <v>37</v>
      </c>
      <c r="G207" s="514" t="s">
        <v>380</v>
      </c>
      <c r="H207" s="514"/>
      <c r="I207" s="514"/>
      <c r="J207" s="517"/>
      <c r="K207" s="514"/>
    </row>
    <row r="208" spans="1:11" s="499" customFormat="1">
      <c r="A208" s="524" t="s">
        <v>345</v>
      </c>
      <c r="B208" s="514" t="s">
        <v>788</v>
      </c>
      <c r="C208" s="516">
        <v>2.8</v>
      </c>
      <c r="D208" s="516"/>
      <c r="E208" s="516">
        <v>2.8</v>
      </c>
      <c r="F208" s="517" t="s">
        <v>37</v>
      </c>
      <c r="G208" s="514" t="s">
        <v>380</v>
      </c>
      <c r="H208" s="514"/>
      <c r="I208" s="514"/>
      <c r="J208" s="517"/>
      <c r="K208" s="514"/>
    </row>
    <row r="209" spans="1:11" s="499" customFormat="1">
      <c r="A209" s="524" t="s">
        <v>345</v>
      </c>
      <c r="B209" s="514" t="s">
        <v>789</v>
      </c>
      <c r="C209" s="516">
        <v>4.4000000000000004</v>
      </c>
      <c r="D209" s="516"/>
      <c r="E209" s="516">
        <v>4.4000000000000004</v>
      </c>
      <c r="F209" s="517" t="s">
        <v>37</v>
      </c>
      <c r="G209" s="514" t="s">
        <v>389</v>
      </c>
      <c r="H209" s="514"/>
      <c r="I209" s="514"/>
      <c r="J209" s="517"/>
      <c r="K209" s="514"/>
    </row>
    <row r="210" spans="1:11" s="499" customFormat="1">
      <c r="A210" s="524" t="s">
        <v>345</v>
      </c>
      <c r="B210" s="514" t="s">
        <v>790</v>
      </c>
      <c r="C210" s="516">
        <v>7</v>
      </c>
      <c r="D210" s="516"/>
      <c r="E210" s="516">
        <v>7</v>
      </c>
      <c r="F210" s="517" t="s">
        <v>37</v>
      </c>
      <c r="G210" s="514" t="s">
        <v>389</v>
      </c>
      <c r="H210" s="514"/>
      <c r="I210" s="514"/>
      <c r="J210" s="517"/>
      <c r="K210" s="514"/>
    </row>
    <row r="211" spans="1:11" s="499" customFormat="1">
      <c r="A211" s="524" t="s">
        <v>345</v>
      </c>
      <c r="B211" s="514" t="s">
        <v>791</v>
      </c>
      <c r="C211" s="516">
        <v>6.6</v>
      </c>
      <c r="D211" s="516"/>
      <c r="E211" s="516">
        <v>6.6</v>
      </c>
      <c r="F211" s="517" t="s">
        <v>37</v>
      </c>
      <c r="G211" s="514" t="s">
        <v>389</v>
      </c>
      <c r="H211" s="514"/>
      <c r="I211" s="514"/>
      <c r="J211" s="517"/>
      <c r="K211" s="514"/>
    </row>
    <row r="212" spans="1:11" s="499" customFormat="1">
      <c r="A212" s="524" t="s">
        <v>345</v>
      </c>
      <c r="B212" s="514" t="s">
        <v>792</v>
      </c>
      <c r="C212" s="516">
        <v>9.1999999999999993</v>
      </c>
      <c r="D212" s="516"/>
      <c r="E212" s="516">
        <v>9.1999999999999993</v>
      </c>
      <c r="F212" s="517" t="s">
        <v>37</v>
      </c>
      <c r="G212" s="514" t="s">
        <v>389</v>
      </c>
      <c r="H212" s="514"/>
      <c r="I212" s="514"/>
      <c r="J212" s="517"/>
      <c r="K212" s="514"/>
    </row>
    <row r="213" spans="1:11" s="492" customFormat="1">
      <c r="A213" s="529" t="s">
        <v>345</v>
      </c>
      <c r="B213" s="501" t="s">
        <v>294</v>
      </c>
      <c r="C213" s="502">
        <v>1917.0336299999999</v>
      </c>
      <c r="D213" s="502">
        <v>0</v>
      </c>
      <c r="E213" s="502">
        <v>1917.0336299999999</v>
      </c>
      <c r="F213" s="503"/>
      <c r="G213" s="501"/>
      <c r="H213" s="512"/>
      <c r="I213" s="512"/>
      <c r="J213" s="503"/>
      <c r="K213" s="512"/>
    </row>
    <row r="214" spans="1:11" ht="39.6">
      <c r="A214" s="521">
        <v>1</v>
      </c>
      <c r="B214" s="507" t="s">
        <v>443</v>
      </c>
      <c r="C214" s="509">
        <v>4</v>
      </c>
      <c r="D214" s="509">
        <v>0</v>
      </c>
      <c r="E214" s="509">
        <v>4</v>
      </c>
      <c r="F214" s="510"/>
      <c r="G214" s="507"/>
      <c r="H214" s="507"/>
      <c r="I214" s="507" t="s">
        <v>1151</v>
      </c>
      <c r="J214" s="510">
        <v>2021</v>
      </c>
      <c r="K214" s="507"/>
    </row>
    <row r="215" spans="1:11" s="499" customFormat="1">
      <c r="A215" s="524"/>
      <c r="B215" s="514"/>
      <c r="C215" s="516">
        <v>1</v>
      </c>
      <c r="D215" s="516"/>
      <c r="E215" s="516">
        <v>1</v>
      </c>
      <c r="F215" s="517" t="s">
        <v>37</v>
      </c>
      <c r="G215" s="514" t="s">
        <v>393</v>
      </c>
      <c r="H215" s="514"/>
      <c r="I215" s="514"/>
      <c r="J215" s="517"/>
      <c r="K215" s="514"/>
    </row>
    <row r="216" spans="1:11" s="499" customFormat="1">
      <c r="A216" s="524"/>
      <c r="B216" s="514"/>
      <c r="C216" s="516">
        <v>1</v>
      </c>
      <c r="D216" s="516"/>
      <c r="E216" s="516">
        <v>1</v>
      </c>
      <c r="F216" s="517" t="s">
        <v>37</v>
      </c>
      <c r="G216" s="514" t="s">
        <v>369</v>
      </c>
      <c r="H216" s="514"/>
      <c r="I216" s="514"/>
      <c r="J216" s="517"/>
      <c r="K216" s="514"/>
    </row>
    <row r="217" spans="1:11" s="499" customFormat="1">
      <c r="A217" s="524"/>
      <c r="B217" s="514"/>
      <c r="C217" s="516">
        <v>1</v>
      </c>
      <c r="D217" s="516"/>
      <c r="E217" s="516">
        <v>1</v>
      </c>
      <c r="F217" s="517" t="s">
        <v>37</v>
      </c>
      <c r="G217" s="514" t="s">
        <v>370</v>
      </c>
      <c r="H217" s="514"/>
      <c r="I217" s="514"/>
      <c r="J217" s="517"/>
      <c r="K217" s="514"/>
    </row>
    <row r="218" spans="1:11" s="499" customFormat="1">
      <c r="A218" s="524"/>
      <c r="B218" s="514"/>
      <c r="C218" s="516">
        <v>1</v>
      </c>
      <c r="D218" s="516"/>
      <c r="E218" s="516">
        <v>1</v>
      </c>
      <c r="F218" s="517" t="s">
        <v>37</v>
      </c>
      <c r="G218" s="514" t="s">
        <v>379</v>
      </c>
      <c r="H218" s="514"/>
      <c r="I218" s="514"/>
      <c r="J218" s="517"/>
      <c r="K218" s="514"/>
    </row>
    <row r="219" spans="1:11" ht="52.8">
      <c r="A219" s="521">
        <v>2</v>
      </c>
      <c r="B219" s="507" t="s">
        <v>448</v>
      </c>
      <c r="C219" s="509">
        <v>16</v>
      </c>
      <c r="D219" s="509">
        <v>0</v>
      </c>
      <c r="E219" s="509">
        <v>16</v>
      </c>
      <c r="F219" s="510"/>
      <c r="G219" s="507"/>
      <c r="H219" s="507"/>
      <c r="I219" s="507" t="s">
        <v>1152</v>
      </c>
      <c r="J219" s="510">
        <v>2021</v>
      </c>
      <c r="K219" s="507"/>
    </row>
    <row r="220" spans="1:11" s="499" customFormat="1">
      <c r="A220" s="524"/>
      <c r="B220" s="514"/>
      <c r="C220" s="516">
        <v>6</v>
      </c>
      <c r="D220" s="516"/>
      <c r="E220" s="516">
        <v>6</v>
      </c>
      <c r="F220" s="517" t="s">
        <v>37</v>
      </c>
      <c r="G220" s="514" t="s">
        <v>393</v>
      </c>
      <c r="H220" s="514"/>
      <c r="I220" s="514"/>
      <c r="J220" s="517"/>
      <c r="K220" s="514"/>
    </row>
    <row r="221" spans="1:11" s="499" customFormat="1">
      <c r="A221" s="524"/>
      <c r="B221" s="514"/>
      <c r="C221" s="516">
        <v>5</v>
      </c>
      <c r="D221" s="516"/>
      <c r="E221" s="516">
        <v>5</v>
      </c>
      <c r="F221" s="517" t="s">
        <v>37</v>
      </c>
      <c r="G221" s="514" t="s">
        <v>379</v>
      </c>
      <c r="H221" s="514"/>
      <c r="I221" s="514"/>
      <c r="J221" s="517"/>
      <c r="K221" s="514"/>
    </row>
    <row r="222" spans="1:11" s="499" customFormat="1">
      <c r="A222" s="524"/>
      <c r="B222" s="514"/>
      <c r="C222" s="516">
        <v>5</v>
      </c>
      <c r="D222" s="516"/>
      <c r="E222" s="516">
        <v>5</v>
      </c>
      <c r="F222" s="517" t="s">
        <v>37</v>
      </c>
      <c r="G222" s="514" t="s">
        <v>391</v>
      </c>
      <c r="H222" s="514"/>
      <c r="I222" s="514"/>
      <c r="J222" s="517"/>
      <c r="K222" s="514"/>
    </row>
    <row r="223" spans="1:11" ht="26.4">
      <c r="A223" s="521">
        <v>3</v>
      </c>
      <c r="B223" s="507" t="s">
        <v>455</v>
      </c>
      <c r="C223" s="509">
        <v>0.2</v>
      </c>
      <c r="D223" s="509"/>
      <c r="E223" s="509">
        <v>0.2</v>
      </c>
      <c r="F223" s="510" t="s">
        <v>37</v>
      </c>
      <c r="G223" s="507" t="s">
        <v>393</v>
      </c>
      <c r="H223" s="507"/>
      <c r="I223" s="507" t="s">
        <v>1153</v>
      </c>
      <c r="J223" s="510">
        <v>2021</v>
      </c>
      <c r="K223" s="507"/>
    </row>
    <row r="224" spans="1:11" ht="26.4">
      <c r="A224" s="521">
        <v>4</v>
      </c>
      <c r="B224" s="507" t="s">
        <v>456</v>
      </c>
      <c r="C224" s="509">
        <v>2.9</v>
      </c>
      <c r="D224" s="509"/>
      <c r="E224" s="509">
        <v>2.9</v>
      </c>
      <c r="F224" s="510" t="s">
        <v>793</v>
      </c>
      <c r="G224" s="507" t="s">
        <v>393</v>
      </c>
      <c r="H224" s="507"/>
      <c r="I224" s="507" t="s">
        <v>1086</v>
      </c>
      <c r="J224" s="510">
        <v>2021</v>
      </c>
      <c r="K224" s="507"/>
    </row>
    <row r="225" spans="1:11" ht="26.4">
      <c r="A225" s="521">
        <v>5</v>
      </c>
      <c r="B225" s="507" t="s">
        <v>457</v>
      </c>
      <c r="C225" s="509">
        <v>1.37</v>
      </c>
      <c r="D225" s="509"/>
      <c r="E225" s="509">
        <v>1.37</v>
      </c>
      <c r="F225" s="510" t="s">
        <v>37</v>
      </c>
      <c r="G225" s="507" t="s">
        <v>393</v>
      </c>
      <c r="H225" s="507"/>
      <c r="I225" s="507" t="s">
        <v>1086</v>
      </c>
      <c r="J225" s="510">
        <v>2030</v>
      </c>
      <c r="K225" s="507"/>
    </row>
    <row r="226" spans="1:11" ht="26.4">
      <c r="A226" s="521">
        <v>6</v>
      </c>
      <c r="B226" s="507" t="s">
        <v>459</v>
      </c>
      <c r="C226" s="509">
        <v>11.7</v>
      </c>
      <c r="D226" s="509"/>
      <c r="E226" s="509">
        <v>11.7</v>
      </c>
      <c r="F226" s="510" t="s">
        <v>37</v>
      </c>
      <c r="G226" s="507" t="s">
        <v>393</v>
      </c>
      <c r="H226" s="507"/>
      <c r="I226" s="507" t="s">
        <v>1086</v>
      </c>
      <c r="J226" s="510"/>
      <c r="K226" s="507"/>
    </row>
    <row r="227" spans="1:11">
      <c r="A227" s="521">
        <v>7</v>
      </c>
      <c r="B227" s="507" t="s">
        <v>460</v>
      </c>
      <c r="C227" s="509">
        <v>1.83</v>
      </c>
      <c r="D227" s="509"/>
      <c r="E227" s="509">
        <v>1.83</v>
      </c>
      <c r="F227" s="510" t="s">
        <v>37</v>
      </c>
      <c r="G227" s="507" t="s">
        <v>393</v>
      </c>
      <c r="H227" s="507"/>
      <c r="I227" s="507"/>
      <c r="J227" s="510"/>
      <c r="K227" s="507"/>
    </row>
    <row r="228" spans="1:11" ht="52.8">
      <c r="A228" s="521">
        <v>8</v>
      </c>
      <c r="B228" s="507" t="s">
        <v>458</v>
      </c>
      <c r="C228" s="509">
        <v>50</v>
      </c>
      <c r="D228" s="509">
        <v>0</v>
      </c>
      <c r="E228" s="509">
        <v>50</v>
      </c>
      <c r="F228" s="510"/>
      <c r="G228" s="507"/>
      <c r="H228" s="507"/>
      <c r="I228" s="507" t="s">
        <v>1154</v>
      </c>
      <c r="J228" s="510">
        <v>2022</v>
      </c>
      <c r="K228" s="507"/>
    </row>
    <row r="229" spans="1:11" s="499" customFormat="1">
      <c r="A229" s="524"/>
      <c r="B229" s="514"/>
      <c r="C229" s="516">
        <v>37</v>
      </c>
      <c r="D229" s="516"/>
      <c r="E229" s="516">
        <v>37</v>
      </c>
      <c r="F229" s="517" t="s">
        <v>37</v>
      </c>
      <c r="G229" s="514" t="s">
        <v>393</v>
      </c>
      <c r="H229" s="514"/>
      <c r="I229" s="514"/>
      <c r="J229" s="517"/>
      <c r="K229" s="514"/>
    </row>
    <row r="230" spans="1:11" s="499" customFormat="1">
      <c r="A230" s="524"/>
      <c r="B230" s="514"/>
      <c r="C230" s="516">
        <v>13</v>
      </c>
      <c r="D230" s="516"/>
      <c r="E230" s="516">
        <v>13</v>
      </c>
      <c r="F230" s="517" t="s">
        <v>37</v>
      </c>
      <c r="G230" s="514" t="s">
        <v>390</v>
      </c>
      <c r="H230" s="514"/>
      <c r="I230" s="514"/>
      <c r="J230" s="517"/>
      <c r="K230" s="514"/>
    </row>
    <row r="231" spans="1:11">
      <c r="A231" s="521">
        <v>9</v>
      </c>
      <c r="B231" s="507" t="s">
        <v>461</v>
      </c>
      <c r="C231" s="509">
        <v>0.4</v>
      </c>
      <c r="D231" s="509"/>
      <c r="E231" s="509">
        <v>0.4</v>
      </c>
      <c r="F231" s="510" t="s">
        <v>37</v>
      </c>
      <c r="G231" s="507" t="s">
        <v>393</v>
      </c>
      <c r="H231" s="507"/>
      <c r="I231" s="507"/>
      <c r="J231" s="510"/>
      <c r="K231" s="507"/>
    </row>
    <row r="232" spans="1:11" ht="26.4">
      <c r="A232" s="521">
        <v>10</v>
      </c>
      <c r="B232" s="507" t="s">
        <v>462</v>
      </c>
      <c r="C232" s="509">
        <v>0.03</v>
      </c>
      <c r="D232" s="509"/>
      <c r="E232" s="509">
        <v>0.03</v>
      </c>
      <c r="F232" s="510" t="s">
        <v>37</v>
      </c>
      <c r="G232" s="507" t="s">
        <v>393</v>
      </c>
      <c r="H232" s="507"/>
      <c r="I232" s="507" t="s">
        <v>1086</v>
      </c>
      <c r="J232" s="510">
        <v>2021</v>
      </c>
      <c r="K232" s="507"/>
    </row>
    <row r="233" spans="1:11" ht="92.4">
      <c r="A233" s="521">
        <v>11</v>
      </c>
      <c r="B233" s="507" t="s">
        <v>463</v>
      </c>
      <c r="C233" s="509">
        <v>2.7</v>
      </c>
      <c r="D233" s="509"/>
      <c r="E233" s="509">
        <v>2.7</v>
      </c>
      <c r="F233" s="510" t="s">
        <v>1116</v>
      </c>
      <c r="G233" s="507" t="s">
        <v>393</v>
      </c>
      <c r="H233" s="507"/>
      <c r="I233" s="507" t="s">
        <v>1155</v>
      </c>
      <c r="J233" s="510">
        <v>2021</v>
      </c>
      <c r="K233" s="507"/>
    </row>
    <row r="234" spans="1:11" ht="26.4">
      <c r="A234" s="521">
        <v>12</v>
      </c>
      <c r="B234" s="507" t="s">
        <v>464</v>
      </c>
      <c r="C234" s="509">
        <v>0.45</v>
      </c>
      <c r="D234" s="509"/>
      <c r="E234" s="509">
        <v>0.45</v>
      </c>
      <c r="F234" s="510" t="s">
        <v>37</v>
      </c>
      <c r="G234" s="507" t="s">
        <v>393</v>
      </c>
      <c r="H234" s="507"/>
      <c r="I234" s="507" t="s">
        <v>1086</v>
      </c>
      <c r="J234" s="510">
        <v>2022</v>
      </c>
      <c r="K234" s="507"/>
    </row>
    <row r="235" spans="1:11" ht="39.6">
      <c r="A235" s="521">
        <v>13</v>
      </c>
      <c r="B235" s="507" t="s">
        <v>794</v>
      </c>
      <c r="C235" s="509">
        <v>1.5028999999999999</v>
      </c>
      <c r="D235" s="509"/>
      <c r="E235" s="509">
        <v>1.5028999999999999</v>
      </c>
      <c r="F235" s="510" t="s">
        <v>37</v>
      </c>
      <c r="G235" s="507" t="s">
        <v>393</v>
      </c>
      <c r="H235" s="507"/>
      <c r="I235" s="507" t="s">
        <v>1083</v>
      </c>
      <c r="J235" s="510">
        <v>2021</v>
      </c>
      <c r="K235" s="507"/>
    </row>
    <row r="236" spans="1:11">
      <c r="A236" s="521">
        <v>14</v>
      </c>
      <c r="B236" s="507" t="s">
        <v>795</v>
      </c>
      <c r="C236" s="509">
        <v>10</v>
      </c>
      <c r="D236" s="509"/>
      <c r="E236" s="509">
        <v>10</v>
      </c>
      <c r="F236" s="510" t="s">
        <v>37</v>
      </c>
      <c r="G236" s="507" t="s">
        <v>393</v>
      </c>
      <c r="H236" s="507"/>
      <c r="I236" s="507"/>
      <c r="J236" s="510">
        <v>2030</v>
      </c>
      <c r="K236" s="507"/>
    </row>
    <row r="237" spans="1:11">
      <c r="A237" s="521">
        <v>15</v>
      </c>
      <c r="B237" s="507" t="s">
        <v>796</v>
      </c>
      <c r="C237" s="509">
        <v>15</v>
      </c>
      <c r="D237" s="509"/>
      <c r="E237" s="509">
        <v>15</v>
      </c>
      <c r="F237" s="510" t="s">
        <v>37</v>
      </c>
      <c r="G237" s="507" t="s">
        <v>393</v>
      </c>
      <c r="H237" s="507"/>
      <c r="I237" s="507"/>
      <c r="J237" s="510">
        <v>2030</v>
      </c>
      <c r="K237" s="507"/>
    </row>
    <row r="238" spans="1:11">
      <c r="A238" s="521">
        <v>16</v>
      </c>
      <c r="B238" s="507" t="s">
        <v>797</v>
      </c>
      <c r="C238" s="509">
        <v>3.4687299999999901</v>
      </c>
      <c r="D238" s="509"/>
      <c r="E238" s="509">
        <v>3.4687299999999901</v>
      </c>
      <c r="F238" s="510" t="s">
        <v>90</v>
      </c>
      <c r="G238" s="507" t="s">
        <v>393</v>
      </c>
      <c r="H238" s="507"/>
      <c r="I238" s="507"/>
      <c r="J238" s="510">
        <v>2030</v>
      </c>
      <c r="K238" s="507"/>
    </row>
    <row r="239" spans="1:11" ht="42" customHeight="1">
      <c r="A239" s="521">
        <v>17</v>
      </c>
      <c r="B239" s="507" t="s">
        <v>1059</v>
      </c>
      <c r="C239" s="509">
        <v>27.5</v>
      </c>
      <c r="D239" s="509">
        <v>0</v>
      </c>
      <c r="E239" s="509">
        <v>27.5</v>
      </c>
      <c r="F239" s="510"/>
      <c r="G239" s="507"/>
      <c r="H239" s="507"/>
      <c r="I239" s="507" t="s">
        <v>1082</v>
      </c>
      <c r="J239" s="510"/>
      <c r="K239" s="507"/>
    </row>
    <row r="240" spans="1:11" s="499" customFormat="1" ht="26.4">
      <c r="A240" s="524"/>
      <c r="B240" s="514"/>
      <c r="C240" s="516">
        <v>14.5</v>
      </c>
      <c r="D240" s="516"/>
      <c r="E240" s="516">
        <v>14.5</v>
      </c>
      <c r="F240" s="517" t="s">
        <v>1120</v>
      </c>
      <c r="G240" s="514" t="s">
        <v>393</v>
      </c>
      <c r="H240" s="514"/>
      <c r="I240" s="514"/>
      <c r="J240" s="517"/>
      <c r="K240" s="514"/>
    </row>
    <row r="241" spans="1:11" s="499" customFormat="1" ht="26.4">
      <c r="A241" s="524"/>
      <c r="B241" s="514"/>
      <c r="C241" s="516">
        <v>13</v>
      </c>
      <c r="D241" s="516"/>
      <c r="E241" s="516">
        <v>13</v>
      </c>
      <c r="F241" s="517" t="s">
        <v>1119</v>
      </c>
      <c r="G241" s="514" t="s">
        <v>369</v>
      </c>
      <c r="H241" s="514"/>
      <c r="I241" s="514"/>
      <c r="J241" s="517"/>
      <c r="K241" s="514"/>
    </row>
    <row r="242" spans="1:11" ht="26.4">
      <c r="A242" s="521">
        <v>18</v>
      </c>
      <c r="B242" s="507" t="s">
        <v>798</v>
      </c>
      <c r="C242" s="509">
        <v>318.95</v>
      </c>
      <c r="D242" s="509">
        <v>0</v>
      </c>
      <c r="E242" s="509">
        <v>318.95</v>
      </c>
      <c r="F242" s="510"/>
      <c r="G242" s="507"/>
      <c r="H242" s="507"/>
      <c r="I242" s="507" t="s">
        <v>1156</v>
      </c>
      <c r="J242" s="510"/>
      <c r="K242" s="507"/>
    </row>
    <row r="243" spans="1:11" s="499" customFormat="1">
      <c r="A243" s="524"/>
      <c r="B243" s="514"/>
      <c r="C243" s="516">
        <v>207.3175</v>
      </c>
      <c r="D243" s="516"/>
      <c r="E243" s="516">
        <v>207.3175</v>
      </c>
      <c r="F243" s="517" t="s">
        <v>37</v>
      </c>
      <c r="G243" s="514" t="s">
        <v>393</v>
      </c>
      <c r="H243" s="514"/>
      <c r="I243" s="514"/>
      <c r="J243" s="517"/>
      <c r="K243" s="514"/>
    </row>
    <row r="244" spans="1:11" s="499" customFormat="1">
      <c r="A244" s="524"/>
      <c r="B244" s="514"/>
      <c r="C244" s="516">
        <v>111.63249999999999</v>
      </c>
      <c r="D244" s="516"/>
      <c r="E244" s="516">
        <v>111.63249999999999</v>
      </c>
      <c r="F244" s="517" t="s">
        <v>37</v>
      </c>
      <c r="G244" s="514" t="s">
        <v>390</v>
      </c>
      <c r="H244" s="514"/>
      <c r="I244" s="514"/>
      <c r="J244" s="517"/>
      <c r="K244" s="514"/>
    </row>
    <row r="245" spans="1:11" ht="92.4">
      <c r="A245" s="521">
        <v>19</v>
      </c>
      <c r="B245" s="507" t="s">
        <v>799</v>
      </c>
      <c r="C245" s="509">
        <v>149.5</v>
      </c>
      <c r="D245" s="509">
        <v>0</v>
      </c>
      <c r="E245" s="509">
        <v>149.5</v>
      </c>
      <c r="F245" s="510"/>
      <c r="G245" s="507"/>
      <c r="H245" s="507"/>
      <c r="I245" s="507" t="s">
        <v>1157</v>
      </c>
      <c r="J245" s="510">
        <v>2025</v>
      </c>
      <c r="K245" s="507"/>
    </row>
    <row r="246" spans="1:11" s="499" customFormat="1">
      <c r="A246" s="524"/>
      <c r="B246" s="514"/>
      <c r="C246" s="516">
        <v>30</v>
      </c>
      <c r="D246" s="516"/>
      <c r="E246" s="516">
        <v>30</v>
      </c>
      <c r="F246" s="517" t="s">
        <v>793</v>
      </c>
      <c r="G246" s="514" t="s">
        <v>393</v>
      </c>
      <c r="H246" s="514"/>
      <c r="I246" s="514"/>
      <c r="J246" s="517"/>
      <c r="K246" s="514"/>
    </row>
    <row r="247" spans="1:11" s="499" customFormat="1">
      <c r="A247" s="524"/>
      <c r="B247" s="514"/>
      <c r="C247" s="516">
        <v>119.5</v>
      </c>
      <c r="D247" s="516"/>
      <c r="E247" s="516">
        <v>119.5</v>
      </c>
      <c r="F247" s="517" t="s">
        <v>820</v>
      </c>
      <c r="G247" s="514" t="s">
        <v>391</v>
      </c>
      <c r="H247" s="516"/>
      <c r="I247" s="514"/>
      <c r="J247" s="517"/>
      <c r="K247" s="514"/>
    </row>
    <row r="248" spans="1:11">
      <c r="A248" s="521">
        <v>20</v>
      </c>
      <c r="B248" s="507" t="s">
        <v>442</v>
      </c>
      <c r="C248" s="509">
        <v>5.0500000000000007</v>
      </c>
      <c r="D248" s="509"/>
      <c r="E248" s="509">
        <v>5.0500000000000007</v>
      </c>
      <c r="F248" s="510" t="s">
        <v>37</v>
      </c>
      <c r="G248" s="507" t="s">
        <v>369</v>
      </c>
      <c r="H248" s="507"/>
      <c r="I248" s="507"/>
      <c r="J248" s="510">
        <v>2030</v>
      </c>
      <c r="K248" s="507"/>
    </row>
    <row r="249" spans="1:11" ht="66">
      <c r="A249" s="521">
        <v>21</v>
      </c>
      <c r="B249" s="507" t="s">
        <v>800</v>
      </c>
      <c r="C249" s="509">
        <v>6</v>
      </c>
      <c r="D249" s="509">
        <v>0</v>
      </c>
      <c r="E249" s="509">
        <v>6</v>
      </c>
      <c r="F249" s="510"/>
      <c r="G249" s="507"/>
      <c r="H249" s="507"/>
      <c r="I249" s="507" t="s">
        <v>1159</v>
      </c>
      <c r="J249" s="510">
        <v>2025</v>
      </c>
      <c r="K249" s="507"/>
    </row>
    <row r="250" spans="1:11" s="499" customFormat="1">
      <c r="A250" s="524"/>
      <c r="B250" s="514"/>
      <c r="C250" s="516">
        <v>3</v>
      </c>
      <c r="D250" s="516"/>
      <c r="E250" s="516">
        <v>3</v>
      </c>
      <c r="F250" s="517" t="s">
        <v>37</v>
      </c>
      <c r="G250" s="514" t="s">
        <v>369</v>
      </c>
      <c r="H250" s="514"/>
      <c r="I250" s="514"/>
      <c r="J250" s="517"/>
      <c r="K250" s="514"/>
    </row>
    <row r="251" spans="1:11" s="499" customFormat="1">
      <c r="A251" s="524"/>
      <c r="B251" s="514"/>
      <c r="C251" s="516">
        <v>3</v>
      </c>
      <c r="D251" s="516"/>
      <c r="E251" s="516">
        <v>3</v>
      </c>
      <c r="F251" s="517" t="s">
        <v>37</v>
      </c>
      <c r="G251" s="514" t="s">
        <v>370</v>
      </c>
      <c r="H251" s="514"/>
      <c r="I251" s="514"/>
      <c r="J251" s="517"/>
      <c r="K251" s="514"/>
    </row>
    <row r="252" spans="1:11" ht="79.2">
      <c r="A252" s="521">
        <v>22</v>
      </c>
      <c r="B252" s="507" t="s">
        <v>440</v>
      </c>
      <c r="C252" s="509">
        <v>0.6100000000000001</v>
      </c>
      <c r="D252" s="509">
        <v>0</v>
      </c>
      <c r="E252" s="509">
        <v>0.6100000000000001</v>
      </c>
      <c r="F252" s="510"/>
      <c r="G252" s="507"/>
      <c r="H252" s="507"/>
      <c r="I252" s="507" t="s">
        <v>1160</v>
      </c>
      <c r="J252" s="510">
        <v>2021</v>
      </c>
      <c r="K252" s="507"/>
    </row>
    <row r="253" spans="1:11" s="499" customFormat="1">
      <c r="A253" s="524"/>
      <c r="B253" s="514"/>
      <c r="C253" s="516">
        <v>0.05</v>
      </c>
      <c r="D253" s="516"/>
      <c r="E253" s="516">
        <v>0.05</v>
      </c>
      <c r="F253" s="517" t="s">
        <v>37</v>
      </c>
      <c r="G253" s="514" t="s">
        <v>369</v>
      </c>
      <c r="H253" s="514"/>
      <c r="I253" s="514"/>
      <c r="J253" s="517"/>
      <c r="K253" s="514"/>
    </row>
    <row r="254" spans="1:11" s="499" customFormat="1">
      <c r="A254" s="524"/>
      <c r="B254" s="514"/>
      <c r="C254" s="516">
        <v>0.05</v>
      </c>
      <c r="D254" s="516"/>
      <c r="E254" s="516">
        <v>0.05</v>
      </c>
      <c r="F254" s="517" t="s">
        <v>37</v>
      </c>
      <c r="G254" s="514" t="s">
        <v>367</v>
      </c>
      <c r="H254" s="514"/>
      <c r="I254" s="514"/>
      <c r="J254" s="517"/>
      <c r="K254" s="514"/>
    </row>
    <row r="255" spans="1:11" s="499" customFormat="1">
      <c r="A255" s="524"/>
      <c r="B255" s="514"/>
      <c r="C255" s="516">
        <v>0.05</v>
      </c>
      <c r="D255" s="516"/>
      <c r="E255" s="516">
        <v>0.05</v>
      </c>
      <c r="F255" s="517" t="s">
        <v>37</v>
      </c>
      <c r="G255" s="514" t="s">
        <v>372</v>
      </c>
      <c r="H255" s="514"/>
      <c r="I255" s="514"/>
      <c r="J255" s="517"/>
      <c r="K255" s="514"/>
    </row>
    <row r="256" spans="1:11" s="499" customFormat="1">
      <c r="A256" s="524"/>
      <c r="B256" s="514"/>
      <c r="C256" s="516">
        <v>0.31</v>
      </c>
      <c r="D256" s="516"/>
      <c r="E256" s="516">
        <v>0.31</v>
      </c>
      <c r="F256" s="517" t="s">
        <v>37</v>
      </c>
      <c r="G256" s="514" t="s">
        <v>379</v>
      </c>
      <c r="H256" s="514"/>
      <c r="I256" s="514"/>
      <c r="J256" s="517"/>
      <c r="K256" s="514"/>
    </row>
    <row r="257" spans="1:11" s="499" customFormat="1">
      <c r="A257" s="524"/>
      <c r="B257" s="514"/>
      <c r="C257" s="516">
        <v>0.05</v>
      </c>
      <c r="D257" s="516"/>
      <c r="E257" s="516">
        <v>0.05</v>
      </c>
      <c r="F257" s="517" t="s">
        <v>37</v>
      </c>
      <c r="G257" s="514" t="s">
        <v>408</v>
      </c>
      <c r="H257" s="514"/>
      <c r="I257" s="514"/>
      <c r="J257" s="517"/>
      <c r="K257" s="514"/>
    </row>
    <row r="258" spans="1:11" s="499" customFormat="1">
      <c r="A258" s="524"/>
      <c r="B258" s="514"/>
      <c r="C258" s="516">
        <v>0.05</v>
      </c>
      <c r="D258" s="516"/>
      <c r="E258" s="516">
        <v>0.05</v>
      </c>
      <c r="F258" s="517" t="s">
        <v>37</v>
      </c>
      <c r="G258" s="514" t="s">
        <v>417</v>
      </c>
      <c r="H258" s="514"/>
      <c r="I258" s="514"/>
      <c r="J258" s="517"/>
      <c r="K258" s="514"/>
    </row>
    <row r="259" spans="1:11" s="499" customFormat="1">
      <c r="A259" s="524"/>
      <c r="B259" s="514"/>
      <c r="C259" s="516">
        <v>0.05</v>
      </c>
      <c r="D259" s="516"/>
      <c r="E259" s="516">
        <v>0.05</v>
      </c>
      <c r="F259" s="517" t="s">
        <v>37</v>
      </c>
      <c r="G259" s="514" t="s">
        <v>391</v>
      </c>
      <c r="H259" s="514"/>
      <c r="I259" s="514"/>
      <c r="J259" s="517"/>
      <c r="K259" s="514"/>
    </row>
    <row r="260" spans="1:11" ht="52.8">
      <c r="A260" s="521">
        <v>23</v>
      </c>
      <c r="B260" s="507" t="s">
        <v>441</v>
      </c>
      <c r="C260" s="509">
        <v>163.80000000000001</v>
      </c>
      <c r="D260" s="509">
        <v>0</v>
      </c>
      <c r="E260" s="509">
        <v>163.80000000000001</v>
      </c>
      <c r="F260" s="510"/>
      <c r="G260" s="507"/>
      <c r="H260" s="507"/>
      <c r="I260" s="507" t="s">
        <v>1161</v>
      </c>
      <c r="J260" s="510">
        <v>2021</v>
      </c>
      <c r="K260" s="507"/>
    </row>
    <row r="261" spans="1:11" s="499" customFormat="1" ht="39.6">
      <c r="A261" s="524"/>
      <c r="B261" s="514"/>
      <c r="C261" s="516">
        <v>24.57</v>
      </c>
      <c r="D261" s="516"/>
      <c r="E261" s="516">
        <v>24.57</v>
      </c>
      <c r="F261" s="517" t="s">
        <v>1183</v>
      </c>
      <c r="G261" s="514" t="s">
        <v>369</v>
      </c>
      <c r="H261" s="514"/>
      <c r="I261" s="516"/>
      <c r="J261" s="517"/>
      <c r="K261" s="514"/>
    </row>
    <row r="262" spans="1:11" s="499" customFormat="1" ht="26.4">
      <c r="A262" s="524"/>
      <c r="B262" s="514"/>
      <c r="C262" s="516">
        <v>32.76</v>
      </c>
      <c r="D262" s="516"/>
      <c r="E262" s="516">
        <v>32.76</v>
      </c>
      <c r="F262" s="517" t="s">
        <v>1117</v>
      </c>
      <c r="G262" s="514" t="s">
        <v>367</v>
      </c>
      <c r="H262" s="514"/>
      <c r="I262" s="516"/>
      <c r="J262" s="517"/>
      <c r="K262" s="514"/>
    </row>
    <row r="263" spans="1:11" s="499" customFormat="1">
      <c r="A263" s="524"/>
      <c r="B263" s="514"/>
      <c r="C263" s="516">
        <v>24.57</v>
      </c>
      <c r="D263" s="516"/>
      <c r="E263" s="516">
        <v>24.57</v>
      </c>
      <c r="F263" s="517" t="s">
        <v>39</v>
      </c>
      <c r="G263" s="514" t="s">
        <v>370</v>
      </c>
      <c r="H263" s="514"/>
      <c r="I263" s="516"/>
      <c r="J263" s="517"/>
      <c r="K263" s="514"/>
    </row>
    <row r="264" spans="1:11" s="499" customFormat="1" ht="26.4">
      <c r="A264" s="524"/>
      <c r="B264" s="514"/>
      <c r="C264" s="516">
        <v>49.14</v>
      </c>
      <c r="D264" s="516"/>
      <c r="E264" s="516">
        <v>49.14</v>
      </c>
      <c r="F264" s="517" t="s">
        <v>1118</v>
      </c>
      <c r="G264" s="514" t="s">
        <v>372</v>
      </c>
      <c r="H264" s="514"/>
      <c r="I264" s="516"/>
      <c r="J264" s="517"/>
      <c r="K264" s="514"/>
    </row>
    <row r="265" spans="1:11" s="499" customFormat="1" ht="26.4">
      <c r="A265" s="524"/>
      <c r="B265" s="514"/>
      <c r="C265" s="516">
        <v>32.76</v>
      </c>
      <c r="D265" s="516"/>
      <c r="E265" s="516">
        <v>32.76</v>
      </c>
      <c r="F265" s="517" t="s">
        <v>1117</v>
      </c>
      <c r="G265" s="514" t="s">
        <v>408</v>
      </c>
      <c r="H265" s="514"/>
      <c r="I265" s="516"/>
      <c r="J265" s="517"/>
      <c r="K265" s="514"/>
    </row>
    <row r="266" spans="1:11" ht="26.4">
      <c r="A266" s="521">
        <v>24</v>
      </c>
      <c r="B266" s="507" t="s">
        <v>802</v>
      </c>
      <c r="C266" s="509">
        <v>0.33</v>
      </c>
      <c r="D266" s="509"/>
      <c r="E266" s="509">
        <v>0.33</v>
      </c>
      <c r="F266" s="510" t="s">
        <v>37</v>
      </c>
      <c r="G266" s="507" t="s">
        <v>369</v>
      </c>
      <c r="H266" s="507"/>
      <c r="I266" s="507" t="s">
        <v>1080</v>
      </c>
      <c r="J266" s="510">
        <v>2025</v>
      </c>
      <c r="K266" s="507"/>
    </row>
    <row r="267" spans="1:11" ht="26.4">
      <c r="A267" s="521">
        <v>25</v>
      </c>
      <c r="B267" s="507" t="s">
        <v>446</v>
      </c>
      <c r="C267" s="509">
        <v>6.339999999999999</v>
      </c>
      <c r="D267" s="509">
        <v>0</v>
      </c>
      <c r="E267" s="509">
        <v>6.339999999999999</v>
      </c>
      <c r="F267" s="510"/>
      <c r="G267" s="507"/>
      <c r="H267" s="507"/>
      <c r="I267" s="507"/>
      <c r="J267" s="510"/>
      <c r="K267" s="507"/>
    </row>
    <row r="268" spans="1:11" s="499" customFormat="1">
      <c r="A268" s="524"/>
      <c r="B268" s="514"/>
      <c r="C268" s="516">
        <v>0.95</v>
      </c>
      <c r="D268" s="516"/>
      <c r="E268" s="516">
        <v>0.95</v>
      </c>
      <c r="F268" s="517" t="s">
        <v>37</v>
      </c>
      <c r="G268" s="514" t="s">
        <v>390</v>
      </c>
      <c r="H268" s="514"/>
      <c r="I268" s="514"/>
      <c r="J268" s="517"/>
      <c r="K268" s="514"/>
    </row>
    <row r="269" spans="1:11" s="499" customFormat="1">
      <c r="A269" s="524"/>
      <c r="B269" s="514"/>
      <c r="C269" s="516">
        <v>1.7899999999999991</v>
      </c>
      <c r="D269" s="516"/>
      <c r="E269" s="516">
        <v>1.7899999999999991</v>
      </c>
      <c r="F269" s="517" t="s">
        <v>37</v>
      </c>
      <c r="G269" s="514" t="s">
        <v>379</v>
      </c>
      <c r="H269" s="514"/>
      <c r="I269" s="514"/>
      <c r="J269" s="517"/>
      <c r="K269" s="514"/>
    </row>
    <row r="270" spans="1:11" s="499" customFormat="1">
      <c r="A270" s="524"/>
      <c r="B270" s="514"/>
      <c r="C270" s="516">
        <v>3.5999999999999996</v>
      </c>
      <c r="D270" s="516"/>
      <c r="E270" s="516">
        <v>3.5999999999999996</v>
      </c>
      <c r="F270" s="517" t="s">
        <v>37</v>
      </c>
      <c r="G270" s="514" t="s">
        <v>417</v>
      </c>
      <c r="H270" s="514"/>
      <c r="I270" s="514"/>
      <c r="J270" s="517"/>
      <c r="K270" s="514"/>
    </row>
    <row r="271" spans="1:11" ht="66">
      <c r="A271" s="521">
        <v>26</v>
      </c>
      <c r="B271" s="507" t="s">
        <v>444</v>
      </c>
      <c r="C271" s="509">
        <v>27</v>
      </c>
      <c r="D271" s="509">
        <v>0</v>
      </c>
      <c r="E271" s="509">
        <v>27</v>
      </c>
      <c r="F271" s="510"/>
      <c r="G271" s="507"/>
      <c r="H271" s="507"/>
      <c r="I271" s="507" t="s">
        <v>1162</v>
      </c>
      <c r="J271" s="510">
        <v>2021</v>
      </c>
      <c r="K271" s="507"/>
    </row>
    <row r="272" spans="1:11" s="499" customFormat="1">
      <c r="A272" s="524"/>
      <c r="B272" s="514"/>
      <c r="C272" s="516">
        <v>13</v>
      </c>
      <c r="D272" s="516"/>
      <c r="E272" s="516">
        <v>13</v>
      </c>
      <c r="F272" s="517" t="s">
        <v>37</v>
      </c>
      <c r="G272" s="514" t="s">
        <v>390</v>
      </c>
      <c r="H272" s="514"/>
      <c r="I272" s="514"/>
      <c r="J272" s="517"/>
      <c r="K272" s="514"/>
    </row>
    <row r="273" spans="1:11" s="499" customFormat="1">
      <c r="A273" s="524"/>
      <c r="B273" s="514"/>
      <c r="C273" s="516">
        <v>14</v>
      </c>
      <c r="D273" s="516"/>
      <c r="E273" s="516">
        <v>14</v>
      </c>
      <c r="F273" s="517" t="s">
        <v>37</v>
      </c>
      <c r="G273" s="514" t="s">
        <v>370</v>
      </c>
      <c r="H273" s="514"/>
      <c r="I273" s="514"/>
      <c r="J273" s="517"/>
      <c r="K273" s="514"/>
    </row>
    <row r="274" spans="1:11" ht="52.8">
      <c r="A274" s="521">
        <v>27</v>
      </c>
      <c r="B274" s="507" t="s">
        <v>445</v>
      </c>
      <c r="C274" s="509">
        <v>96</v>
      </c>
      <c r="D274" s="509">
        <v>0</v>
      </c>
      <c r="E274" s="509">
        <v>96</v>
      </c>
      <c r="F274" s="510"/>
      <c r="G274" s="507"/>
      <c r="H274" s="507"/>
      <c r="I274" s="507" t="s">
        <v>1154</v>
      </c>
      <c r="J274" s="510">
        <v>2025</v>
      </c>
      <c r="K274" s="507"/>
    </row>
    <row r="275" spans="1:11" s="499" customFormat="1">
      <c r="A275" s="524"/>
      <c r="B275" s="514"/>
      <c r="C275" s="516">
        <v>43.2</v>
      </c>
      <c r="D275" s="516"/>
      <c r="E275" s="516">
        <v>43.2</v>
      </c>
      <c r="F275" s="517" t="s">
        <v>37</v>
      </c>
      <c r="G275" s="514" t="s">
        <v>390</v>
      </c>
      <c r="H275" s="514"/>
      <c r="I275" s="514"/>
      <c r="J275" s="517"/>
      <c r="K275" s="514"/>
    </row>
    <row r="276" spans="1:11" s="499" customFormat="1">
      <c r="A276" s="524"/>
      <c r="B276" s="514"/>
      <c r="C276" s="516">
        <v>52.8</v>
      </c>
      <c r="D276" s="516"/>
      <c r="E276" s="516">
        <v>52.8</v>
      </c>
      <c r="F276" s="517" t="s">
        <v>37</v>
      </c>
      <c r="G276" s="514" t="s">
        <v>370</v>
      </c>
      <c r="H276" s="514"/>
      <c r="I276" s="514"/>
      <c r="J276" s="517"/>
      <c r="K276" s="514"/>
    </row>
    <row r="277" spans="1:11">
      <c r="A277" s="521">
        <v>28</v>
      </c>
      <c r="B277" s="507" t="s">
        <v>803</v>
      </c>
      <c r="C277" s="509">
        <v>2</v>
      </c>
      <c r="D277" s="509"/>
      <c r="E277" s="509">
        <v>2</v>
      </c>
      <c r="F277" s="510" t="s">
        <v>37</v>
      </c>
      <c r="G277" s="507" t="s">
        <v>390</v>
      </c>
      <c r="H277" s="507"/>
      <c r="I277" s="507"/>
      <c r="J277" s="510"/>
      <c r="K277" s="507"/>
    </row>
    <row r="278" spans="1:11">
      <c r="A278" s="521">
        <v>29</v>
      </c>
      <c r="B278" s="507" t="s">
        <v>804</v>
      </c>
      <c r="C278" s="509">
        <v>3</v>
      </c>
      <c r="D278" s="509"/>
      <c r="E278" s="509">
        <v>3</v>
      </c>
      <c r="F278" s="510" t="s">
        <v>37</v>
      </c>
      <c r="G278" s="507" t="s">
        <v>390</v>
      </c>
      <c r="H278" s="507"/>
      <c r="I278" s="507"/>
      <c r="J278" s="510"/>
      <c r="K278" s="507"/>
    </row>
    <row r="279" spans="1:11">
      <c r="A279" s="521">
        <v>30</v>
      </c>
      <c r="B279" s="507" t="s">
        <v>805</v>
      </c>
      <c r="C279" s="509">
        <v>1.5</v>
      </c>
      <c r="D279" s="509"/>
      <c r="E279" s="509">
        <v>1.5</v>
      </c>
      <c r="F279" s="510" t="s">
        <v>37</v>
      </c>
      <c r="G279" s="507" t="s">
        <v>390</v>
      </c>
      <c r="H279" s="507"/>
      <c r="I279" s="507"/>
      <c r="J279" s="510"/>
      <c r="K279" s="507"/>
    </row>
    <row r="280" spans="1:11" ht="52.8">
      <c r="A280" s="521">
        <v>31</v>
      </c>
      <c r="B280" s="507" t="s">
        <v>806</v>
      </c>
      <c r="C280" s="509">
        <v>0.14000000000000001</v>
      </c>
      <c r="D280" s="509"/>
      <c r="E280" s="509">
        <v>0.14000000000000001</v>
      </c>
      <c r="F280" s="510" t="s">
        <v>37</v>
      </c>
      <c r="G280" s="507" t="s">
        <v>390</v>
      </c>
      <c r="H280" s="507"/>
      <c r="I280" s="507" t="s">
        <v>1080</v>
      </c>
      <c r="J280" s="510">
        <v>2025</v>
      </c>
      <c r="K280" s="507"/>
    </row>
    <row r="281" spans="1:11" ht="26.4">
      <c r="A281" s="521">
        <v>32</v>
      </c>
      <c r="B281" s="507" t="s">
        <v>438</v>
      </c>
      <c r="C281" s="509">
        <v>46.400000000000006</v>
      </c>
      <c r="D281" s="509">
        <v>0</v>
      </c>
      <c r="E281" s="509">
        <v>46.400000000000006</v>
      </c>
      <c r="F281" s="510"/>
      <c r="G281" s="507"/>
      <c r="H281" s="507"/>
      <c r="I281" s="507"/>
      <c r="J281" s="510">
        <v>2030</v>
      </c>
      <c r="K281" s="507"/>
    </row>
    <row r="282" spans="1:11" s="499" customFormat="1">
      <c r="A282" s="524"/>
      <c r="B282" s="514"/>
      <c r="C282" s="516">
        <v>23.92</v>
      </c>
      <c r="D282" s="516"/>
      <c r="E282" s="516">
        <v>23.92</v>
      </c>
      <c r="F282" s="517" t="s">
        <v>37</v>
      </c>
      <c r="G282" s="514" t="s">
        <v>365</v>
      </c>
      <c r="H282" s="514"/>
      <c r="I282" s="514"/>
      <c r="J282" s="517"/>
      <c r="K282" s="514"/>
    </row>
    <row r="283" spans="1:11" s="499" customFormat="1">
      <c r="A283" s="524"/>
      <c r="B283" s="514"/>
      <c r="C283" s="516">
        <v>22.480000000000004</v>
      </c>
      <c r="D283" s="516"/>
      <c r="E283" s="516">
        <v>22.480000000000004</v>
      </c>
      <c r="F283" s="517" t="s">
        <v>37</v>
      </c>
      <c r="G283" s="514" t="s">
        <v>389</v>
      </c>
      <c r="H283" s="514"/>
      <c r="I283" s="514"/>
      <c r="J283" s="517"/>
      <c r="K283" s="514"/>
    </row>
    <row r="284" spans="1:11">
      <c r="A284" s="521">
        <v>33</v>
      </c>
      <c r="B284" s="507" t="s">
        <v>807</v>
      </c>
      <c r="C284" s="509">
        <v>8.58</v>
      </c>
      <c r="D284" s="509"/>
      <c r="E284" s="509">
        <v>8.58</v>
      </c>
      <c r="F284" s="510" t="s">
        <v>37</v>
      </c>
      <c r="G284" s="507" t="s">
        <v>367</v>
      </c>
      <c r="H284" s="507"/>
      <c r="I284" s="507"/>
      <c r="J284" s="510"/>
      <c r="K284" s="507"/>
    </row>
    <row r="285" spans="1:11">
      <c r="A285" s="521">
        <v>34</v>
      </c>
      <c r="B285" s="507" t="s">
        <v>439</v>
      </c>
      <c r="C285" s="509">
        <v>6.7999999999999989</v>
      </c>
      <c r="D285" s="509"/>
      <c r="E285" s="509">
        <v>6.7999999999999989</v>
      </c>
      <c r="F285" s="510" t="s">
        <v>37</v>
      </c>
      <c r="G285" s="507" t="s">
        <v>367</v>
      </c>
      <c r="H285" s="507"/>
      <c r="I285" s="507"/>
      <c r="J285" s="510"/>
      <c r="K285" s="507"/>
    </row>
    <row r="286" spans="1:11" ht="26.4">
      <c r="A286" s="521">
        <v>35</v>
      </c>
      <c r="B286" s="507" t="s">
        <v>808</v>
      </c>
      <c r="C286" s="509">
        <v>0.78</v>
      </c>
      <c r="D286" s="509"/>
      <c r="E286" s="509">
        <v>0.78</v>
      </c>
      <c r="F286" s="510" t="s">
        <v>37</v>
      </c>
      <c r="G286" s="507" t="s">
        <v>367</v>
      </c>
      <c r="H286" s="507"/>
      <c r="I286" s="507" t="s">
        <v>1093</v>
      </c>
      <c r="J286" s="510">
        <v>2025</v>
      </c>
      <c r="K286" s="507"/>
    </row>
    <row r="287" spans="1:11" ht="26.4">
      <c r="A287" s="521">
        <v>36</v>
      </c>
      <c r="B287" s="507" t="s">
        <v>809</v>
      </c>
      <c r="C287" s="509">
        <v>0.6</v>
      </c>
      <c r="D287" s="509"/>
      <c r="E287" s="509">
        <v>0.6</v>
      </c>
      <c r="F287" s="510" t="s">
        <v>37</v>
      </c>
      <c r="G287" s="507" t="s">
        <v>367</v>
      </c>
      <c r="H287" s="507"/>
      <c r="I287" s="507" t="s">
        <v>1093</v>
      </c>
      <c r="J287" s="510">
        <v>2025</v>
      </c>
      <c r="K287" s="507"/>
    </row>
    <row r="288" spans="1:11" ht="26.4">
      <c r="A288" s="521">
        <v>37</v>
      </c>
      <c r="B288" s="507" t="s">
        <v>810</v>
      </c>
      <c r="C288" s="509">
        <v>0.6</v>
      </c>
      <c r="D288" s="509"/>
      <c r="E288" s="509">
        <v>0.6</v>
      </c>
      <c r="F288" s="510" t="s">
        <v>37</v>
      </c>
      <c r="G288" s="507" t="s">
        <v>367</v>
      </c>
      <c r="H288" s="507"/>
      <c r="I288" s="507" t="s">
        <v>1093</v>
      </c>
      <c r="J288" s="510">
        <v>2025</v>
      </c>
      <c r="K288" s="507"/>
    </row>
    <row r="289" spans="1:11" ht="26.4">
      <c r="A289" s="521">
        <v>38</v>
      </c>
      <c r="B289" s="507" t="s">
        <v>811</v>
      </c>
      <c r="C289" s="509">
        <v>0.3</v>
      </c>
      <c r="D289" s="509"/>
      <c r="E289" s="509">
        <v>0.3</v>
      </c>
      <c r="F289" s="510" t="s">
        <v>37</v>
      </c>
      <c r="G289" s="507" t="s">
        <v>367</v>
      </c>
      <c r="H289" s="507"/>
      <c r="I289" s="507" t="s">
        <v>1093</v>
      </c>
      <c r="J289" s="510">
        <v>2025</v>
      </c>
      <c r="K289" s="507"/>
    </row>
    <row r="290" spans="1:11" ht="26.4">
      <c r="A290" s="521">
        <v>39</v>
      </c>
      <c r="B290" s="507" t="s">
        <v>812</v>
      </c>
      <c r="C290" s="509">
        <v>3.7</v>
      </c>
      <c r="D290" s="509"/>
      <c r="E290" s="509">
        <v>3.7</v>
      </c>
      <c r="F290" s="510" t="s">
        <v>37</v>
      </c>
      <c r="G290" s="507" t="s">
        <v>372</v>
      </c>
      <c r="H290" s="507"/>
      <c r="I290" s="507" t="s">
        <v>1093</v>
      </c>
      <c r="J290" s="510">
        <v>2025</v>
      </c>
      <c r="K290" s="507"/>
    </row>
    <row r="291" spans="1:11" ht="26.4">
      <c r="A291" s="521">
        <v>40</v>
      </c>
      <c r="B291" s="507" t="s">
        <v>813</v>
      </c>
      <c r="C291" s="509">
        <v>0.84</v>
      </c>
      <c r="D291" s="509"/>
      <c r="E291" s="509">
        <v>0.84</v>
      </c>
      <c r="F291" s="510" t="s">
        <v>37</v>
      </c>
      <c r="G291" s="507" t="s">
        <v>372</v>
      </c>
      <c r="H291" s="507"/>
      <c r="I291" s="507" t="s">
        <v>1093</v>
      </c>
      <c r="J291" s="510">
        <v>2025</v>
      </c>
      <c r="K291" s="507"/>
    </row>
    <row r="292" spans="1:11" ht="26.4">
      <c r="A292" s="521">
        <v>41</v>
      </c>
      <c r="B292" s="507" t="s">
        <v>814</v>
      </c>
      <c r="C292" s="509">
        <v>5.9</v>
      </c>
      <c r="D292" s="509"/>
      <c r="E292" s="509">
        <v>5.9</v>
      </c>
      <c r="F292" s="510" t="s">
        <v>37</v>
      </c>
      <c r="G292" s="507" t="s">
        <v>372</v>
      </c>
      <c r="H292" s="507"/>
      <c r="I292" s="507" t="s">
        <v>1093</v>
      </c>
      <c r="J292" s="510">
        <v>2025</v>
      </c>
      <c r="K292" s="507"/>
    </row>
    <row r="293" spans="1:11">
      <c r="A293" s="521">
        <v>42</v>
      </c>
      <c r="B293" s="507" t="s">
        <v>447</v>
      </c>
      <c r="C293" s="509">
        <v>24.972000000000001</v>
      </c>
      <c r="D293" s="509">
        <v>0</v>
      </c>
      <c r="E293" s="509">
        <v>24.972000000000001</v>
      </c>
      <c r="F293" s="510"/>
      <c r="G293" s="507"/>
      <c r="H293" s="507"/>
      <c r="I293" s="507"/>
      <c r="J293" s="510"/>
      <c r="K293" s="507"/>
    </row>
    <row r="294" spans="1:11" s="499" customFormat="1">
      <c r="A294" s="524"/>
      <c r="B294" s="514"/>
      <c r="C294" s="516">
        <v>15.171999999999999</v>
      </c>
      <c r="D294" s="516"/>
      <c r="E294" s="516">
        <v>15.171999999999999</v>
      </c>
      <c r="F294" s="517" t="s">
        <v>37</v>
      </c>
      <c r="G294" s="514" t="s">
        <v>379</v>
      </c>
      <c r="H294" s="514"/>
      <c r="I294" s="514"/>
      <c r="J294" s="517"/>
      <c r="K294" s="514"/>
    </row>
    <row r="295" spans="1:11" s="499" customFormat="1">
      <c r="A295" s="524"/>
      <c r="B295" s="514"/>
      <c r="C295" s="516">
        <v>9.8000000000000007</v>
      </c>
      <c r="D295" s="516"/>
      <c r="E295" s="516">
        <v>9.8000000000000007</v>
      </c>
      <c r="F295" s="517" t="s">
        <v>37</v>
      </c>
      <c r="G295" s="514" t="s">
        <v>391</v>
      </c>
      <c r="H295" s="514"/>
      <c r="I295" s="514"/>
      <c r="J295" s="517"/>
      <c r="K295" s="514"/>
    </row>
    <row r="296" spans="1:11">
      <c r="A296" s="521">
        <v>43</v>
      </c>
      <c r="B296" s="507" t="s">
        <v>449</v>
      </c>
      <c r="C296" s="509">
        <v>22</v>
      </c>
      <c r="D296" s="509"/>
      <c r="E296" s="509">
        <v>22</v>
      </c>
      <c r="F296" s="510" t="s">
        <v>37</v>
      </c>
      <c r="G296" s="507" t="s">
        <v>379</v>
      </c>
      <c r="H296" s="507"/>
      <c r="I296" s="507"/>
      <c r="J296" s="510"/>
      <c r="K296" s="507"/>
    </row>
    <row r="297" spans="1:11">
      <c r="A297" s="521">
        <v>44</v>
      </c>
      <c r="B297" s="507" t="s">
        <v>815</v>
      </c>
      <c r="C297" s="509">
        <v>1.5</v>
      </c>
      <c r="D297" s="509"/>
      <c r="E297" s="509">
        <v>1.5</v>
      </c>
      <c r="F297" s="510" t="s">
        <v>37</v>
      </c>
      <c r="G297" s="507" t="s">
        <v>379</v>
      </c>
      <c r="H297" s="507"/>
      <c r="I297" s="507"/>
      <c r="J297" s="510"/>
      <c r="K297" s="507"/>
    </row>
    <row r="298" spans="1:11" ht="26.4">
      <c r="A298" s="521">
        <v>45</v>
      </c>
      <c r="B298" s="507" t="s">
        <v>816</v>
      </c>
      <c r="C298" s="509">
        <v>15</v>
      </c>
      <c r="D298" s="509">
        <v>0</v>
      </c>
      <c r="E298" s="509">
        <v>15</v>
      </c>
      <c r="F298" s="510"/>
      <c r="G298" s="507"/>
      <c r="H298" s="507"/>
      <c r="I298" s="507" t="s">
        <v>1163</v>
      </c>
      <c r="J298" s="510">
        <v>2021</v>
      </c>
      <c r="K298" s="507"/>
    </row>
    <row r="299" spans="1:11" s="499" customFormat="1">
      <c r="A299" s="524"/>
      <c r="B299" s="514"/>
      <c r="C299" s="516">
        <v>5</v>
      </c>
      <c r="D299" s="516"/>
      <c r="E299" s="516">
        <v>5</v>
      </c>
      <c r="F299" s="517" t="s">
        <v>37</v>
      </c>
      <c r="G299" s="514" t="s">
        <v>379</v>
      </c>
      <c r="H299" s="514"/>
      <c r="I299" s="514"/>
      <c r="J299" s="517"/>
      <c r="K299" s="514"/>
    </row>
    <row r="300" spans="1:11" s="499" customFormat="1">
      <c r="A300" s="524"/>
      <c r="B300" s="514"/>
      <c r="C300" s="516">
        <v>5</v>
      </c>
      <c r="D300" s="516"/>
      <c r="E300" s="516">
        <v>5</v>
      </c>
      <c r="F300" s="517" t="s">
        <v>37</v>
      </c>
      <c r="G300" s="514" t="s">
        <v>380</v>
      </c>
      <c r="H300" s="514"/>
      <c r="I300" s="514"/>
      <c r="J300" s="517"/>
      <c r="K300" s="514"/>
    </row>
    <row r="301" spans="1:11" s="499" customFormat="1">
      <c r="A301" s="524"/>
      <c r="B301" s="514"/>
      <c r="C301" s="516">
        <v>5</v>
      </c>
      <c r="D301" s="516"/>
      <c r="E301" s="516">
        <v>5</v>
      </c>
      <c r="F301" s="517" t="s">
        <v>37</v>
      </c>
      <c r="G301" s="514" t="s">
        <v>391</v>
      </c>
      <c r="H301" s="514"/>
      <c r="I301" s="514"/>
      <c r="J301" s="517"/>
      <c r="K301" s="514"/>
    </row>
    <row r="302" spans="1:11" ht="26.4">
      <c r="A302" s="521">
        <v>46</v>
      </c>
      <c r="B302" s="507" t="s">
        <v>817</v>
      </c>
      <c r="C302" s="509">
        <v>0.35</v>
      </c>
      <c r="D302" s="509"/>
      <c r="E302" s="509">
        <v>0.35</v>
      </c>
      <c r="F302" s="510" t="s">
        <v>37</v>
      </c>
      <c r="G302" s="507" t="s">
        <v>379</v>
      </c>
      <c r="H302" s="507"/>
      <c r="I302" s="507" t="s">
        <v>1080</v>
      </c>
      <c r="J302" s="510">
        <v>2025</v>
      </c>
      <c r="K302" s="507"/>
    </row>
    <row r="303" spans="1:11" ht="52.8">
      <c r="A303" s="521">
        <v>47</v>
      </c>
      <c r="B303" s="507" t="s">
        <v>818</v>
      </c>
      <c r="C303" s="509">
        <v>35</v>
      </c>
      <c r="D303" s="509"/>
      <c r="E303" s="509">
        <v>35</v>
      </c>
      <c r="F303" s="510" t="s">
        <v>820</v>
      </c>
      <c r="G303" s="507" t="s">
        <v>380</v>
      </c>
      <c r="H303" s="507"/>
      <c r="I303" s="507" t="s">
        <v>1078</v>
      </c>
      <c r="J303" s="510">
        <v>2025</v>
      </c>
      <c r="K303" s="507"/>
    </row>
    <row r="304" spans="1:11" ht="26.4">
      <c r="A304" s="521">
        <v>48</v>
      </c>
      <c r="B304" s="507" t="s">
        <v>450</v>
      </c>
      <c r="C304" s="509">
        <v>41.480000000000004</v>
      </c>
      <c r="D304" s="509">
        <v>0</v>
      </c>
      <c r="E304" s="509">
        <v>41.480000000000004</v>
      </c>
      <c r="F304" s="510"/>
      <c r="G304" s="507"/>
      <c r="H304" s="507"/>
      <c r="I304" s="507"/>
      <c r="J304" s="510">
        <v>2025</v>
      </c>
      <c r="K304" s="507"/>
    </row>
    <row r="305" spans="1:11" s="499" customFormat="1">
      <c r="A305" s="524"/>
      <c r="B305" s="514"/>
      <c r="C305" s="516">
        <v>19.98</v>
      </c>
      <c r="D305" s="516"/>
      <c r="E305" s="516">
        <v>19.98</v>
      </c>
      <c r="F305" s="517" t="s">
        <v>37</v>
      </c>
      <c r="G305" s="514" t="s">
        <v>380</v>
      </c>
      <c r="H305" s="514"/>
      <c r="I305" s="514"/>
      <c r="J305" s="517"/>
      <c r="K305" s="514"/>
    </row>
    <row r="306" spans="1:11" s="499" customFormat="1">
      <c r="A306" s="524"/>
      <c r="B306" s="514"/>
      <c r="C306" s="516">
        <v>12</v>
      </c>
      <c r="D306" s="516"/>
      <c r="E306" s="516">
        <v>12</v>
      </c>
      <c r="F306" s="517" t="s">
        <v>37</v>
      </c>
      <c r="G306" s="514" t="s">
        <v>417</v>
      </c>
      <c r="H306" s="514"/>
      <c r="I306" s="514"/>
      <c r="J306" s="517"/>
      <c r="K306" s="514"/>
    </row>
    <row r="307" spans="1:11" s="499" customFormat="1">
      <c r="A307" s="524"/>
      <c r="B307" s="514"/>
      <c r="C307" s="516">
        <v>9.5</v>
      </c>
      <c r="D307" s="516"/>
      <c r="E307" s="516">
        <v>9.5</v>
      </c>
      <c r="F307" s="517" t="s">
        <v>37</v>
      </c>
      <c r="G307" s="514" t="s">
        <v>389</v>
      </c>
      <c r="H307" s="514"/>
      <c r="I307" s="514"/>
      <c r="J307" s="517"/>
      <c r="K307" s="514"/>
    </row>
    <row r="308" spans="1:11" ht="66">
      <c r="A308" s="521">
        <v>49</v>
      </c>
      <c r="B308" s="507" t="s">
        <v>819</v>
      </c>
      <c r="C308" s="509">
        <v>25.92</v>
      </c>
      <c r="D308" s="509">
        <v>0</v>
      </c>
      <c r="E308" s="509">
        <v>25.92</v>
      </c>
      <c r="F308" s="510"/>
      <c r="G308" s="507"/>
      <c r="H308" s="509"/>
      <c r="I308" s="507" t="s">
        <v>1164</v>
      </c>
      <c r="J308" s="510">
        <v>2025</v>
      </c>
      <c r="K308" s="507"/>
    </row>
    <row r="309" spans="1:11" s="499" customFormat="1">
      <c r="A309" s="524"/>
      <c r="B309" s="514"/>
      <c r="C309" s="516">
        <v>15.5</v>
      </c>
      <c r="D309" s="516"/>
      <c r="E309" s="516">
        <v>15.5</v>
      </c>
      <c r="F309" s="517" t="s">
        <v>820</v>
      </c>
      <c r="G309" s="514" t="s">
        <v>380</v>
      </c>
      <c r="H309" s="516"/>
      <c r="I309" s="516"/>
      <c r="J309" s="517"/>
      <c r="K309" s="514"/>
    </row>
    <row r="310" spans="1:11" s="499" customFormat="1">
      <c r="A310" s="524"/>
      <c r="B310" s="514"/>
      <c r="C310" s="516">
        <v>10.42</v>
      </c>
      <c r="D310" s="516"/>
      <c r="E310" s="516">
        <v>10.42</v>
      </c>
      <c r="F310" s="517" t="s">
        <v>820</v>
      </c>
      <c r="G310" s="514" t="s">
        <v>417</v>
      </c>
      <c r="H310" s="516"/>
      <c r="I310" s="516"/>
      <c r="J310" s="517"/>
      <c r="K310" s="514"/>
    </row>
    <row r="311" spans="1:11" ht="66">
      <c r="A311" s="521">
        <v>51</v>
      </c>
      <c r="B311" s="507" t="s">
        <v>451</v>
      </c>
      <c r="C311" s="509">
        <v>15</v>
      </c>
      <c r="D311" s="509"/>
      <c r="E311" s="509">
        <v>15</v>
      </c>
      <c r="F311" s="510" t="s">
        <v>1079</v>
      </c>
      <c r="G311" s="507" t="s">
        <v>380</v>
      </c>
      <c r="H311" s="507"/>
      <c r="I311" s="507" t="s">
        <v>1165</v>
      </c>
      <c r="J311" s="510">
        <v>2021</v>
      </c>
      <c r="K311" s="507"/>
    </row>
    <row r="312" spans="1:11" ht="26.4">
      <c r="A312" s="521">
        <v>52</v>
      </c>
      <c r="B312" s="507" t="s">
        <v>452</v>
      </c>
      <c r="C312" s="509">
        <v>0.13</v>
      </c>
      <c r="D312" s="509"/>
      <c r="E312" s="509">
        <v>0.13</v>
      </c>
      <c r="F312" s="510" t="s">
        <v>37</v>
      </c>
      <c r="G312" s="507" t="s">
        <v>380</v>
      </c>
      <c r="H312" s="507"/>
      <c r="I312" s="507" t="s">
        <v>1166</v>
      </c>
      <c r="J312" s="510">
        <v>2021</v>
      </c>
      <c r="K312" s="507"/>
    </row>
    <row r="313" spans="1:11" ht="39.6">
      <c r="A313" s="521">
        <v>53</v>
      </c>
      <c r="B313" s="507" t="s">
        <v>453</v>
      </c>
      <c r="C313" s="509">
        <v>10.489999999999998</v>
      </c>
      <c r="D313" s="509">
        <v>0</v>
      </c>
      <c r="E313" s="509">
        <v>10.489999999999998</v>
      </c>
      <c r="F313" s="510"/>
      <c r="G313" s="507"/>
      <c r="H313" s="507"/>
      <c r="I313" s="507" t="s">
        <v>1167</v>
      </c>
      <c r="J313" s="510">
        <v>2021</v>
      </c>
      <c r="K313" s="507"/>
    </row>
    <row r="314" spans="1:11" s="499" customFormat="1">
      <c r="A314" s="524"/>
      <c r="B314" s="514"/>
      <c r="C314" s="516">
        <v>4.72</v>
      </c>
      <c r="D314" s="516"/>
      <c r="E314" s="516">
        <v>4.72</v>
      </c>
      <c r="F314" s="517" t="s">
        <v>37</v>
      </c>
      <c r="G314" s="514" t="s">
        <v>380</v>
      </c>
      <c r="H314" s="514"/>
      <c r="I314" s="514"/>
      <c r="J314" s="517"/>
      <c r="K314" s="514"/>
    </row>
    <row r="315" spans="1:11" s="499" customFormat="1">
      <c r="A315" s="524"/>
      <c r="B315" s="514"/>
      <c r="C315" s="516">
        <v>1.05</v>
      </c>
      <c r="D315" s="516"/>
      <c r="E315" s="516">
        <v>1.05</v>
      </c>
      <c r="F315" s="517" t="s">
        <v>37</v>
      </c>
      <c r="G315" s="514" t="s">
        <v>417</v>
      </c>
      <c r="H315" s="514"/>
      <c r="I315" s="514"/>
      <c r="J315" s="517"/>
      <c r="K315" s="514"/>
    </row>
    <row r="316" spans="1:11" s="499" customFormat="1">
      <c r="A316" s="524"/>
      <c r="B316" s="514"/>
      <c r="C316" s="516">
        <v>4.72</v>
      </c>
      <c r="D316" s="516"/>
      <c r="E316" s="516">
        <v>4.72</v>
      </c>
      <c r="F316" s="517" t="s">
        <v>37</v>
      </c>
      <c r="G316" s="514" t="s">
        <v>389</v>
      </c>
      <c r="H316" s="514"/>
      <c r="I316" s="514"/>
      <c r="J316" s="517"/>
      <c r="K316" s="514"/>
    </row>
    <row r="317" spans="1:11" ht="26.4">
      <c r="A317" s="521">
        <v>54</v>
      </c>
      <c r="B317" s="507" t="s">
        <v>821</v>
      </c>
      <c r="C317" s="509">
        <v>7.5</v>
      </c>
      <c r="D317" s="509"/>
      <c r="E317" s="509">
        <v>7.5</v>
      </c>
      <c r="F317" s="510" t="s">
        <v>37</v>
      </c>
      <c r="G317" s="507" t="s">
        <v>380</v>
      </c>
      <c r="H317" s="507"/>
      <c r="I317" s="507" t="s">
        <v>1080</v>
      </c>
      <c r="J317" s="510">
        <v>2025</v>
      </c>
      <c r="K317" s="507"/>
    </row>
    <row r="318" spans="1:11">
      <c r="A318" s="521">
        <v>55</v>
      </c>
      <c r="B318" s="507" t="s">
        <v>454</v>
      </c>
      <c r="C318" s="509">
        <v>5</v>
      </c>
      <c r="D318" s="509"/>
      <c r="E318" s="509">
        <v>5</v>
      </c>
      <c r="F318" s="510" t="s">
        <v>37</v>
      </c>
      <c r="G318" s="507" t="s">
        <v>380</v>
      </c>
      <c r="H318" s="507"/>
      <c r="I318" s="507"/>
      <c r="J318" s="510">
        <v>2030</v>
      </c>
      <c r="K318" s="507"/>
    </row>
    <row r="319" spans="1:11" ht="26.4">
      <c r="A319" s="521">
        <v>56</v>
      </c>
      <c r="B319" s="507" t="s">
        <v>465</v>
      </c>
      <c r="C319" s="509">
        <v>17.600000000000001</v>
      </c>
      <c r="D319" s="509">
        <v>0</v>
      </c>
      <c r="E319" s="509">
        <v>17.600000000000001</v>
      </c>
      <c r="F319" s="510"/>
      <c r="G319" s="507"/>
      <c r="H319" s="507"/>
      <c r="I319" s="507"/>
      <c r="J319" s="510">
        <v>2030</v>
      </c>
      <c r="K319" s="507"/>
    </row>
    <row r="320" spans="1:11" s="499" customFormat="1">
      <c r="A320" s="524"/>
      <c r="B320" s="514"/>
      <c r="C320" s="516">
        <v>13.200000000000001</v>
      </c>
      <c r="D320" s="516"/>
      <c r="E320" s="516">
        <v>13.200000000000001</v>
      </c>
      <c r="F320" s="517" t="s">
        <v>37</v>
      </c>
      <c r="G320" s="514" t="s">
        <v>417</v>
      </c>
      <c r="H320" s="514"/>
      <c r="I320" s="514"/>
      <c r="J320" s="517"/>
      <c r="K320" s="514"/>
    </row>
    <row r="321" spans="1:11" s="499" customFormat="1">
      <c r="A321" s="524"/>
      <c r="B321" s="514"/>
      <c r="C321" s="516">
        <v>4.4000000000000004</v>
      </c>
      <c r="D321" s="516"/>
      <c r="E321" s="516">
        <v>4.4000000000000004</v>
      </c>
      <c r="F321" s="517" t="s">
        <v>37</v>
      </c>
      <c r="G321" s="514" t="s">
        <v>389</v>
      </c>
      <c r="H321" s="514"/>
      <c r="I321" s="514"/>
      <c r="J321" s="517"/>
      <c r="K321" s="514"/>
    </row>
    <row r="322" spans="1:11" ht="26.4">
      <c r="A322" s="521">
        <v>57</v>
      </c>
      <c r="B322" s="507" t="s">
        <v>822</v>
      </c>
      <c r="C322" s="509">
        <v>0.2</v>
      </c>
      <c r="D322" s="509"/>
      <c r="E322" s="509">
        <v>0.2</v>
      </c>
      <c r="F322" s="510" t="s">
        <v>37</v>
      </c>
      <c r="G322" s="507" t="s">
        <v>417</v>
      </c>
      <c r="H322" s="507"/>
      <c r="I322" s="507" t="s">
        <v>1080</v>
      </c>
      <c r="J322" s="510">
        <v>2025</v>
      </c>
      <c r="K322" s="507"/>
    </row>
    <row r="323" spans="1:11" ht="26.4">
      <c r="A323" s="521">
        <v>58</v>
      </c>
      <c r="B323" s="507" t="s">
        <v>823</v>
      </c>
      <c r="C323" s="509">
        <v>0.6</v>
      </c>
      <c r="D323" s="509"/>
      <c r="E323" s="509">
        <v>0.6</v>
      </c>
      <c r="F323" s="510" t="s">
        <v>37</v>
      </c>
      <c r="G323" s="507" t="s">
        <v>417</v>
      </c>
      <c r="H323" s="507"/>
      <c r="I323" s="507" t="s">
        <v>1080</v>
      </c>
      <c r="J323" s="510">
        <v>2025</v>
      </c>
      <c r="K323" s="507"/>
    </row>
    <row r="324" spans="1:11" ht="26.4">
      <c r="A324" s="521">
        <v>59</v>
      </c>
      <c r="B324" s="507" t="s">
        <v>824</v>
      </c>
      <c r="C324" s="509">
        <v>0.08</v>
      </c>
      <c r="D324" s="509"/>
      <c r="E324" s="509">
        <v>0.08</v>
      </c>
      <c r="F324" s="510" t="s">
        <v>37</v>
      </c>
      <c r="G324" s="507" t="s">
        <v>417</v>
      </c>
      <c r="H324" s="507"/>
      <c r="I324" s="507" t="s">
        <v>1080</v>
      </c>
      <c r="J324" s="510">
        <v>2025</v>
      </c>
      <c r="K324" s="507"/>
    </row>
    <row r="325" spans="1:11" ht="26.4">
      <c r="A325" s="521">
        <v>60</v>
      </c>
      <c r="B325" s="507" t="s">
        <v>825</v>
      </c>
      <c r="C325" s="509">
        <v>0.6</v>
      </c>
      <c r="D325" s="509"/>
      <c r="E325" s="509">
        <v>0.6</v>
      </c>
      <c r="F325" s="510" t="s">
        <v>37</v>
      </c>
      <c r="G325" s="507" t="s">
        <v>417</v>
      </c>
      <c r="H325" s="507"/>
      <c r="I325" s="507" t="s">
        <v>1080</v>
      </c>
      <c r="J325" s="510">
        <v>2025</v>
      </c>
      <c r="K325" s="507"/>
    </row>
    <row r="326" spans="1:11" ht="26.4">
      <c r="A326" s="521">
        <v>61</v>
      </c>
      <c r="B326" s="507" t="s">
        <v>826</v>
      </c>
      <c r="C326" s="509">
        <v>0.65</v>
      </c>
      <c r="D326" s="509"/>
      <c r="E326" s="509">
        <v>0.65</v>
      </c>
      <c r="F326" s="510" t="s">
        <v>37</v>
      </c>
      <c r="G326" s="507" t="s">
        <v>417</v>
      </c>
      <c r="H326" s="507"/>
      <c r="I326" s="507" t="s">
        <v>1080</v>
      </c>
      <c r="J326" s="510">
        <v>2025</v>
      </c>
      <c r="K326" s="507"/>
    </row>
    <row r="327" spans="1:11" ht="26.4">
      <c r="A327" s="521">
        <v>62</v>
      </c>
      <c r="B327" s="507" t="s">
        <v>827</v>
      </c>
      <c r="C327" s="509">
        <v>0.15</v>
      </c>
      <c r="D327" s="509"/>
      <c r="E327" s="509">
        <v>0.15</v>
      </c>
      <c r="F327" s="510" t="s">
        <v>37</v>
      </c>
      <c r="G327" s="507" t="s">
        <v>417</v>
      </c>
      <c r="H327" s="507"/>
      <c r="I327" s="507" t="s">
        <v>1080</v>
      </c>
      <c r="J327" s="510">
        <v>2025</v>
      </c>
      <c r="K327" s="507"/>
    </row>
    <row r="328" spans="1:11" ht="26.4">
      <c r="A328" s="521">
        <v>63</v>
      </c>
      <c r="B328" s="507" t="s">
        <v>828</v>
      </c>
      <c r="C328" s="509">
        <v>0.3</v>
      </c>
      <c r="D328" s="509"/>
      <c r="E328" s="509">
        <v>0.3</v>
      </c>
      <c r="F328" s="510" t="s">
        <v>37</v>
      </c>
      <c r="G328" s="507" t="s">
        <v>417</v>
      </c>
      <c r="H328" s="507"/>
      <c r="I328" s="507" t="s">
        <v>1080</v>
      </c>
      <c r="J328" s="510">
        <v>2025</v>
      </c>
      <c r="K328" s="507"/>
    </row>
    <row r="329" spans="1:11">
      <c r="A329" s="521">
        <v>64</v>
      </c>
      <c r="B329" s="507" t="s">
        <v>466</v>
      </c>
      <c r="C329" s="509">
        <v>6.68</v>
      </c>
      <c r="D329" s="509"/>
      <c r="E329" s="509">
        <v>6.68</v>
      </c>
      <c r="F329" s="510" t="s">
        <v>37</v>
      </c>
      <c r="G329" s="507" t="s">
        <v>391</v>
      </c>
      <c r="H329" s="507"/>
      <c r="I329" s="507"/>
      <c r="J329" s="510">
        <v>2030</v>
      </c>
      <c r="K329" s="507"/>
    </row>
    <row r="330" spans="1:11">
      <c r="A330" s="521">
        <v>65</v>
      </c>
      <c r="B330" s="507" t="s">
        <v>467</v>
      </c>
      <c r="C330" s="509">
        <v>14</v>
      </c>
      <c r="D330" s="509"/>
      <c r="E330" s="509">
        <v>14</v>
      </c>
      <c r="F330" s="510" t="s">
        <v>37</v>
      </c>
      <c r="G330" s="507" t="s">
        <v>391</v>
      </c>
      <c r="H330" s="507"/>
      <c r="I330" s="507"/>
      <c r="J330" s="510">
        <v>2030</v>
      </c>
      <c r="K330" s="507"/>
    </row>
    <row r="331" spans="1:11" ht="26.4">
      <c r="A331" s="521">
        <v>66</v>
      </c>
      <c r="B331" s="507" t="s">
        <v>1081</v>
      </c>
      <c r="C331" s="509">
        <v>1</v>
      </c>
      <c r="D331" s="509"/>
      <c r="E331" s="509">
        <v>1</v>
      </c>
      <c r="F331" s="510" t="s">
        <v>37</v>
      </c>
      <c r="G331" s="507" t="s">
        <v>391</v>
      </c>
      <c r="H331" s="507"/>
      <c r="I331" s="507" t="s">
        <v>1080</v>
      </c>
      <c r="J331" s="510">
        <v>2025</v>
      </c>
      <c r="K331" s="507"/>
    </row>
    <row r="332" spans="1:11" ht="52.8">
      <c r="A332" s="521">
        <v>67</v>
      </c>
      <c r="B332" s="507" t="s">
        <v>1121</v>
      </c>
      <c r="C332" s="509">
        <v>36</v>
      </c>
      <c r="D332" s="509">
        <v>0</v>
      </c>
      <c r="E332" s="509">
        <v>36</v>
      </c>
      <c r="F332" s="510"/>
      <c r="G332" s="507"/>
      <c r="H332" s="507"/>
      <c r="I332" s="507" t="s">
        <v>1158</v>
      </c>
      <c r="J332" s="510">
        <v>2025</v>
      </c>
      <c r="K332" s="507"/>
    </row>
    <row r="333" spans="1:11" s="499" customFormat="1">
      <c r="A333" s="524"/>
      <c r="B333" s="514"/>
      <c r="C333" s="516">
        <v>18</v>
      </c>
      <c r="D333" s="516"/>
      <c r="E333" s="516">
        <v>18</v>
      </c>
      <c r="F333" s="517" t="s">
        <v>820</v>
      </c>
      <c r="G333" s="514" t="s">
        <v>365</v>
      </c>
      <c r="H333" s="514"/>
      <c r="I333" s="514"/>
      <c r="J333" s="517"/>
      <c r="K333" s="514"/>
    </row>
    <row r="334" spans="1:11" s="499" customFormat="1">
      <c r="A334" s="524"/>
      <c r="B334" s="514"/>
      <c r="C334" s="516">
        <v>18</v>
      </c>
      <c r="D334" s="516"/>
      <c r="E334" s="516">
        <v>18</v>
      </c>
      <c r="F334" s="517" t="s">
        <v>820</v>
      </c>
      <c r="G334" s="514" t="s">
        <v>389</v>
      </c>
      <c r="H334" s="514"/>
      <c r="I334" s="514"/>
      <c r="J334" s="517"/>
      <c r="K334" s="514"/>
    </row>
    <row r="335" spans="1:11" ht="26.4">
      <c r="A335" s="521">
        <v>68</v>
      </c>
      <c r="B335" s="507" t="s">
        <v>801</v>
      </c>
      <c r="C335" s="509">
        <v>567.55999999999995</v>
      </c>
      <c r="D335" s="509">
        <v>0</v>
      </c>
      <c r="E335" s="509">
        <v>567.55999999999995</v>
      </c>
      <c r="F335" s="510"/>
      <c r="G335" s="507"/>
      <c r="H335" s="507"/>
      <c r="I335" s="507"/>
      <c r="J335" s="510"/>
      <c r="K335" s="507"/>
    </row>
    <row r="336" spans="1:11" s="499" customFormat="1">
      <c r="A336" s="524"/>
      <c r="B336" s="514"/>
      <c r="C336" s="516"/>
      <c r="D336" s="516"/>
      <c r="E336" s="516">
        <v>0</v>
      </c>
      <c r="F336" s="517" t="s">
        <v>37</v>
      </c>
      <c r="G336" s="514" t="s">
        <v>393</v>
      </c>
      <c r="H336" s="514"/>
      <c r="I336" s="514"/>
      <c r="J336" s="517"/>
      <c r="K336" s="514"/>
    </row>
    <row r="337" spans="1:11" s="499" customFormat="1">
      <c r="A337" s="524"/>
      <c r="B337" s="514"/>
      <c r="C337" s="516">
        <v>70</v>
      </c>
      <c r="D337" s="516"/>
      <c r="E337" s="516">
        <v>70</v>
      </c>
      <c r="F337" s="517" t="s">
        <v>37</v>
      </c>
      <c r="G337" s="514" t="s">
        <v>369</v>
      </c>
      <c r="H337" s="514"/>
      <c r="I337" s="514"/>
      <c r="J337" s="517"/>
      <c r="K337" s="514"/>
    </row>
    <row r="338" spans="1:11" s="499" customFormat="1">
      <c r="A338" s="524"/>
      <c r="B338" s="514"/>
      <c r="C338" s="516">
        <v>24</v>
      </c>
      <c r="D338" s="516"/>
      <c r="E338" s="516">
        <v>24</v>
      </c>
      <c r="F338" s="517" t="s">
        <v>37</v>
      </c>
      <c r="G338" s="514" t="s">
        <v>390</v>
      </c>
      <c r="H338" s="514"/>
      <c r="I338" s="514"/>
      <c r="J338" s="517"/>
      <c r="K338" s="514"/>
    </row>
    <row r="339" spans="1:11" s="499" customFormat="1">
      <c r="A339" s="524"/>
      <c r="B339" s="514"/>
      <c r="C339" s="516">
        <v>65</v>
      </c>
      <c r="D339" s="516"/>
      <c r="E339" s="516">
        <v>65</v>
      </c>
      <c r="F339" s="517" t="s">
        <v>37</v>
      </c>
      <c r="G339" s="514" t="s">
        <v>365</v>
      </c>
      <c r="H339" s="514"/>
      <c r="I339" s="514"/>
      <c r="J339" s="517"/>
      <c r="K339" s="514"/>
    </row>
    <row r="340" spans="1:11" s="499" customFormat="1">
      <c r="A340" s="524"/>
      <c r="B340" s="514"/>
      <c r="C340" s="516">
        <v>65</v>
      </c>
      <c r="D340" s="516"/>
      <c r="E340" s="516">
        <v>65</v>
      </c>
      <c r="F340" s="517" t="s">
        <v>37</v>
      </c>
      <c r="G340" s="514" t="s">
        <v>367</v>
      </c>
      <c r="H340" s="514"/>
      <c r="I340" s="514"/>
      <c r="J340" s="517"/>
      <c r="K340" s="514"/>
    </row>
    <row r="341" spans="1:11" s="499" customFormat="1">
      <c r="A341" s="524"/>
      <c r="B341" s="514"/>
      <c r="C341" s="516">
        <v>56</v>
      </c>
      <c r="D341" s="516"/>
      <c r="E341" s="516">
        <v>56</v>
      </c>
      <c r="F341" s="517" t="s">
        <v>37</v>
      </c>
      <c r="G341" s="514" t="s">
        <v>370</v>
      </c>
      <c r="H341" s="514"/>
      <c r="I341" s="514"/>
      <c r="J341" s="517"/>
      <c r="K341" s="514"/>
    </row>
    <row r="342" spans="1:11" s="499" customFormat="1">
      <c r="A342" s="524"/>
      <c r="B342" s="514"/>
      <c r="C342" s="516">
        <v>62.559999999999995</v>
      </c>
      <c r="D342" s="516"/>
      <c r="E342" s="516">
        <v>62.559999999999995</v>
      </c>
      <c r="F342" s="517" t="s">
        <v>37</v>
      </c>
      <c r="G342" s="514" t="s">
        <v>372</v>
      </c>
      <c r="H342" s="514"/>
      <c r="I342" s="514"/>
      <c r="J342" s="517"/>
      <c r="K342" s="514"/>
    </row>
    <row r="343" spans="1:11" s="499" customFormat="1">
      <c r="A343" s="524"/>
      <c r="B343" s="514"/>
      <c r="C343" s="516">
        <v>40</v>
      </c>
      <c r="D343" s="516"/>
      <c r="E343" s="516">
        <v>40</v>
      </c>
      <c r="F343" s="517" t="s">
        <v>37</v>
      </c>
      <c r="G343" s="514" t="s">
        <v>379</v>
      </c>
      <c r="H343" s="514"/>
      <c r="I343" s="514"/>
      <c r="J343" s="517"/>
      <c r="K343" s="514"/>
    </row>
    <row r="344" spans="1:11" s="499" customFormat="1">
      <c r="A344" s="524"/>
      <c r="B344" s="514"/>
      <c r="C344" s="516">
        <v>65</v>
      </c>
      <c r="D344" s="516"/>
      <c r="E344" s="516">
        <v>65</v>
      </c>
      <c r="F344" s="517" t="s">
        <v>37</v>
      </c>
      <c r="G344" s="514" t="s">
        <v>408</v>
      </c>
      <c r="H344" s="514"/>
      <c r="I344" s="514"/>
      <c r="J344" s="517"/>
      <c r="K344" s="514"/>
    </row>
    <row r="345" spans="1:11" s="499" customFormat="1">
      <c r="A345" s="524"/>
      <c r="B345" s="514"/>
      <c r="C345" s="516"/>
      <c r="D345" s="516"/>
      <c r="E345" s="516">
        <v>0</v>
      </c>
      <c r="F345" s="517" t="s">
        <v>37</v>
      </c>
      <c r="G345" s="514" t="s">
        <v>380</v>
      </c>
      <c r="H345" s="514"/>
      <c r="I345" s="514"/>
      <c r="J345" s="517"/>
      <c r="K345" s="514"/>
    </row>
    <row r="346" spans="1:11" s="499" customFormat="1">
      <c r="A346" s="524"/>
      <c r="B346" s="514"/>
      <c r="C346" s="516">
        <v>25</v>
      </c>
      <c r="D346" s="516"/>
      <c r="E346" s="516">
        <v>25</v>
      </c>
      <c r="F346" s="517" t="s">
        <v>37</v>
      </c>
      <c r="G346" s="514" t="s">
        <v>417</v>
      </c>
      <c r="H346" s="514"/>
      <c r="I346" s="514"/>
      <c r="J346" s="517"/>
      <c r="K346" s="514"/>
    </row>
    <row r="347" spans="1:11" s="499" customFormat="1">
      <c r="A347" s="524"/>
      <c r="B347" s="514"/>
      <c r="C347" s="516">
        <v>90</v>
      </c>
      <c r="D347" s="516"/>
      <c r="E347" s="516">
        <v>90</v>
      </c>
      <c r="F347" s="517" t="s">
        <v>37</v>
      </c>
      <c r="G347" s="514" t="s">
        <v>391</v>
      </c>
      <c r="H347" s="514"/>
      <c r="I347" s="514"/>
      <c r="J347" s="517"/>
      <c r="K347" s="514"/>
    </row>
    <row r="348" spans="1:11" s="499" customFormat="1">
      <c r="A348" s="524"/>
      <c r="B348" s="514"/>
      <c r="C348" s="516">
        <v>5</v>
      </c>
      <c r="D348" s="516"/>
      <c r="E348" s="516">
        <v>5</v>
      </c>
      <c r="F348" s="517" t="s">
        <v>37</v>
      </c>
      <c r="G348" s="514" t="s">
        <v>389</v>
      </c>
      <c r="H348" s="514"/>
      <c r="I348" s="514"/>
      <c r="J348" s="517"/>
      <c r="K348" s="514"/>
    </row>
    <row r="349" spans="1:11" s="492" customFormat="1">
      <c r="A349" s="529" t="s">
        <v>345</v>
      </c>
      <c r="B349" s="501" t="s">
        <v>295</v>
      </c>
      <c r="C349" s="502">
        <v>233.27030000000002</v>
      </c>
      <c r="D349" s="502">
        <v>0</v>
      </c>
      <c r="E349" s="502">
        <v>233.27030000000002</v>
      </c>
      <c r="F349" s="503"/>
      <c r="G349" s="501"/>
      <c r="H349" s="512"/>
      <c r="I349" s="512"/>
      <c r="J349" s="503"/>
      <c r="K349" s="512"/>
    </row>
    <row r="350" spans="1:11" ht="79.2">
      <c r="A350" s="521">
        <v>1</v>
      </c>
      <c r="B350" s="507" t="s">
        <v>829</v>
      </c>
      <c r="C350" s="509">
        <v>2.85</v>
      </c>
      <c r="D350" s="509"/>
      <c r="E350" s="509">
        <v>2.85</v>
      </c>
      <c r="F350" s="510" t="s">
        <v>37</v>
      </c>
      <c r="G350" s="507" t="s">
        <v>393</v>
      </c>
      <c r="H350" s="507"/>
      <c r="I350" s="507" t="s">
        <v>1168</v>
      </c>
      <c r="J350" s="510">
        <v>2021</v>
      </c>
      <c r="K350" s="507"/>
    </row>
    <row r="351" spans="1:11" ht="52.8">
      <c r="A351" s="521">
        <v>2</v>
      </c>
      <c r="B351" s="507" t="s">
        <v>830</v>
      </c>
      <c r="C351" s="509">
        <v>3.58</v>
      </c>
      <c r="D351" s="509"/>
      <c r="E351" s="509">
        <v>3.58</v>
      </c>
      <c r="F351" s="510" t="s">
        <v>832</v>
      </c>
      <c r="G351" s="507" t="s">
        <v>393</v>
      </c>
      <c r="H351" s="507"/>
      <c r="I351" s="507" t="s">
        <v>1169</v>
      </c>
      <c r="J351" s="510">
        <v>2021</v>
      </c>
      <c r="K351" s="507"/>
    </row>
    <row r="352" spans="1:11" ht="26.4">
      <c r="A352" s="521">
        <v>3</v>
      </c>
      <c r="B352" s="507" t="s">
        <v>831</v>
      </c>
      <c r="C352" s="509">
        <v>77</v>
      </c>
      <c r="D352" s="509">
        <v>0</v>
      </c>
      <c r="E352" s="509">
        <v>77</v>
      </c>
      <c r="F352" s="507"/>
      <c r="G352" s="507"/>
      <c r="H352" s="507"/>
      <c r="I352" s="507"/>
      <c r="J352" s="510">
        <v>2030</v>
      </c>
      <c r="K352" s="507"/>
    </row>
    <row r="353" spans="1:11" s="499" customFormat="1">
      <c r="A353" s="524"/>
      <c r="B353" s="514"/>
      <c r="C353" s="516">
        <v>50</v>
      </c>
      <c r="D353" s="516"/>
      <c r="E353" s="516">
        <v>50</v>
      </c>
      <c r="F353" s="517" t="s">
        <v>833</v>
      </c>
      <c r="G353" s="514" t="s">
        <v>393</v>
      </c>
      <c r="H353" s="514"/>
      <c r="I353" s="514"/>
      <c r="J353" s="517"/>
      <c r="K353" s="514"/>
    </row>
    <row r="354" spans="1:11" s="499" customFormat="1">
      <c r="A354" s="524"/>
      <c r="B354" s="514"/>
      <c r="C354" s="516">
        <v>6</v>
      </c>
      <c r="D354" s="516"/>
      <c r="E354" s="516">
        <v>6</v>
      </c>
      <c r="F354" s="517" t="s">
        <v>837</v>
      </c>
      <c r="G354" s="514" t="s">
        <v>365</v>
      </c>
      <c r="H354" s="514"/>
      <c r="I354" s="514"/>
      <c r="J354" s="517"/>
      <c r="K354" s="514"/>
    </row>
    <row r="355" spans="1:11" s="499" customFormat="1">
      <c r="A355" s="524"/>
      <c r="B355" s="514"/>
      <c r="C355" s="516">
        <v>15</v>
      </c>
      <c r="D355" s="516"/>
      <c r="E355" s="516">
        <v>15</v>
      </c>
      <c r="F355" s="517" t="s">
        <v>37</v>
      </c>
      <c r="G355" s="514" t="s">
        <v>417</v>
      </c>
      <c r="H355" s="514"/>
      <c r="I355" s="514"/>
      <c r="J355" s="517"/>
      <c r="K355" s="514"/>
    </row>
    <row r="356" spans="1:11" s="499" customFormat="1">
      <c r="A356" s="524"/>
      <c r="B356" s="514"/>
      <c r="C356" s="516">
        <v>6</v>
      </c>
      <c r="D356" s="516"/>
      <c r="E356" s="516">
        <v>6</v>
      </c>
      <c r="F356" s="517" t="s">
        <v>37</v>
      </c>
      <c r="G356" s="514" t="s">
        <v>391</v>
      </c>
      <c r="H356" s="514"/>
      <c r="I356" s="514"/>
      <c r="J356" s="517"/>
      <c r="K356" s="514"/>
    </row>
    <row r="357" spans="1:11" ht="26.4">
      <c r="A357" s="521">
        <v>4</v>
      </c>
      <c r="B357" s="507" t="s">
        <v>834</v>
      </c>
      <c r="C357" s="509">
        <v>10</v>
      </c>
      <c r="D357" s="509"/>
      <c r="E357" s="509">
        <v>10</v>
      </c>
      <c r="F357" s="510" t="s">
        <v>37</v>
      </c>
      <c r="G357" s="507" t="s">
        <v>369</v>
      </c>
      <c r="H357" s="507"/>
      <c r="I357" s="507"/>
      <c r="J357" s="510">
        <v>2030</v>
      </c>
      <c r="K357" s="507"/>
    </row>
    <row r="358" spans="1:11" ht="92.4">
      <c r="A358" s="521">
        <v>5</v>
      </c>
      <c r="B358" s="507" t="s">
        <v>835</v>
      </c>
      <c r="C358" s="509">
        <v>4.87</v>
      </c>
      <c r="D358" s="509">
        <v>0</v>
      </c>
      <c r="E358" s="509">
        <v>4.87</v>
      </c>
      <c r="F358" s="510"/>
      <c r="H358" s="507"/>
      <c r="I358" s="507" t="s">
        <v>1170</v>
      </c>
      <c r="J358" s="510">
        <v>2025</v>
      </c>
      <c r="K358" s="507"/>
    </row>
    <row r="359" spans="1:11" s="499" customFormat="1">
      <c r="A359" s="524"/>
      <c r="B359" s="514"/>
      <c r="C359" s="516">
        <v>2</v>
      </c>
      <c r="D359" s="516"/>
      <c r="E359" s="516">
        <v>2</v>
      </c>
      <c r="F359" s="517" t="s">
        <v>837</v>
      </c>
      <c r="G359" s="514" t="s">
        <v>370</v>
      </c>
      <c r="H359" s="514"/>
      <c r="I359" s="514"/>
      <c r="J359" s="517"/>
      <c r="K359" s="514"/>
    </row>
    <row r="360" spans="1:11" s="499" customFormat="1">
      <c r="A360" s="524"/>
      <c r="B360" s="514"/>
      <c r="C360" s="516">
        <v>2.87</v>
      </c>
      <c r="D360" s="516"/>
      <c r="E360" s="516">
        <v>2.87</v>
      </c>
      <c r="F360" s="517" t="s">
        <v>37</v>
      </c>
      <c r="G360" s="514" t="s">
        <v>369</v>
      </c>
      <c r="H360" s="514"/>
      <c r="I360" s="514"/>
      <c r="J360" s="517"/>
      <c r="K360" s="514"/>
    </row>
    <row r="361" spans="1:11" ht="52.8">
      <c r="A361" s="521">
        <v>6</v>
      </c>
      <c r="B361" s="507" t="s">
        <v>836</v>
      </c>
      <c r="C361" s="509">
        <v>1.6002999999999998</v>
      </c>
      <c r="D361" s="509"/>
      <c r="E361" s="509">
        <v>1.6002999999999998</v>
      </c>
      <c r="F361" s="510" t="s">
        <v>37</v>
      </c>
      <c r="G361" s="507" t="s">
        <v>390</v>
      </c>
      <c r="H361" s="507"/>
      <c r="I361" s="507" t="s">
        <v>1171</v>
      </c>
      <c r="J361" s="510">
        <v>2021</v>
      </c>
      <c r="K361" s="507"/>
    </row>
    <row r="362" spans="1:11" ht="26.4">
      <c r="A362" s="521">
        <v>7</v>
      </c>
      <c r="B362" s="507" t="s">
        <v>468</v>
      </c>
      <c r="C362" s="509">
        <v>6.5</v>
      </c>
      <c r="D362" s="509"/>
      <c r="E362" s="509">
        <v>6.5</v>
      </c>
      <c r="F362" s="510" t="s">
        <v>29</v>
      </c>
      <c r="G362" s="507" t="s">
        <v>365</v>
      </c>
      <c r="H362" s="507"/>
      <c r="I362" s="507" t="s">
        <v>1084</v>
      </c>
      <c r="J362" s="510">
        <v>2021</v>
      </c>
      <c r="K362" s="507"/>
    </row>
    <row r="363" spans="1:11" ht="92.4">
      <c r="A363" s="521">
        <v>9</v>
      </c>
      <c r="B363" s="507" t="s">
        <v>838</v>
      </c>
      <c r="C363" s="509">
        <v>15</v>
      </c>
      <c r="D363" s="509">
        <v>0</v>
      </c>
      <c r="E363" s="509">
        <v>15</v>
      </c>
      <c r="F363" s="510"/>
      <c r="G363" s="507"/>
      <c r="H363" s="507"/>
      <c r="I363" s="507" t="s">
        <v>1172</v>
      </c>
      <c r="J363" s="510">
        <v>2021</v>
      </c>
      <c r="K363" s="507"/>
    </row>
    <row r="364" spans="1:11" s="499" customFormat="1">
      <c r="A364" s="524"/>
      <c r="B364" s="514"/>
      <c r="C364" s="516">
        <v>3</v>
      </c>
      <c r="D364" s="516"/>
      <c r="E364" s="516">
        <v>3</v>
      </c>
      <c r="F364" s="517" t="s">
        <v>37</v>
      </c>
      <c r="G364" s="514" t="s">
        <v>367</v>
      </c>
      <c r="H364" s="514"/>
      <c r="I364" s="514"/>
      <c r="J364" s="517"/>
      <c r="K364" s="514"/>
    </row>
    <row r="365" spans="1:11" s="499" customFormat="1">
      <c r="A365" s="524"/>
      <c r="B365" s="514"/>
      <c r="C365" s="516">
        <v>3</v>
      </c>
      <c r="D365" s="516"/>
      <c r="E365" s="516">
        <v>3</v>
      </c>
      <c r="F365" s="517" t="s">
        <v>37</v>
      </c>
      <c r="G365" s="514" t="s">
        <v>372</v>
      </c>
      <c r="H365" s="514"/>
      <c r="I365" s="514"/>
      <c r="J365" s="517"/>
      <c r="K365" s="514"/>
    </row>
    <row r="366" spans="1:11" s="499" customFormat="1">
      <c r="A366" s="524"/>
      <c r="B366" s="514"/>
      <c r="C366" s="516">
        <v>3</v>
      </c>
      <c r="D366" s="516"/>
      <c r="E366" s="516">
        <v>3</v>
      </c>
      <c r="F366" s="517" t="s">
        <v>1122</v>
      </c>
      <c r="G366" s="514" t="s">
        <v>379</v>
      </c>
      <c r="H366" s="514"/>
      <c r="I366" s="514"/>
      <c r="J366" s="517"/>
      <c r="K366" s="514"/>
    </row>
    <row r="367" spans="1:11" s="499" customFormat="1">
      <c r="A367" s="524"/>
      <c r="B367" s="514"/>
      <c r="C367" s="516">
        <v>3</v>
      </c>
      <c r="D367" s="516"/>
      <c r="E367" s="516">
        <v>3</v>
      </c>
      <c r="F367" s="517" t="s">
        <v>37</v>
      </c>
      <c r="G367" s="514" t="s">
        <v>380</v>
      </c>
      <c r="H367" s="514"/>
      <c r="I367" s="514"/>
      <c r="J367" s="517"/>
      <c r="K367" s="514"/>
    </row>
    <row r="368" spans="1:11" s="499" customFormat="1">
      <c r="A368" s="524"/>
      <c r="B368" s="514"/>
      <c r="C368" s="516">
        <v>3</v>
      </c>
      <c r="D368" s="516"/>
      <c r="E368" s="516">
        <v>3</v>
      </c>
      <c r="F368" s="517" t="s">
        <v>37</v>
      </c>
      <c r="G368" s="514" t="s">
        <v>389</v>
      </c>
      <c r="H368" s="514"/>
      <c r="I368" s="514"/>
      <c r="J368" s="517"/>
      <c r="K368" s="514"/>
    </row>
    <row r="369" spans="1:11" ht="26.4">
      <c r="A369" s="521">
        <v>10</v>
      </c>
      <c r="B369" s="507" t="s">
        <v>839</v>
      </c>
      <c r="C369" s="509">
        <v>55</v>
      </c>
      <c r="D369" s="509"/>
      <c r="E369" s="509">
        <v>55</v>
      </c>
      <c r="F369" s="510" t="s">
        <v>37</v>
      </c>
      <c r="G369" s="507" t="s">
        <v>370</v>
      </c>
      <c r="H369" s="507"/>
      <c r="I369" s="507"/>
      <c r="J369" s="510"/>
      <c r="K369" s="507"/>
    </row>
    <row r="370" spans="1:11">
      <c r="A370" s="521">
        <v>11</v>
      </c>
      <c r="B370" s="507" t="s">
        <v>840</v>
      </c>
      <c r="C370" s="509">
        <v>10</v>
      </c>
      <c r="D370" s="509"/>
      <c r="E370" s="509">
        <v>10</v>
      </c>
      <c r="F370" s="510" t="s">
        <v>837</v>
      </c>
      <c r="G370" s="507" t="s">
        <v>379</v>
      </c>
      <c r="H370" s="507"/>
      <c r="I370" s="507"/>
      <c r="J370" s="510"/>
      <c r="K370" s="507"/>
    </row>
    <row r="371" spans="1:11">
      <c r="A371" s="521">
        <v>17</v>
      </c>
      <c r="B371" s="507" t="s">
        <v>841</v>
      </c>
      <c r="C371" s="509">
        <v>30</v>
      </c>
      <c r="D371" s="509"/>
      <c r="E371" s="509">
        <v>30</v>
      </c>
      <c r="F371" s="510" t="s">
        <v>837</v>
      </c>
      <c r="G371" s="507" t="s">
        <v>379</v>
      </c>
      <c r="H371" s="507"/>
      <c r="I371" s="507"/>
      <c r="J371" s="510"/>
      <c r="K371" s="507"/>
    </row>
    <row r="372" spans="1:11" ht="52.8">
      <c r="A372" s="521">
        <v>12</v>
      </c>
      <c r="B372" s="507" t="s">
        <v>842</v>
      </c>
      <c r="C372" s="509">
        <v>8</v>
      </c>
      <c r="D372" s="509"/>
      <c r="E372" s="509">
        <v>8</v>
      </c>
      <c r="F372" s="510" t="s">
        <v>843</v>
      </c>
      <c r="G372" s="507" t="s">
        <v>408</v>
      </c>
      <c r="H372" s="507"/>
      <c r="I372" s="507" t="s">
        <v>1085</v>
      </c>
      <c r="J372" s="510">
        <v>2021</v>
      </c>
      <c r="K372" s="507"/>
    </row>
    <row r="373" spans="1:11" ht="26.4">
      <c r="A373" s="521">
        <v>13</v>
      </c>
      <c r="B373" s="507" t="s">
        <v>844</v>
      </c>
      <c r="C373" s="509">
        <v>4</v>
      </c>
      <c r="D373" s="509"/>
      <c r="E373" s="509">
        <v>4</v>
      </c>
      <c r="F373" s="510" t="s">
        <v>37</v>
      </c>
      <c r="G373" s="507" t="s">
        <v>389</v>
      </c>
      <c r="H373" s="507"/>
      <c r="I373" s="507"/>
      <c r="J373" s="510"/>
      <c r="K373" s="507"/>
    </row>
    <row r="374" spans="1:11" s="492" customFormat="1">
      <c r="A374" s="529" t="s">
        <v>345</v>
      </c>
      <c r="B374" s="501" t="s">
        <v>296</v>
      </c>
      <c r="C374" s="502">
        <v>21.753708324997696</v>
      </c>
      <c r="D374" s="502">
        <v>0.78901170499858297</v>
      </c>
      <c r="E374" s="502">
        <v>20.964696619999113</v>
      </c>
      <c r="F374" s="503"/>
      <c r="G374" s="501"/>
      <c r="H374" s="512"/>
      <c r="I374" s="512"/>
      <c r="J374" s="503"/>
      <c r="K374" s="512"/>
    </row>
    <row r="375" spans="1:11" ht="26.4">
      <c r="A375" s="521">
        <v>1</v>
      </c>
      <c r="B375" s="507" t="s">
        <v>845</v>
      </c>
      <c r="C375" s="509">
        <v>0.45200000000000001</v>
      </c>
      <c r="D375" s="509"/>
      <c r="E375" s="509">
        <v>0.45200000000000001</v>
      </c>
      <c r="F375" s="510" t="s">
        <v>37</v>
      </c>
      <c r="G375" s="507" t="s">
        <v>393</v>
      </c>
      <c r="H375" s="507"/>
      <c r="I375" s="507" t="s">
        <v>1086</v>
      </c>
      <c r="J375" s="510"/>
      <c r="K375" s="507"/>
    </row>
    <row r="376" spans="1:11" ht="26.4">
      <c r="A376" s="521">
        <v>2</v>
      </c>
      <c r="B376" s="507" t="s">
        <v>846</v>
      </c>
      <c r="C376" s="509">
        <v>2.8692999999999995</v>
      </c>
      <c r="D376" s="509"/>
      <c r="E376" s="509">
        <v>2.8692999999999995</v>
      </c>
      <c r="F376" s="510" t="s">
        <v>37</v>
      </c>
      <c r="G376" s="507" t="s">
        <v>393</v>
      </c>
      <c r="H376" s="507"/>
      <c r="I376" s="507" t="s">
        <v>1086</v>
      </c>
      <c r="J376" s="510"/>
      <c r="K376" s="507"/>
    </row>
    <row r="377" spans="1:11">
      <c r="A377" s="521">
        <v>3</v>
      </c>
      <c r="B377" s="507" t="s">
        <v>847</v>
      </c>
      <c r="C377" s="509">
        <v>0.68169999999999997</v>
      </c>
      <c r="D377" s="509"/>
      <c r="E377" s="509">
        <v>0.68169999999999997</v>
      </c>
      <c r="F377" s="510" t="s">
        <v>742</v>
      </c>
      <c r="G377" s="507" t="s">
        <v>393</v>
      </c>
      <c r="H377" s="507"/>
      <c r="I377" s="507"/>
      <c r="J377" s="510"/>
      <c r="K377" s="507"/>
    </row>
    <row r="378" spans="1:11">
      <c r="A378" s="521">
        <v>4</v>
      </c>
      <c r="B378" s="507" t="s">
        <v>848</v>
      </c>
      <c r="C378" s="509">
        <v>0.82134861999911102</v>
      </c>
      <c r="D378" s="509">
        <v>0.41027200000000003</v>
      </c>
      <c r="E378" s="509">
        <v>0.41107661999911099</v>
      </c>
      <c r="F378" s="510" t="s">
        <v>132</v>
      </c>
      <c r="G378" s="507" t="s">
        <v>369</v>
      </c>
      <c r="H378" s="507"/>
      <c r="I378" s="507"/>
      <c r="J378" s="510"/>
      <c r="K378" s="507"/>
    </row>
    <row r="379" spans="1:11">
      <c r="A379" s="521">
        <v>5</v>
      </c>
      <c r="B379" s="507" t="s">
        <v>849</v>
      </c>
      <c r="C379" s="509">
        <v>1.5739200000000002</v>
      </c>
      <c r="D379" s="509"/>
      <c r="E379" s="509">
        <v>1.5739200000000002</v>
      </c>
      <c r="F379" s="510" t="s">
        <v>850</v>
      </c>
      <c r="G379" s="507" t="s">
        <v>390</v>
      </c>
      <c r="H379" s="507"/>
      <c r="I379" s="507"/>
      <c r="J379" s="510"/>
      <c r="K379" s="507"/>
    </row>
    <row r="380" spans="1:11" ht="26.4">
      <c r="A380" s="521">
        <v>6</v>
      </c>
      <c r="B380" s="507" t="s">
        <v>851</v>
      </c>
      <c r="C380" s="509">
        <v>2.5</v>
      </c>
      <c r="D380" s="509"/>
      <c r="E380" s="509">
        <v>2.5</v>
      </c>
      <c r="F380" s="510" t="s">
        <v>852</v>
      </c>
      <c r="G380" s="507" t="s">
        <v>365</v>
      </c>
      <c r="H380" s="507"/>
      <c r="I380" s="507"/>
      <c r="J380" s="510"/>
      <c r="K380" s="507"/>
    </row>
    <row r="381" spans="1:11" ht="39.6">
      <c r="A381" s="521">
        <v>7</v>
      </c>
      <c r="B381" s="507" t="s">
        <v>469</v>
      </c>
      <c r="C381" s="509">
        <v>2.02</v>
      </c>
      <c r="D381" s="509"/>
      <c r="E381" s="509">
        <v>2.02</v>
      </c>
      <c r="F381" s="510" t="s">
        <v>37</v>
      </c>
      <c r="G381" s="507" t="s">
        <v>367</v>
      </c>
      <c r="H381" s="507"/>
      <c r="I381" s="507" t="s">
        <v>1087</v>
      </c>
      <c r="J381" s="510">
        <v>2021</v>
      </c>
      <c r="K381" s="507"/>
    </row>
    <row r="382" spans="1:11" ht="26.4">
      <c r="A382" s="521">
        <v>8</v>
      </c>
      <c r="B382" s="507" t="s">
        <v>470</v>
      </c>
      <c r="C382" s="509">
        <v>1.5</v>
      </c>
      <c r="D382" s="509"/>
      <c r="E382" s="509">
        <v>1.5</v>
      </c>
      <c r="F382" s="510" t="s">
        <v>37</v>
      </c>
      <c r="G382" s="507" t="s">
        <v>370</v>
      </c>
      <c r="H382" s="507"/>
      <c r="I382" s="507" t="s">
        <v>1080</v>
      </c>
      <c r="J382" s="510"/>
      <c r="K382" s="507"/>
    </row>
    <row r="383" spans="1:11" ht="39.6">
      <c r="A383" s="521">
        <v>9</v>
      </c>
      <c r="B383" s="507" t="s">
        <v>853</v>
      </c>
      <c r="C383" s="509">
        <v>4</v>
      </c>
      <c r="D383" s="509"/>
      <c r="E383" s="509">
        <v>4</v>
      </c>
      <c r="F383" s="510" t="s">
        <v>37</v>
      </c>
      <c r="G383" s="507" t="s">
        <v>372</v>
      </c>
      <c r="H383" s="507"/>
      <c r="I383" s="507" t="s">
        <v>1087</v>
      </c>
      <c r="J383" s="510">
        <v>2021</v>
      </c>
      <c r="K383" s="507"/>
    </row>
    <row r="384" spans="1:11">
      <c r="A384" s="521">
        <v>10</v>
      </c>
      <c r="B384" s="507" t="s">
        <v>854</v>
      </c>
      <c r="C384" s="509">
        <v>0.618739704998583</v>
      </c>
      <c r="D384" s="509">
        <v>0.378739704998583</v>
      </c>
      <c r="E384" s="509">
        <v>0.24</v>
      </c>
      <c r="F384" s="510" t="s">
        <v>37</v>
      </c>
      <c r="G384" s="507" t="s">
        <v>379</v>
      </c>
      <c r="H384" s="507"/>
      <c r="I384" s="507"/>
      <c r="J384" s="510"/>
      <c r="K384" s="507"/>
    </row>
    <row r="385" spans="1:13" ht="26.4">
      <c r="A385" s="521">
        <v>11</v>
      </c>
      <c r="B385" s="507" t="s">
        <v>855</v>
      </c>
      <c r="C385" s="509">
        <v>0.45669999999999999</v>
      </c>
      <c r="D385" s="509"/>
      <c r="E385" s="509">
        <v>0.45669999999999999</v>
      </c>
      <c r="F385" s="510" t="s">
        <v>37</v>
      </c>
      <c r="G385" s="507" t="s">
        <v>408</v>
      </c>
      <c r="H385" s="507"/>
      <c r="I385" s="507"/>
      <c r="J385" s="510"/>
      <c r="K385" s="507"/>
    </row>
    <row r="386" spans="1:13">
      <c r="A386" s="521">
        <v>12</v>
      </c>
      <c r="B386" s="507" t="s">
        <v>856</v>
      </c>
      <c r="C386" s="509">
        <v>0.96</v>
      </c>
      <c r="D386" s="509"/>
      <c r="E386" s="509">
        <v>0.96</v>
      </c>
      <c r="F386" s="510" t="s">
        <v>37</v>
      </c>
      <c r="G386" s="507" t="s">
        <v>380</v>
      </c>
      <c r="H386" s="507"/>
      <c r="I386" s="507"/>
      <c r="J386" s="510"/>
      <c r="K386" s="507"/>
    </row>
    <row r="387" spans="1:13">
      <c r="A387" s="521">
        <v>13</v>
      </c>
      <c r="B387" s="507" t="s">
        <v>857</v>
      </c>
      <c r="C387" s="509">
        <v>0.3</v>
      </c>
      <c r="D387" s="509"/>
      <c r="E387" s="509">
        <v>0.3</v>
      </c>
      <c r="F387" s="510" t="s">
        <v>37</v>
      </c>
      <c r="G387" s="507" t="s">
        <v>417</v>
      </c>
      <c r="H387" s="507"/>
      <c r="I387" s="507"/>
      <c r="J387" s="510"/>
      <c r="K387" s="507"/>
    </row>
    <row r="388" spans="1:13">
      <c r="A388" s="521">
        <v>14</v>
      </c>
      <c r="B388" s="507" t="s">
        <v>471</v>
      </c>
      <c r="C388" s="509">
        <v>1</v>
      </c>
      <c r="D388" s="509"/>
      <c r="E388" s="509">
        <v>1</v>
      </c>
      <c r="F388" s="510" t="s">
        <v>37</v>
      </c>
      <c r="G388" s="507" t="s">
        <v>391</v>
      </c>
      <c r="H388" s="507"/>
      <c r="I388" s="507"/>
      <c r="J388" s="510"/>
      <c r="K388" s="507"/>
    </row>
    <row r="389" spans="1:13">
      <c r="A389" s="521">
        <v>15</v>
      </c>
      <c r="B389" s="507" t="s">
        <v>858</v>
      </c>
      <c r="C389" s="509">
        <v>2</v>
      </c>
      <c r="D389" s="509"/>
      <c r="E389" s="509">
        <v>2</v>
      </c>
      <c r="F389" s="510" t="s">
        <v>37</v>
      </c>
      <c r="G389" s="507" t="s">
        <v>389</v>
      </c>
      <c r="H389" s="507"/>
      <c r="I389" s="507"/>
      <c r="J389" s="510"/>
      <c r="K389" s="507"/>
    </row>
    <row r="390" spans="1:13" s="492" customFormat="1">
      <c r="A390" s="529" t="s">
        <v>345</v>
      </c>
      <c r="B390" s="501" t="s">
        <v>297</v>
      </c>
      <c r="C390" s="502">
        <v>1.4299340899983051</v>
      </c>
      <c r="D390" s="502">
        <v>0.18885399999999999</v>
      </c>
      <c r="E390" s="502">
        <v>1.241080089998305</v>
      </c>
      <c r="F390" s="503"/>
      <c r="G390" s="501"/>
      <c r="H390" s="512"/>
      <c r="I390" s="512"/>
      <c r="J390" s="503"/>
      <c r="K390" s="512"/>
    </row>
    <row r="391" spans="1:13" ht="26.4">
      <c r="A391" s="521">
        <v>1</v>
      </c>
      <c r="B391" s="507" t="s">
        <v>473</v>
      </c>
      <c r="C391" s="509">
        <v>0.27018999999999999</v>
      </c>
      <c r="D391" s="509"/>
      <c r="E391" s="509">
        <v>0.27018999999999999</v>
      </c>
      <c r="F391" s="510" t="s">
        <v>63</v>
      </c>
      <c r="G391" s="507" t="s">
        <v>393</v>
      </c>
      <c r="H391" s="507"/>
      <c r="I391" s="507" t="s">
        <v>1086</v>
      </c>
      <c r="J391" s="510"/>
      <c r="K391" s="507"/>
    </row>
    <row r="392" spans="1:13">
      <c r="A392" s="521">
        <v>2</v>
      </c>
      <c r="B392" s="507" t="s">
        <v>472</v>
      </c>
      <c r="C392" s="509">
        <v>0.159744089998305</v>
      </c>
      <c r="D392" s="509"/>
      <c r="E392" s="509">
        <v>0.159744089998305</v>
      </c>
      <c r="F392" s="510" t="s">
        <v>132</v>
      </c>
      <c r="G392" s="507" t="s">
        <v>408</v>
      </c>
      <c r="H392" s="507"/>
      <c r="I392" s="507"/>
      <c r="J392" s="510"/>
      <c r="K392" s="507"/>
    </row>
    <row r="393" spans="1:13" ht="39.6">
      <c r="A393" s="521">
        <v>3</v>
      </c>
      <c r="B393" s="507" t="s">
        <v>859</v>
      </c>
      <c r="C393" s="509">
        <v>1</v>
      </c>
      <c r="D393" s="509">
        <v>0.18885399999999999</v>
      </c>
      <c r="E393" s="509">
        <v>0.81114600000000003</v>
      </c>
      <c r="F393" s="510" t="s">
        <v>37</v>
      </c>
      <c r="G393" s="507" t="s">
        <v>391</v>
      </c>
      <c r="H393" s="507"/>
      <c r="I393" s="507" t="s">
        <v>1087</v>
      </c>
      <c r="J393" s="510"/>
      <c r="K393" s="507"/>
    </row>
    <row r="394" spans="1:13" s="492" customFormat="1" ht="26.4">
      <c r="A394" s="529" t="s">
        <v>345</v>
      </c>
      <c r="B394" s="501" t="s">
        <v>298</v>
      </c>
      <c r="C394" s="502">
        <v>54.445836792782295</v>
      </c>
      <c r="D394" s="502">
        <v>8.8597928523776712</v>
      </c>
      <c r="E394" s="502">
        <v>45.586043940404622</v>
      </c>
      <c r="F394" s="503"/>
      <c r="G394" s="501"/>
      <c r="H394" s="512"/>
      <c r="I394" s="512"/>
      <c r="J394" s="503"/>
      <c r="K394" s="512"/>
      <c r="L394" s="492">
        <v>44.760487960502701</v>
      </c>
      <c r="M394" s="525">
        <v>0.82555597990192098</v>
      </c>
    </row>
    <row r="395" spans="1:13" ht="26.4">
      <c r="A395" s="521">
        <v>1</v>
      </c>
      <c r="B395" s="522" t="s">
        <v>860</v>
      </c>
      <c r="C395" s="508">
        <v>0.03</v>
      </c>
      <c r="D395" s="509"/>
      <c r="E395" s="508">
        <v>0.03</v>
      </c>
      <c r="F395" s="510" t="s">
        <v>37</v>
      </c>
      <c r="G395" s="522" t="s">
        <v>393</v>
      </c>
      <c r="H395" s="507"/>
      <c r="I395" s="507" t="s">
        <v>1080</v>
      </c>
      <c r="J395" s="510"/>
      <c r="K395" s="507"/>
    </row>
    <row r="396" spans="1:13" ht="26.4">
      <c r="A396" s="521">
        <v>3</v>
      </c>
      <c r="B396" s="522" t="s">
        <v>861</v>
      </c>
      <c r="C396" s="508">
        <v>2</v>
      </c>
      <c r="D396" s="509"/>
      <c r="E396" s="508">
        <v>2</v>
      </c>
      <c r="F396" s="510" t="s">
        <v>862</v>
      </c>
      <c r="G396" s="522" t="s">
        <v>393</v>
      </c>
      <c r="H396" s="507"/>
      <c r="I396" s="507" t="s">
        <v>1086</v>
      </c>
      <c r="J396" s="510"/>
      <c r="K396" s="507"/>
    </row>
    <row r="397" spans="1:13" ht="26.4">
      <c r="A397" s="521">
        <v>4</v>
      </c>
      <c r="B397" s="522" t="s">
        <v>479</v>
      </c>
      <c r="C397" s="508">
        <v>9.5736000000000008</v>
      </c>
      <c r="D397" s="509"/>
      <c r="E397" s="508">
        <v>9.5736000000000008</v>
      </c>
      <c r="F397" s="510" t="s">
        <v>37</v>
      </c>
      <c r="G397" s="522" t="s">
        <v>393</v>
      </c>
      <c r="H397" s="507"/>
      <c r="I397" s="507" t="s">
        <v>1086</v>
      </c>
      <c r="J397" s="510"/>
      <c r="K397" s="507"/>
    </row>
    <row r="398" spans="1:13" ht="26.4">
      <c r="A398" s="521">
        <v>5</v>
      </c>
      <c r="B398" s="522" t="s">
        <v>474</v>
      </c>
      <c r="C398" s="508">
        <v>0.76</v>
      </c>
      <c r="D398" s="509"/>
      <c r="E398" s="508">
        <v>0.76</v>
      </c>
      <c r="F398" s="510" t="s">
        <v>864</v>
      </c>
      <c r="G398" s="522" t="s">
        <v>369</v>
      </c>
      <c r="H398" s="507"/>
      <c r="I398" s="507"/>
      <c r="J398" s="510"/>
      <c r="K398" s="507"/>
    </row>
    <row r="399" spans="1:13" ht="26.4">
      <c r="A399" s="521">
        <v>6</v>
      </c>
      <c r="B399" s="522" t="s">
        <v>863</v>
      </c>
      <c r="C399" s="508">
        <v>3</v>
      </c>
      <c r="D399" s="509"/>
      <c r="E399" s="508">
        <v>3</v>
      </c>
      <c r="F399" s="510" t="s">
        <v>37</v>
      </c>
      <c r="G399" s="522" t="s">
        <v>369</v>
      </c>
      <c r="H399" s="507"/>
      <c r="I399" s="507"/>
      <c r="J399" s="510"/>
      <c r="K399" s="507"/>
    </row>
    <row r="400" spans="1:13">
      <c r="A400" s="521">
        <v>7</v>
      </c>
      <c r="B400" s="522" t="s">
        <v>865</v>
      </c>
      <c r="C400" s="508">
        <v>7.5380895003303902E-2</v>
      </c>
      <c r="D400" s="509"/>
      <c r="E400" s="508">
        <v>7.5380895003303902E-2</v>
      </c>
      <c r="F400" s="510" t="s">
        <v>143</v>
      </c>
      <c r="G400" s="522" t="s">
        <v>369</v>
      </c>
      <c r="H400" s="507"/>
      <c r="I400" s="507"/>
      <c r="J400" s="510"/>
      <c r="K400" s="507"/>
    </row>
    <row r="401" spans="1:11">
      <c r="A401" s="521">
        <v>8</v>
      </c>
      <c r="B401" s="522" t="s">
        <v>866</v>
      </c>
      <c r="C401" s="508">
        <v>2</v>
      </c>
      <c r="D401" s="509">
        <v>1.0002560250029</v>
      </c>
      <c r="E401" s="508">
        <v>0.99974397499709999</v>
      </c>
      <c r="F401" s="510" t="s">
        <v>37</v>
      </c>
      <c r="G401" s="522" t="s">
        <v>369</v>
      </c>
      <c r="H401" s="507"/>
      <c r="I401" s="507"/>
      <c r="J401" s="510"/>
      <c r="K401" s="507"/>
    </row>
    <row r="402" spans="1:11" ht="26.4">
      <c r="A402" s="521">
        <v>9</v>
      </c>
      <c r="B402" s="522" t="s">
        <v>868</v>
      </c>
      <c r="C402" s="508">
        <v>0.5</v>
      </c>
      <c r="D402" s="509"/>
      <c r="E402" s="508">
        <v>0.5</v>
      </c>
      <c r="F402" s="510" t="s">
        <v>37</v>
      </c>
      <c r="G402" s="522" t="s">
        <v>365</v>
      </c>
      <c r="H402" s="507"/>
      <c r="I402" s="507"/>
      <c r="J402" s="510"/>
      <c r="K402" s="507"/>
    </row>
    <row r="403" spans="1:11" ht="26.4">
      <c r="A403" s="521">
        <v>10</v>
      </c>
      <c r="B403" s="522" t="s">
        <v>869</v>
      </c>
      <c r="C403" s="508">
        <v>1</v>
      </c>
      <c r="D403" s="509">
        <v>0.8744590000000001</v>
      </c>
      <c r="E403" s="508">
        <v>0.1255409999999999</v>
      </c>
      <c r="F403" s="510" t="s">
        <v>132</v>
      </c>
      <c r="G403" s="522" t="s">
        <v>365</v>
      </c>
      <c r="H403" s="507"/>
      <c r="I403" s="507"/>
      <c r="J403" s="510"/>
      <c r="K403" s="507"/>
    </row>
    <row r="404" spans="1:11">
      <c r="A404" s="521">
        <v>11</v>
      </c>
      <c r="B404" s="522" t="s">
        <v>870</v>
      </c>
      <c r="C404" s="508">
        <v>0.82145100000000004</v>
      </c>
      <c r="D404" s="509">
        <v>0.69145100000000004</v>
      </c>
      <c r="E404" s="508">
        <v>0.13</v>
      </c>
      <c r="F404" s="510" t="s">
        <v>37</v>
      </c>
      <c r="G404" s="522" t="s">
        <v>365</v>
      </c>
      <c r="H404" s="507"/>
      <c r="I404" s="507"/>
      <c r="J404" s="510"/>
      <c r="K404" s="507"/>
    </row>
    <row r="405" spans="1:11">
      <c r="A405" s="521">
        <v>12</v>
      </c>
      <c r="B405" s="522" t="s">
        <v>871</v>
      </c>
      <c r="C405" s="508">
        <v>0.52849999999999997</v>
      </c>
      <c r="D405" s="509">
        <v>0.35138649999999999</v>
      </c>
      <c r="E405" s="508">
        <v>0.17711349999999998</v>
      </c>
      <c r="F405" s="510" t="s">
        <v>58</v>
      </c>
      <c r="G405" s="522" t="s">
        <v>370</v>
      </c>
      <c r="H405" s="507"/>
      <c r="I405" s="507"/>
      <c r="J405" s="510"/>
      <c r="K405" s="507"/>
    </row>
    <row r="406" spans="1:11">
      <c r="A406" s="521">
        <v>13</v>
      </c>
      <c r="B406" s="522" t="s">
        <v>872</v>
      </c>
      <c r="C406" s="508">
        <v>0.5</v>
      </c>
      <c r="D406" s="509"/>
      <c r="E406" s="508">
        <v>0.5</v>
      </c>
      <c r="F406" s="510" t="s">
        <v>37</v>
      </c>
      <c r="G406" s="522" t="s">
        <v>372</v>
      </c>
      <c r="H406" s="507"/>
      <c r="I406" s="507"/>
      <c r="J406" s="510"/>
      <c r="K406" s="507"/>
    </row>
    <row r="407" spans="1:11">
      <c r="A407" s="521">
        <v>14</v>
      </c>
      <c r="B407" s="522" t="s">
        <v>873</v>
      </c>
      <c r="C407" s="508">
        <v>0.5</v>
      </c>
      <c r="D407" s="509"/>
      <c r="E407" s="508">
        <v>0.5</v>
      </c>
      <c r="F407" s="510" t="s">
        <v>37</v>
      </c>
      <c r="G407" s="522" t="s">
        <v>372</v>
      </c>
      <c r="H407" s="507"/>
      <c r="I407" s="507"/>
      <c r="J407" s="510"/>
      <c r="K407" s="507"/>
    </row>
    <row r="408" spans="1:11">
      <c r="A408" s="521">
        <v>15</v>
      </c>
      <c r="B408" s="522" t="s">
        <v>874</v>
      </c>
      <c r="C408" s="508">
        <v>0.62139999999999995</v>
      </c>
      <c r="D408" s="509"/>
      <c r="E408" s="508">
        <v>0.62139999999999995</v>
      </c>
      <c r="F408" s="510" t="s">
        <v>37</v>
      </c>
      <c r="G408" s="522" t="s">
        <v>379</v>
      </c>
      <c r="H408" s="507"/>
      <c r="I408" s="507"/>
      <c r="J408" s="510"/>
      <c r="K408" s="507"/>
    </row>
    <row r="409" spans="1:11" ht="26.4">
      <c r="A409" s="521">
        <v>16</v>
      </c>
      <c r="B409" s="522" t="s">
        <v>875</v>
      </c>
      <c r="C409" s="508">
        <v>0.61</v>
      </c>
      <c r="D409" s="509"/>
      <c r="E409" s="508">
        <v>0.61</v>
      </c>
      <c r="F409" s="510" t="s">
        <v>37</v>
      </c>
      <c r="G409" s="522" t="s">
        <v>379</v>
      </c>
      <c r="H409" s="507"/>
      <c r="I409" s="507" t="s">
        <v>1080</v>
      </c>
      <c r="J409" s="510"/>
      <c r="K409" s="507"/>
    </row>
    <row r="410" spans="1:11" ht="26.4">
      <c r="A410" s="521">
        <v>17</v>
      </c>
      <c r="B410" s="522" t="s">
        <v>876</v>
      </c>
      <c r="C410" s="508">
        <v>0.78</v>
      </c>
      <c r="D410" s="509"/>
      <c r="E410" s="508">
        <v>0.78</v>
      </c>
      <c r="F410" s="510" t="s">
        <v>37</v>
      </c>
      <c r="G410" s="522" t="s">
        <v>379</v>
      </c>
      <c r="H410" s="507"/>
      <c r="I410" s="507" t="s">
        <v>1080</v>
      </c>
      <c r="J410" s="510"/>
      <c r="K410" s="507"/>
    </row>
    <row r="411" spans="1:11" ht="26.4">
      <c r="A411" s="521">
        <v>18</v>
      </c>
      <c r="B411" s="522" t="s">
        <v>877</v>
      </c>
      <c r="C411" s="508">
        <v>1.35</v>
      </c>
      <c r="D411" s="509">
        <v>0.8847766844943169</v>
      </c>
      <c r="E411" s="508">
        <v>0.46522331550568319</v>
      </c>
      <c r="F411" s="510" t="s">
        <v>37</v>
      </c>
      <c r="G411" s="522" t="s">
        <v>379</v>
      </c>
      <c r="H411" s="507"/>
      <c r="I411" s="507"/>
      <c r="J411" s="510"/>
      <c r="K411" s="507"/>
    </row>
    <row r="412" spans="1:11" ht="26.4">
      <c r="A412" s="521">
        <v>19</v>
      </c>
      <c r="B412" s="522" t="s">
        <v>475</v>
      </c>
      <c r="C412" s="508">
        <v>0.5</v>
      </c>
      <c r="D412" s="509">
        <v>0.32447584000406798</v>
      </c>
      <c r="E412" s="508">
        <v>0.17552415999593202</v>
      </c>
      <c r="F412" s="510" t="s">
        <v>37</v>
      </c>
      <c r="G412" s="522" t="s">
        <v>379</v>
      </c>
      <c r="H412" s="507"/>
      <c r="I412" s="507"/>
      <c r="J412" s="510"/>
      <c r="K412" s="507"/>
    </row>
    <row r="413" spans="1:11" ht="79.2">
      <c r="A413" s="521">
        <v>20</v>
      </c>
      <c r="B413" s="522" t="s">
        <v>878</v>
      </c>
      <c r="C413" s="508">
        <v>2.04</v>
      </c>
      <c r="D413" s="509"/>
      <c r="E413" s="508">
        <v>2.04</v>
      </c>
      <c r="F413" s="510" t="s">
        <v>37</v>
      </c>
      <c r="G413" s="522" t="s">
        <v>379</v>
      </c>
      <c r="H413" s="507"/>
      <c r="I413" s="507" t="s">
        <v>612</v>
      </c>
      <c r="J413" s="510">
        <v>2021</v>
      </c>
      <c r="K413" s="507"/>
    </row>
    <row r="414" spans="1:11" ht="39.6">
      <c r="A414" s="521">
        <v>21</v>
      </c>
      <c r="B414" s="522" t="s">
        <v>879</v>
      </c>
      <c r="C414" s="508">
        <v>1.76941557999216</v>
      </c>
      <c r="D414" s="509">
        <v>0.66941557999216006</v>
      </c>
      <c r="E414" s="508">
        <v>1.1000000000000001</v>
      </c>
      <c r="F414" s="510" t="s">
        <v>37</v>
      </c>
      <c r="G414" s="522" t="s">
        <v>379</v>
      </c>
      <c r="H414" s="507"/>
      <c r="I414" s="507" t="s">
        <v>1087</v>
      </c>
      <c r="J414" s="510">
        <v>2021</v>
      </c>
      <c r="K414" s="507"/>
    </row>
    <row r="415" spans="1:11">
      <c r="A415" s="521">
        <v>22</v>
      </c>
      <c r="B415" s="522" t="s">
        <v>476</v>
      </c>
      <c r="C415" s="508">
        <v>1.617028974119574</v>
      </c>
      <c r="D415" s="509">
        <v>0.91701399421766405</v>
      </c>
      <c r="E415" s="508">
        <v>0.70001497990190997</v>
      </c>
      <c r="F415" s="510" t="s">
        <v>132</v>
      </c>
      <c r="G415" s="522" t="s">
        <v>408</v>
      </c>
      <c r="H415" s="507"/>
      <c r="I415" s="507"/>
      <c r="J415" s="510"/>
      <c r="K415" s="507"/>
    </row>
    <row r="416" spans="1:11">
      <c r="A416" s="521">
        <v>23</v>
      </c>
      <c r="B416" s="522" t="s">
        <v>880</v>
      </c>
      <c r="C416" s="508">
        <v>0.38779999999999998</v>
      </c>
      <c r="D416" s="509"/>
      <c r="E416" s="508">
        <v>0.38779999999999998</v>
      </c>
      <c r="F416" s="510" t="s">
        <v>37</v>
      </c>
      <c r="G416" s="522" t="s">
        <v>408</v>
      </c>
      <c r="H416" s="507"/>
      <c r="I416" s="507"/>
      <c r="J416" s="510"/>
      <c r="K416" s="507"/>
    </row>
    <row r="417" spans="1:11">
      <c r="A417" s="521">
        <v>24</v>
      </c>
      <c r="B417" s="522" t="s">
        <v>881</v>
      </c>
      <c r="C417" s="508">
        <v>1.43</v>
      </c>
      <c r="D417" s="509"/>
      <c r="E417" s="508">
        <v>1.43</v>
      </c>
      <c r="F417" s="510" t="s">
        <v>37</v>
      </c>
      <c r="G417" s="522" t="s">
        <v>408</v>
      </c>
      <c r="H417" s="507"/>
      <c r="I417" s="507"/>
      <c r="J417" s="510"/>
      <c r="K417" s="507"/>
    </row>
    <row r="418" spans="1:11">
      <c r="A418" s="521">
        <v>25</v>
      </c>
      <c r="B418" s="522" t="s">
        <v>882</v>
      </c>
      <c r="C418" s="508">
        <v>0.76649999999999996</v>
      </c>
      <c r="D418" s="509">
        <v>0.35096641499921705</v>
      </c>
      <c r="E418" s="508">
        <v>0.41553358500078291</v>
      </c>
      <c r="F418" s="510" t="s">
        <v>37</v>
      </c>
      <c r="G418" s="522" t="s">
        <v>380</v>
      </c>
      <c r="H418" s="507"/>
      <c r="I418" s="507"/>
      <c r="J418" s="510"/>
      <c r="K418" s="507"/>
    </row>
    <row r="419" spans="1:11">
      <c r="A419" s="521">
        <v>26</v>
      </c>
      <c r="B419" s="522" t="s">
        <v>478</v>
      </c>
      <c r="C419" s="508">
        <v>0.5</v>
      </c>
      <c r="D419" s="509"/>
      <c r="E419" s="508">
        <v>0.5</v>
      </c>
      <c r="F419" s="510" t="s">
        <v>37</v>
      </c>
      <c r="G419" s="522" t="s">
        <v>380</v>
      </c>
      <c r="H419" s="507"/>
      <c r="I419" s="507"/>
      <c r="J419" s="510"/>
      <c r="K419" s="507"/>
    </row>
    <row r="420" spans="1:11" ht="26.4">
      <c r="A420" s="521">
        <v>27</v>
      </c>
      <c r="B420" s="522" t="s">
        <v>883</v>
      </c>
      <c r="C420" s="508">
        <v>0.2</v>
      </c>
      <c r="D420" s="509">
        <v>9.0777265000343305E-2</v>
      </c>
      <c r="E420" s="508">
        <v>0.10922273499965671</v>
      </c>
      <c r="F420" s="510" t="s">
        <v>37</v>
      </c>
      <c r="G420" s="522" t="s">
        <v>380</v>
      </c>
      <c r="H420" s="507"/>
      <c r="I420" s="507"/>
      <c r="J420" s="510"/>
      <c r="K420" s="507"/>
    </row>
    <row r="421" spans="1:11" ht="79.2">
      <c r="A421" s="521">
        <v>28</v>
      </c>
      <c r="B421" s="522" t="s">
        <v>1088</v>
      </c>
      <c r="C421" s="508">
        <v>2</v>
      </c>
      <c r="D421" s="509"/>
      <c r="E421" s="508">
        <v>2</v>
      </c>
      <c r="F421" s="510" t="s">
        <v>37</v>
      </c>
      <c r="G421" s="522" t="s">
        <v>380</v>
      </c>
      <c r="H421" s="507"/>
      <c r="I421" s="507" t="s">
        <v>614</v>
      </c>
      <c r="J421" s="510">
        <v>2021</v>
      </c>
      <c r="K421" s="507"/>
    </row>
    <row r="422" spans="1:11">
      <c r="A422" s="521">
        <v>29</v>
      </c>
      <c r="B422" s="522" t="s">
        <v>884</v>
      </c>
      <c r="C422" s="508">
        <v>0.21308467999994801</v>
      </c>
      <c r="D422" s="509">
        <v>0.11308467999994801</v>
      </c>
      <c r="E422" s="508">
        <v>0.1</v>
      </c>
      <c r="F422" s="510" t="s">
        <v>37</v>
      </c>
      <c r="G422" s="522" t="s">
        <v>380</v>
      </c>
      <c r="H422" s="507"/>
      <c r="I422" s="507"/>
      <c r="J422" s="510"/>
      <c r="K422" s="507"/>
    </row>
    <row r="423" spans="1:11">
      <c r="A423" s="521">
        <v>30</v>
      </c>
      <c r="B423" s="522" t="s">
        <v>477</v>
      </c>
      <c r="C423" s="508">
        <v>2.3669045999985698</v>
      </c>
      <c r="D423" s="509">
        <v>1.01690459999857</v>
      </c>
      <c r="E423" s="508">
        <v>1.3499999999999999</v>
      </c>
      <c r="F423" s="510" t="s">
        <v>37</v>
      </c>
      <c r="G423" s="522" t="s">
        <v>380</v>
      </c>
      <c r="H423" s="507"/>
      <c r="I423" s="507"/>
      <c r="J423" s="510"/>
      <c r="K423" s="507"/>
    </row>
    <row r="424" spans="1:11">
      <c r="A424" s="521">
        <v>31</v>
      </c>
      <c r="B424" s="522" t="s">
        <v>481</v>
      </c>
      <c r="C424" s="508">
        <v>1</v>
      </c>
      <c r="D424" s="509"/>
      <c r="E424" s="508">
        <v>1</v>
      </c>
      <c r="F424" s="510" t="s">
        <v>37</v>
      </c>
      <c r="G424" s="522" t="s">
        <v>391</v>
      </c>
      <c r="H424" s="507"/>
      <c r="I424" s="507"/>
      <c r="J424" s="510"/>
      <c r="K424" s="507"/>
    </row>
    <row r="425" spans="1:11" ht="52.8">
      <c r="A425" s="521">
        <v>32</v>
      </c>
      <c r="B425" s="522" t="s">
        <v>480</v>
      </c>
      <c r="C425" s="508">
        <v>0.16</v>
      </c>
      <c r="D425" s="509"/>
      <c r="E425" s="508">
        <v>0.16</v>
      </c>
      <c r="F425" s="510" t="s">
        <v>37</v>
      </c>
      <c r="G425" s="522" t="s">
        <v>417</v>
      </c>
      <c r="H425" s="507"/>
      <c r="I425" s="507" t="s">
        <v>613</v>
      </c>
      <c r="J425" s="510">
        <v>2021</v>
      </c>
      <c r="K425" s="507"/>
    </row>
    <row r="426" spans="1:11" ht="26.4">
      <c r="A426" s="521">
        <v>33</v>
      </c>
      <c r="B426" s="522" t="s">
        <v>1195</v>
      </c>
      <c r="C426" s="508">
        <v>5</v>
      </c>
      <c r="D426" s="509"/>
      <c r="E426" s="508">
        <v>5</v>
      </c>
      <c r="F426" s="510" t="s">
        <v>37</v>
      </c>
      <c r="G426" s="522" t="s">
        <v>417</v>
      </c>
      <c r="H426" s="507"/>
      <c r="I426" s="507" t="s">
        <v>1196</v>
      </c>
      <c r="J426" s="510"/>
      <c r="K426" s="507"/>
    </row>
    <row r="427" spans="1:11">
      <c r="A427" s="521">
        <v>34</v>
      </c>
      <c r="B427" s="522" t="s">
        <v>885</v>
      </c>
      <c r="C427" s="508">
        <v>0.52155936499842304</v>
      </c>
      <c r="D427" s="509">
        <v>0.32155936499842303</v>
      </c>
      <c r="E427" s="508">
        <v>0.2</v>
      </c>
      <c r="F427" s="510" t="s">
        <v>134</v>
      </c>
      <c r="G427" s="522" t="s">
        <v>389</v>
      </c>
      <c r="H427" s="507"/>
      <c r="I427" s="507"/>
      <c r="J427" s="510"/>
      <c r="K427" s="507"/>
    </row>
    <row r="428" spans="1:11">
      <c r="A428" s="521">
        <v>35</v>
      </c>
      <c r="B428" s="522" t="s">
        <v>482</v>
      </c>
      <c r="C428" s="508">
        <v>1.1821104736711829</v>
      </c>
      <c r="D428" s="509">
        <v>0.882110473671183</v>
      </c>
      <c r="E428" s="508">
        <v>0.29999999999999993</v>
      </c>
      <c r="F428" s="510" t="s">
        <v>37</v>
      </c>
      <c r="G428" s="522" t="s">
        <v>389</v>
      </c>
      <c r="H428" s="507"/>
      <c r="I428" s="507"/>
      <c r="J428" s="510"/>
      <c r="K428" s="507"/>
    </row>
    <row r="429" spans="1:11">
      <c r="A429" s="521">
        <v>36</v>
      </c>
      <c r="B429" s="522" t="s">
        <v>886</v>
      </c>
      <c r="C429" s="508">
        <v>0.32</v>
      </c>
      <c r="D429" s="509">
        <v>5.0054204999748601E-2</v>
      </c>
      <c r="E429" s="508">
        <v>0.2699457950002514</v>
      </c>
      <c r="F429" s="510" t="s">
        <v>37</v>
      </c>
      <c r="G429" s="522" t="s">
        <v>389</v>
      </c>
      <c r="H429" s="507"/>
      <c r="I429" s="507"/>
      <c r="J429" s="510"/>
      <c r="K429" s="507"/>
    </row>
    <row r="430" spans="1:11" ht="79.2">
      <c r="A430" s="521">
        <v>37</v>
      </c>
      <c r="B430" s="522" t="s">
        <v>1089</v>
      </c>
      <c r="C430" s="508">
        <v>1</v>
      </c>
      <c r="D430" s="509"/>
      <c r="E430" s="508">
        <v>1</v>
      </c>
      <c r="F430" s="510" t="s">
        <v>37</v>
      </c>
      <c r="G430" s="522" t="s">
        <v>389</v>
      </c>
      <c r="H430" s="507"/>
      <c r="I430" s="507" t="s">
        <v>612</v>
      </c>
      <c r="J430" s="510">
        <v>2021</v>
      </c>
      <c r="K430" s="507"/>
    </row>
    <row r="431" spans="1:11">
      <c r="A431" s="521">
        <v>38</v>
      </c>
      <c r="B431" s="522" t="s">
        <v>887</v>
      </c>
      <c r="C431" s="508">
        <v>0.82110122499913007</v>
      </c>
      <c r="D431" s="509">
        <v>0.32110122499913002</v>
      </c>
      <c r="E431" s="508">
        <v>0.5</v>
      </c>
      <c r="F431" s="510" t="s">
        <v>37</v>
      </c>
      <c r="G431" s="522" t="s">
        <v>389</v>
      </c>
      <c r="H431" s="507"/>
      <c r="I431" s="507"/>
      <c r="J431" s="510"/>
      <c r="K431" s="507"/>
    </row>
    <row r="432" spans="1:11">
      <c r="A432" s="521">
        <v>39</v>
      </c>
      <c r="B432" s="522" t="s">
        <v>888</v>
      </c>
      <c r="C432" s="508">
        <v>2</v>
      </c>
      <c r="D432" s="509"/>
      <c r="E432" s="508">
        <v>2</v>
      </c>
      <c r="F432" s="510" t="s">
        <v>37</v>
      </c>
      <c r="G432" s="522" t="s">
        <v>389</v>
      </c>
      <c r="H432" s="507"/>
      <c r="I432" s="507"/>
      <c r="J432" s="510"/>
      <c r="K432" s="507"/>
    </row>
    <row r="433" spans="1:11" ht="26.4">
      <c r="A433" s="521">
        <v>40</v>
      </c>
      <c r="B433" s="507" t="s">
        <v>867</v>
      </c>
      <c r="C433" s="509">
        <v>4</v>
      </c>
      <c r="D433" s="509">
        <v>0</v>
      </c>
      <c r="E433" s="509">
        <v>4</v>
      </c>
      <c r="F433" s="510"/>
      <c r="G433" s="507"/>
      <c r="H433" s="507"/>
      <c r="I433" s="507"/>
      <c r="J433" s="510"/>
      <c r="K433" s="507"/>
    </row>
    <row r="434" spans="1:11" s="499" customFormat="1">
      <c r="A434" s="524"/>
      <c r="B434" s="514"/>
      <c r="C434" s="516">
        <v>0.5</v>
      </c>
      <c r="D434" s="516"/>
      <c r="E434" s="516">
        <v>0.5</v>
      </c>
      <c r="F434" s="517" t="s">
        <v>37</v>
      </c>
      <c r="G434" s="514" t="s">
        <v>369</v>
      </c>
      <c r="H434" s="514"/>
      <c r="I434" s="514"/>
      <c r="J434" s="517"/>
      <c r="K434" s="514"/>
    </row>
    <row r="435" spans="1:11" s="499" customFormat="1">
      <c r="A435" s="524"/>
      <c r="B435" s="514"/>
      <c r="C435" s="516">
        <v>1</v>
      </c>
      <c r="D435" s="516"/>
      <c r="E435" s="516">
        <v>1</v>
      </c>
      <c r="F435" s="517" t="s">
        <v>37</v>
      </c>
      <c r="G435" s="514" t="s">
        <v>367</v>
      </c>
      <c r="H435" s="514"/>
      <c r="I435" s="514"/>
      <c r="J435" s="517"/>
      <c r="K435" s="514"/>
    </row>
    <row r="436" spans="1:11" s="499" customFormat="1">
      <c r="A436" s="524"/>
      <c r="B436" s="514"/>
      <c r="C436" s="516">
        <v>0.5</v>
      </c>
      <c r="D436" s="516"/>
      <c r="E436" s="516">
        <v>0.5</v>
      </c>
      <c r="F436" s="517" t="s">
        <v>37</v>
      </c>
      <c r="G436" s="514" t="s">
        <v>370</v>
      </c>
      <c r="H436" s="514"/>
      <c r="I436" s="514"/>
      <c r="J436" s="517"/>
      <c r="K436" s="514"/>
    </row>
    <row r="437" spans="1:11" s="499" customFormat="1">
      <c r="A437" s="524"/>
      <c r="B437" s="514"/>
      <c r="C437" s="516">
        <v>1</v>
      </c>
      <c r="D437" s="516"/>
      <c r="E437" s="516">
        <v>1</v>
      </c>
      <c r="F437" s="517" t="s">
        <v>37</v>
      </c>
      <c r="G437" s="514" t="s">
        <v>408</v>
      </c>
      <c r="H437" s="514"/>
      <c r="I437" s="514"/>
      <c r="J437" s="517"/>
      <c r="K437" s="514"/>
    </row>
    <row r="438" spans="1:11" s="499" customFormat="1">
      <c r="A438" s="524"/>
      <c r="B438" s="514"/>
      <c r="C438" s="516">
        <v>1</v>
      </c>
      <c r="D438" s="516"/>
      <c r="E438" s="516">
        <v>1</v>
      </c>
      <c r="F438" s="517" t="s">
        <v>37</v>
      </c>
      <c r="G438" s="514" t="s">
        <v>391</v>
      </c>
      <c r="H438" s="514"/>
      <c r="I438" s="514"/>
      <c r="J438" s="517"/>
      <c r="K438" s="514"/>
    </row>
    <row r="439" spans="1:11" s="492" customFormat="1">
      <c r="A439" s="529" t="s">
        <v>345</v>
      </c>
      <c r="B439" s="501" t="s">
        <v>299</v>
      </c>
      <c r="C439" s="502">
        <v>66.219748802447697</v>
      </c>
      <c r="D439" s="502">
        <v>2.339660880005598</v>
      </c>
      <c r="E439" s="502">
        <v>63.880087922442094</v>
      </c>
      <c r="F439" s="503"/>
      <c r="G439" s="501"/>
      <c r="H439" s="512"/>
      <c r="I439" s="512"/>
      <c r="J439" s="503"/>
      <c r="K439" s="512"/>
    </row>
    <row r="440" spans="1:11">
      <c r="A440" s="521">
        <v>1</v>
      </c>
      <c r="B440" s="530" t="s">
        <v>889</v>
      </c>
      <c r="C440" s="509">
        <v>0.75744999999999996</v>
      </c>
      <c r="D440" s="509">
        <v>0.72840700000000003</v>
      </c>
      <c r="E440" s="509">
        <v>2.904299999999993E-2</v>
      </c>
      <c r="F440" s="510" t="s">
        <v>132</v>
      </c>
      <c r="G440" s="507" t="s">
        <v>393</v>
      </c>
      <c r="H440" s="507"/>
      <c r="I440" s="507"/>
      <c r="J440" s="510"/>
      <c r="K440" s="507"/>
    </row>
    <row r="441" spans="1:11" ht="26.4">
      <c r="A441" s="521">
        <v>2</v>
      </c>
      <c r="B441" s="507" t="s">
        <v>890</v>
      </c>
      <c r="C441" s="509">
        <v>3.3483999999999998</v>
      </c>
      <c r="D441" s="509"/>
      <c r="E441" s="509">
        <v>3.3483999999999998</v>
      </c>
      <c r="F441" s="510" t="s">
        <v>37</v>
      </c>
      <c r="G441" s="507" t="s">
        <v>393</v>
      </c>
      <c r="H441" s="507"/>
      <c r="I441" s="507" t="s">
        <v>1086</v>
      </c>
      <c r="J441" s="510"/>
      <c r="K441" s="507"/>
    </row>
    <row r="442" spans="1:11">
      <c r="A442" s="521">
        <v>3</v>
      </c>
      <c r="B442" s="507" t="s">
        <v>891</v>
      </c>
      <c r="C442" s="509">
        <v>3</v>
      </c>
      <c r="D442" s="509"/>
      <c r="E442" s="509">
        <v>3</v>
      </c>
      <c r="F442" s="510" t="s">
        <v>37</v>
      </c>
      <c r="G442" s="507" t="s">
        <v>393</v>
      </c>
      <c r="H442" s="507"/>
      <c r="I442" s="507"/>
      <c r="J442" s="510"/>
      <c r="K442" s="507"/>
    </row>
    <row r="443" spans="1:11">
      <c r="A443" s="521">
        <v>4</v>
      </c>
      <c r="B443" s="507" t="s">
        <v>488</v>
      </c>
      <c r="C443" s="509">
        <v>1.7</v>
      </c>
      <c r="D443" s="509"/>
      <c r="E443" s="509">
        <v>1.7</v>
      </c>
      <c r="F443" s="510" t="s">
        <v>37</v>
      </c>
      <c r="G443" s="507" t="s">
        <v>367</v>
      </c>
      <c r="H443" s="507"/>
      <c r="I443" s="507"/>
      <c r="J443" s="510"/>
      <c r="K443" s="507"/>
    </row>
    <row r="444" spans="1:11">
      <c r="A444" s="521">
        <v>5</v>
      </c>
      <c r="B444" s="507" t="s">
        <v>483</v>
      </c>
      <c r="C444" s="509">
        <v>0.50009337999932502</v>
      </c>
      <c r="D444" s="509"/>
      <c r="E444" s="509">
        <v>0.50009337999932502</v>
      </c>
      <c r="F444" s="510" t="s">
        <v>132</v>
      </c>
      <c r="G444" s="507" t="s">
        <v>367</v>
      </c>
      <c r="H444" s="507"/>
      <c r="I444" s="507"/>
      <c r="J444" s="510"/>
      <c r="K444" s="507"/>
    </row>
    <row r="445" spans="1:11">
      <c r="A445" s="521">
        <v>6</v>
      </c>
      <c r="B445" s="507" t="s">
        <v>484</v>
      </c>
      <c r="C445" s="509">
        <v>0.5</v>
      </c>
      <c r="D445" s="509"/>
      <c r="E445" s="509">
        <v>0.5</v>
      </c>
      <c r="F445" s="510" t="s">
        <v>37</v>
      </c>
      <c r="G445" s="507" t="s">
        <v>367</v>
      </c>
      <c r="H445" s="507"/>
      <c r="I445" s="507"/>
      <c r="J445" s="510"/>
      <c r="K445" s="507"/>
    </row>
    <row r="446" spans="1:11">
      <c r="A446" s="521">
        <v>7</v>
      </c>
      <c r="B446" s="507" t="s">
        <v>485</v>
      </c>
      <c r="C446" s="509">
        <v>0.5</v>
      </c>
      <c r="D446" s="509"/>
      <c r="E446" s="509">
        <v>0.5</v>
      </c>
      <c r="F446" s="510" t="s">
        <v>37</v>
      </c>
      <c r="G446" s="507" t="s">
        <v>367</v>
      </c>
      <c r="H446" s="507"/>
      <c r="I446" s="507"/>
      <c r="J446" s="510"/>
      <c r="K446" s="507"/>
    </row>
    <row r="447" spans="1:11">
      <c r="A447" s="521">
        <v>8</v>
      </c>
      <c r="B447" s="507" t="s">
        <v>486</v>
      </c>
      <c r="C447" s="509">
        <v>0.5</v>
      </c>
      <c r="D447" s="509"/>
      <c r="E447" s="509">
        <v>0.5</v>
      </c>
      <c r="F447" s="510" t="s">
        <v>37</v>
      </c>
      <c r="G447" s="507" t="s">
        <v>367</v>
      </c>
      <c r="H447" s="507"/>
      <c r="I447" s="507"/>
      <c r="J447" s="510"/>
      <c r="K447" s="507"/>
    </row>
    <row r="448" spans="1:11">
      <c r="A448" s="521">
        <v>9</v>
      </c>
      <c r="B448" s="507" t="s">
        <v>487</v>
      </c>
      <c r="C448" s="509">
        <v>0.5</v>
      </c>
      <c r="D448" s="509"/>
      <c r="E448" s="509">
        <v>0.5</v>
      </c>
      <c r="F448" s="510" t="s">
        <v>37</v>
      </c>
      <c r="G448" s="507" t="s">
        <v>367</v>
      </c>
      <c r="H448" s="507"/>
      <c r="I448" s="507"/>
      <c r="J448" s="510"/>
      <c r="K448" s="507"/>
    </row>
    <row r="449" spans="1:11">
      <c r="A449" s="521">
        <v>10</v>
      </c>
      <c r="B449" s="507" t="s">
        <v>489</v>
      </c>
      <c r="C449" s="509">
        <v>2.1</v>
      </c>
      <c r="D449" s="509"/>
      <c r="E449" s="509">
        <v>2.1</v>
      </c>
      <c r="F449" s="510" t="s">
        <v>37</v>
      </c>
      <c r="G449" s="507" t="s">
        <v>370</v>
      </c>
      <c r="H449" s="507"/>
      <c r="I449" s="507"/>
      <c r="J449" s="510"/>
      <c r="K449" s="507"/>
    </row>
    <row r="450" spans="1:11">
      <c r="A450" s="521">
        <v>11</v>
      </c>
      <c r="B450" s="507" t="s">
        <v>490</v>
      </c>
      <c r="C450" s="509">
        <v>0.3</v>
      </c>
      <c r="D450" s="509"/>
      <c r="E450" s="509">
        <v>0.3</v>
      </c>
      <c r="F450" s="510" t="s">
        <v>37</v>
      </c>
      <c r="G450" s="507" t="s">
        <v>372</v>
      </c>
      <c r="H450" s="507"/>
      <c r="I450" s="507"/>
      <c r="J450" s="510"/>
      <c r="K450" s="507"/>
    </row>
    <row r="451" spans="1:11">
      <c r="A451" s="521">
        <v>12</v>
      </c>
      <c r="B451" s="507" t="s">
        <v>491</v>
      </c>
      <c r="C451" s="509">
        <v>0.3</v>
      </c>
      <c r="D451" s="509"/>
      <c r="E451" s="509">
        <v>0.3</v>
      </c>
      <c r="F451" s="510" t="s">
        <v>37</v>
      </c>
      <c r="G451" s="507" t="s">
        <v>372</v>
      </c>
      <c r="H451" s="507"/>
      <c r="I451" s="507"/>
      <c r="J451" s="510"/>
      <c r="K451" s="507"/>
    </row>
    <row r="452" spans="1:11">
      <c r="A452" s="521">
        <v>13</v>
      </c>
      <c r="B452" s="507" t="s">
        <v>492</v>
      </c>
      <c r="C452" s="509">
        <v>0.3</v>
      </c>
      <c r="D452" s="509"/>
      <c r="E452" s="509">
        <v>0.3</v>
      </c>
      <c r="F452" s="510" t="s">
        <v>37</v>
      </c>
      <c r="G452" s="507" t="s">
        <v>372</v>
      </c>
      <c r="H452" s="507"/>
      <c r="I452" s="507"/>
      <c r="J452" s="510"/>
      <c r="K452" s="507"/>
    </row>
    <row r="453" spans="1:11">
      <c r="A453" s="521">
        <v>14</v>
      </c>
      <c r="B453" s="507" t="s">
        <v>493</v>
      </c>
      <c r="C453" s="509">
        <v>0.3</v>
      </c>
      <c r="D453" s="509"/>
      <c r="E453" s="509">
        <v>0.3</v>
      </c>
      <c r="F453" s="510" t="s">
        <v>37</v>
      </c>
      <c r="G453" s="507" t="s">
        <v>372</v>
      </c>
      <c r="H453" s="507"/>
      <c r="I453" s="507"/>
      <c r="J453" s="510"/>
      <c r="K453" s="507"/>
    </row>
    <row r="454" spans="1:11">
      <c r="A454" s="521">
        <v>15</v>
      </c>
      <c r="B454" s="507" t="s">
        <v>494</v>
      </c>
      <c r="C454" s="509">
        <v>6.7105422448366897E-2</v>
      </c>
      <c r="D454" s="509"/>
      <c r="E454" s="509">
        <v>6.7105422448366897E-2</v>
      </c>
      <c r="F454" s="510" t="s">
        <v>143</v>
      </c>
      <c r="G454" s="507" t="s">
        <v>372</v>
      </c>
      <c r="H454" s="507"/>
      <c r="I454" s="507"/>
      <c r="J454" s="510"/>
      <c r="K454" s="507"/>
    </row>
    <row r="455" spans="1:11">
      <c r="A455" s="521">
        <v>16</v>
      </c>
      <c r="B455" s="507" t="s">
        <v>892</v>
      </c>
      <c r="C455" s="509">
        <v>0.3</v>
      </c>
      <c r="D455" s="509"/>
      <c r="E455" s="509">
        <v>0.3</v>
      </c>
      <c r="F455" s="510" t="s">
        <v>37</v>
      </c>
      <c r="G455" s="507" t="s">
        <v>372</v>
      </c>
      <c r="H455" s="507"/>
      <c r="I455" s="507"/>
      <c r="J455" s="510"/>
      <c r="K455" s="507"/>
    </row>
    <row r="456" spans="1:11">
      <c r="A456" s="521">
        <v>17</v>
      </c>
      <c r="B456" s="507" t="s">
        <v>495</v>
      </c>
      <c r="C456" s="509">
        <v>1.2</v>
      </c>
      <c r="D456" s="509">
        <v>0.81226688000559799</v>
      </c>
      <c r="E456" s="509">
        <v>0.38773311999440196</v>
      </c>
      <c r="F456" s="510" t="s">
        <v>37</v>
      </c>
      <c r="G456" s="507" t="s">
        <v>379</v>
      </c>
      <c r="H456" s="507"/>
      <c r="I456" s="507"/>
      <c r="J456" s="510"/>
      <c r="K456" s="507"/>
    </row>
    <row r="457" spans="1:11">
      <c r="A457" s="521">
        <v>18</v>
      </c>
      <c r="B457" s="507" t="s">
        <v>893</v>
      </c>
      <c r="C457" s="509">
        <v>1.2</v>
      </c>
      <c r="D457" s="509">
        <v>0.798987</v>
      </c>
      <c r="E457" s="509">
        <v>0.40101299999999995</v>
      </c>
      <c r="F457" s="510" t="s">
        <v>37</v>
      </c>
      <c r="G457" s="507" t="s">
        <v>408</v>
      </c>
      <c r="H457" s="507"/>
      <c r="I457" s="507"/>
      <c r="J457" s="510"/>
      <c r="K457" s="507"/>
    </row>
    <row r="458" spans="1:11">
      <c r="A458" s="521">
        <v>19</v>
      </c>
      <c r="B458" s="507" t="s">
        <v>894</v>
      </c>
      <c r="C458" s="509">
        <v>1.9866999999999999</v>
      </c>
      <c r="D458" s="509"/>
      <c r="E458" s="509">
        <v>1.9866999999999999</v>
      </c>
      <c r="F458" s="510" t="s">
        <v>37</v>
      </c>
      <c r="G458" s="507" t="s">
        <v>380</v>
      </c>
      <c r="H458" s="507"/>
      <c r="I458" s="507"/>
      <c r="J458" s="510"/>
      <c r="K458" s="507"/>
    </row>
    <row r="459" spans="1:11">
      <c r="A459" s="521">
        <v>20</v>
      </c>
      <c r="B459" s="507" t="s">
        <v>496</v>
      </c>
      <c r="C459" s="509">
        <v>0.81</v>
      </c>
      <c r="D459" s="509"/>
      <c r="E459" s="509">
        <v>0.81</v>
      </c>
      <c r="F459" s="510" t="s">
        <v>37</v>
      </c>
      <c r="G459" s="507" t="s">
        <v>417</v>
      </c>
      <c r="H459" s="507"/>
      <c r="I459" s="507"/>
      <c r="J459" s="510"/>
      <c r="K459" s="507"/>
    </row>
    <row r="460" spans="1:11">
      <c r="A460" s="521">
        <v>21</v>
      </c>
      <c r="B460" s="507" t="s">
        <v>895</v>
      </c>
      <c r="C460" s="509">
        <v>1.5</v>
      </c>
      <c r="D460" s="509"/>
      <c r="E460" s="509">
        <v>1.5</v>
      </c>
      <c r="F460" s="510" t="s">
        <v>37</v>
      </c>
      <c r="G460" s="507" t="s">
        <v>391</v>
      </c>
      <c r="H460" s="507"/>
      <c r="I460" s="507"/>
      <c r="J460" s="510"/>
      <c r="K460" s="507"/>
    </row>
    <row r="461" spans="1:11">
      <c r="A461" s="521">
        <v>22</v>
      </c>
      <c r="B461" s="507" t="s">
        <v>897</v>
      </c>
      <c r="C461" s="509">
        <v>1</v>
      </c>
      <c r="D461" s="509"/>
      <c r="E461" s="509">
        <v>1</v>
      </c>
      <c r="F461" s="510" t="s">
        <v>37</v>
      </c>
      <c r="G461" s="507" t="s">
        <v>389</v>
      </c>
      <c r="H461" s="507"/>
      <c r="I461" s="507"/>
      <c r="J461" s="510"/>
      <c r="K461" s="507"/>
    </row>
    <row r="462" spans="1:11">
      <c r="A462" s="521">
        <v>23</v>
      </c>
      <c r="B462" s="507" t="s">
        <v>497</v>
      </c>
      <c r="C462" s="509">
        <v>0.25</v>
      </c>
      <c r="D462" s="509"/>
      <c r="E462" s="509">
        <v>0.25</v>
      </c>
      <c r="F462" s="510" t="s">
        <v>37</v>
      </c>
      <c r="G462" s="507" t="s">
        <v>389</v>
      </c>
      <c r="H462" s="507"/>
      <c r="I462" s="507"/>
      <c r="J462" s="510"/>
      <c r="K462" s="507"/>
    </row>
    <row r="463" spans="1:11" ht="26.4">
      <c r="A463" s="521">
        <v>24</v>
      </c>
      <c r="B463" s="507" t="s">
        <v>896</v>
      </c>
      <c r="C463" s="509">
        <v>43.3</v>
      </c>
      <c r="D463" s="509">
        <v>0</v>
      </c>
      <c r="E463" s="509">
        <v>43.3</v>
      </c>
      <c r="F463" s="510"/>
      <c r="G463" s="507"/>
      <c r="H463" s="507"/>
      <c r="I463" s="507"/>
      <c r="J463" s="510"/>
      <c r="K463" s="507"/>
    </row>
    <row r="464" spans="1:11" s="499" customFormat="1">
      <c r="A464" s="524"/>
      <c r="B464" s="514"/>
      <c r="C464" s="516">
        <v>4.3</v>
      </c>
      <c r="D464" s="516"/>
      <c r="E464" s="516">
        <v>4.3</v>
      </c>
      <c r="F464" s="517"/>
      <c r="G464" s="514" t="s">
        <v>393</v>
      </c>
      <c r="H464" s="514"/>
      <c r="I464" s="514"/>
      <c r="J464" s="517"/>
      <c r="K464" s="514"/>
    </row>
    <row r="465" spans="1:11" s="499" customFormat="1">
      <c r="A465" s="524"/>
      <c r="B465" s="514"/>
      <c r="C465" s="516">
        <v>3</v>
      </c>
      <c r="D465" s="516"/>
      <c r="E465" s="516">
        <v>3</v>
      </c>
      <c r="F465" s="517"/>
      <c r="G465" s="514" t="s">
        <v>369</v>
      </c>
      <c r="H465" s="514"/>
      <c r="I465" s="514"/>
      <c r="J465" s="517"/>
      <c r="K465" s="514"/>
    </row>
    <row r="466" spans="1:11" s="499" customFormat="1">
      <c r="A466" s="524"/>
      <c r="B466" s="514"/>
      <c r="C466" s="516">
        <v>5.5</v>
      </c>
      <c r="D466" s="516"/>
      <c r="E466" s="516">
        <v>5.5</v>
      </c>
      <c r="F466" s="517"/>
      <c r="G466" s="514" t="s">
        <v>390</v>
      </c>
      <c r="H466" s="514"/>
      <c r="I466" s="514"/>
      <c r="J466" s="517"/>
      <c r="K466" s="514"/>
    </row>
    <row r="467" spans="1:11" s="499" customFormat="1">
      <c r="A467" s="524"/>
      <c r="B467" s="514"/>
      <c r="C467" s="516">
        <v>5</v>
      </c>
      <c r="D467" s="516"/>
      <c r="E467" s="516">
        <v>5</v>
      </c>
      <c r="F467" s="517"/>
      <c r="G467" s="514" t="s">
        <v>365</v>
      </c>
      <c r="H467" s="514"/>
      <c r="I467" s="514"/>
      <c r="J467" s="517"/>
      <c r="K467" s="514"/>
    </row>
    <row r="468" spans="1:11" s="499" customFormat="1">
      <c r="A468" s="524"/>
      <c r="B468" s="514"/>
      <c r="C468" s="516">
        <v>1</v>
      </c>
      <c r="D468" s="516"/>
      <c r="E468" s="516">
        <v>1</v>
      </c>
      <c r="F468" s="517"/>
      <c r="G468" s="514" t="s">
        <v>367</v>
      </c>
      <c r="H468" s="514"/>
      <c r="I468" s="514"/>
      <c r="J468" s="517"/>
      <c r="K468" s="514"/>
    </row>
    <row r="469" spans="1:11" s="499" customFormat="1">
      <c r="A469" s="524"/>
      <c r="B469" s="514"/>
      <c r="C469" s="516">
        <v>3</v>
      </c>
      <c r="D469" s="516"/>
      <c r="E469" s="516">
        <v>3</v>
      </c>
      <c r="F469" s="517"/>
      <c r="G469" s="514" t="s">
        <v>370</v>
      </c>
      <c r="H469" s="514"/>
      <c r="I469" s="514"/>
      <c r="J469" s="517"/>
      <c r="K469" s="514"/>
    </row>
    <row r="470" spans="1:11" s="499" customFormat="1">
      <c r="A470" s="524"/>
      <c r="B470" s="514"/>
      <c r="C470" s="516">
        <v>2.5</v>
      </c>
      <c r="D470" s="516"/>
      <c r="E470" s="516">
        <v>2.5</v>
      </c>
      <c r="F470" s="517"/>
      <c r="G470" s="514" t="s">
        <v>379</v>
      </c>
      <c r="H470" s="514"/>
      <c r="I470" s="514"/>
      <c r="J470" s="517"/>
      <c r="K470" s="514"/>
    </row>
    <row r="471" spans="1:11" s="499" customFormat="1">
      <c r="A471" s="524"/>
      <c r="B471" s="514"/>
      <c r="C471" s="516">
        <v>3</v>
      </c>
      <c r="D471" s="516"/>
      <c r="E471" s="516">
        <v>3</v>
      </c>
      <c r="F471" s="517"/>
      <c r="G471" s="514" t="s">
        <v>408</v>
      </c>
      <c r="H471" s="514"/>
      <c r="I471" s="514"/>
      <c r="J471" s="517"/>
      <c r="K471" s="514"/>
    </row>
    <row r="472" spans="1:11" s="499" customFormat="1">
      <c r="A472" s="524"/>
      <c r="B472" s="514"/>
      <c r="C472" s="516">
        <v>5</v>
      </c>
      <c r="D472" s="516"/>
      <c r="E472" s="516">
        <v>5</v>
      </c>
      <c r="F472" s="517"/>
      <c r="G472" s="514" t="s">
        <v>380</v>
      </c>
      <c r="H472" s="514"/>
      <c r="I472" s="514"/>
      <c r="J472" s="517"/>
      <c r="K472" s="514"/>
    </row>
    <row r="473" spans="1:11" s="499" customFormat="1">
      <c r="A473" s="524"/>
      <c r="B473" s="514"/>
      <c r="C473" s="516">
        <v>4</v>
      </c>
      <c r="D473" s="516"/>
      <c r="E473" s="516">
        <v>4</v>
      </c>
      <c r="F473" s="517"/>
      <c r="G473" s="514" t="s">
        <v>417</v>
      </c>
      <c r="H473" s="514"/>
      <c r="I473" s="514"/>
      <c r="J473" s="517"/>
      <c r="K473" s="514"/>
    </row>
    <row r="474" spans="1:11" s="499" customFormat="1">
      <c r="A474" s="524"/>
      <c r="B474" s="514"/>
      <c r="C474" s="516">
        <v>4</v>
      </c>
      <c r="D474" s="516"/>
      <c r="E474" s="516">
        <v>4</v>
      </c>
      <c r="F474" s="517"/>
      <c r="G474" s="514" t="s">
        <v>391</v>
      </c>
      <c r="H474" s="514"/>
      <c r="I474" s="514"/>
      <c r="J474" s="517"/>
      <c r="K474" s="514"/>
    </row>
    <row r="475" spans="1:11" s="499" customFormat="1">
      <c r="A475" s="524"/>
      <c r="B475" s="514"/>
      <c r="C475" s="516">
        <v>3</v>
      </c>
      <c r="D475" s="516"/>
      <c r="E475" s="516">
        <v>3</v>
      </c>
      <c r="F475" s="517"/>
      <c r="G475" s="514" t="s">
        <v>389</v>
      </c>
      <c r="H475" s="514"/>
      <c r="I475" s="514"/>
      <c r="J475" s="517"/>
      <c r="K475" s="514"/>
    </row>
    <row r="476" spans="1:11" s="492" customFormat="1">
      <c r="A476" s="529" t="s">
        <v>345</v>
      </c>
      <c r="B476" s="501" t="s">
        <v>300</v>
      </c>
      <c r="C476" s="502">
        <v>782.57700000000011</v>
      </c>
      <c r="D476" s="502">
        <v>0.19</v>
      </c>
      <c r="E476" s="502">
        <v>782.38700000000006</v>
      </c>
      <c r="F476" s="503"/>
      <c r="G476" s="501"/>
      <c r="H476" s="512"/>
      <c r="I476" s="512"/>
      <c r="J476" s="503"/>
      <c r="K476" s="512"/>
    </row>
    <row r="477" spans="1:11" ht="52.8">
      <c r="A477" s="521">
        <v>1</v>
      </c>
      <c r="B477" s="507" t="s">
        <v>498</v>
      </c>
      <c r="C477" s="509">
        <v>60</v>
      </c>
      <c r="D477" s="509"/>
      <c r="E477" s="516">
        <v>60</v>
      </c>
      <c r="F477" s="510" t="s">
        <v>898</v>
      </c>
      <c r="G477" s="507" t="s">
        <v>365</v>
      </c>
      <c r="H477" s="507"/>
      <c r="I477" s="507" t="s">
        <v>615</v>
      </c>
      <c r="J477" s="510">
        <v>2021</v>
      </c>
      <c r="K477" s="507"/>
    </row>
    <row r="478" spans="1:11">
      <c r="A478" s="521">
        <v>2</v>
      </c>
      <c r="B478" s="507" t="s">
        <v>499</v>
      </c>
      <c r="C478" s="509">
        <v>0.5</v>
      </c>
      <c r="D478" s="509"/>
      <c r="E478" s="516">
        <v>0.5</v>
      </c>
      <c r="F478" s="510" t="s">
        <v>37</v>
      </c>
      <c r="G478" s="507" t="s">
        <v>367</v>
      </c>
      <c r="H478" s="507"/>
      <c r="I478" s="507"/>
      <c r="J478" s="510"/>
      <c r="K478" s="507"/>
    </row>
    <row r="479" spans="1:11" ht="26.4">
      <c r="A479" s="521">
        <v>3</v>
      </c>
      <c r="B479" s="507" t="s">
        <v>500</v>
      </c>
      <c r="C479" s="509">
        <v>0.4</v>
      </c>
      <c r="D479" s="509"/>
      <c r="E479" s="516">
        <v>0.4</v>
      </c>
      <c r="F479" s="510" t="s">
        <v>37</v>
      </c>
      <c r="G479" s="507" t="s">
        <v>367</v>
      </c>
      <c r="H479" s="507"/>
      <c r="I479" s="507"/>
      <c r="J479" s="510"/>
      <c r="K479" s="507"/>
    </row>
    <row r="480" spans="1:11">
      <c r="A480" s="521">
        <v>4</v>
      </c>
      <c r="B480" s="507" t="s">
        <v>501</v>
      </c>
      <c r="C480" s="509">
        <v>0.05</v>
      </c>
      <c r="D480" s="509"/>
      <c r="E480" s="516">
        <v>0.05</v>
      </c>
      <c r="F480" s="510" t="s">
        <v>37</v>
      </c>
      <c r="G480" s="507" t="s">
        <v>369</v>
      </c>
      <c r="H480" s="507"/>
      <c r="I480" s="507"/>
      <c r="J480" s="510"/>
      <c r="K480" s="507"/>
    </row>
    <row r="481" spans="1:11">
      <c r="A481" s="521">
        <v>5</v>
      </c>
      <c r="B481" s="507" t="s">
        <v>502</v>
      </c>
      <c r="C481" s="509">
        <v>60</v>
      </c>
      <c r="D481" s="509"/>
      <c r="E481" s="516">
        <v>60</v>
      </c>
      <c r="F481" s="510" t="s">
        <v>37</v>
      </c>
      <c r="G481" s="507" t="s">
        <v>369</v>
      </c>
      <c r="H481" s="507"/>
      <c r="I481" s="507"/>
      <c r="J481" s="510"/>
      <c r="K481" s="507"/>
    </row>
    <row r="482" spans="1:11">
      <c r="A482" s="521">
        <v>6</v>
      </c>
      <c r="B482" s="507" t="s">
        <v>503</v>
      </c>
      <c r="C482" s="509">
        <v>60</v>
      </c>
      <c r="D482" s="509"/>
      <c r="E482" s="516">
        <v>60</v>
      </c>
      <c r="F482" s="510" t="s">
        <v>37</v>
      </c>
      <c r="G482" s="507" t="s">
        <v>369</v>
      </c>
      <c r="H482" s="507"/>
      <c r="I482" s="507"/>
      <c r="J482" s="510"/>
      <c r="K482" s="507"/>
    </row>
    <row r="483" spans="1:11" ht="26.4">
      <c r="A483" s="521">
        <v>7</v>
      </c>
      <c r="B483" s="507" t="s">
        <v>1111</v>
      </c>
      <c r="C483" s="509">
        <v>1.32</v>
      </c>
      <c r="D483" s="509"/>
      <c r="E483" s="509">
        <v>1.32</v>
      </c>
      <c r="F483" s="510" t="s">
        <v>37</v>
      </c>
      <c r="G483" s="507" t="s">
        <v>369</v>
      </c>
      <c r="H483" s="507"/>
      <c r="I483" s="507" t="s">
        <v>1110</v>
      </c>
      <c r="J483" s="510">
        <v>2023</v>
      </c>
      <c r="K483" s="507"/>
    </row>
    <row r="484" spans="1:11" ht="26.4">
      <c r="A484" s="521">
        <v>8</v>
      </c>
      <c r="B484" s="507" t="s">
        <v>1112</v>
      </c>
      <c r="C484" s="509">
        <v>1.8</v>
      </c>
      <c r="D484" s="509"/>
      <c r="E484" s="509">
        <v>1.8</v>
      </c>
      <c r="F484" s="510" t="s">
        <v>37</v>
      </c>
      <c r="G484" s="507" t="s">
        <v>369</v>
      </c>
      <c r="H484" s="507"/>
      <c r="I484" s="507" t="s">
        <v>1110</v>
      </c>
      <c r="J484" s="510">
        <v>2025</v>
      </c>
      <c r="K484" s="507"/>
    </row>
    <row r="485" spans="1:11" ht="26.4">
      <c r="A485" s="521">
        <v>9</v>
      </c>
      <c r="B485" s="507" t="s">
        <v>1113</v>
      </c>
      <c r="C485" s="509">
        <v>1.1099999999999999</v>
      </c>
      <c r="D485" s="509">
        <v>0</v>
      </c>
      <c r="E485" s="509">
        <v>1.1099999999999999</v>
      </c>
      <c r="F485" s="510"/>
      <c r="G485" s="507"/>
      <c r="H485" s="507"/>
      <c r="I485" s="507" t="s">
        <v>1110</v>
      </c>
      <c r="J485" s="510">
        <v>2026</v>
      </c>
      <c r="K485" s="507"/>
    </row>
    <row r="486" spans="1:11" s="499" customFormat="1">
      <c r="A486" s="524"/>
      <c r="B486" s="514"/>
      <c r="C486" s="516">
        <v>0.6</v>
      </c>
      <c r="D486" s="516"/>
      <c r="E486" s="516">
        <v>0.6</v>
      </c>
      <c r="F486" s="517" t="s">
        <v>37</v>
      </c>
      <c r="G486" s="514" t="s">
        <v>369</v>
      </c>
      <c r="H486" s="514"/>
      <c r="I486" s="514"/>
      <c r="J486" s="517"/>
      <c r="K486" s="514"/>
    </row>
    <row r="487" spans="1:11" s="499" customFormat="1">
      <c r="A487" s="524"/>
      <c r="B487" s="514"/>
      <c r="C487" s="516">
        <v>0.51</v>
      </c>
      <c r="D487" s="516"/>
      <c r="E487" s="516">
        <v>0.51</v>
      </c>
      <c r="F487" s="517" t="s">
        <v>37</v>
      </c>
      <c r="G487" s="514" t="s">
        <v>370</v>
      </c>
      <c r="H487" s="514"/>
      <c r="I487" s="514"/>
      <c r="J487" s="517"/>
      <c r="K487" s="514"/>
    </row>
    <row r="488" spans="1:11" ht="26.4">
      <c r="A488" s="521">
        <v>10</v>
      </c>
      <c r="B488" s="507" t="s">
        <v>1109</v>
      </c>
      <c r="C488" s="509">
        <v>1.1870000000000001</v>
      </c>
      <c r="D488" s="509"/>
      <c r="E488" s="516">
        <v>1.1870000000000001</v>
      </c>
      <c r="F488" s="510" t="s">
        <v>37</v>
      </c>
      <c r="G488" s="507" t="s">
        <v>372</v>
      </c>
      <c r="H488" s="507"/>
      <c r="I488" s="507" t="s">
        <v>1110</v>
      </c>
      <c r="J488" s="510">
        <v>2025</v>
      </c>
      <c r="K488" s="507"/>
    </row>
    <row r="489" spans="1:11" ht="66">
      <c r="A489" s="521">
        <v>11</v>
      </c>
      <c r="B489" s="507" t="s">
        <v>504</v>
      </c>
      <c r="C489" s="509">
        <v>360</v>
      </c>
      <c r="D489" s="509"/>
      <c r="E489" s="516">
        <v>360</v>
      </c>
      <c r="F489" s="510" t="s">
        <v>37</v>
      </c>
      <c r="G489" s="507" t="s">
        <v>372</v>
      </c>
      <c r="H489" s="507"/>
      <c r="I489" s="507" t="s">
        <v>620</v>
      </c>
      <c r="J489" s="510">
        <v>2021</v>
      </c>
      <c r="K489" s="507"/>
    </row>
    <row r="490" spans="1:11" ht="26.4">
      <c r="A490" s="521">
        <v>12</v>
      </c>
      <c r="B490" s="507" t="s">
        <v>505</v>
      </c>
      <c r="C490" s="509">
        <v>2.27</v>
      </c>
      <c r="D490" s="509">
        <v>0</v>
      </c>
      <c r="E490" s="509">
        <v>2.27</v>
      </c>
      <c r="F490" s="510"/>
      <c r="G490" s="507"/>
      <c r="H490" s="507"/>
      <c r="I490" s="507" t="s">
        <v>610</v>
      </c>
      <c r="J490" s="510">
        <v>2021</v>
      </c>
      <c r="K490" s="507"/>
    </row>
    <row r="491" spans="1:11" s="499" customFormat="1">
      <c r="A491" s="524"/>
      <c r="B491" s="514"/>
      <c r="C491" s="516">
        <v>1.17</v>
      </c>
      <c r="D491" s="516"/>
      <c r="E491" s="516">
        <v>1.17</v>
      </c>
      <c r="F491" s="517" t="s">
        <v>37</v>
      </c>
      <c r="G491" s="514" t="s">
        <v>379</v>
      </c>
      <c r="H491" s="514"/>
      <c r="I491" s="514"/>
      <c r="J491" s="517"/>
      <c r="K491" s="514"/>
    </row>
    <row r="492" spans="1:11" s="499" customFormat="1">
      <c r="A492" s="521"/>
      <c r="B492" s="514"/>
      <c r="C492" s="516">
        <v>1.1000000000000001</v>
      </c>
      <c r="D492" s="516"/>
      <c r="E492" s="516">
        <v>1.1000000000000001</v>
      </c>
      <c r="F492" s="517" t="s">
        <v>37</v>
      </c>
      <c r="G492" s="514" t="s">
        <v>391</v>
      </c>
      <c r="H492" s="514"/>
      <c r="I492" s="514"/>
      <c r="J492" s="517"/>
      <c r="K492" s="514"/>
    </row>
    <row r="493" spans="1:11" ht="79.2">
      <c r="A493" s="521">
        <v>13</v>
      </c>
      <c r="B493" s="507" t="s">
        <v>506</v>
      </c>
      <c r="C493" s="509">
        <v>0.32</v>
      </c>
      <c r="D493" s="509">
        <v>0</v>
      </c>
      <c r="E493" s="509">
        <v>0.32</v>
      </c>
      <c r="F493" s="510"/>
      <c r="G493" s="507"/>
      <c r="H493" s="507"/>
      <c r="I493" s="507" t="s">
        <v>617</v>
      </c>
      <c r="J493" s="510">
        <v>2021</v>
      </c>
      <c r="K493" s="507"/>
    </row>
    <row r="494" spans="1:11" s="499" customFormat="1">
      <c r="A494" s="524"/>
      <c r="B494" s="514"/>
      <c r="C494" s="516">
        <v>0.11</v>
      </c>
      <c r="D494" s="516"/>
      <c r="E494" s="516">
        <v>0.11</v>
      </c>
      <c r="F494" s="517"/>
      <c r="G494" s="514" t="s">
        <v>379</v>
      </c>
      <c r="H494" s="514"/>
      <c r="I494" s="514"/>
      <c r="J494" s="517"/>
      <c r="K494" s="514"/>
    </row>
    <row r="495" spans="1:11" s="499" customFormat="1">
      <c r="A495" s="524"/>
      <c r="B495" s="514"/>
      <c r="C495" s="516">
        <v>0.1</v>
      </c>
      <c r="D495" s="516"/>
      <c r="E495" s="516">
        <v>0.1</v>
      </c>
      <c r="F495" s="517"/>
      <c r="G495" s="514" t="s">
        <v>393</v>
      </c>
      <c r="H495" s="514"/>
      <c r="I495" s="514"/>
      <c r="J495" s="517"/>
      <c r="K495" s="514"/>
    </row>
    <row r="496" spans="1:11" s="499" customFormat="1">
      <c r="A496" s="521"/>
      <c r="B496" s="514"/>
      <c r="C496" s="516">
        <v>0.11</v>
      </c>
      <c r="D496" s="516"/>
      <c r="E496" s="516">
        <v>0.11</v>
      </c>
      <c r="F496" s="517"/>
      <c r="G496" s="514" t="s">
        <v>417</v>
      </c>
      <c r="H496" s="514"/>
      <c r="I496" s="514"/>
      <c r="J496" s="517"/>
      <c r="K496" s="514"/>
    </row>
    <row r="497" spans="1:11" ht="79.2">
      <c r="A497" s="521">
        <v>14</v>
      </c>
      <c r="B497" s="507" t="s">
        <v>507</v>
      </c>
      <c r="C497" s="509">
        <v>0.24</v>
      </c>
      <c r="D497" s="509">
        <v>0</v>
      </c>
      <c r="E497" s="509">
        <v>0.24</v>
      </c>
      <c r="F497" s="510"/>
      <c r="G497" s="507"/>
      <c r="H497" s="507"/>
      <c r="I497" s="507" t="s">
        <v>619</v>
      </c>
      <c r="J497" s="510">
        <v>2021</v>
      </c>
      <c r="K497" s="507"/>
    </row>
    <row r="498" spans="1:11" s="499" customFormat="1">
      <c r="A498" s="524"/>
      <c r="B498" s="514"/>
      <c r="C498" s="516">
        <v>0.08</v>
      </c>
      <c r="D498" s="516"/>
      <c r="E498" s="516">
        <v>0.08</v>
      </c>
      <c r="F498" s="517"/>
      <c r="G498" s="514" t="s">
        <v>379</v>
      </c>
      <c r="H498" s="514"/>
      <c r="I498" s="514"/>
      <c r="J498" s="517"/>
      <c r="K498" s="514"/>
    </row>
    <row r="499" spans="1:11" s="499" customFormat="1">
      <c r="A499" s="524"/>
      <c r="B499" s="514"/>
      <c r="C499" s="516">
        <v>0.08</v>
      </c>
      <c r="D499" s="516"/>
      <c r="E499" s="516">
        <v>0.08</v>
      </c>
      <c r="F499" s="517"/>
      <c r="G499" s="514" t="s">
        <v>393</v>
      </c>
      <c r="H499" s="514"/>
      <c r="I499" s="514"/>
      <c r="J499" s="517"/>
      <c r="K499" s="514"/>
    </row>
    <row r="500" spans="1:11" s="499" customFormat="1">
      <c r="A500" s="521"/>
      <c r="B500" s="514"/>
      <c r="C500" s="516">
        <v>0.08</v>
      </c>
      <c r="D500" s="516"/>
      <c r="E500" s="516">
        <v>0.08</v>
      </c>
      <c r="F500" s="517"/>
      <c r="G500" s="514" t="s">
        <v>391</v>
      </c>
      <c r="H500" s="514"/>
      <c r="I500" s="514"/>
      <c r="J500" s="517"/>
      <c r="K500" s="514"/>
    </row>
    <row r="501" spans="1:11">
      <c r="A501" s="521">
        <v>15</v>
      </c>
      <c r="B501" s="507" t="s">
        <v>900</v>
      </c>
      <c r="C501" s="509">
        <v>0.5</v>
      </c>
      <c r="D501" s="509"/>
      <c r="E501" s="509">
        <v>0.5</v>
      </c>
      <c r="F501" s="510" t="s">
        <v>37</v>
      </c>
      <c r="G501" s="507" t="s">
        <v>379</v>
      </c>
      <c r="H501" s="507"/>
      <c r="I501" s="507"/>
      <c r="J501" s="510"/>
      <c r="K501" s="507"/>
    </row>
    <row r="502" spans="1:11" ht="118.8">
      <c r="A502" s="521">
        <v>16</v>
      </c>
      <c r="B502" s="507" t="s">
        <v>508</v>
      </c>
      <c r="C502" s="509">
        <v>123.6</v>
      </c>
      <c r="D502" s="509">
        <v>0</v>
      </c>
      <c r="E502" s="509">
        <v>123.6</v>
      </c>
      <c r="F502" s="510"/>
      <c r="G502" s="507"/>
      <c r="H502" s="507"/>
      <c r="I502" s="507" t="s">
        <v>622</v>
      </c>
      <c r="J502" s="510">
        <v>2025</v>
      </c>
      <c r="K502" s="507"/>
    </row>
    <row r="503" spans="1:11" s="499" customFormat="1">
      <c r="A503" s="524"/>
      <c r="B503" s="514"/>
      <c r="C503" s="516">
        <v>60</v>
      </c>
      <c r="D503" s="516"/>
      <c r="E503" s="516">
        <v>60</v>
      </c>
      <c r="F503" s="517" t="s">
        <v>623</v>
      </c>
      <c r="G503" s="514" t="s">
        <v>380</v>
      </c>
      <c r="H503" s="514"/>
      <c r="I503" s="514"/>
      <c r="J503" s="517"/>
      <c r="K503" s="514"/>
    </row>
    <row r="504" spans="1:11" s="499" customFormat="1">
      <c r="A504" s="521"/>
      <c r="B504" s="514"/>
      <c r="C504" s="516">
        <v>63.6</v>
      </c>
      <c r="D504" s="516"/>
      <c r="E504" s="516">
        <v>63.6</v>
      </c>
      <c r="F504" s="517" t="s">
        <v>37</v>
      </c>
      <c r="G504" s="514" t="s">
        <v>389</v>
      </c>
      <c r="H504" s="514"/>
      <c r="I504" s="514"/>
      <c r="J504" s="517"/>
      <c r="K504" s="514"/>
    </row>
    <row r="505" spans="1:11" ht="52.8">
      <c r="A505" s="521">
        <v>17</v>
      </c>
      <c r="B505" s="507" t="s">
        <v>509</v>
      </c>
      <c r="C505" s="509">
        <v>1.7</v>
      </c>
      <c r="D505" s="509"/>
      <c r="E505" s="516">
        <v>1.7</v>
      </c>
      <c r="F505" s="510" t="s">
        <v>37</v>
      </c>
      <c r="G505" s="507" t="s">
        <v>380</v>
      </c>
      <c r="H505" s="507"/>
      <c r="I505" s="507" t="s">
        <v>621</v>
      </c>
      <c r="J505" s="510">
        <v>2021</v>
      </c>
      <c r="K505" s="507"/>
    </row>
    <row r="506" spans="1:11" ht="26.4">
      <c r="A506" s="521">
        <v>18</v>
      </c>
      <c r="B506" s="507" t="s">
        <v>901</v>
      </c>
      <c r="C506" s="509">
        <v>3</v>
      </c>
      <c r="D506" s="509"/>
      <c r="E506" s="509">
        <v>3</v>
      </c>
      <c r="F506" s="510" t="s">
        <v>37</v>
      </c>
      <c r="G506" s="507" t="s">
        <v>380</v>
      </c>
      <c r="H506" s="507"/>
      <c r="I506" s="507" t="s">
        <v>1080</v>
      </c>
      <c r="J506" s="510">
        <v>2025</v>
      </c>
      <c r="K506" s="507"/>
    </row>
    <row r="507" spans="1:11" ht="26.4">
      <c r="A507" s="521">
        <v>19</v>
      </c>
      <c r="B507" s="507" t="s">
        <v>902</v>
      </c>
      <c r="C507" s="509">
        <v>3</v>
      </c>
      <c r="D507" s="509"/>
      <c r="E507" s="509">
        <v>3</v>
      </c>
      <c r="F507" s="510" t="s">
        <v>37</v>
      </c>
      <c r="G507" s="507" t="s">
        <v>380</v>
      </c>
      <c r="H507" s="507"/>
      <c r="I507" s="507" t="s">
        <v>1080</v>
      </c>
      <c r="J507" s="510">
        <v>2025</v>
      </c>
      <c r="K507" s="507"/>
    </row>
    <row r="508" spans="1:11" ht="52.8">
      <c r="A508" s="521">
        <v>20</v>
      </c>
      <c r="B508" s="507" t="s">
        <v>510</v>
      </c>
      <c r="C508" s="509">
        <v>0.1</v>
      </c>
      <c r="D508" s="509"/>
      <c r="E508" s="509">
        <v>0.1</v>
      </c>
      <c r="F508" s="510" t="s">
        <v>37</v>
      </c>
      <c r="G508" s="507" t="s">
        <v>389</v>
      </c>
      <c r="H508" s="507"/>
      <c r="I508" s="507" t="s">
        <v>618</v>
      </c>
      <c r="J508" s="510">
        <v>2021</v>
      </c>
      <c r="K508" s="507"/>
    </row>
    <row r="509" spans="1:11" ht="52.8">
      <c r="A509" s="521">
        <v>21</v>
      </c>
      <c r="B509" s="507" t="s">
        <v>616</v>
      </c>
      <c r="C509" s="509">
        <v>0.48000000000000004</v>
      </c>
      <c r="D509" s="509">
        <v>0.19</v>
      </c>
      <c r="E509" s="509">
        <v>0.29000000000000004</v>
      </c>
      <c r="F509" s="510"/>
      <c r="G509" s="507"/>
      <c r="H509" s="507"/>
      <c r="I509" s="507" t="s">
        <v>1173</v>
      </c>
      <c r="J509" s="510">
        <v>2021</v>
      </c>
      <c r="K509" s="507"/>
    </row>
    <row r="510" spans="1:11" s="499" customFormat="1">
      <c r="A510" s="524"/>
      <c r="B510" s="514"/>
      <c r="C510" s="516">
        <v>0.34</v>
      </c>
      <c r="D510" s="516">
        <v>7.0000000000000007E-2</v>
      </c>
      <c r="E510" s="516">
        <v>0.27</v>
      </c>
      <c r="F510" s="517" t="s">
        <v>1177</v>
      </c>
      <c r="G510" s="514" t="s">
        <v>367</v>
      </c>
      <c r="H510" s="514"/>
      <c r="I510" s="514"/>
      <c r="J510" s="517"/>
      <c r="K510" s="514"/>
    </row>
    <row r="511" spans="1:11" s="499" customFormat="1">
      <c r="A511" s="521"/>
      <c r="B511" s="514"/>
      <c r="C511" s="516">
        <v>0.14000000000000001</v>
      </c>
      <c r="D511" s="516">
        <v>0.12</v>
      </c>
      <c r="E511" s="516">
        <v>2.0000000000000018E-2</v>
      </c>
      <c r="F511" s="517" t="s">
        <v>37</v>
      </c>
      <c r="G511" s="514" t="s">
        <v>372</v>
      </c>
      <c r="H511" s="514"/>
      <c r="I511" s="514"/>
      <c r="J511" s="517"/>
      <c r="K511" s="514"/>
    </row>
    <row r="512" spans="1:11">
      <c r="A512" s="506">
        <v>22</v>
      </c>
      <c r="B512" s="507" t="s">
        <v>899</v>
      </c>
      <c r="C512" s="509">
        <v>101</v>
      </c>
      <c r="D512" s="509">
        <v>0</v>
      </c>
      <c r="E512" s="509">
        <v>101</v>
      </c>
      <c r="F512" s="510"/>
      <c r="G512" s="507"/>
      <c r="H512" s="507"/>
      <c r="I512" s="507"/>
      <c r="J512" s="510"/>
      <c r="K512" s="507"/>
    </row>
    <row r="513" spans="1:11" s="499" customFormat="1" ht="13.8">
      <c r="A513" s="531"/>
      <c r="B513" s="514"/>
      <c r="C513" s="516">
        <v>1</v>
      </c>
      <c r="D513" s="516"/>
      <c r="E513" s="516">
        <v>1</v>
      </c>
      <c r="F513" s="517"/>
      <c r="G513" s="514" t="s">
        <v>390</v>
      </c>
      <c r="H513" s="514"/>
      <c r="I513" s="514"/>
      <c r="J513" s="517"/>
      <c r="K513" s="514"/>
    </row>
    <row r="514" spans="1:11" s="499" customFormat="1" ht="13.8">
      <c r="A514" s="531"/>
      <c r="B514" s="514"/>
      <c r="C514" s="516">
        <v>90</v>
      </c>
      <c r="D514" s="516"/>
      <c r="E514" s="516">
        <v>90</v>
      </c>
      <c r="F514" s="517"/>
      <c r="G514" s="514" t="s">
        <v>365</v>
      </c>
      <c r="H514" s="514"/>
      <c r="I514" s="514"/>
      <c r="J514" s="517"/>
      <c r="K514" s="514"/>
    </row>
    <row r="515" spans="1:11" s="499" customFormat="1" ht="13.8">
      <c r="A515" s="531"/>
      <c r="B515" s="514"/>
      <c r="C515" s="516">
        <v>2</v>
      </c>
      <c r="D515" s="516"/>
      <c r="E515" s="516">
        <v>2</v>
      </c>
      <c r="F515" s="517"/>
      <c r="G515" s="514" t="s">
        <v>367</v>
      </c>
      <c r="H515" s="514"/>
      <c r="I515" s="514"/>
      <c r="J515" s="517"/>
      <c r="K515" s="514"/>
    </row>
    <row r="516" spans="1:11" s="499" customFormat="1" ht="13.8">
      <c r="A516" s="531"/>
      <c r="B516" s="514"/>
      <c r="C516" s="516">
        <v>1</v>
      </c>
      <c r="D516" s="516"/>
      <c r="E516" s="516">
        <v>1</v>
      </c>
      <c r="F516" s="517"/>
      <c r="G516" s="514" t="s">
        <v>370</v>
      </c>
      <c r="H516" s="514"/>
      <c r="I516" s="514"/>
      <c r="J516" s="517"/>
      <c r="K516" s="514"/>
    </row>
    <row r="517" spans="1:11" s="499" customFormat="1" ht="13.8">
      <c r="A517" s="531"/>
      <c r="B517" s="514"/>
      <c r="C517" s="516">
        <v>5</v>
      </c>
      <c r="D517" s="516"/>
      <c r="E517" s="516">
        <v>5</v>
      </c>
      <c r="F517" s="517"/>
      <c r="G517" s="514" t="s">
        <v>379</v>
      </c>
      <c r="H517" s="514"/>
      <c r="I517" s="514"/>
      <c r="J517" s="517"/>
      <c r="K517" s="514"/>
    </row>
    <row r="518" spans="1:11" s="499" customFormat="1" ht="13.8">
      <c r="A518" s="531"/>
      <c r="B518" s="514"/>
      <c r="C518" s="516">
        <v>2</v>
      </c>
      <c r="D518" s="516"/>
      <c r="E518" s="516">
        <v>2</v>
      </c>
      <c r="F518" s="517"/>
      <c r="G518" s="514" t="s">
        <v>417</v>
      </c>
      <c r="H518" s="514"/>
      <c r="I518" s="514"/>
      <c r="J518" s="517"/>
      <c r="K518" s="514"/>
    </row>
    <row r="519" spans="1:11" s="492" customFormat="1">
      <c r="A519" s="529" t="s">
        <v>345</v>
      </c>
      <c r="B519" s="501" t="s">
        <v>511</v>
      </c>
      <c r="C519" s="502">
        <v>1.8000000000000003</v>
      </c>
      <c r="D519" s="502">
        <v>9.1589000000000004E-2</v>
      </c>
      <c r="E519" s="502">
        <v>1.7084110000000001</v>
      </c>
      <c r="F519" s="503"/>
      <c r="G519" s="501"/>
      <c r="H519" s="512"/>
      <c r="I519" s="512"/>
      <c r="J519" s="503"/>
      <c r="K519" s="512"/>
    </row>
    <row r="520" spans="1:11">
      <c r="A520" s="521">
        <v>1</v>
      </c>
      <c r="B520" s="522" t="s">
        <v>903</v>
      </c>
      <c r="C520" s="508">
        <v>0.2</v>
      </c>
      <c r="D520" s="509"/>
      <c r="E520" s="508">
        <v>0.2</v>
      </c>
      <c r="F520" s="510" t="s">
        <v>37</v>
      </c>
      <c r="G520" s="522" t="s">
        <v>369</v>
      </c>
      <c r="H520" s="507"/>
      <c r="I520" s="507"/>
      <c r="J520" s="510"/>
      <c r="K520" s="507"/>
    </row>
    <row r="521" spans="1:11">
      <c r="A521" s="521">
        <v>2</v>
      </c>
      <c r="B521" s="522" t="s">
        <v>904</v>
      </c>
      <c r="C521" s="508">
        <v>0.2</v>
      </c>
      <c r="D521" s="509">
        <v>1.0957E-2</v>
      </c>
      <c r="E521" s="508">
        <v>0.18904300000000002</v>
      </c>
      <c r="F521" s="510" t="s">
        <v>37</v>
      </c>
      <c r="G521" s="522" t="s">
        <v>367</v>
      </c>
      <c r="H521" s="507"/>
      <c r="I521" s="507"/>
      <c r="J521" s="510"/>
      <c r="K521" s="507"/>
    </row>
    <row r="522" spans="1:11">
      <c r="A522" s="521">
        <v>3</v>
      </c>
      <c r="B522" s="522" t="s">
        <v>905</v>
      </c>
      <c r="C522" s="508">
        <v>0.1</v>
      </c>
      <c r="D522" s="509"/>
      <c r="E522" s="508">
        <v>0.1</v>
      </c>
      <c r="F522" s="510" t="s">
        <v>37</v>
      </c>
      <c r="G522" s="522" t="s">
        <v>372</v>
      </c>
      <c r="H522" s="507"/>
      <c r="I522" s="507"/>
      <c r="J522" s="510"/>
      <c r="K522" s="507"/>
    </row>
    <row r="523" spans="1:11">
      <c r="A523" s="521">
        <v>4</v>
      </c>
      <c r="B523" s="522" t="s">
        <v>906</v>
      </c>
      <c r="C523" s="508">
        <v>0.5</v>
      </c>
      <c r="D523" s="509"/>
      <c r="E523" s="508">
        <v>0.5</v>
      </c>
      <c r="F523" s="510" t="s">
        <v>37</v>
      </c>
      <c r="G523" s="522" t="s">
        <v>408</v>
      </c>
      <c r="H523" s="507"/>
      <c r="I523" s="507"/>
      <c r="J523" s="510"/>
      <c r="K523" s="507"/>
    </row>
    <row r="524" spans="1:11">
      <c r="A524" s="521">
        <v>5</v>
      </c>
      <c r="B524" s="522" t="s">
        <v>907</v>
      </c>
      <c r="C524" s="508">
        <v>0.1</v>
      </c>
      <c r="D524" s="509"/>
      <c r="E524" s="508">
        <v>0.1</v>
      </c>
      <c r="F524" s="510" t="s">
        <v>37</v>
      </c>
      <c r="G524" s="522" t="s">
        <v>380</v>
      </c>
      <c r="H524" s="507"/>
      <c r="I524" s="507"/>
      <c r="J524" s="510"/>
      <c r="K524" s="507"/>
    </row>
    <row r="525" spans="1:11">
      <c r="A525" s="521">
        <v>6</v>
      </c>
      <c r="B525" s="522" t="s">
        <v>908</v>
      </c>
      <c r="C525" s="508">
        <v>0.5</v>
      </c>
      <c r="D525" s="509">
        <v>3.2821000000000003E-2</v>
      </c>
      <c r="E525" s="508">
        <v>0.46717900000000001</v>
      </c>
      <c r="F525" s="510" t="s">
        <v>37</v>
      </c>
      <c r="G525" s="522" t="s">
        <v>389</v>
      </c>
      <c r="H525" s="507"/>
      <c r="I525" s="507"/>
      <c r="J525" s="510"/>
      <c r="K525" s="507"/>
    </row>
    <row r="526" spans="1:11">
      <c r="A526" s="521">
        <v>7</v>
      </c>
      <c r="B526" s="522" t="s">
        <v>1180</v>
      </c>
      <c r="C526" s="508">
        <v>0.1</v>
      </c>
      <c r="D526" s="509">
        <v>1.38E-2</v>
      </c>
      <c r="E526" s="508">
        <v>8.6199999999999999E-2</v>
      </c>
      <c r="F526" s="510" t="s">
        <v>37</v>
      </c>
      <c r="G526" s="522" t="s">
        <v>417</v>
      </c>
      <c r="H526" s="507"/>
      <c r="I526" s="507"/>
      <c r="J526" s="510"/>
      <c r="K526" s="507"/>
    </row>
    <row r="527" spans="1:11">
      <c r="A527" s="521">
        <v>8</v>
      </c>
      <c r="B527" s="522" t="s">
        <v>1179</v>
      </c>
      <c r="C527" s="508">
        <v>0.1</v>
      </c>
      <c r="D527" s="509">
        <v>3.4011E-2</v>
      </c>
      <c r="E527" s="508">
        <v>6.5989000000000006E-2</v>
      </c>
      <c r="F527" s="510" t="s">
        <v>37</v>
      </c>
      <c r="G527" s="522" t="s">
        <v>365</v>
      </c>
      <c r="H527" s="507"/>
      <c r="I527" s="507"/>
      <c r="J527" s="510"/>
      <c r="K527" s="507"/>
    </row>
    <row r="528" spans="1:11" s="492" customFormat="1">
      <c r="A528" s="529" t="s">
        <v>345</v>
      </c>
      <c r="B528" s="501" t="s">
        <v>512</v>
      </c>
      <c r="C528" s="502">
        <v>9.5</v>
      </c>
      <c r="D528" s="502">
        <v>0</v>
      </c>
      <c r="E528" s="502">
        <v>9.5</v>
      </c>
      <c r="F528" s="503"/>
      <c r="G528" s="501"/>
      <c r="H528" s="512"/>
      <c r="I528" s="512"/>
      <c r="J528" s="503"/>
      <c r="K528" s="512"/>
    </row>
    <row r="529" spans="1:11">
      <c r="A529" s="521">
        <v>1</v>
      </c>
      <c r="B529" s="507" t="s">
        <v>909</v>
      </c>
      <c r="C529" s="509">
        <v>5</v>
      </c>
      <c r="D529" s="509"/>
      <c r="E529" s="516">
        <v>5</v>
      </c>
      <c r="F529" s="510" t="s">
        <v>37</v>
      </c>
      <c r="G529" s="507" t="s">
        <v>365</v>
      </c>
      <c r="H529" s="507"/>
      <c r="I529" s="507"/>
      <c r="J529" s="510"/>
      <c r="K529" s="507"/>
    </row>
    <row r="530" spans="1:11" ht="26.4">
      <c r="A530" s="521">
        <v>2</v>
      </c>
      <c r="B530" s="507" t="s">
        <v>910</v>
      </c>
      <c r="C530" s="509">
        <v>0.5</v>
      </c>
      <c r="D530" s="509"/>
      <c r="E530" s="516">
        <v>0.5</v>
      </c>
      <c r="F530" s="510" t="s">
        <v>37</v>
      </c>
      <c r="G530" s="507" t="s">
        <v>370</v>
      </c>
      <c r="H530" s="507"/>
      <c r="I530" s="507"/>
      <c r="J530" s="510"/>
      <c r="K530" s="507"/>
    </row>
    <row r="531" spans="1:11">
      <c r="A531" s="521">
        <v>3</v>
      </c>
      <c r="B531" s="507" t="s">
        <v>911</v>
      </c>
      <c r="C531" s="509">
        <v>4</v>
      </c>
      <c r="D531" s="509"/>
      <c r="E531" s="516">
        <v>4</v>
      </c>
      <c r="F531" s="510" t="s">
        <v>37</v>
      </c>
      <c r="G531" s="507" t="s">
        <v>380</v>
      </c>
      <c r="H531" s="507"/>
      <c r="I531" s="507"/>
      <c r="J531" s="510"/>
      <c r="K531" s="507"/>
    </row>
    <row r="532" spans="1:11" s="492" customFormat="1">
      <c r="A532" s="529" t="s">
        <v>345</v>
      </c>
      <c r="B532" s="501" t="s">
        <v>513</v>
      </c>
      <c r="C532" s="502">
        <v>50.970642999999995</v>
      </c>
      <c r="D532" s="502">
        <v>3.9849667700042719</v>
      </c>
      <c r="E532" s="502">
        <v>46.985676229995725</v>
      </c>
      <c r="F532" s="503"/>
      <c r="G532" s="501"/>
      <c r="H532" s="512"/>
      <c r="I532" s="512"/>
      <c r="J532" s="503"/>
      <c r="K532" s="512"/>
    </row>
    <row r="533" spans="1:11" ht="26.4">
      <c r="A533" s="521">
        <v>1</v>
      </c>
      <c r="B533" s="507" t="s">
        <v>517</v>
      </c>
      <c r="C533" s="509">
        <v>35</v>
      </c>
      <c r="D533" s="509"/>
      <c r="E533" s="516">
        <v>35</v>
      </c>
      <c r="F533" s="510" t="s">
        <v>37</v>
      </c>
      <c r="G533" s="507" t="s">
        <v>372</v>
      </c>
      <c r="H533" s="507"/>
      <c r="I533" s="507" t="s">
        <v>1090</v>
      </c>
      <c r="J533" s="510"/>
      <c r="K533" s="507"/>
    </row>
    <row r="534" spans="1:11">
      <c r="A534" s="524">
        <v>2</v>
      </c>
      <c r="B534" s="507" t="s">
        <v>912</v>
      </c>
      <c r="C534" s="509">
        <v>15.970642999999999</v>
      </c>
      <c r="D534" s="509">
        <v>3.9849667700042719</v>
      </c>
      <c r="E534" s="509">
        <v>11.985676229995727</v>
      </c>
      <c r="F534" s="510"/>
      <c r="G534" s="507"/>
      <c r="H534" s="507"/>
      <c r="I534" s="507"/>
      <c r="J534" s="510"/>
      <c r="K534" s="507"/>
    </row>
    <row r="535" spans="1:11" s="499" customFormat="1">
      <c r="A535" s="524" t="s">
        <v>345</v>
      </c>
      <c r="B535" s="514" t="s">
        <v>515</v>
      </c>
      <c r="C535" s="516">
        <v>1</v>
      </c>
      <c r="D535" s="516"/>
      <c r="E535" s="516">
        <v>1</v>
      </c>
      <c r="F535" s="517" t="s">
        <v>37</v>
      </c>
      <c r="G535" s="514" t="s">
        <v>393</v>
      </c>
      <c r="H535" s="514"/>
      <c r="I535" s="514"/>
      <c r="J535" s="517"/>
      <c r="K535" s="514"/>
    </row>
    <row r="536" spans="1:11" s="499" customFormat="1">
      <c r="A536" s="524" t="s">
        <v>345</v>
      </c>
      <c r="B536" s="514" t="s">
        <v>913</v>
      </c>
      <c r="C536" s="516">
        <v>1.5</v>
      </c>
      <c r="D536" s="516"/>
      <c r="E536" s="516">
        <v>1.5</v>
      </c>
      <c r="F536" s="517" t="s">
        <v>37</v>
      </c>
      <c r="G536" s="514" t="s">
        <v>369</v>
      </c>
      <c r="H536" s="514"/>
      <c r="I536" s="514"/>
      <c r="J536" s="517"/>
      <c r="K536" s="514"/>
    </row>
    <row r="537" spans="1:11" s="499" customFormat="1">
      <c r="A537" s="524" t="s">
        <v>345</v>
      </c>
      <c r="B537" s="514" t="s">
        <v>514</v>
      </c>
      <c r="C537" s="516">
        <v>1</v>
      </c>
      <c r="D537" s="516"/>
      <c r="E537" s="516">
        <v>1</v>
      </c>
      <c r="F537" s="517" t="s">
        <v>37</v>
      </c>
      <c r="G537" s="514" t="s">
        <v>365</v>
      </c>
      <c r="H537" s="514"/>
      <c r="I537" s="514"/>
      <c r="J537" s="517"/>
      <c r="K537" s="514"/>
    </row>
    <row r="538" spans="1:11" s="499" customFormat="1">
      <c r="A538" s="524" t="s">
        <v>345</v>
      </c>
      <c r="B538" s="514" t="s">
        <v>914</v>
      </c>
      <c r="C538" s="516">
        <v>2</v>
      </c>
      <c r="D538" s="516"/>
      <c r="E538" s="516">
        <v>2</v>
      </c>
      <c r="F538" s="517" t="s">
        <v>37</v>
      </c>
      <c r="G538" s="514" t="s">
        <v>367</v>
      </c>
      <c r="H538" s="514"/>
      <c r="I538" s="514"/>
      <c r="J538" s="517"/>
      <c r="K538" s="514"/>
    </row>
    <row r="539" spans="1:11" s="499" customFormat="1">
      <c r="A539" s="524" t="s">
        <v>345</v>
      </c>
      <c r="B539" s="514" t="s">
        <v>516</v>
      </c>
      <c r="C539" s="516">
        <v>1.2</v>
      </c>
      <c r="D539" s="516"/>
      <c r="E539" s="516">
        <v>1.2</v>
      </c>
      <c r="F539" s="517" t="s">
        <v>37</v>
      </c>
      <c r="G539" s="514" t="s">
        <v>379</v>
      </c>
      <c r="H539" s="514"/>
      <c r="I539" s="514"/>
      <c r="J539" s="517"/>
      <c r="K539" s="514"/>
    </row>
    <row r="540" spans="1:11" s="499" customFormat="1">
      <c r="A540" s="524" t="s">
        <v>345</v>
      </c>
      <c r="B540" s="514" t="s">
        <v>915</v>
      </c>
      <c r="C540" s="516">
        <v>0.17</v>
      </c>
      <c r="D540" s="516"/>
      <c r="E540" s="516">
        <v>0.17</v>
      </c>
      <c r="F540" s="517" t="s">
        <v>37</v>
      </c>
      <c r="G540" s="514" t="s">
        <v>417</v>
      </c>
      <c r="H540" s="514"/>
      <c r="I540" s="514"/>
      <c r="J540" s="517"/>
      <c r="K540" s="514"/>
    </row>
    <row r="541" spans="1:11" s="499" customFormat="1">
      <c r="A541" s="524" t="s">
        <v>345</v>
      </c>
      <c r="B541" s="514" t="s">
        <v>1186</v>
      </c>
      <c r="C541" s="516">
        <v>4.4605439999999996</v>
      </c>
      <c r="D541" s="516"/>
      <c r="E541" s="516">
        <v>4.4605439999999996</v>
      </c>
      <c r="F541" s="517" t="s">
        <v>37</v>
      </c>
      <c r="G541" s="514" t="s">
        <v>391</v>
      </c>
      <c r="H541" s="514"/>
      <c r="I541" s="514"/>
      <c r="J541" s="517"/>
      <c r="K541" s="514"/>
    </row>
    <row r="542" spans="1:11" s="499" customFormat="1">
      <c r="A542" s="524" t="s">
        <v>345</v>
      </c>
      <c r="B542" s="514" t="s">
        <v>916</v>
      </c>
      <c r="C542" s="516">
        <v>1.5</v>
      </c>
      <c r="D542" s="516">
        <v>0.84486777000427193</v>
      </c>
      <c r="E542" s="516">
        <v>0.65513222999572807</v>
      </c>
      <c r="F542" s="517" t="s">
        <v>37</v>
      </c>
      <c r="G542" s="514" t="s">
        <v>389</v>
      </c>
      <c r="H542" s="514"/>
      <c r="I542" s="514"/>
      <c r="J542" s="517"/>
      <c r="K542" s="514"/>
    </row>
    <row r="543" spans="1:11" s="499" customFormat="1">
      <c r="A543" s="524" t="s">
        <v>345</v>
      </c>
      <c r="B543" s="514" t="s">
        <v>609</v>
      </c>
      <c r="C543" s="516">
        <v>3.1400990000000002</v>
      </c>
      <c r="D543" s="516">
        <v>3.1400990000000002</v>
      </c>
      <c r="E543" s="516">
        <v>0</v>
      </c>
      <c r="F543" s="517" t="s">
        <v>37</v>
      </c>
      <c r="G543" s="514" t="s">
        <v>380</v>
      </c>
      <c r="H543" s="514"/>
      <c r="I543" s="514"/>
      <c r="J543" s="517"/>
      <c r="K543" s="514"/>
    </row>
    <row r="544" spans="1:11" s="492" customFormat="1">
      <c r="A544" s="529" t="s">
        <v>345</v>
      </c>
      <c r="B544" s="501" t="s">
        <v>105</v>
      </c>
      <c r="C544" s="502">
        <v>30.164300000000001</v>
      </c>
      <c r="D544" s="502">
        <v>0.49638900000000002</v>
      </c>
      <c r="E544" s="502">
        <v>29.667911000000004</v>
      </c>
      <c r="F544" s="503"/>
      <c r="G544" s="501"/>
      <c r="H544" s="512"/>
      <c r="I544" s="512"/>
      <c r="J544" s="503"/>
      <c r="K544" s="512"/>
    </row>
    <row r="545" spans="1:11">
      <c r="A545" s="521">
        <v>1</v>
      </c>
      <c r="B545" s="522" t="s">
        <v>917</v>
      </c>
      <c r="C545" s="508">
        <v>2.0643000000000002</v>
      </c>
      <c r="D545" s="509">
        <v>0.49638900000000002</v>
      </c>
      <c r="E545" s="508">
        <v>1.5679110000000003</v>
      </c>
      <c r="F545" s="510" t="s">
        <v>37</v>
      </c>
      <c r="G545" s="522" t="s">
        <v>365</v>
      </c>
      <c r="H545" s="507"/>
      <c r="I545" s="507"/>
      <c r="J545" s="510"/>
      <c r="K545" s="507"/>
    </row>
    <row r="546" spans="1:11">
      <c r="A546" s="521">
        <v>2</v>
      </c>
      <c r="B546" s="522" t="s">
        <v>918</v>
      </c>
      <c r="C546" s="508">
        <v>5</v>
      </c>
      <c r="D546" s="508">
        <v>0</v>
      </c>
      <c r="E546" s="508">
        <v>5</v>
      </c>
      <c r="F546" s="510"/>
      <c r="G546" s="522"/>
      <c r="H546" s="507"/>
      <c r="I546" s="507"/>
      <c r="J546" s="510"/>
      <c r="K546" s="507"/>
    </row>
    <row r="547" spans="1:11" s="499" customFormat="1">
      <c r="A547" s="524"/>
      <c r="B547" s="523"/>
      <c r="C547" s="515">
        <v>2.5</v>
      </c>
      <c r="D547" s="516"/>
      <c r="E547" s="515">
        <v>2.5</v>
      </c>
      <c r="F547" s="517" t="s">
        <v>37</v>
      </c>
      <c r="G547" s="523" t="s">
        <v>372</v>
      </c>
      <c r="H547" s="514"/>
      <c r="I547" s="514"/>
      <c r="J547" s="517"/>
      <c r="K547" s="514"/>
    </row>
    <row r="548" spans="1:11" s="499" customFormat="1">
      <c r="A548" s="524"/>
      <c r="B548" s="523"/>
      <c r="C548" s="515">
        <v>2.5</v>
      </c>
      <c r="D548" s="516"/>
      <c r="E548" s="515">
        <v>2.5</v>
      </c>
      <c r="F548" s="517" t="s">
        <v>37</v>
      </c>
      <c r="G548" s="523" t="s">
        <v>379</v>
      </c>
      <c r="H548" s="514"/>
      <c r="I548" s="514"/>
      <c r="J548" s="517"/>
      <c r="K548" s="514"/>
    </row>
    <row r="549" spans="1:11">
      <c r="A549" s="521">
        <v>3</v>
      </c>
      <c r="B549" s="522" t="s">
        <v>919</v>
      </c>
      <c r="C549" s="508">
        <v>23.1</v>
      </c>
      <c r="D549" s="508">
        <v>0</v>
      </c>
      <c r="E549" s="508">
        <v>23.1</v>
      </c>
      <c r="F549" s="510"/>
      <c r="G549" s="522"/>
      <c r="H549" s="507"/>
      <c r="I549" s="507"/>
      <c r="J549" s="510"/>
      <c r="K549" s="507"/>
    </row>
    <row r="550" spans="1:11" s="499" customFormat="1">
      <c r="A550" s="524"/>
      <c r="B550" s="523"/>
      <c r="C550" s="515">
        <v>5</v>
      </c>
      <c r="D550" s="516"/>
      <c r="E550" s="515">
        <v>5</v>
      </c>
      <c r="F550" s="517" t="s">
        <v>37</v>
      </c>
      <c r="G550" s="523" t="s">
        <v>393</v>
      </c>
      <c r="H550" s="514"/>
      <c r="I550" s="514"/>
      <c r="J550" s="517"/>
      <c r="K550" s="514"/>
    </row>
    <row r="551" spans="1:11" s="499" customFormat="1">
      <c r="A551" s="524"/>
      <c r="B551" s="523"/>
      <c r="C551" s="515">
        <v>1.3</v>
      </c>
      <c r="D551" s="516"/>
      <c r="E551" s="515">
        <v>1.3</v>
      </c>
      <c r="F551" s="517" t="s">
        <v>37</v>
      </c>
      <c r="G551" s="523" t="s">
        <v>369</v>
      </c>
      <c r="H551" s="514"/>
      <c r="I551" s="514"/>
      <c r="J551" s="517"/>
      <c r="K551" s="514"/>
    </row>
    <row r="552" spans="1:11" s="499" customFormat="1">
      <c r="A552" s="524"/>
      <c r="B552" s="523"/>
      <c r="C552" s="515">
        <v>0.8</v>
      </c>
      <c r="D552" s="516"/>
      <c r="E552" s="515">
        <v>0.8</v>
      </c>
      <c r="F552" s="517" t="s">
        <v>37</v>
      </c>
      <c r="G552" s="523" t="s">
        <v>390</v>
      </c>
      <c r="H552" s="514"/>
      <c r="I552" s="514"/>
      <c r="J552" s="517"/>
      <c r="K552" s="514"/>
    </row>
    <row r="553" spans="1:11" s="499" customFormat="1">
      <c r="A553" s="524"/>
      <c r="B553" s="523"/>
      <c r="C553" s="515">
        <v>2.2000000000000002</v>
      </c>
      <c r="D553" s="516"/>
      <c r="E553" s="515">
        <v>2.2000000000000002</v>
      </c>
      <c r="F553" s="517" t="s">
        <v>37</v>
      </c>
      <c r="G553" s="523" t="s">
        <v>365</v>
      </c>
      <c r="H553" s="514"/>
      <c r="I553" s="514"/>
      <c r="J553" s="517"/>
      <c r="K553" s="514"/>
    </row>
    <row r="554" spans="1:11" s="499" customFormat="1">
      <c r="A554" s="524"/>
      <c r="B554" s="523"/>
      <c r="C554" s="515">
        <v>2</v>
      </c>
      <c r="D554" s="516"/>
      <c r="E554" s="515">
        <v>2</v>
      </c>
      <c r="F554" s="517" t="s">
        <v>37</v>
      </c>
      <c r="G554" s="523" t="s">
        <v>367</v>
      </c>
      <c r="H554" s="514"/>
      <c r="I554" s="514"/>
      <c r="J554" s="517"/>
      <c r="K554" s="514"/>
    </row>
    <row r="555" spans="1:11" s="499" customFormat="1">
      <c r="A555" s="524"/>
      <c r="B555" s="523"/>
      <c r="C555" s="515">
        <v>0.3</v>
      </c>
      <c r="D555" s="516"/>
      <c r="E555" s="515">
        <v>0.3</v>
      </c>
      <c r="F555" s="517" t="s">
        <v>37</v>
      </c>
      <c r="G555" s="523" t="s">
        <v>370</v>
      </c>
      <c r="H555" s="514"/>
      <c r="I555" s="514"/>
      <c r="J555" s="517"/>
      <c r="K555" s="514"/>
    </row>
    <row r="556" spans="1:11" s="499" customFormat="1">
      <c r="A556" s="524"/>
      <c r="B556" s="523"/>
      <c r="C556" s="515">
        <v>2</v>
      </c>
      <c r="D556" s="516"/>
      <c r="E556" s="515">
        <v>2</v>
      </c>
      <c r="F556" s="517" t="s">
        <v>37</v>
      </c>
      <c r="G556" s="523" t="s">
        <v>372</v>
      </c>
      <c r="H556" s="514"/>
      <c r="I556" s="514"/>
      <c r="J556" s="517"/>
      <c r="K556" s="514"/>
    </row>
    <row r="557" spans="1:11" s="499" customFormat="1">
      <c r="A557" s="524"/>
      <c r="B557" s="523"/>
      <c r="C557" s="515">
        <v>1</v>
      </c>
      <c r="D557" s="516"/>
      <c r="E557" s="515">
        <v>1</v>
      </c>
      <c r="F557" s="517" t="s">
        <v>37</v>
      </c>
      <c r="G557" s="523" t="s">
        <v>379</v>
      </c>
      <c r="H557" s="514"/>
      <c r="I557" s="514"/>
      <c r="J557" s="517"/>
      <c r="K557" s="514"/>
    </row>
    <row r="558" spans="1:11" s="499" customFormat="1">
      <c r="A558" s="524"/>
      <c r="B558" s="523"/>
      <c r="C558" s="515">
        <v>2</v>
      </c>
      <c r="D558" s="516"/>
      <c r="E558" s="515">
        <v>2</v>
      </c>
      <c r="F558" s="517" t="s">
        <v>37</v>
      </c>
      <c r="G558" s="523" t="s">
        <v>408</v>
      </c>
      <c r="H558" s="514"/>
      <c r="I558" s="514"/>
      <c r="J558" s="517"/>
      <c r="K558" s="514"/>
    </row>
    <row r="559" spans="1:11" s="499" customFormat="1">
      <c r="A559" s="524"/>
      <c r="B559" s="523"/>
      <c r="C559" s="515">
        <v>3</v>
      </c>
      <c r="D559" s="516"/>
      <c r="E559" s="515">
        <v>3</v>
      </c>
      <c r="F559" s="517" t="s">
        <v>37</v>
      </c>
      <c r="G559" s="523" t="s">
        <v>380</v>
      </c>
      <c r="H559" s="514"/>
      <c r="I559" s="514"/>
      <c r="J559" s="517"/>
      <c r="K559" s="514"/>
    </row>
    <row r="560" spans="1:11" s="499" customFormat="1">
      <c r="A560" s="524"/>
      <c r="B560" s="523"/>
      <c r="C560" s="515">
        <v>1</v>
      </c>
      <c r="D560" s="516"/>
      <c r="E560" s="515">
        <v>1</v>
      </c>
      <c r="F560" s="517" t="s">
        <v>37</v>
      </c>
      <c r="G560" s="523" t="s">
        <v>417</v>
      </c>
      <c r="H560" s="514"/>
      <c r="I560" s="514"/>
      <c r="J560" s="517"/>
      <c r="K560" s="514"/>
    </row>
    <row r="561" spans="1:11" s="499" customFormat="1">
      <c r="A561" s="524"/>
      <c r="B561" s="523"/>
      <c r="C561" s="515">
        <v>1</v>
      </c>
      <c r="D561" s="516"/>
      <c r="E561" s="515">
        <v>1</v>
      </c>
      <c r="F561" s="517" t="s">
        <v>37</v>
      </c>
      <c r="G561" s="523" t="s">
        <v>391</v>
      </c>
      <c r="H561" s="514"/>
      <c r="I561" s="514"/>
      <c r="J561" s="517"/>
      <c r="K561" s="514"/>
    </row>
    <row r="562" spans="1:11" s="499" customFormat="1">
      <c r="A562" s="513"/>
      <c r="B562" s="514"/>
      <c r="C562" s="516">
        <v>1.5</v>
      </c>
      <c r="D562" s="516"/>
      <c r="E562" s="516">
        <v>1.5</v>
      </c>
      <c r="F562" s="517" t="s">
        <v>37</v>
      </c>
      <c r="G562" s="514" t="s">
        <v>389</v>
      </c>
      <c r="H562" s="514"/>
      <c r="I562" s="514"/>
      <c r="J562" s="517"/>
      <c r="K562" s="514"/>
    </row>
    <row r="563" spans="1:11" s="492" customFormat="1" ht="26.4">
      <c r="A563" s="529" t="s">
        <v>345</v>
      </c>
      <c r="B563" s="501" t="s">
        <v>518</v>
      </c>
      <c r="C563" s="502">
        <v>160.2619310350039</v>
      </c>
      <c r="D563" s="502">
        <v>12.65027521744025</v>
      </c>
      <c r="E563" s="502">
        <v>147.61165581756362</v>
      </c>
      <c r="F563" s="503"/>
      <c r="G563" s="501"/>
      <c r="H563" s="512"/>
      <c r="I563" s="512"/>
      <c r="J563" s="503"/>
      <c r="K563" s="512"/>
    </row>
    <row r="564" spans="1:11">
      <c r="A564" s="521">
        <v>1</v>
      </c>
      <c r="B564" s="522" t="s">
        <v>522</v>
      </c>
      <c r="C564" s="508">
        <v>4.0083840000000004</v>
      </c>
      <c r="D564" s="509"/>
      <c r="E564" s="508">
        <v>4.0083840000000004</v>
      </c>
      <c r="F564" s="510" t="s">
        <v>111</v>
      </c>
      <c r="G564" s="522" t="s">
        <v>393</v>
      </c>
      <c r="H564" s="507"/>
      <c r="I564" s="507"/>
      <c r="J564" s="510"/>
      <c r="K564" s="507"/>
    </row>
    <row r="565" spans="1:11" ht="66">
      <c r="A565" s="521">
        <v>2</v>
      </c>
      <c r="B565" s="522" t="s">
        <v>920</v>
      </c>
      <c r="C565" s="508">
        <v>3.0004599999999999</v>
      </c>
      <c r="D565" s="509">
        <v>1.0004599999999999</v>
      </c>
      <c r="E565" s="508">
        <v>2</v>
      </c>
      <c r="F565" s="510" t="s">
        <v>37</v>
      </c>
      <c r="G565" s="522" t="s">
        <v>369</v>
      </c>
      <c r="H565" s="507"/>
      <c r="I565" s="507" t="s">
        <v>611</v>
      </c>
      <c r="J565" s="510">
        <v>2021</v>
      </c>
      <c r="K565" s="507"/>
    </row>
    <row r="566" spans="1:11">
      <c r="A566" s="521">
        <v>3</v>
      </c>
      <c r="B566" s="522" t="s">
        <v>519</v>
      </c>
      <c r="C566" s="508">
        <v>4.0096500000000006</v>
      </c>
      <c r="D566" s="509">
        <v>1.30965</v>
      </c>
      <c r="E566" s="508">
        <v>2.7000000000000006</v>
      </c>
      <c r="F566" s="510" t="s">
        <v>37</v>
      </c>
      <c r="G566" s="522" t="s">
        <v>365</v>
      </c>
      <c r="H566" s="507"/>
      <c r="I566" s="507"/>
      <c r="J566" s="510"/>
      <c r="K566" s="507"/>
    </row>
    <row r="567" spans="1:11">
      <c r="A567" s="521">
        <v>4</v>
      </c>
      <c r="B567" s="522" t="s">
        <v>921</v>
      </c>
      <c r="C567" s="508">
        <v>5</v>
      </c>
      <c r="D567" s="509"/>
      <c r="E567" s="508">
        <v>5</v>
      </c>
      <c r="F567" s="510" t="s">
        <v>37</v>
      </c>
      <c r="G567" s="522" t="s">
        <v>365</v>
      </c>
      <c r="H567" s="507"/>
      <c r="I567" s="507"/>
      <c r="J567" s="510"/>
      <c r="K567" s="507"/>
    </row>
    <row r="568" spans="1:11" ht="26.4">
      <c r="A568" s="521">
        <v>5</v>
      </c>
      <c r="B568" s="522" t="s">
        <v>922</v>
      </c>
      <c r="C568" s="508">
        <v>1.5</v>
      </c>
      <c r="D568" s="509"/>
      <c r="E568" s="508">
        <v>1.5</v>
      </c>
      <c r="F568" s="510" t="s">
        <v>37</v>
      </c>
      <c r="G568" s="522" t="s">
        <v>365</v>
      </c>
      <c r="H568" s="507"/>
      <c r="I568" s="507" t="s">
        <v>1080</v>
      </c>
      <c r="J568" s="510"/>
      <c r="K568" s="507"/>
    </row>
    <row r="569" spans="1:11">
      <c r="A569" s="521">
        <v>6</v>
      </c>
      <c r="B569" s="522" t="s">
        <v>923</v>
      </c>
      <c r="C569" s="508">
        <v>3</v>
      </c>
      <c r="D569" s="509"/>
      <c r="E569" s="508">
        <v>3</v>
      </c>
      <c r="F569" s="510" t="s">
        <v>37</v>
      </c>
      <c r="G569" s="522" t="s">
        <v>370</v>
      </c>
      <c r="H569" s="507"/>
      <c r="I569" s="507"/>
      <c r="J569" s="510"/>
      <c r="K569" s="507"/>
    </row>
    <row r="570" spans="1:11">
      <c r="A570" s="521">
        <v>7</v>
      </c>
      <c r="B570" s="522" t="s">
        <v>924</v>
      </c>
      <c r="C570" s="508">
        <v>5</v>
      </c>
      <c r="D570" s="509"/>
      <c r="E570" s="508">
        <v>5</v>
      </c>
      <c r="F570" s="510" t="s">
        <v>37</v>
      </c>
      <c r="G570" s="522" t="s">
        <v>372</v>
      </c>
      <c r="H570" s="507"/>
      <c r="I570" s="507"/>
      <c r="J570" s="510"/>
      <c r="K570" s="507"/>
    </row>
    <row r="571" spans="1:11" ht="66">
      <c r="A571" s="521">
        <v>8</v>
      </c>
      <c r="B571" s="522" t="s">
        <v>520</v>
      </c>
      <c r="C571" s="508">
        <v>100</v>
      </c>
      <c r="D571" s="509"/>
      <c r="E571" s="508">
        <v>100</v>
      </c>
      <c r="F571" s="510" t="s">
        <v>37</v>
      </c>
      <c r="G571" s="522" t="s">
        <v>372</v>
      </c>
      <c r="H571" s="507"/>
      <c r="I571" s="507" t="s">
        <v>1067</v>
      </c>
      <c r="J571" s="510"/>
      <c r="K571" s="507"/>
    </row>
    <row r="572" spans="1:11">
      <c r="A572" s="521">
        <v>9</v>
      </c>
      <c r="B572" s="522" t="s">
        <v>521</v>
      </c>
      <c r="C572" s="508">
        <v>3.83</v>
      </c>
      <c r="D572" s="509">
        <v>2.1927813874375053</v>
      </c>
      <c r="E572" s="508">
        <v>1.6372186125624948</v>
      </c>
      <c r="F572" s="510" t="s">
        <v>37</v>
      </c>
      <c r="G572" s="522" t="s">
        <v>379</v>
      </c>
      <c r="H572" s="507"/>
      <c r="I572" s="507"/>
      <c r="J572" s="510"/>
      <c r="K572" s="507"/>
    </row>
    <row r="573" spans="1:11">
      <c r="A573" s="521">
        <v>10</v>
      </c>
      <c r="B573" s="522" t="s">
        <v>925</v>
      </c>
      <c r="C573" s="508">
        <v>1.399889655004442</v>
      </c>
      <c r="D573" s="509">
        <v>0.39988965500444201</v>
      </c>
      <c r="E573" s="508">
        <v>1</v>
      </c>
      <c r="F573" s="510" t="s">
        <v>37</v>
      </c>
      <c r="G573" s="522" t="s">
        <v>379</v>
      </c>
      <c r="H573" s="507"/>
      <c r="I573" s="507"/>
      <c r="J573" s="510"/>
      <c r="K573" s="507"/>
    </row>
    <row r="574" spans="1:11">
      <c r="A574" s="521">
        <v>11</v>
      </c>
      <c r="B574" s="522" t="s">
        <v>926</v>
      </c>
      <c r="C574" s="508">
        <v>1.4</v>
      </c>
      <c r="D574" s="509"/>
      <c r="E574" s="508">
        <v>1.4</v>
      </c>
      <c r="F574" s="510" t="s">
        <v>37</v>
      </c>
      <c r="G574" s="522" t="s">
        <v>379</v>
      </c>
      <c r="H574" s="507"/>
      <c r="I574" s="507"/>
      <c r="J574" s="510"/>
      <c r="K574" s="507"/>
    </row>
    <row r="575" spans="1:11" ht="26.4">
      <c r="A575" s="521">
        <v>12</v>
      </c>
      <c r="B575" s="522" t="s">
        <v>927</v>
      </c>
      <c r="C575" s="508">
        <v>2</v>
      </c>
      <c r="D575" s="509"/>
      <c r="E575" s="508">
        <v>2</v>
      </c>
      <c r="F575" s="510" t="s">
        <v>37</v>
      </c>
      <c r="G575" s="522" t="s">
        <v>379</v>
      </c>
      <c r="H575" s="507"/>
      <c r="I575" s="507"/>
      <c r="J575" s="510"/>
      <c r="K575" s="507"/>
    </row>
    <row r="576" spans="1:11">
      <c r="A576" s="521">
        <v>13</v>
      </c>
      <c r="B576" s="522" t="s">
        <v>928</v>
      </c>
      <c r="C576" s="508">
        <v>3.80924737999942</v>
      </c>
      <c r="D576" s="509">
        <v>1.80924737999942</v>
      </c>
      <c r="E576" s="508">
        <v>2</v>
      </c>
      <c r="F576" s="510" t="s">
        <v>37</v>
      </c>
      <c r="G576" s="522" t="s">
        <v>380</v>
      </c>
      <c r="H576" s="507"/>
      <c r="I576" s="507"/>
      <c r="J576" s="510"/>
      <c r="K576" s="507"/>
    </row>
    <row r="577" spans="1:11">
      <c r="A577" s="521">
        <v>14</v>
      </c>
      <c r="B577" s="522" t="s">
        <v>1091</v>
      </c>
      <c r="C577" s="508">
        <v>2</v>
      </c>
      <c r="D577" s="509">
        <v>2</v>
      </c>
      <c r="E577" s="508">
        <v>0</v>
      </c>
      <c r="F577" s="510"/>
      <c r="G577" s="522" t="s">
        <v>417</v>
      </c>
      <c r="H577" s="507"/>
      <c r="I577" s="507"/>
      <c r="J577" s="510"/>
      <c r="K577" s="507"/>
    </row>
    <row r="578" spans="1:11">
      <c r="A578" s="521">
        <v>15</v>
      </c>
      <c r="B578" s="522" t="s">
        <v>930</v>
      </c>
      <c r="C578" s="508">
        <v>5</v>
      </c>
      <c r="D578" s="509">
        <v>1.5582940000000001</v>
      </c>
      <c r="E578" s="508">
        <v>3.4417059999999999</v>
      </c>
      <c r="F578" s="510" t="s">
        <v>37</v>
      </c>
      <c r="G578" s="522" t="s">
        <v>391</v>
      </c>
      <c r="H578" s="507"/>
      <c r="I578" s="507"/>
      <c r="J578" s="510"/>
      <c r="K578" s="507"/>
    </row>
    <row r="579" spans="1:11">
      <c r="A579" s="521">
        <v>16</v>
      </c>
      <c r="B579" s="522" t="s">
        <v>931</v>
      </c>
      <c r="C579" s="508">
        <v>2</v>
      </c>
      <c r="D579" s="509"/>
      <c r="E579" s="508">
        <v>2</v>
      </c>
      <c r="F579" s="510" t="s">
        <v>37</v>
      </c>
      <c r="G579" s="522" t="s">
        <v>391</v>
      </c>
      <c r="H579" s="507"/>
      <c r="I579" s="507"/>
      <c r="J579" s="510"/>
      <c r="K579" s="507"/>
    </row>
    <row r="580" spans="1:11">
      <c r="A580" s="521">
        <v>17</v>
      </c>
      <c r="B580" s="522" t="s">
        <v>523</v>
      </c>
      <c r="C580" s="508">
        <v>3</v>
      </c>
      <c r="D580" s="509">
        <v>0.83770499999970194</v>
      </c>
      <c r="E580" s="508">
        <v>2.1622950000002978</v>
      </c>
      <c r="F580" s="510" t="s">
        <v>37</v>
      </c>
      <c r="G580" s="522" t="s">
        <v>389</v>
      </c>
      <c r="H580" s="507"/>
      <c r="I580" s="507"/>
      <c r="J580" s="510"/>
      <c r="K580" s="507"/>
    </row>
    <row r="581" spans="1:11">
      <c r="A581" s="521">
        <v>18</v>
      </c>
      <c r="B581" s="522" t="s">
        <v>932</v>
      </c>
      <c r="C581" s="508">
        <v>3</v>
      </c>
      <c r="D581" s="509">
        <v>1.54224779499918</v>
      </c>
      <c r="E581" s="508">
        <v>1.45775220500082</v>
      </c>
      <c r="F581" s="510" t="s">
        <v>37</v>
      </c>
      <c r="G581" s="522" t="s">
        <v>389</v>
      </c>
      <c r="H581" s="507"/>
      <c r="I581" s="507"/>
      <c r="J581" s="510"/>
      <c r="K581" s="507"/>
    </row>
    <row r="582" spans="1:11">
      <c r="A582" s="521">
        <v>19</v>
      </c>
      <c r="B582" s="522" t="s">
        <v>933</v>
      </c>
      <c r="C582" s="508">
        <v>2</v>
      </c>
      <c r="D582" s="509"/>
      <c r="E582" s="508">
        <v>2</v>
      </c>
      <c r="F582" s="510" t="s">
        <v>37</v>
      </c>
      <c r="G582" s="522" t="s">
        <v>389</v>
      </c>
      <c r="H582" s="507"/>
      <c r="I582" s="507"/>
      <c r="J582" s="510"/>
      <c r="K582" s="507"/>
    </row>
    <row r="583" spans="1:11">
      <c r="A583" s="521">
        <v>20</v>
      </c>
      <c r="B583" s="522" t="s">
        <v>929</v>
      </c>
      <c r="C583" s="508">
        <v>5.3043000000000102</v>
      </c>
      <c r="D583" s="508">
        <v>0</v>
      </c>
      <c r="E583" s="508">
        <v>5.3043000000000102</v>
      </c>
      <c r="F583" s="510"/>
      <c r="G583" s="522"/>
      <c r="H583" s="507"/>
      <c r="I583" s="507"/>
      <c r="J583" s="510"/>
      <c r="K583" s="507"/>
    </row>
    <row r="584" spans="1:11" s="499" customFormat="1">
      <c r="A584" s="524"/>
      <c r="B584" s="523"/>
      <c r="C584" s="515">
        <v>3</v>
      </c>
      <c r="D584" s="516"/>
      <c r="E584" s="515">
        <v>3</v>
      </c>
      <c r="F584" s="517" t="s">
        <v>37</v>
      </c>
      <c r="G584" s="523" t="s">
        <v>408</v>
      </c>
      <c r="H584" s="514"/>
      <c r="I584" s="514"/>
      <c r="J584" s="517"/>
      <c r="K584" s="514"/>
    </row>
    <row r="585" spans="1:11" s="499" customFormat="1">
      <c r="A585" s="524"/>
      <c r="B585" s="523"/>
      <c r="C585" s="515">
        <v>1</v>
      </c>
      <c r="D585" s="516"/>
      <c r="E585" s="515">
        <v>1</v>
      </c>
      <c r="F585" s="517" t="s">
        <v>37</v>
      </c>
      <c r="G585" s="523" t="s">
        <v>417</v>
      </c>
      <c r="H585" s="514"/>
      <c r="I585" s="514"/>
      <c r="J585" s="517"/>
      <c r="K585" s="514"/>
    </row>
    <row r="586" spans="1:11" s="499" customFormat="1">
      <c r="A586" s="524"/>
      <c r="B586" s="523"/>
      <c r="C586" s="515">
        <v>1.30430000000001</v>
      </c>
      <c r="D586" s="516"/>
      <c r="E586" s="515">
        <v>1.30430000000001</v>
      </c>
      <c r="F586" s="517" t="s">
        <v>37</v>
      </c>
      <c r="G586" s="523" t="s">
        <v>380</v>
      </c>
      <c r="H586" s="514"/>
      <c r="I586" s="514"/>
      <c r="J586" s="517"/>
      <c r="K586" s="514"/>
    </row>
    <row r="587" spans="1:11" s="492" customFormat="1">
      <c r="A587" s="500" t="s">
        <v>345</v>
      </c>
      <c r="B587" s="501" t="s">
        <v>304</v>
      </c>
      <c r="C587" s="502">
        <v>22.657395789750886</v>
      </c>
      <c r="D587" s="502">
        <v>0</v>
      </c>
      <c r="E587" s="502">
        <v>22.657395789750886</v>
      </c>
      <c r="F587" s="503"/>
      <c r="G587" s="501"/>
      <c r="H587" s="512"/>
      <c r="I587" s="512"/>
      <c r="J587" s="503"/>
      <c r="K587" s="512"/>
    </row>
    <row r="588" spans="1:11">
      <c r="A588" s="521">
        <v>1</v>
      </c>
      <c r="B588" s="522" t="s">
        <v>934</v>
      </c>
      <c r="C588" s="508">
        <v>22.657395789750886</v>
      </c>
      <c r="D588" s="509"/>
      <c r="E588" s="508">
        <v>22.657395789750886</v>
      </c>
      <c r="F588" s="510" t="s">
        <v>130</v>
      </c>
      <c r="G588" s="522" t="s">
        <v>370</v>
      </c>
      <c r="H588" s="507"/>
      <c r="I588" s="507"/>
      <c r="J588" s="510"/>
      <c r="K588" s="507"/>
    </row>
    <row r="589" spans="1:11" s="492" customFormat="1">
      <c r="A589" s="529" t="s">
        <v>345</v>
      </c>
      <c r="B589" s="501" t="s">
        <v>263</v>
      </c>
      <c r="C589" s="502">
        <v>22.059000999999999</v>
      </c>
      <c r="D589" s="502">
        <v>2.2935750000000001</v>
      </c>
      <c r="E589" s="502">
        <v>19.765426000000001</v>
      </c>
      <c r="F589" s="503"/>
      <c r="G589" s="501"/>
      <c r="H589" s="512"/>
      <c r="I589" s="512"/>
      <c r="J589" s="503"/>
      <c r="K589" s="512"/>
    </row>
    <row r="590" spans="1:11" ht="26.4">
      <c r="A590" s="521">
        <v>1</v>
      </c>
      <c r="B590" s="522" t="s">
        <v>935</v>
      </c>
      <c r="C590" s="508">
        <v>1.5382</v>
      </c>
      <c r="D590" s="509">
        <v>0.67993700000000001</v>
      </c>
      <c r="E590" s="508">
        <v>0.858263</v>
      </c>
      <c r="F590" s="510" t="s">
        <v>37</v>
      </c>
      <c r="G590" s="522" t="s">
        <v>393</v>
      </c>
      <c r="H590" s="507"/>
      <c r="I590" s="507" t="s">
        <v>1092</v>
      </c>
      <c r="J590" s="510"/>
      <c r="K590" s="507"/>
    </row>
    <row r="591" spans="1:11" ht="26.4">
      <c r="A591" s="521">
        <v>2</v>
      </c>
      <c r="B591" s="522" t="s">
        <v>936</v>
      </c>
      <c r="C591" s="508">
        <v>3.15</v>
      </c>
      <c r="D591" s="509"/>
      <c r="E591" s="508">
        <v>3.15</v>
      </c>
      <c r="F591" s="510" t="s">
        <v>937</v>
      </c>
      <c r="G591" s="522" t="s">
        <v>393</v>
      </c>
      <c r="H591" s="507"/>
      <c r="I591" s="507" t="s">
        <v>1092</v>
      </c>
      <c r="J591" s="510"/>
      <c r="K591" s="507"/>
    </row>
    <row r="592" spans="1:11" ht="26.4">
      <c r="A592" s="521">
        <v>3</v>
      </c>
      <c r="B592" s="522" t="s">
        <v>524</v>
      </c>
      <c r="C592" s="508">
        <v>0.21301999999999999</v>
      </c>
      <c r="D592" s="509"/>
      <c r="E592" s="508">
        <v>0.21301999999999999</v>
      </c>
      <c r="F592" s="510" t="s">
        <v>132</v>
      </c>
      <c r="G592" s="522" t="s">
        <v>390</v>
      </c>
      <c r="H592" s="507"/>
      <c r="I592" s="507" t="s">
        <v>1080</v>
      </c>
      <c r="J592" s="510"/>
      <c r="K592" s="507"/>
    </row>
    <row r="593" spans="1:11">
      <c r="A593" s="521">
        <v>4</v>
      </c>
      <c r="B593" s="522" t="s">
        <v>938</v>
      </c>
      <c r="C593" s="508">
        <v>1.4</v>
      </c>
      <c r="D593" s="509"/>
      <c r="E593" s="508">
        <v>1.4</v>
      </c>
      <c r="F593" s="510" t="s">
        <v>37</v>
      </c>
      <c r="G593" s="522" t="s">
        <v>365</v>
      </c>
      <c r="H593" s="507"/>
      <c r="I593" s="507"/>
      <c r="J593" s="510"/>
      <c r="K593" s="507"/>
    </row>
    <row r="594" spans="1:11">
      <c r="A594" s="521">
        <v>5</v>
      </c>
      <c r="B594" s="522" t="s">
        <v>939</v>
      </c>
      <c r="C594" s="508">
        <v>1</v>
      </c>
      <c r="D594" s="509"/>
      <c r="E594" s="508">
        <v>1</v>
      </c>
      <c r="F594" s="510" t="s">
        <v>37</v>
      </c>
      <c r="G594" s="522" t="s">
        <v>367</v>
      </c>
      <c r="H594" s="507"/>
      <c r="I594" s="507"/>
      <c r="J594" s="510"/>
      <c r="K594" s="507"/>
    </row>
    <row r="595" spans="1:11" ht="26.4">
      <c r="A595" s="521">
        <v>6</v>
      </c>
      <c r="B595" s="522" t="s">
        <v>940</v>
      </c>
      <c r="C595" s="508">
        <v>1</v>
      </c>
      <c r="D595" s="509"/>
      <c r="E595" s="508">
        <v>1</v>
      </c>
      <c r="F595" s="510" t="s">
        <v>37</v>
      </c>
      <c r="G595" s="522" t="s">
        <v>372</v>
      </c>
      <c r="H595" s="507"/>
      <c r="I595" s="507" t="s">
        <v>1093</v>
      </c>
      <c r="J595" s="510"/>
      <c r="K595" s="507"/>
    </row>
    <row r="596" spans="1:11" ht="66">
      <c r="A596" s="521">
        <v>7</v>
      </c>
      <c r="B596" s="522" t="s">
        <v>941</v>
      </c>
      <c r="C596" s="508">
        <v>1.69</v>
      </c>
      <c r="D596" s="509"/>
      <c r="E596" s="508">
        <v>1.69</v>
      </c>
      <c r="F596" s="510" t="s">
        <v>37</v>
      </c>
      <c r="G596" s="522" t="s">
        <v>408</v>
      </c>
      <c r="H596" s="507"/>
      <c r="I596" s="507" t="s">
        <v>608</v>
      </c>
      <c r="J596" s="510">
        <v>2021</v>
      </c>
      <c r="K596" s="507"/>
    </row>
    <row r="597" spans="1:11">
      <c r="A597" s="521">
        <v>8</v>
      </c>
      <c r="B597" s="522" t="s">
        <v>942</v>
      </c>
      <c r="C597" s="508">
        <v>5</v>
      </c>
      <c r="D597" s="509"/>
      <c r="E597" s="508">
        <v>5</v>
      </c>
      <c r="F597" s="510" t="s">
        <v>37</v>
      </c>
      <c r="G597" s="522" t="s">
        <v>408</v>
      </c>
      <c r="H597" s="507"/>
      <c r="I597" s="507"/>
      <c r="J597" s="510"/>
      <c r="K597" s="507"/>
    </row>
    <row r="598" spans="1:11" ht="26.4">
      <c r="A598" s="521">
        <v>9</v>
      </c>
      <c r="B598" s="522" t="s">
        <v>943</v>
      </c>
      <c r="C598" s="508">
        <v>1.8</v>
      </c>
      <c r="D598" s="509">
        <v>0.73763699999999999</v>
      </c>
      <c r="E598" s="508">
        <v>1.0623629999999999</v>
      </c>
      <c r="F598" s="510" t="s">
        <v>37</v>
      </c>
      <c r="G598" s="522" t="s">
        <v>380</v>
      </c>
      <c r="H598" s="507"/>
      <c r="I598" s="507" t="s">
        <v>1080</v>
      </c>
      <c r="J598" s="510"/>
      <c r="K598" s="507"/>
    </row>
    <row r="599" spans="1:11">
      <c r="A599" s="521">
        <v>10</v>
      </c>
      <c r="B599" s="522" t="s">
        <v>944</v>
      </c>
      <c r="C599" s="508">
        <v>3</v>
      </c>
      <c r="D599" s="509"/>
      <c r="E599" s="508">
        <v>3</v>
      </c>
      <c r="F599" s="510" t="s">
        <v>37</v>
      </c>
      <c r="G599" s="522" t="s">
        <v>417</v>
      </c>
      <c r="H599" s="507"/>
      <c r="I599" s="507"/>
      <c r="J599" s="510"/>
      <c r="K599" s="507"/>
    </row>
    <row r="600" spans="1:11" ht="26.4">
      <c r="A600" s="521">
        <v>11</v>
      </c>
      <c r="B600" s="522" t="s">
        <v>1094</v>
      </c>
      <c r="C600" s="508">
        <v>0.89178000000000002</v>
      </c>
      <c r="D600" s="509"/>
      <c r="E600" s="508">
        <v>0.89178000000000002</v>
      </c>
      <c r="F600" s="510" t="s">
        <v>1095</v>
      </c>
      <c r="G600" s="522" t="s">
        <v>417</v>
      </c>
      <c r="H600" s="507"/>
      <c r="I600" s="507" t="s">
        <v>1080</v>
      </c>
      <c r="J600" s="510"/>
      <c r="K600" s="507"/>
    </row>
    <row r="601" spans="1:11">
      <c r="A601" s="521">
        <v>12</v>
      </c>
      <c r="B601" s="522" t="s">
        <v>945</v>
      </c>
      <c r="C601" s="508">
        <v>1.376001</v>
      </c>
      <c r="D601" s="509">
        <v>0.87600100000000003</v>
      </c>
      <c r="E601" s="508">
        <v>0.5</v>
      </c>
      <c r="F601" s="510" t="s">
        <v>37</v>
      </c>
      <c r="G601" s="522" t="s">
        <v>389</v>
      </c>
      <c r="H601" s="507"/>
      <c r="I601" s="507"/>
      <c r="J601" s="510"/>
      <c r="K601" s="507"/>
    </row>
    <row r="602" spans="1:11" s="492" customFormat="1">
      <c r="A602" s="529" t="s">
        <v>345</v>
      </c>
      <c r="B602" s="501" t="s">
        <v>142</v>
      </c>
      <c r="C602" s="502">
        <v>21.561018497473384</v>
      </c>
      <c r="D602" s="502">
        <v>3.9039245089560577</v>
      </c>
      <c r="E602" s="502">
        <v>17.657093988517317</v>
      </c>
      <c r="F602" s="503"/>
      <c r="G602" s="501"/>
      <c r="H602" s="512"/>
      <c r="I602" s="512"/>
      <c r="J602" s="503"/>
      <c r="K602" s="512"/>
    </row>
    <row r="603" spans="1:11">
      <c r="A603" s="521">
        <v>1</v>
      </c>
      <c r="B603" s="507" t="s">
        <v>551</v>
      </c>
      <c r="C603" s="509">
        <v>0.05</v>
      </c>
      <c r="D603" s="509">
        <v>2.8094000000000001E-2</v>
      </c>
      <c r="E603" s="516">
        <v>2.1906000000000002E-2</v>
      </c>
      <c r="F603" s="510" t="s">
        <v>37</v>
      </c>
      <c r="G603" s="507" t="s">
        <v>393</v>
      </c>
      <c r="H603" s="507"/>
      <c r="I603" s="507"/>
      <c r="J603" s="510"/>
      <c r="K603" s="507"/>
    </row>
    <row r="604" spans="1:11">
      <c r="A604" s="521">
        <v>2</v>
      </c>
      <c r="B604" s="507" t="s">
        <v>553</v>
      </c>
      <c r="C604" s="509">
        <v>0.5</v>
      </c>
      <c r="D604" s="509"/>
      <c r="E604" s="516">
        <v>0.5</v>
      </c>
      <c r="F604" s="510" t="s">
        <v>128</v>
      </c>
      <c r="G604" s="507" t="s">
        <v>393</v>
      </c>
      <c r="H604" s="507"/>
      <c r="I604" s="507"/>
      <c r="J604" s="510"/>
      <c r="K604" s="507"/>
    </row>
    <row r="605" spans="1:11">
      <c r="A605" s="521">
        <v>3</v>
      </c>
      <c r="B605" s="507" t="s">
        <v>552</v>
      </c>
      <c r="C605" s="509">
        <v>0.31654299999999996</v>
      </c>
      <c r="D605" s="509"/>
      <c r="E605" s="516">
        <v>0.31654299999999996</v>
      </c>
      <c r="F605" s="510" t="s">
        <v>111</v>
      </c>
      <c r="G605" s="507" t="s">
        <v>393</v>
      </c>
      <c r="H605" s="507"/>
      <c r="I605" s="507"/>
      <c r="J605" s="510"/>
      <c r="K605" s="507"/>
    </row>
    <row r="606" spans="1:11">
      <c r="A606" s="521">
        <v>4</v>
      </c>
      <c r="B606" s="507" t="s">
        <v>946</v>
      </c>
      <c r="C606" s="509">
        <v>4.65E-2</v>
      </c>
      <c r="D606" s="509"/>
      <c r="E606" s="516">
        <v>4.65E-2</v>
      </c>
      <c r="F606" s="510" t="s">
        <v>37</v>
      </c>
      <c r="G606" s="507" t="s">
        <v>393</v>
      </c>
      <c r="H606" s="507"/>
      <c r="I606" s="507"/>
      <c r="J606" s="510"/>
      <c r="K606" s="507"/>
    </row>
    <row r="607" spans="1:11">
      <c r="A607" s="521">
        <v>5</v>
      </c>
      <c r="B607" s="507" t="s">
        <v>947</v>
      </c>
      <c r="C607" s="509">
        <v>0.3</v>
      </c>
      <c r="D607" s="509"/>
      <c r="E607" s="516">
        <v>0.3</v>
      </c>
      <c r="F607" s="510" t="s">
        <v>37</v>
      </c>
      <c r="G607" s="507" t="s">
        <v>393</v>
      </c>
      <c r="H607" s="507"/>
      <c r="I607" s="507"/>
      <c r="J607" s="510"/>
      <c r="K607" s="507"/>
    </row>
    <row r="608" spans="1:11" ht="24.75" customHeight="1">
      <c r="A608" s="521">
        <v>6</v>
      </c>
      <c r="B608" s="507" t="s">
        <v>1178</v>
      </c>
      <c r="C608" s="509">
        <v>0.03</v>
      </c>
      <c r="D608" s="509"/>
      <c r="E608" s="516">
        <v>0.03</v>
      </c>
      <c r="F608" s="510" t="s">
        <v>130</v>
      </c>
      <c r="G608" s="507" t="s">
        <v>393</v>
      </c>
      <c r="H608" s="507"/>
      <c r="I608" s="507"/>
      <c r="J608" s="510"/>
      <c r="K608" s="507"/>
    </row>
    <row r="609" spans="1:11">
      <c r="A609" s="521">
        <v>7</v>
      </c>
      <c r="B609" s="507" t="s">
        <v>948</v>
      </c>
      <c r="C609" s="509">
        <v>0.05</v>
      </c>
      <c r="D609" s="509"/>
      <c r="E609" s="516">
        <v>0.05</v>
      </c>
      <c r="F609" s="510" t="s">
        <v>37</v>
      </c>
      <c r="G609" s="507" t="s">
        <v>369</v>
      </c>
      <c r="H609" s="507"/>
      <c r="I609" s="507"/>
      <c r="J609" s="510"/>
      <c r="K609" s="507"/>
    </row>
    <row r="610" spans="1:11">
      <c r="A610" s="521">
        <v>8</v>
      </c>
      <c r="B610" s="507" t="s">
        <v>949</v>
      </c>
      <c r="C610" s="509">
        <v>0.25</v>
      </c>
      <c r="D610" s="509"/>
      <c r="E610" s="516">
        <v>0.25</v>
      </c>
      <c r="F610" s="510" t="s">
        <v>37</v>
      </c>
      <c r="G610" s="507" t="s">
        <v>369</v>
      </c>
      <c r="H610" s="507"/>
      <c r="I610" s="507"/>
      <c r="J610" s="510"/>
      <c r="K610" s="507"/>
    </row>
    <row r="611" spans="1:11" ht="26.4">
      <c r="A611" s="521">
        <v>9</v>
      </c>
      <c r="B611" s="507" t="s">
        <v>950</v>
      </c>
      <c r="C611" s="509">
        <v>0.31512245000356304</v>
      </c>
      <c r="D611" s="509"/>
      <c r="E611" s="516">
        <v>0.31512245000356304</v>
      </c>
      <c r="F611" s="510" t="s">
        <v>140</v>
      </c>
      <c r="G611" s="507" t="s">
        <v>369</v>
      </c>
      <c r="H611" s="507"/>
      <c r="I611" s="507" t="s">
        <v>1080</v>
      </c>
      <c r="J611" s="510"/>
      <c r="K611" s="507"/>
    </row>
    <row r="612" spans="1:11" ht="26.4">
      <c r="A612" s="521">
        <v>10</v>
      </c>
      <c r="B612" s="507" t="s">
        <v>966</v>
      </c>
      <c r="C612" s="509">
        <v>0.18</v>
      </c>
      <c r="D612" s="509">
        <v>0.18</v>
      </c>
      <c r="E612" s="516">
        <v>0</v>
      </c>
      <c r="F612" s="510" t="s">
        <v>37</v>
      </c>
      <c r="G612" s="507" t="s">
        <v>369</v>
      </c>
      <c r="H612" s="507"/>
      <c r="I612" s="507" t="s">
        <v>1080</v>
      </c>
      <c r="J612" s="510"/>
      <c r="K612" s="507"/>
    </row>
    <row r="613" spans="1:11" ht="26.4">
      <c r="A613" s="521">
        <v>11</v>
      </c>
      <c r="B613" s="507" t="s">
        <v>951</v>
      </c>
      <c r="C613" s="509">
        <v>0.2</v>
      </c>
      <c r="D613" s="509"/>
      <c r="E613" s="516">
        <v>0.2</v>
      </c>
      <c r="F613" s="510" t="s">
        <v>37</v>
      </c>
      <c r="G613" s="507" t="s">
        <v>369</v>
      </c>
      <c r="H613" s="507"/>
      <c r="I613" s="507" t="s">
        <v>1080</v>
      </c>
      <c r="J613" s="510"/>
      <c r="K613" s="507"/>
    </row>
    <row r="614" spans="1:11">
      <c r="A614" s="521">
        <v>12</v>
      </c>
      <c r="B614" s="507" t="s">
        <v>952</v>
      </c>
      <c r="C614" s="509">
        <v>0.25</v>
      </c>
      <c r="D614" s="509">
        <v>6.5009999999999998E-2</v>
      </c>
      <c r="E614" s="516">
        <v>0.18498999999999999</v>
      </c>
      <c r="F614" s="510" t="s">
        <v>37</v>
      </c>
      <c r="G614" s="507" t="s">
        <v>390</v>
      </c>
      <c r="H614" s="507"/>
      <c r="I614" s="507"/>
      <c r="J614" s="510"/>
      <c r="K614" s="507"/>
    </row>
    <row r="615" spans="1:11">
      <c r="A615" s="521">
        <v>13</v>
      </c>
      <c r="B615" s="507" t="s">
        <v>953</v>
      </c>
      <c r="C615" s="509">
        <v>0.15578</v>
      </c>
      <c r="D615" s="509"/>
      <c r="E615" s="516">
        <v>0.15578</v>
      </c>
      <c r="F615" s="510" t="s">
        <v>128</v>
      </c>
      <c r="G615" s="507" t="s">
        <v>390</v>
      </c>
      <c r="H615" s="507"/>
      <c r="I615" s="507"/>
      <c r="J615" s="510"/>
      <c r="K615" s="507"/>
    </row>
    <row r="616" spans="1:11">
      <c r="A616" s="521">
        <v>14</v>
      </c>
      <c r="B616" s="507" t="s">
        <v>954</v>
      </c>
      <c r="C616" s="509">
        <v>0.33350000000000002</v>
      </c>
      <c r="D616" s="509"/>
      <c r="E616" s="516">
        <v>0.33350000000000002</v>
      </c>
      <c r="F616" s="510" t="s">
        <v>128</v>
      </c>
      <c r="G616" s="507" t="s">
        <v>390</v>
      </c>
      <c r="H616" s="507"/>
      <c r="I616" s="507"/>
      <c r="J616" s="510"/>
      <c r="K616" s="507"/>
    </row>
    <row r="617" spans="1:11">
      <c r="A617" s="521">
        <v>15</v>
      </c>
      <c r="B617" s="507" t="s">
        <v>525</v>
      </c>
      <c r="C617" s="509">
        <v>0.14232500000000001</v>
      </c>
      <c r="D617" s="509"/>
      <c r="E617" s="516">
        <v>0.14232500000000001</v>
      </c>
      <c r="F617" s="510" t="s">
        <v>132</v>
      </c>
      <c r="G617" s="507" t="s">
        <v>365</v>
      </c>
      <c r="H617" s="507"/>
      <c r="I617" s="507"/>
      <c r="J617" s="510"/>
      <c r="K617" s="507"/>
    </row>
    <row r="618" spans="1:11">
      <c r="A618" s="521">
        <v>16</v>
      </c>
      <c r="B618" s="507" t="s">
        <v>956</v>
      </c>
      <c r="C618" s="509">
        <v>6.0706247042119493E-2</v>
      </c>
      <c r="D618" s="509">
        <v>5.0606247042119495E-2</v>
      </c>
      <c r="E618" s="516">
        <v>1.0099999999999998E-2</v>
      </c>
      <c r="F618" s="510" t="s">
        <v>37</v>
      </c>
      <c r="G618" s="507" t="s">
        <v>367</v>
      </c>
      <c r="H618" s="507"/>
      <c r="I618" s="507"/>
      <c r="J618" s="510"/>
      <c r="K618" s="507"/>
    </row>
    <row r="619" spans="1:11" ht="26.4">
      <c r="A619" s="521">
        <v>17</v>
      </c>
      <c r="B619" s="507" t="s">
        <v>526</v>
      </c>
      <c r="C619" s="509">
        <v>0.27208404747061399</v>
      </c>
      <c r="D619" s="509"/>
      <c r="E619" s="516">
        <v>0.27208404747061399</v>
      </c>
      <c r="F619" s="510" t="s">
        <v>132</v>
      </c>
      <c r="G619" s="507" t="s">
        <v>367</v>
      </c>
      <c r="H619" s="507"/>
      <c r="I619" s="507" t="s">
        <v>1080</v>
      </c>
      <c r="J619" s="510"/>
      <c r="K619" s="507"/>
    </row>
    <row r="620" spans="1:11">
      <c r="A620" s="521">
        <v>18</v>
      </c>
      <c r="B620" s="507" t="s">
        <v>527</v>
      </c>
      <c r="C620" s="509">
        <v>1.83E-2</v>
      </c>
      <c r="D620" s="509"/>
      <c r="E620" s="516">
        <v>1.83E-2</v>
      </c>
      <c r="F620" s="510" t="s">
        <v>37</v>
      </c>
      <c r="G620" s="507" t="s">
        <v>367</v>
      </c>
      <c r="H620" s="507"/>
      <c r="I620" s="507"/>
      <c r="J620" s="510"/>
      <c r="K620" s="507"/>
    </row>
    <row r="621" spans="1:11">
      <c r="A621" s="521">
        <v>19</v>
      </c>
      <c r="B621" s="507" t="s">
        <v>957</v>
      </c>
      <c r="C621" s="509">
        <v>0.25</v>
      </c>
      <c r="D621" s="509">
        <v>3.9480690001323801E-2</v>
      </c>
      <c r="E621" s="516">
        <v>0.21051930999867619</v>
      </c>
      <c r="F621" s="510" t="s">
        <v>37</v>
      </c>
      <c r="G621" s="507" t="s">
        <v>370</v>
      </c>
      <c r="H621" s="507"/>
      <c r="I621" s="507"/>
      <c r="J621" s="510"/>
      <c r="K621" s="507"/>
    </row>
    <row r="622" spans="1:11">
      <c r="A622" s="521">
        <v>20</v>
      </c>
      <c r="B622" s="507" t="s">
        <v>958</v>
      </c>
      <c r="C622" s="509">
        <v>0.18160000000000001</v>
      </c>
      <c r="D622" s="509">
        <v>3.0700184999033799E-2</v>
      </c>
      <c r="E622" s="516">
        <v>0.15089981500096622</v>
      </c>
      <c r="F622" s="510" t="s">
        <v>37</v>
      </c>
      <c r="G622" s="507" t="s">
        <v>370</v>
      </c>
      <c r="H622" s="507"/>
      <c r="I622" s="507"/>
      <c r="J622" s="510"/>
      <c r="K622" s="507"/>
    </row>
    <row r="623" spans="1:11">
      <c r="A623" s="521">
        <v>21</v>
      </c>
      <c r="B623" s="507" t="s">
        <v>959</v>
      </c>
      <c r="C623" s="509">
        <v>0.25</v>
      </c>
      <c r="D623" s="509">
        <v>8.3655600003898108E-3</v>
      </c>
      <c r="E623" s="516">
        <v>0.24163443999961018</v>
      </c>
      <c r="F623" s="510" t="s">
        <v>37</v>
      </c>
      <c r="G623" s="507" t="s">
        <v>370</v>
      </c>
      <c r="H623" s="507"/>
      <c r="I623" s="507"/>
      <c r="J623" s="510"/>
      <c r="K623" s="507"/>
    </row>
    <row r="624" spans="1:11">
      <c r="A624" s="521">
        <v>22</v>
      </c>
      <c r="B624" s="507" t="s">
        <v>960</v>
      </c>
      <c r="C624" s="509">
        <v>0.25</v>
      </c>
      <c r="D624" s="509"/>
      <c r="E624" s="516">
        <v>0.25</v>
      </c>
      <c r="F624" s="510" t="s">
        <v>37</v>
      </c>
      <c r="G624" s="507" t="s">
        <v>370</v>
      </c>
      <c r="H624" s="507"/>
      <c r="I624" s="507"/>
      <c r="J624" s="510"/>
      <c r="K624" s="507"/>
    </row>
    <row r="625" spans="1:11" ht="26.4">
      <c r="A625" s="521">
        <v>23</v>
      </c>
      <c r="B625" s="507" t="s">
        <v>961</v>
      </c>
      <c r="C625" s="509">
        <v>0.3</v>
      </c>
      <c r="D625" s="509"/>
      <c r="E625" s="516">
        <v>0.3</v>
      </c>
      <c r="F625" s="510" t="s">
        <v>37</v>
      </c>
      <c r="G625" s="507" t="s">
        <v>370</v>
      </c>
      <c r="H625" s="507"/>
      <c r="I625" s="507" t="s">
        <v>1080</v>
      </c>
      <c r="J625" s="510"/>
      <c r="K625" s="507"/>
    </row>
    <row r="626" spans="1:11" ht="26.4">
      <c r="A626" s="521">
        <v>24</v>
      </c>
      <c r="B626" s="507" t="s">
        <v>962</v>
      </c>
      <c r="C626" s="509">
        <v>0.3</v>
      </c>
      <c r="D626" s="509"/>
      <c r="E626" s="516">
        <v>0.3</v>
      </c>
      <c r="F626" s="510" t="s">
        <v>37</v>
      </c>
      <c r="G626" s="507" t="s">
        <v>370</v>
      </c>
      <c r="H626" s="507"/>
      <c r="I626" s="507" t="s">
        <v>1080</v>
      </c>
      <c r="J626" s="510"/>
      <c r="K626" s="507"/>
    </row>
    <row r="627" spans="1:11">
      <c r="A627" s="521">
        <v>25</v>
      </c>
      <c r="B627" s="507" t="s">
        <v>963</v>
      </c>
      <c r="C627" s="509">
        <v>0.15840000000000001</v>
      </c>
      <c r="D627" s="509"/>
      <c r="E627" s="516">
        <v>0.15840000000000001</v>
      </c>
      <c r="F627" s="510" t="s">
        <v>37</v>
      </c>
      <c r="G627" s="507" t="s">
        <v>370</v>
      </c>
      <c r="H627" s="507"/>
      <c r="I627" s="507"/>
      <c r="J627" s="510"/>
      <c r="K627" s="507"/>
    </row>
    <row r="628" spans="1:11">
      <c r="A628" s="521">
        <v>26</v>
      </c>
      <c r="B628" s="507" t="s">
        <v>964</v>
      </c>
      <c r="C628" s="509">
        <v>0.5</v>
      </c>
      <c r="D628" s="509">
        <v>0.14564098649621002</v>
      </c>
      <c r="E628" s="516">
        <v>0.35435901350378995</v>
      </c>
      <c r="F628" s="510" t="s">
        <v>37</v>
      </c>
      <c r="G628" s="507" t="s">
        <v>372</v>
      </c>
      <c r="H628" s="507"/>
      <c r="I628" s="507"/>
      <c r="J628" s="510"/>
      <c r="K628" s="507"/>
    </row>
    <row r="629" spans="1:11" ht="26.4">
      <c r="A629" s="521">
        <v>27</v>
      </c>
      <c r="B629" s="507" t="s">
        <v>958</v>
      </c>
      <c r="C629" s="509">
        <v>0.23</v>
      </c>
      <c r="D629" s="509">
        <v>5.90266575526446E-2</v>
      </c>
      <c r="E629" s="516">
        <v>0.1709733424473554</v>
      </c>
      <c r="F629" s="510" t="s">
        <v>37</v>
      </c>
      <c r="G629" s="507" t="s">
        <v>372</v>
      </c>
      <c r="H629" s="507"/>
      <c r="I629" s="507" t="s">
        <v>1080</v>
      </c>
      <c r="J629" s="510"/>
      <c r="K629" s="507"/>
    </row>
    <row r="630" spans="1:11">
      <c r="A630" s="521">
        <v>28</v>
      </c>
      <c r="B630" s="507" t="s">
        <v>965</v>
      </c>
      <c r="C630" s="509">
        <v>0.2</v>
      </c>
      <c r="D630" s="509">
        <v>7.3349240000592494E-2</v>
      </c>
      <c r="E630" s="516">
        <v>0.1266507599994075</v>
      </c>
      <c r="F630" s="510" t="s">
        <v>37</v>
      </c>
      <c r="G630" s="507" t="s">
        <v>372</v>
      </c>
      <c r="H630" s="507"/>
      <c r="I630" s="507"/>
      <c r="J630" s="510"/>
      <c r="K630" s="507"/>
    </row>
    <row r="631" spans="1:11">
      <c r="A631" s="521">
        <v>29</v>
      </c>
      <c r="B631" s="507" t="s">
        <v>966</v>
      </c>
      <c r="C631" s="509">
        <v>0.33038766797706498</v>
      </c>
      <c r="D631" s="509">
        <v>0.23038766797706497</v>
      </c>
      <c r="E631" s="516">
        <v>0.1</v>
      </c>
      <c r="F631" s="510" t="s">
        <v>37</v>
      </c>
      <c r="G631" s="507" t="s">
        <v>372</v>
      </c>
      <c r="H631" s="507"/>
      <c r="I631" s="507"/>
      <c r="J631" s="510"/>
      <c r="K631" s="507"/>
    </row>
    <row r="632" spans="1:11">
      <c r="A632" s="521">
        <v>30</v>
      </c>
      <c r="B632" s="507" t="s">
        <v>950</v>
      </c>
      <c r="C632" s="509">
        <v>0.35605953999869544</v>
      </c>
      <c r="D632" s="509">
        <v>5.6323365002125501E-2</v>
      </c>
      <c r="E632" s="516">
        <v>0.29973617499656996</v>
      </c>
      <c r="F632" s="510" t="s">
        <v>132</v>
      </c>
      <c r="G632" s="507" t="s">
        <v>372</v>
      </c>
      <c r="H632" s="507"/>
      <c r="I632" s="507"/>
      <c r="J632" s="510"/>
      <c r="K632" s="507"/>
    </row>
    <row r="633" spans="1:11">
      <c r="A633" s="521">
        <v>31</v>
      </c>
      <c r="B633" s="507" t="s">
        <v>530</v>
      </c>
      <c r="C633" s="509">
        <v>0.16384919000379791</v>
      </c>
      <c r="D633" s="509">
        <v>9.9686700001359006E-3</v>
      </c>
      <c r="E633" s="516">
        <v>0.15388052000366201</v>
      </c>
      <c r="F633" s="510" t="s">
        <v>134</v>
      </c>
      <c r="G633" s="507" t="s">
        <v>379</v>
      </c>
      <c r="H633" s="507"/>
      <c r="I633" s="507"/>
      <c r="J633" s="510"/>
      <c r="K633" s="507"/>
    </row>
    <row r="634" spans="1:11">
      <c r="A634" s="521">
        <v>32</v>
      </c>
      <c r="B634" s="507" t="s">
        <v>528</v>
      </c>
      <c r="C634" s="509">
        <v>0.26005473999977108</v>
      </c>
      <c r="D634" s="509">
        <v>1.0054739999771099E-2</v>
      </c>
      <c r="E634" s="516">
        <v>0.24999999999999997</v>
      </c>
      <c r="F634" s="510" t="s">
        <v>37</v>
      </c>
      <c r="G634" s="507" t="s">
        <v>379</v>
      </c>
      <c r="H634" s="507"/>
      <c r="I634" s="507"/>
      <c r="J634" s="510"/>
      <c r="K634" s="507"/>
    </row>
    <row r="635" spans="1:11">
      <c r="A635" s="521">
        <v>33</v>
      </c>
      <c r="B635" s="507" t="s">
        <v>529</v>
      </c>
      <c r="C635" s="509">
        <v>0.2600087449995801</v>
      </c>
      <c r="D635" s="509">
        <v>1.0008744999580099E-2</v>
      </c>
      <c r="E635" s="516">
        <v>0.25</v>
      </c>
      <c r="F635" s="510" t="s">
        <v>37</v>
      </c>
      <c r="G635" s="507" t="s">
        <v>379</v>
      </c>
      <c r="H635" s="507"/>
      <c r="I635" s="507"/>
      <c r="J635" s="510"/>
      <c r="K635" s="507"/>
    </row>
    <row r="636" spans="1:11" ht="26.4">
      <c r="A636" s="521">
        <v>34</v>
      </c>
      <c r="B636" s="507" t="s">
        <v>531</v>
      </c>
      <c r="C636" s="509">
        <v>0.02</v>
      </c>
      <c r="D636" s="509"/>
      <c r="E636" s="516">
        <v>0.02</v>
      </c>
      <c r="F636" s="510" t="s">
        <v>37</v>
      </c>
      <c r="G636" s="507" t="s">
        <v>379</v>
      </c>
      <c r="H636" s="507"/>
      <c r="I636" s="507" t="s">
        <v>1080</v>
      </c>
      <c r="J636" s="510"/>
      <c r="K636" s="507"/>
    </row>
    <row r="637" spans="1:11">
      <c r="A637" s="521">
        <v>35</v>
      </c>
      <c r="B637" s="507" t="s">
        <v>532</v>
      </c>
      <c r="C637" s="509">
        <v>0.25</v>
      </c>
      <c r="D637" s="509"/>
      <c r="E637" s="516">
        <v>0.25</v>
      </c>
      <c r="F637" s="510" t="s">
        <v>37</v>
      </c>
      <c r="G637" s="507" t="s">
        <v>379</v>
      </c>
      <c r="H637" s="507"/>
      <c r="I637" s="507"/>
      <c r="J637" s="510"/>
      <c r="K637" s="507"/>
    </row>
    <row r="638" spans="1:11" ht="26.4">
      <c r="A638" s="521">
        <v>36</v>
      </c>
      <c r="B638" s="507" t="s">
        <v>533</v>
      </c>
      <c r="C638" s="509">
        <v>0.2</v>
      </c>
      <c r="D638" s="509"/>
      <c r="E638" s="516">
        <v>0.2</v>
      </c>
      <c r="F638" s="510" t="s">
        <v>37</v>
      </c>
      <c r="G638" s="507" t="s">
        <v>379</v>
      </c>
      <c r="H638" s="507"/>
      <c r="I638" s="507" t="s">
        <v>1080</v>
      </c>
      <c r="J638" s="510"/>
      <c r="K638" s="507"/>
    </row>
    <row r="639" spans="1:11">
      <c r="A639" s="521">
        <v>37</v>
      </c>
      <c r="B639" s="507" t="s">
        <v>534</v>
      </c>
      <c r="C639" s="509">
        <v>0.25</v>
      </c>
      <c r="D639" s="509"/>
      <c r="E639" s="516">
        <v>0.25</v>
      </c>
      <c r="F639" s="510" t="s">
        <v>37</v>
      </c>
      <c r="G639" s="507" t="s">
        <v>379</v>
      </c>
      <c r="H639" s="507"/>
      <c r="I639" s="507"/>
      <c r="J639" s="510"/>
      <c r="K639" s="507"/>
    </row>
    <row r="640" spans="1:11" ht="26.4">
      <c r="A640" s="521">
        <v>38</v>
      </c>
      <c r="B640" s="507" t="s">
        <v>535</v>
      </c>
      <c r="C640" s="509">
        <v>0.2</v>
      </c>
      <c r="D640" s="509"/>
      <c r="E640" s="516">
        <v>0.2</v>
      </c>
      <c r="F640" s="510" t="s">
        <v>37</v>
      </c>
      <c r="G640" s="507" t="s">
        <v>379</v>
      </c>
      <c r="H640" s="507"/>
      <c r="I640" s="507" t="s">
        <v>1080</v>
      </c>
      <c r="J640" s="510"/>
      <c r="K640" s="507"/>
    </row>
    <row r="641" spans="1:11">
      <c r="A641" s="521">
        <v>39</v>
      </c>
      <c r="B641" s="507" t="s">
        <v>536</v>
      </c>
      <c r="C641" s="509">
        <v>0.14591920999661098</v>
      </c>
      <c r="D641" s="509"/>
      <c r="E641" s="516">
        <v>0.14591920999661098</v>
      </c>
      <c r="F641" s="510" t="s">
        <v>132</v>
      </c>
      <c r="G641" s="507" t="s">
        <v>379</v>
      </c>
      <c r="H641" s="507"/>
      <c r="I641" s="507"/>
      <c r="J641" s="510"/>
      <c r="K641" s="507"/>
    </row>
    <row r="642" spans="1:11">
      <c r="A642" s="521">
        <v>40</v>
      </c>
      <c r="B642" s="507" t="s">
        <v>967</v>
      </c>
      <c r="C642" s="509">
        <v>9.8693569999933201E-2</v>
      </c>
      <c r="D642" s="509"/>
      <c r="E642" s="516">
        <v>9.8693569999933201E-2</v>
      </c>
      <c r="F642" s="510" t="s">
        <v>132</v>
      </c>
      <c r="G642" s="507" t="s">
        <v>379</v>
      </c>
      <c r="H642" s="507"/>
      <c r="I642" s="507"/>
      <c r="J642" s="510"/>
      <c r="K642" s="507"/>
    </row>
    <row r="643" spans="1:11" ht="26.4">
      <c r="A643" s="521">
        <v>41</v>
      </c>
      <c r="B643" s="507" t="s">
        <v>968</v>
      </c>
      <c r="C643" s="509">
        <v>0.2</v>
      </c>
      <c r="D643" s="509"/>
      <c r="E643" s="516">
        <v>0.2</v>
      </c>
      <c r="F643" s="510" t="s">
        <v>37</v>
      </c>
      <c r="G643" s="507" t="s">
        <v>379</v>
      </c>
      <c r="H643" s="507"/>
      <c r="I643" s="507" t="s">
        <v>1080</v>
      </c>
      <c r="J643" s="510"/>
      <c r="K643" s="507"/>
    </row>
    <row r="644" spans="1:11" ht="26.4">
      <c r="A644" s="521">
        <v>42</v>
      </c>
      <c r="B644" s="507" t="s">
        <v>969</v>
      </c>
      <c r="C644" s="509">
        <v>0.2</v>
      </c>
      <c r="D644" s="509"/>
      <c r="E644" s="516">
        <v>0.2</v>
      </c>
      <c r="F644" s="510" t="s">
        <v>37</v>
      </c>
      <c r="G644" s="507" t="s">
        <v>379</v>
      </c>
      <c r="H644" s="507"/>
      <c r="I644" s="507" t="s">
        <v>1080</v>
      </c>
      <c r="J644" s="510"/>
      <c r="K644" s="507"/>
    </row>
    <row r="645" spans="1:11">
      <c r="A645" s="521">
        <v>43</v>
      </c>
      <c r="B645" s="507" t="s">
        <v>539</v>
      </c>
      <c r="C645" s="509">
        <v>0.2</v>
      </c>
      <c r="D645" s="509">
        <v>4.3887526950240098E-2</v>
      </c>
      <c r="E645" s="516">
        <v>0.15611247304975992</v>
      </c>
      <c r="F645" s="510" t="s">
        <v>37</v>
      </c>
      <c r="G645" s="507" t="s">
        <v>408</v>
      </c>
      <c r="H645" s="507"/>
      <c r="I645" s="507"/>
      <c r="J645" s="510"/>
      <c r="K645" s="507"/>
    </row>
    <row r="646" spans="1:11">
      <c r="A646" s="521">
        <v>44</v>
      </c>
      <c r="B646" s="507" t="s">
        <v>541</v>
      </c>
      <c r="C646" s="509">
        <v>0.10338209506896681</v>
      </c>
      <c r="D646" s="509">
        <v>3.2089240000397E-2</v>
      </c>
      <c r="E646" s="516">
        <v>7.1292855068569805E-2</v>
      </c>
      <c r="F646" s="510" t="s">
        <v>132</v>
      </c>
      <c r="G646" s="507" t="s">
        <v>408</v>
      </c>
      <c r="H646" s="507"/>
      <c r="I646" s="507"/>
      <c r="J646" s="510"/>
      <c r="K646" s="507"/>
    </row>
    <row r="647" spans="1:11">
      <c r="A647" s="521">
        <v>45</v>
      </c>
      <c r="B647" s="507" t="s">
        <v>970</v>
      </c>
      <c r="C647" s="509">
        <v>0.3</v>
      </c>
      <c r="D647" s="509">
        <v>0.14083670730034401</v>
      </c>
      <c r="E647" s="516">
        <v>0.15916329269965598</v>
      </c>
      <c r="F647" s="510" t="s">
        <v>37</v>
      </c>
      <c r="G647" s="507" t="s">
        <v>408</v>
      </c>
      <c r="H647" s="507"/>
      <c r="I647" s="507"/>
      <c r="J647" s="510"/>
      <c r="K647" s="507"/>
    </row>
    <row r="648" spans="1:11">
      <c r="A648" s="521">
        <v>46</v>
      </c>
      <c r="B648" s="507" t="s">
        <v>540</v>
      </c>
      <c r="C648" s="509">
        <v>0.3</v>
      </c>
      <c r="D648" s="509">
        <v>6.9423730000294698E-2</v>
      </c>
      <c r="E648" s="516">
        <v>0.23057626999970529</v>
      </c>
      <c r="F648" s="510" t="s">
        <v>37</v>
      </c>
      <c r="G648" s="507" t="s">
        <v>408</v>
      </c>
      <c r="H648" s="507"/>
      <c r="I648" s="507"/>
      <c r="J648" s="510"/>
      <c r="K648" s="507"/>
    </row>
    <row r="649" spans="1:11">
      <c r="A649" s="521">
        <v>47</v>
      </c>
      <c r="B649" s="507" t="s">
        <v>538</v>
      </c>
      <c r="C649" s="509">
        <v>0.3</v>
      </c>
      <c r="D649" s="509">
        <v>2.1416437110549299E-2</v>
      </c>
      <c r="E649" s="516">
        <v>0.27858356288945069</v>
      </c>
      <c r="F649" s="510" t="s">
        <v>37</v>
      </c>
      <c r="G649" s="507" t="s">
        <v>408</v>
      </c>
      <c r="H649" s="507"/>
      <c r="I649" s="507"/>
      <c r="J649" s="510"/>
      <c r="K649" s="507"/>
    </row>
    <row r="650" spans="1:11">
      <c r="A650" s="521">
        <v>48</v>
      </c>
      <c r="B650" s="507" t="s">
        <v>537</v>
      </c>
      <c r="C650" s="509">
        <v>0.3</v>
      </c>
      <c r="D650" s="509">
        <v>7.5582579457387306E-2</v>
      </c>
      <c r="E650" s="516">
        <v>0.22441742054261268</v>
      </c>
      <c r="F650" s="510" t="s">
        <v>37</v>
      </c>
      <c r="G650" s="507" t="s">
        <v>408</v>
      </c>
      <c r="H650" s="507"/>
      <c r="I650" s="507"/>
      <c r="J650" s="510"/>
      <c r="K650" s="507"/>
    </row>
    <row r="651" spans="1:11">
      <c r="A651" s="521">
        <v>49</v>
      </c>
      <c r="B651" s="507" t="s">
        <v>542</v>
      </c>
      <c r="C651" s="509">
        <v>0.3</v>
      </c>
      <c r="D651" s="509">
        <v>0.16123472000025199</v>
      </c>
      <c r="E651" s="516">
        <v>0.138765279999748</v>
      </c>
      <c r="F651" s="510" t="s">
        <v>37</v>
      </c>
      <c r="G651" s="507" t="s">
        <v>408</v>
      </c>
      <c r="H651" s="507"/>
      <c r="I651" s="507"/>
      <c r="J651" s="510"/>
      <c r="K651" s="507"/>
    </row>
    <row r="652" spans="1:11">
      <c r="A652" s="521">
        <v>50</v>
      </c>
      <c r="B652" s="507" t="s">
        <v>971</v>
      </c>
      <c r="C652" s="509">
        <v>0.21</v>
      </c>
      <c r="D652" s="509"/>
      <c r="E652" s="516">
        <v>0.21</v>
      </c>
      <c r="F652" s="510" t="s">
        <v>87</v>
      </c>
      <c r="G652" s="507" t="s">
        <v>408</v>
      </c>
      <c r="H652" s="507"/>
      <c r="I652" s="507"/>
      <c r="J652" s="510"/>
      <c r="K652" s="507"/>
    </row>
    <row r="653" spans="1:11">
      <c r="A653" s="521">
        <v>51</v>
      </c>
      <c r="B653" s="507" t="s">
        <v>972</v>
      </c>
      <c r="C653" s="509">
        <v>0.211412706515542</v>
      </c>
      <c r="D653" s="509"/>
      <c r="E653" s="516">
        <v>0.211412706515542</v>
      </c>
      <c r="F653" s="510" t="s">
        <v>132</v>
      </c>
      <c r="G653" s="507" t="s">
        <v>408</v>
      </c>
      <c r="H653" s="507"/>
      <c r="I653" s="507"/>
      <c r="J653" s="510"/>
      <c r="K653" s="507"/>
    </row>
    <row r="654" spans="1:11" ht="26.4">
      <c r="A654" s="521">
        <v>52</v>
      </c>
      <c r="B654" s="507" t="s">
        <v>546</v>
      </c>
      <c r="C654" s="509">
        <v>0.2</v>
      </c>
      <c r="D654" s="509">
        <v>5.1411580000072697E-2</v>
      </c>
      <c r="E654" s="516">
        <v>0.14858841999992731</v>
      </c>
      <c r="F654" s="510" t="s">
        <v>37</v>
      </c>
      <c r="G654" s="507" t="s">
        <v>380</v>
      </c>
      <c r="H654" s="507"/>
      <c r="I654" s="507" t="s">
        <v>1080</v>
      </c>
      <c r="J654" s="510"/>
      <c r="K654" s="507"/>
    </row>
    <row r="655" spans="1:11">
      <c r="A655" s="521">
        <v>53</v>
      </c>
      <c r="B655" s="507" t="s">
        <v>545</v>
      </c>
      <c r="C655" s="509">
        <v>0.27350705839362921</v>
      </c>
      <c r="D655" s="509">
        <v>5.0943389999680198E-2</v>
      </c>
      <c r="E655" s="516">
        <v>0.222563668393949</v>
      </c>
      <c r="F655" s="510" t="s">
        <v>132</v>
      </c>
      <c r="G655" s="507" t="s">
        <v>380</v>
      </c>
      <c r="H655" s="507"/>
      <c r="I655" s="507"/>
      <c r="J655" s="510"/>
      <c r="K655" s="507"/>
    </row>
    <row r="656" spans="1:11">
      <c r="A656" s="521">
        <v>54</v>
      </c>
      <c r="B656" s="507" t="s">
        <v>543</v>
      </c>
      <c r="C656" s="509">
        <v>0.2</v>
      </c>
      <c r="D656" s="509">
        <v>6.1473889999091605E-2</v>
      </c>
      <c r="E656" s="516">
        <v>0.13852611000090842</v>
      </c>
      <c r="F656" s="510" t="s">
        <v>37</v>
      </c>
      <c r="G656" s="507" t="s">
        <v>380</v>
      </c>
      <c r="H656" s="507"/>
      <c r="I656" s="507"/>
      <c r="J656" s="510"/>
      <c r="K656" s="507"/>
    </row>
    <row r="657" spans="1:11" ht="26.4">
      <c r="A657" s="521">
        <v>55</v>
      </c>
      <c r="B657" s="507" t="s">
        <v>973</v>
      </c>
      <c r="C657" s="509">
        <v>0.2</v>
      </c>
      <c r="D657" s="509">
        <v>7.3579139999419604E-2</v>
      </c>
      <c r="E657" s="516">
        <v>0.12642086000058039</v>
      </c>
      <c r="F657" s="510" t="s">
        <v>37</v>
      </c>
      <c r="G657" s="507" t="s">
        <v>380</v>
      </c>
      <c r="H657" s="507"/>
      <c r="I657" s="507" t="s">
        <v>1080</v>
      </c>
      <c r="J657" s="510"/>
      <c r="K657" s="507"/>
    </row>
    <row r="658" spans="1:11">
      <c r="A658" s="521">
        <v>56</v>
      </c>
      <c r="B658" s="507" t="s">
        <v>974</v>
      </c>
      <c r="C658" s="509">
        <v>0.21063788500139499</v>
      </c>
      <c r="D658" s="509">
        <v>0.11063788500139499</v>
      </c>
      <c r="E658" s="516">
        <v>0.1</v>
      </c>
      <c r="F658" s="510" t="s">
        <v>37</v>
      </c>
      <c r="G658" s="507" t="s">
        <v>380</v>
      </c>
      <c r="H658" s="507"/>
      <c r="I658" s="507"/>
      <c r="J658" s="510"/>
      <c r="K658" s="507"/>
    </row>
    <row r="659" spans="1:11">
      <c r="A659" s="521">
        <v>57</v>
      </c>
      <c r="B659" s="507" t="s">
        <v>544</v>
      </c>
      <c r="C659" s="509">
        <v>0.1304726950011216</v>
      </c>
      <c r="D659" s="509">
        <v>3.1260654999688303E-2</v>
      </c>
      <c r="E659" s="516">
        <v>9.9212040001433299E-2</v>
      </c>
      <c r="F659" s="510" t="s">
        <v>976</v>
      </c>
      <c r="G659" s="507" t="s">
        <v>380</v>
      </c>
      <c r="H659" s="507"/>
      <c r="I659" s="507"/>
      <c r="J659" s="510"/>
      <c r="K659" s="507"/>
    </row>
    <row r="660" spans="1:11" ht="26.4">
      <c r="A660" s="521">
        <v>58</v>
      </c>
      <c r="B660" s="507" t="s">
        <v>547</v>
      </c>
      <c r="C660" s="509">
        <v>0.22188565000097701</v>
      </c>
      <c r="D660" s="509"/>
      <c r="E660" s="516">
        <v>0.22188565000097701</v>
      </c>
      <c r="F660" s="510" t="s">
        <v>132</v>
      </c>
      <c r="G660" s="507" t="s">
        <v>380</v>
      </c>
      <c r="H660" s="507"/>
      <c r="I660" s="507" t="s">
        <v>1080</v>
      </c>
      <c r="J660" s="510"/>
      <c r="K660" s="507"/>
    </row>
    <row r="661" spans="1:11" ht="26.4">
      <c r="A661" s="521">
        <v>59</v>
      </c>
      <c r="B661" s="507" t="s">
        <v>975</v>
      </c>
      <c r="C661" s="509">
        <v>0.2</v>
      </c>
      <c r="D661" s="509"/>
      <c r="E661" s="516">
        <v>0.2</v>
      </c>
      <c r="F661" s="510" t="s">
        <v>976</v>
      </c>
      <c r="G661" s="507" t="s">
        <v>380</v>
      </c>
      <c r="H661" s="507"/>
      <c r="I661" s="507" t="s">
        <v>1080</v>
      </c>
      <c r="J661" s="510"/>
      <c r="K661" s="507"/>
    </row>
    <row r="662" spans="1:11" ht="26.4">
      <c r="A662" s="521">
        <v>60</v>
      </c>
      <c r="B662" s="507" t="s">
        <v>548</v>
      </c>
      <c r="C662" s="509">
        <v>0.2</v>
      </c>
      <c r="D662" s="509"/>
      <c r="E662" s="516">
        <v>0.2</v>
      </c>
      <c r="F662" s="510" t="s">
        <v>37</v>
      </c>
      <c r="G662" s="507" t="s">
        <v>380</v>
      </c>
      <c r="H662" s="507"/>
      <c r="I662" s="507" t="s">
        <v>1080</v>
      </c>
      <c r="J662" s="510"/>
      <c r="K662" s="507"/>
    </row>
    <row r="663" spans="1:11" ht="26.4">
      <c r="A663" s="521">
        <v>61</v>
      </c>
      <c r="B663" s="507" t="s">
        <v>549</v>
      </c>
      <c r="C663" s="509">
        <v>0.4</v>
      </c>
      <c r="D663" s="509"/>
      <c r="E663" s="516">
        <v>0.4</v>
      </c>
      <c r="F663" s="510" t="s">
        <v>37</v>
      </c>
      <c r="G663" s="507" t="s">
        <v>380</v>
      </c>
      <c r="H663" s="507"/>
      <c r="I663" s="507" t="s">
        <v>1080</v>
      </c>
      <c r="J663" s="510"/>
      <c r="K663" s="507"/>
    </row>
    <row r="664" spans="1:11" ht="26.4">
      <c r="A664" s="521">
        <v>62</v>
      </c>
      <c r="B664" s="507" t="s">
        <v>550</v>
      </c>
      <c r="C664" s="509">
        <v>0.2</v>
      </c>
      <c r="D664" s="509"/>
      <c r="E664" s="516">
        <v>0.2</v>
      </c>
      <c r="F664" s="510" t="s">
        <v>37</v>
      </c>
      <c r="G664" s="507" t="s">
        <v>380</v>
      </c>
      <c r="H664" s="507"/>
      <c r="I664" s="507" t="s">
        <v>1080</v>
      </c>
      <c r="J664" s="510"/>
      <c r="K664" s="507"/>
    </row>
    <row r="665" spans="1:11">
      <c r="A665" s="521">
        <v>63</v>
      </c>
      <c r="B665" s="507" t="s">
        <v>977</v>
      </c>
      <c r="C665" s="509">
        <v>0.25</v>
      </c>
      <c r="D665" s="509">
        <v>0.11602999999999999</v>
      </c>
      <c r="E665" s="516">
        <v>0.13397000000000001</v>
      </c>
      <c r="F665" s="510" t="s">
        <v>37</v>
      </c>
      <c r="G665" s="507" t="s">
        <v>417</v>
      </c>
      <c r="H665" s="507"/>
      <c r="I665" s="507"/>
      <c r="J665" s="510"/>
      <c r="K665" s="507"/>
    </row>
    <row r="666" spans="1:11" ht="26.4">
      <c r="A666" s="521">
        <v>64</v>
      </c>
      <c r="B666" s="507" t="s">
        <v>978</v>
      </c>
      <c r="C666" s="509">
        <v>0.25</v>
      </c>
      <c r="D666" s="509">
        <v>0.15640000000000001</v>
      </c>
      <c r="E666" s="516">
        <v>9.3599999999999989E-2</v>
      </c>
      <c r="F666" s="510" t="s">
        <v>37</v>
      </c>
      <c r="G666" s="507" t="s">
        <v>417</v>
      </c>
      <c r="H666" s="507"/>
      <c r="I666" s="507" t="s">
        <v>1080</v>
      </c>
      <c r="J666" s="510"/>
      <c r="K666" s="507"/>
    </row>
    <row r="667" spans="1:11" ht="26.4">
      <c r="A667" s="521">
        <v>65</v>
      </c>
      <c r="B667" s="507" t="s">
        <v>979</v>
      </c>
      <c r="C667" s="509">
        <v>0.25</v>
      </c>
      <c r="D667" s="509">
        <v>6.742999999999999E-2</v>
      </c>
      <c r="E667" s="516">
        <v>0.18257000000000001</v>
      </c>
      <c r="F667" s="510" t="s">
        <v>976</v>
      </c>
      <c r="G667" s="507" t="s">
        <v>417</v>
      </c>
      <c r="H667" s="507"/>
      <c r="I667" s="507" t="s">
        <v>1080</v>
      </c>
      <c r="J667" s="510"/>
      <c r="K667" s="507"/>
    </row>
    <row r="668" spans="1:11">
      <c r="A668" s="521">
        <v>66</v>
      </c>
      <c r="B668" s="507" t="s">
        <v>980</v>
      </c>
      <c r="C668" s="509">
        <v>0.25</v>
      </c>
      <c r="D668" s="509">
        <v>2.4109999999999999E-2</v>
      </c>
      <c r="E668" s="516">
        <v>0.22589000000000001</v>
      </c>
      <c r="F668" s="510" t="s">
        <v>37</v>
      </c>
      <c r="G668" s="507" t="s">
        <v>417</v>
      </c>
      <c r="H668" s="507"/>
      <c r="I668" s="507"/>
      <c r="J668" s="510"/>
      <c r="K668" s="507"/>
    </row>
    <row r="669" spans="1:11">
      <c r="A669" s="521">
        <v>67</v>
      </c>
      <c r="B669" s="507" t="s">
        <v>981</v>
      </c>
      <c r="C669" s="509">
        <v>0.25</v>
      </c>
      <c r="D669" s="509">
        <v>0.13947999999999999</v>
      </c>
      <c r="E669" s="516">
        <v>0.11052000000000001</v>
      </c>
      <c r="F669" s="510" t="s">
        <v>37</v>
      </c>
      <c r="G669" s="507" t="s">
        <v>417</v>
      </c>
      <c r="H669" s="507"/>
      <c r="I669" s="507"/>
      <c r="J669" s="510"/>
      <c r="K669" s="507"/>
    </row>
    <row r="670" spans="1:11" ht="26.4">
      <c r="A670" s="521">
        <v>68</v>
      </c>
      <c r="B670" s="507" t="s">
        <v>982</v>
      </c>
      <c r="C670" s="509">
        <v>0.14754999999999999</v>
      </c>
      <c r="D670" s="509"/>
      <c r="E670" s="516">
        <v>0.14754999999999999</v>
      </c>
      <c r="F670" s="510" t="s">
        <v>132</v>
      </c>
      <c r="G670" s="507" t="s">
        <v>417</v>
      </c>
      <c r="H670" s="507"/>
      <c r="I670" s="507" t="s">
        <v>1080</v>
      </c>
      <c r="J670" s="510"/>
      <c r="K670" s="507"/>
    </row>
    <row r="671" spans="1:11">
      <c r="A671" s="521">
        <v>69</v>
      </c>
      <c r="B671" s="507" t="s">
        <v>983</v>
      </c>
      <c r="C671" s="509">
        <v>0.13932999999999998</v>
      </c>
      <c r="D671" s="509"/>
      <c r="E671" s="516">
        <v>0.13932999999999998</v>
      </c>
      <c r="F671" s="510" t="s">
        <v>132</v>
      </c>
      <c r="G671" s="507" t="s">
        <v>417</v>
      </c>
      <c r="H671" s="507"/>
      <c r="I671" s="507"/>
      <c r="J671" s="510"/>
      <c r="K671" s="507"/>
    </row>
    <row r="672" spans="1:11" ht="26.4">
      <c r="A672" s="521">
        <v>70</v>
      </c>
      <c r="B672" s="507" t="s">
        <v>984</v>
      </c>
      <c r="C672" s="509">
        <v>0.23025999999999999</v>
      </c>
      <c r="D672" s="509"/>
      <c r="E672" s="516">
        <v>0.23025999999999999</v>
      </c>
      <c r="F672" s="510" t="s">
        <v>90</v>
      </c>
      <c r="G672" s="507" t="s">
        <v>417</v>
      </c>
      <c r="H672" s="507"/>
      <c r="I672" s="507" t="s">
        <v>1080</v>
      </c>
      <c r="J672" s="510"/>
      <c r="K672" s="507"/>
    </row>
    <row r="673" spans="1:11">
      <c r="A673" s="521">
        <v>71</v>
      </c>
      <c r="B673" s="507" t="s">
        <v>985</v>
      </c>
      <c r="C673" s="509">
        <v>0.6</v>
      </c>
      <c r="D673" s="509">
        <v>8.3815000000000001E-2</v>
      </c>
      <c r="E673" s="516">
        <v>0.516185</v>
      </c>
      <c r="F673" s="510" t="s">
        <v>37</v>
      </c>
      <c r="G673" s="507" t="s">
        <v>391</v>
      </c>
      <c r="H673" s="507"/>
      <c r="I673" s="507"/>
      <c r="J673" s="510"/>
      <c r="K673" s="507"/>
    </row>
    <row r="674" spans="1:11">
      <c r="A674" s="521">
        <v>72</v>
      </c>
      <c r="B674" s="507" t="s">
        <v>986</v>
      </c>
      <c r="C674" s="509">
        <v>0.43810499999999997</v>
      </c>
      <c r="D674" s="509">
        <v>0.24911599999999998</v>
      </c>
      <c r="E674" s="516">
        <v>0.18898899999999999</v>
      </c>
      <c r="F674" s="510" t="s">
        <v>132</v>
      </c>
      <c r="G674" s="507" t="s">
        <v>391</v>
      </c>
      <c r="H674" s="507"/>
      <c r="I674" s="507"/>
      <c r="J674" s="510"/>
      <c r="K674" s="507"/>
    </row>
    <row r="675" spans="1:11">
      <c r="A675" s="521">
        <v>73</v>
      </c>
      <c r="B675" s="507" t="s">
        <v>987</v>
      </c>
      <c r="C675" s="509">
        <v>0.25</v>
      </c>
      <c r="D675" s="509">
        <v>9.9495E-2</v>
      </c>
      <c r="E675" s="516">
        <v>0.150505</v>
      </c>
      <c r="F675" s="510" t="s">
        <v>37</v>
      </c>
      <c r="G675" s="507" t="s">
        <v>391</v>
      </c>
      <c r="H675" s="507"/>
      <c r="I675" s="507"/>
      <c r="J675" s="510"/>
      <c r="K675" s="507"/>
    </row>
    <row r="676" spans="1:11">
      <c r="A676" s="521">
        <v>74</v>
      </c>
      <c r="B676" s="507" t="s">
        <v>988</v>
      </c>
      <c r="C676" s="509">
        <v>0.25</v>
      </c>
      <c r="D676" s="509">
        <v>0.102129</v>
      </c>
      <c r="E676" s="516">
        <v>0.147871</v>
      </c>
      <c r="F676" s="510" t="s">
        <v>37</v>
      </c>
      <c r="G676" s="507" t="s">
        <v>391</v>
      </c>
      <c r="H676" s="507"/>
      <c r="I676" s="507"/>
      <c r="J676" s="510"/>
      <c r="K676" s="507"/>
    </row>
    <row r="677" spans="1:11">
      <c r="A677" s="521">
        <v>75</v>
      </c>
      <c r="B677" s="507" t="s">
        <v>989</v>
      </c>
      <c r="C677" s="509">
        <v>7.0000000000000007E-2</v>
      </c>
      <c r="D677" s="509">
        <v>3.0224999999999998E-2</v>
      </c>
      <c r="E677" s="516">
        <v>3.9775000000000005E-2</v>
      </c>
      <c r="F677" s="510" t="s">
        <v>37</v>
      </c>
      <c r="G677" s="507" t="s">
        <v>391</v>
      </c>
      <c r="H677" s="507"/>
      <c r="I677" s="507"/>
      <c r="J677" s="510"/>
      <c r="K677" s="507"/>
    </row>
    <row r="678" spans="1:11">
      <c r="A678" s="521">
        <v>76</v>
      </c>
      <c r="B678" s="507" t="s">
        <v>990</v>
      </c>
      <c r="C678" s="509">
        <v>0.5</v>
      </c>
      <c r="D678" s="509">
        <v>0.41706199999999999</v>
      </c>
      <c r="E678" s="516">
        <v>8.2938000000000012E-2</v>
      </c>
      <c r="F678" s="510" t="s">
        <v>37</v>
      </c>
      <c r="G678" s="507" t="s">
        <v>391</v>
      </c>
      <c r="H678" s="507"/>
      <c r="I678" s="507"/>
      <c r="J678" s="510"/>
      <c r="K678" s="507"/>
    </row>
    <row r="679" spans="1:11" ht="26.4">
      <c r="A679" s="521">
        <v>77</v>
      </c>
      <c r="B679" s="507" t="s">
        <v>958</v>
      </c>
      <c r="C679" s="509">
        <v>0.19</v>
      </c>
      <c r="D679" s="509">
        <v>2.0112999999999999E-2</v>
      </c>
      <c r="E679" s="516">
        <v>0.16988700000000001</v>
      </c>
      <c r="F679" s="510" t="s">
        <v>37</v>
      </c>
      <c r="G679" s="507" t="s">
        <v>391</v>
      </c>
      <c r="H679" s="507"/>
      <c r="I679" s="507" t="s">
        <v>1080</v>
      </c>
      <c r="J679" s="510"/>
      <c r="K679" s="507"/>
    </row>
    <row r="680" spans="1:11" ht="26.4">
      <c r="A680" s="521">
        <v>78</v>
      </c>
      <c r="B680" s="507" t="s">
        <v>964</v>
      </c>
      <c r="C680" s="509">
        <v>0.60864200000000002</v>
      </c>
      <c r="D680" s="509"/>
      <c r="E680" s="516">
        <v>0.60864200000000002</v>
      </c>
      <c r="F680" s="510" t="s">
        <v>991</v>
      </c>
      <c r="G680" s="507" t="s">
        <v>391</v>
      </c>
      <c r="H680" s="507"/>
      <c r="I680" s="507" t="s">
        <v>1080</v>
      </c>
      <c r="J680" s="510"/>
      <c r="K680" s="507"/>
    </row>
    <row r="681" spans="1:11">
      <c r="A681" s="521">
        <v>79</v>
      </c>
      <c r="B681" s="507" t="s">
        <v>992</v>
      </c>
      <c r="C681" s="509">
        <v>0.26</v>
      </c>
      <c r="D681" s="509">
        <v>0.21010732650011801</v>
      </c>
      <c r="E681" s="516">
        <v>4.9892673499881995E-2</v>
      </c>
      <c r="F681" s="510" t="s">
        <v>37</v>
      </c>
      <c r="G681" s="507" t="s">
        <v>389</v>
      </c>
      <c r="H681" s="507"/>
      <c r="I681" s="507"/>
      <c r="J681" s="510"/>
      <c r="K681" s="507"/>
    </row>
    <row r="682" spans="1:11">
      <c r="A682" s="521">
        <v>80</v>
      </c>
      <c r="B682" s="507" t="s">
        <v>993</v>
      </c>
      <c r="C682" s="509">
        <v>0.28999999999999998</v>
      </c>
      <c r="D682" s="509">
        <v>0.155465402564779</v>
      </c>
      <c r="E682" s="516">
        <v>0.13453459743522098</v>
      </c>
      <c r="F682" s="510" t="s">
        <v>37</v>
      </c>
      <c r="G682" s="507" t="s">
        <v>389</v>
      </c>
      <c r="H682" s="507"/>
      <c r="I682" s="507"/>
      <c r="J682" s="510"/>
      <c r="K682" s="507"/>
    </row>
    <row r="683" spans="1:11">
      <c r="A683" s="521">
        <v>81</v>
      </c>
      <c r="B683" s="507" t="s">
        <v>994</v>
      </c>
      <c r="C683" s="509">
        <v>0.45</v>
      </c>
      <c r="D683" s="509">
        <v>3.7122860001027602E-2</v>
      </c>
      <c r="E683" s="516">
        <v>0.41287713999897241</v>
      </c>
      <c r="F683" s="510" t="s">
        <v>37</v>
      </c>
      <c r="G683" s="507" t="s">
        <v>389</v>
      </c>
      <c r="H683" s="507"/>
      <c r="I683" s="507"/>
      <c r="J683" s="510"/>
      <c r="K683" s="507"/>
    </row>
    <row r="684" spans="1:11">
      <c r="A684" s="521">
        <v>82</v>
      </c>
      <c r="B684" s="507" t="s">
        <v>995</v>
      </c>
      <c r="C684" s="509">
        <v>0.3</v>
      </c>
      <c r="D684" s="509">
        <v>7.5029685000330193E-2</v>
      </c>
      <c r="E684" s="516">
        <v>0.2249703149996698</v>
      </c>
      <c r="F684" s="510" t="s">
        <v>37</v>
      </c>
      <c r="G684" s="507" t="s">
        <v>389</v>
      </c>
      <c r="H684" s="507"/>
      <c r="I684" s="507"/>
      <c r="J684" s="510"/>
      <c r="K684" s="507"/>
    </row>
    <row r="685" spans="1:11" ht="26.4">
      <c r="A685" s="521">
        <v>83</v>
      </c>
      <c r="B685" s="507" t="s">
        <v>996</v>
      </c>
      <c r="C685" s="509">
        <v>0.2</v>
      </c>
      <c r="D685" s="509"/>
      <c r="E685" s="516">
        <v>0.2</v>
      </c>
      <c r="F685" s="510" t="s">
        <v>37</v>
      </c>
      <c r="G685" s="507" t="s">
        <v>389</v>
      </c>
      <c r="H685" s="507"/>
      <c r="I685" s="507" t="s">
        <v>1080</v>
      </c>
      <c r="J685" s="510"/>
      <c r="K685" s="507"/>
    </row>
    <row r="686" spans="1:11" ht="26.4">
      <c r="A686" s="521">
        <v>84</v>
      </c>
      <c r="B686" s="507" t="s">
        <v>997</v>
      </c>
      <c r="C686" s="509">
        <v>0.3</v>
      </c>
      <c r="D686" s="509"/>
      <c r="E686" s="516">
        <v>0.3</v>
      </c>
      <c r="F686" s="510" t="s">
        <v>37</v>
      </c>
      <c r="G686" s="507" t="s">
        <v>389</v>
      </c>
      <c r="H686" s="507"/>
      <c r="I686" s="507" t="s">
        <v>1080</v>
      </c>
      <c r="J686" s="510"/>
      <c r="K686" s="507"/>
    </row>
    <row r="687" spans="1:11" ht="26.4">
      <c r="A687" s="521">
        <v>85</v>
      </c>
      <c r="B687" s="507" t="s">
        <v>998</v>
      </c>
      <c r="C687" s="509">
        <v>0.2</v>
      </c>
      <c r="D687" s="509"/>
      <c r="E687" s="516">
        <v>0.2</v>
      </c>
      <c r="F687" s="510" t="s">
        <v>37</v>
      </c>
      <c r="G687" s="507" t="s">
        <v>389</v>
      </c>
      <c r="H687" s="507"/>
      <c r="I687" s="507" t="s">
        <v>1080</v>
      </c>
      <c r="J687" s="510"/>
      <c r="K687" s="507"/>
    </row>
    <row r="688" spans="1:11">
      <c r="A688" s="521">
        <v>86</v>
      </c>
      <c r="B688" s="507" t="s">
        <v>955</v>
      </c>
      <c r="C688" s="509">
        <v>1.2</v>
      </c>
      <c r="D688" s="509">
        <v>0</v>
      </c>
      <c r="E688" s="509">
        <v>1.2</v>
      </c>
      <c r="F688" s="510"/>
      <c r="G688" s="507"/>
      <c r="H688" s="507"/>
      <c r="I688" s="507"/>
      <c r="J688" s="510"/>
      <c r="K688" s="507"/>
    </row>
    <row r="689" spans="1:11" s="499" customFormat="1">
      <c r="A689" s="524"/>
      <c r="B689" s="514"/>
      <c r="C689" s="516">
        <v>0.2</v>
      </c>
      <c r="D689" s="516"/>
      <c r="E689" s="516">
        <v>0.2</v>
      </c>
      <c r="F689" s="517" t="s">
        <v>37</v>
      </c>
      <c r="G689" s="514" t="s">
        <v>365</v>
      </c>
      <c r="H689" s="514"/>
      <c r="I689" s="514"/>
      <c r="J689" s="517"/>
      <c r="K689" s="514"/>
    </row>
    <row r="690" spans="1:11" s="499" customFormat="1">
      <c r="A690" s="524"/>
      <c r="B690" s="514"/>
      <c r="C690" s="516">
        <v>1</v>
      </c>
      <c r="D690" s="516"/>
      <c r="E690" s="516">
        <v>1</v>
      </c>
      <c r="F690" s="517" t="s">
        <v>37</v>
      </c>
      <c r="G690" s="514" t="s">
        <v>367</v>
      </c>
      <c r="H690" s="514"/>
      <c r="I690" s="514"/>
      <c r="J690" s="517"/>
      <c r="K690" s="514"/>
    </row>
    <row r="691" spans="1:11" s="492" customFormat="1">
      <c r="A691" s="529" t="s">
        <v>345</v>
      </c>
      <c r="B691" s="501" t="s">
        <v>145</v>
      </c>
      <c r="C691" s="502">
        <v>21.140392645000858</v>
      </c>
      <c r="D691" s="502">
        <v>0</v>
      </c>
      <c r="E691" s="502">
        <v>21.140392645000858</v>
      </c>
      <c r="F691" s="503"/>
      <c r="G691" s="501"/>
      <c r="H691" s="512"/>
      <c r="I691" s="512"/>
      <c r="J691" s="503"/>
      <c r="K691" s="512"/>
    </row>
    <row r="692" spans="1:11">
      <c r="A692" s="521">
        <v>1</v>
      </c>
      <c r="B692" s="507" t="s">
        <v>999</v>
      </c>
      <c r="C692" s="509">
        <v>5</v>
      </c>
      <c r="D692" s="509"/>
      <c r="E692" s="516">
        <v>5</v>
      </c>
      <c r="F692" s="510" t="s">
        <v>37</v>
      </c>
      <c r="G692" s="507" t="s">
        <v>369</v>
      </c>
      <c r="H692" s="507"/>
      <c r="I692" s="507"/>
      <c r="J692" s="510"/>
      <c r="K692" s="507"/>
    </row>
    <row r="693" spans="1:11">
      <c r="A693" s="521">
        <v>2</v>
      </c>
      <c r="B693" s="507" t="s">
        <v>1001</v>
      </c>
      <c r="C693" s="509">
        <v>0.64529999999999998</v>
      </c>
      <c r="D693" s="509"/>
      <c r="E693" s="516">
        <v>0.64529999999999998</v>
      </c>
      <c r="F693" s="510" t="s">
        <v>37</v>
      </c>
      <c r="G693" s="507" t="s">
        <v>408</v>
      </c>
      <c r="H693" s="507"/>
      <c r="I693" s="507"/>
      <c r="J693" s="510"/>
      <c r="K693" s="507"/>
    </row>
    <row r="694" spans="1:11" ht="26.4">
      <c r="A694" s="521">
        <v>3</v>
      </c>
      <c r="B694" s="507" t="s">
        <v>1002</v>
      </c>
      <c r="C694" s="509">
        <v>0.3</v>
      </c>
      <c r="D694" s="509"/>
      <c r="E694" s="516">
        <v>0.3</v>
      </c>
      <c r="F694" s="510" t="s">
        <v>37</v>
      </c>
      <c r="G694" s="507" t="s">
        <v>408</v>
      </c>
      <c r="H694" s="507"/>
      <c r="I694" s="507"/>
      <c r="J694" s="510"/>
      <c r="K694" s="507"/>
    </row>
    <row r="695" spans="1:11">
      <c r="A695" s="521">
        <v>4</v>
      </c>
      <c r="B695" s="507" t="s">
        <v>554</v>
      </c>
      <c r="C695" s="509">
        <v>0.101442295000702</v>
      </c>
      <c r="D695" s="509"/>
      <c r="E695" s="516">
        <v>0.101442295000702</v>
      </c>
      <c r="F695" s="510" t="s">
        <v>132</v>
      </c>
      <c r="G695" s="507" t="s">
        <v>389</v>
      </c>
      <c r="H695" s="507"/>
      <c r="I695" s="507"/>
      <c r="J695" s="510"/>
      <c r="K695" s="507"/>
    </row>
    <row r="696" spans="1:11">
      <c r="A696" s="521">
        <v>5</v>
      </c>
      <c r="B696" s="507" t="s">
        <v>555</v>
      </c>
      <c r="C696" s="509">
        <v>0.25495035000015903</v>
      </c>
      <c r="D696" s="509"/>
      <c r="E696" s="516">
        <v>0.25495035000015903</v>
      </c>
      <c r="F696" s="510" t="s">
        <v>132</v>
      </c>
      <c r="G696" s="507" t="s">
        <v>389</v>
      </c>
      <c r="H696" s="507"/>
      <c r="I696" s="507"/>
      <c r="J696" s="510"/>
      <c r="K696" s="507"/>
    </row>
    <row r="697" spans="1:11">
      <c r="A697" s="521">
        <v>6</v>
      </c>
      <c r="B697" s="507" t="s">
        <v>1003</v>
      </c>
      <c r="C697" s="509">
        <v>0.7661</v>
      </c>
      <c r="D697" s="509"/>
      <c r="E697" s="516">
        <v>0.7661</v>
      </c>
      <c r="F697" s="510" t="s">
        <v>48</v>
      </c>
      <c r="G697" s="507" t="s">
        <v>389</v>
      </c>
      <c r="H697" s="507"/>
      <c r="I697" s="507"/>
      <c r="J697" s="510"/>
      <c r="K697" s="507"/>
    </row>
    <row r="698" spans="1:11">
      <c r="A698" s="521">
        <v>7</v>
      </c>
      <c r="B698" s="507" t="s">
        <v>1004</v>
      </c>
      <c r="C698" s="509">
        <v>1.3329</v>
      </c>
      <c r="D698" s="509"/>
      <c r="E698" s="516">
        <v>1.3329</v>
      </c>
      <c r="F698" s="510" t="s">
        <v>37</v>
      </c>
      <c r="G698" s="507" t="s">
        <v>389</v>
      </c>
      <c r="H698" s="507"/>
      <c r="I698" s="507"/>
      <c r="J698" s="510"/>
      <c r="K698" s="507"/>
    </row>
    <row r="699" spans="1:11">
      <c r="A699" s="521">
        <v>8</v>
      </c>
      <c r="B699" s="507" t="s">
        <v>1000</v>
      </c>
      <c r="C699" s="509">
        <v>12.739699999999999</v>
      </c>
      <c r="D699" s="509">
        <v>0</v>
      </c>
      <c r="E699" s="509">
        <v>12.739699999999999</v>
      </c>
      <c r="F699" s="510"/>
      <c r="G699" s="507"/>
      <c r="H699" s="507"/>
      <c r="I699" s="507"/>
      <c r="J699" s="510"/>
      <c r="K699" s="507"/>
    </row>
    <row r="700" spans="1:11" s="499" customFormat="1">
      <c r="A700" s="524"/>
      <c r="B700" s="514"/>
      <c r="C700" s="516">
        <v>1</v>
      </c>
      <c r="D700" s="516"/>
      <c r="E700" s="516">
        <v>1</v>
      </c>
      <c r="F700" s="517" t="s">
        <v>37</v>
      </c>
      <c r="G700" s="514" t="s">
        <v>390</v>
      </c>
      <c r="H700" s="514"/>
      <c r="I700" s="514"/>
      <c r="J700" s="517"/>
      <c r="K700" s="514"/>
    </row>
    <row r="701" spans="1:11" s="499" customFormat="1">
      <c r="A701" s="524"/>
      <c r="B701" s="514"/>
      <c r="C701" s="516">
        <v>2.6097000000000001</v>
      </c>
      <c r="D701" s="516"/>
      <c r="E701" s="516">
        <v>2.6097000000000001</v>
      </c>
      <c r="F701" s="517" t="s">
        <v>37</v>
      </c>
      <c r="G701" s="514" t="s">
        <v>365</v>
      </c>
      <c r="H701" s="514"/>
      <c r="I701" s="514"/>
      <c r="J701" s="517"/>
      <c r="K701" s="514"/>
    </row>
    <row r="702" spans="1:11" s="499" customFormat="1">
      <c r="A702" s="524"/>
      <c r="B702" s="514"/>
      <c r="C702" s="516">
        <v>1</v>
      </c>
      <c r="D702" s="516"/>
      <c r="E702" s="516">
        <v>1</v>
      </c>
      <c r="F702" s="517" t="s">
        <v>37</v>
      </c>
      <c r="G702" s="514" t="s">
        <v>367</v>
      </c>
      <c r="H702" s="514"/>
      <c r="I702" s="514"/>
      <c r="J702" s="517"/>
      <c r="K702" s="514"/>
    </row>
    <row r="703" spans="1:11" s="499" customFormat="1">
      <c r="A703" s="524"/>
      <c r="B703" s="514"/>
      <c r="C703" s="516">
        <v>1</v>
      </c>
      <c r="D703" s="516"/>
      <c r="E703" s="516">
        <v>1</v>
      </c>
      <c r="F703" s="517" t="s">
        <v>37</v>
      </c>
      <c r="G703" s="514" t="s">
        <v>370</v>
      </c>
      <c r="H703" s="514"/>
      <c r="I703" s="514"/>
      <c r="J703" s="517"/>
      <c r="K703" s="514"/>
    </row>
    <row r="704" spans="1:11" s="499" customFormat="1">
      <c r="A704" s="524"/>
      <c r="B704" s="514"/>
      <c r="C704" s="516">
        <v>0.5</v>
      </c>
      <c r="D704" s="516"/>
      <c r="E704" s="516">
        <v>0.5</v>
      </c>
      <c r="F704" s="517" t="s">
        <v>37</v>
      </c>
      <c r="G704" s="514" t="s">
        <v>379</v>
      </c>
      <c r="H704" s="514"/>
      <c r="I704" s="514"/>
      <c r="J704" s="517"/>
      <c r="K704" s="514"/>
    </row>
    <row r="705" spans="1:11" s="499" customFormat="1">
      <c r="A705" s="524"/>
      <c r="B705" s="514"/>
      <c r="C705" s="516">
        <v>2</v>
      </c>
      <c r="D705" s="516"/>
      <c r="E705" s="516">
        <v>2</v>
      </c>
      <c r="F705" s="517" t="s">
        <v>37</v>
      </c>
      <c r="G705" s="514" t="s">
        <v>408</v>
      </c>
      <c r="H705" s="514"/>
      <c r="I705" s="514"/>
      <c r="J705" s="517"/>
      <c r="K705" s="514"/>
    </row>
    <row r="706" spans="1:11" s="499" customFormat="1">
      <c r="A706" s="524"/>
      <c r="B706" s="514"/>
      <c r="C706" s="516">
        <v>2.63</v>
      </c>
      <c r="D706" s="516"/>
      <c r="E706" s="516">
        <v>2.63</v>
      </c>
      <c r="F706" s="517" t="s">
        <v>37</v>
      </c>
      <c r="G706" s="514" t="s">
        <v>380</v>
      </c>
      <c r="H706" s="514"/>
      <c r="I706" s="514"/>
      <c r="J706" s="517"/>
      <c r="K706" s="514"/>
    </row>
    <row r="707" spans="1:11" s="499" customFormat="1">
      <c r="A707" s="524"/>
      <c r="B707" s="514"/>
      <c r="C707" s="516">
        <v>1</v>
      </c>
      <c r="D707" s="516"/>
      <c r="E707" s="516">
        <v>1</v>
      </c>
      <c r="F707" s="517" t="s">
        <v>37</v>
      </c>
      <c r="G707" s="514" t="s">
        <v>417</v>
      </c>
      <c r="H707" s="514"/>
      <c r="I707" s="514"/>
      <c r="J707" s="517"/>
      <c r="K707" s="514"/>
    </row>
    <row r="708" spans="1:11" s="499" customFormat="1">
      <c r="A708" s="524"/>
      <c r="B708" s="514"/>
      <c r="C708" s="516">
        <v>1</v>
      </c>
      <c r="D708" s="516"/>
      <c r="E708" s="516">
        <v>1</v>
      </c>
      <c r="F708" s="517" t="s">
        <v>37</v>
      </c>
      <c r="G708" s="514" t="s">
        <v>391</v>
      </c>
      <c r="H708" s="514"/>
      <c r="I708" s="514"/>
      <c r="J708" s="517"/>
      <c r="K708" s="514"/>
    </row>
    <row r="709" spans="1:11" s="492" customFormat="1">
      <c r="A709" s="529" t="s">
        <v>345</v>
      </c>
      <c r="B709" s="501" t="s">
        <v>238</v>
      </c>
      <c r="C709" s="502">
        <v>1517.2765399999998</v>
      </c>
      <c r="D709" s="502">
        <v>0</v>
      </c>
      <c r="E709" s="502">
        <v>1517.2765399999998</v>
      </c>
      <c r="F709" s="503"/>
      <c r="G709" s="501"/>
      <c r="H709" s="512"/>
      <c r="I709" s="512"/>
      <c r="J709" s="503"/>
      <c r="K709" s="512"/>
    </row>
    <row r="710" spans="1:11" ht="26.4">
      <c r="A710" s="521">
        <v>1</v>
      </c>
      <c r="B710" s="522" t="s">
        <v>1005</v>
      </c>
      <c r="C710" s="508">
        <v>16.5</v>
      </c>
      <c r="D710" s="509"/>
      <c r="E710" s="508">
        <v>16.5</v>
      </c>
      <c r="F710" s="510" t="s">
        <v>37</v>
      </c>
      <c r="G710" s="522" t="s">
        <v>390</v>
      </c>
      <c r="H710" s="507"/>
      <c r="I710" s="507" t="s">
        <v>1096</v>
      </c>
      <c r="J710" s="510">
        <v>2021</v>
      </c>
      <c r="K710" s="507"/>
    </row>
    <row r="711" spans="1:11" ht="26.4">
      <c r="A711" s="521">
        <v>2</v>
      </c>
      <c r="B711" s="522" t="s">
        <v>581</v>
      </c>
      <c r="C711" s="508">
        <v>49.7</v>
      </c>
      <c r="D711" s="509"/>
      <c r="E711" s="508">
        <v>49.7</v>
      </c>
      <c r="F711" s="510" t="s">
        <v>37</v>
      </c>
      <c r="G711" s="522" t="s">
        <v>390</v>
      </c>
      <c r="H711" s="507"/>
      <c r="I711" s="507" t="s">
        <v>1097</v>
      </c>
      <c r="J711" s="510"/>
      <c r="K711" s="507"/>
    </row>
    <row r="712" spans="1:11" ht="26.4">
      <c r="A712" s="521">
        <v>3</v>
      </c>
      <c r="B712" s="507" t="s">
        <v>556</v>
      </c>
      <c r="C712" s="509">
        <v>25.931170000000002</v>
      </c>
      <c r="D712" s="509"/>
      <c r="E712" s="509">
        <v>25.931170000000002</v>
      </c>
      <c r="F712" s="510" t="s">
        <v>37</v>
      </c>
      <c r="G712" s="507" t="s">
        <v>365</v>
      </c>
      <c r="H712" s="507"/>
      <c r="I712" s="507" t="s">
        <v>604</v>
      </c>
      <c r="J712" s="510">
        <v>2021</v>
      </c>
      <c r="K712" s="507"/>
    </row>
    <row r="713" spans="1:11" ht="26.4">
      <c r="A713" s="521">
        <v>4</v>
      </c>
      <c r="B713" s="507" t="s">
        <v>557</v>
      </c>
      <c r="C713" s="509">
        <v>61.469499999999996</v>
      </c>
      <c r="D713" s="509"/>
      <c r="E713" s="509">
        <v>61.469499999999996</v>
      </c>
      <c r="F713" s="510" t="s">
        <v>37</v>
      </c>
      <c r="G713" s="507" t="s">
        <v>365</v>
      </c>
      <c r="H713" s="507"/>
      <c r="I713" s="507" t="s">
        <v>605</v>
      </c>
      <c r="J713" s="510">
        <v>2021</v>
      </c>
      <c r="K713" s="507"/>
    </row>
    <row r="714" spans="1:11" ht="26.4">
      <c r="A714" s="521">
        <v>5</v>
      </c>
      <c r="B714" s="507" t="s">
        <v>558</v>
      </c>
      <c r="C714" s="509">
        <v>5.6</v>
      </c>
      <c r="D714" s="509"/>
      <c r="E714" s="509">
        <v>5.6</v>
      </c>
      <c r="F714" s="510" t="s">
        <v>37</v>
      </c>
      <c r="G714" s="507" t="s">
        <v>367</v>
      </c>
      <c r="H714" s="507"/>
      <c r="I714" s="507" t="s">
        <v>1099</v>
      </c>
      <c r="J714" s="510">
        <v>2021</v>
      </c>
      <c r="K714" s="507"/>
    </row>
    <row r="715" spans="1:11">
      <c r="A715" s="521">
        <v>6</v>
      </c>
      <c r="B715" s="507" t="s">
        <v>1009</v>
      </c>
      <c r="C715" s="509">
        <v>20</v>
      </c>
      <c r="D715" s="509"/>
      <c r="E715" s="509">
        <v>20</v>
      </c>
      <c r="F715" s="510" t="s">
        <v>37</v>
      </c>
      <c r="G715" s="507" t="s">
        <v>367</v>
      </c>
      <c r="H715" s="507"/>
      <c r="I715" s="507"/>
      <c r="J715" s="510"/>
      <c r="K715" s="507"/>
    </row>
    <row r="716" spans="1:11" ht="26.4">
      <c r="A716" s="521">
        <v>7</v>
      </c>
      <c r="B716" s="507" t="s">
        <v>560</v>
      </c>
      <c r="C716" s="509">
        <v>40</v>
      </c>
      <c r="D716" s="509"/>
      <c r="E716" s="509">
        <v>40</v>
      </c>
      <c r="F716" s="510" t="s">
        <v>37</v>
      </c>
      <c r="G716" s="507" t="s">
        <v>372</v>
      </c>
      <c r="H716" s="507"/>
      <c r="I716" s="507" t="s">
        <v>1101</v>
      </c>
      <c r="J716" s="510"/>
      <c r="K716" s="507"/>
    </row>
    <row r="717" spans="1:11" ht="79.2">
      <c r="A717" s="521">
        <v>8</v>
      </c>
      <c r="B717" s="507" t="s">
        <v>561</v>
      </c>
      <c r="C717" s="509">
        <v>70</v>
      </c>
      <c r="D717" s="509"/>
      <c r="E717" s="509">
        <v>70</v>
      </c>
      <c r="F717" s="510" t="s">
        <v>37</v>
      </c>
      <c r="G717" s="507" t="s">
        <v>372</v>
      </c>
      <c r="H717" s="507"/>
      <c r="I717" s="507" t="s">
        <v>1102</v>
      </c>
      <c r="J717" s="510"/>
      <c r="K717" s="507"/>
    </row>
    <row r="718" spans="1:11" ht="26.4">
      <c r="A718" s="521">
        <v>9</v>
      </c>
      <c r="B718" s="507" t="s">
        <v>1010</v>
      </c>
      <c r="C718" s="509">
        <v>0.51</v>
      </c>
      <c r="D718" s="509"/>
      <c r="E718" s="509">
        <v>0.51</v>
      </c>
      <c r="F718" s="510" t="s">
        <v>37</v>
      </c>
      <c r="G718" s="507" t="s">
        <v>372</v>
      </c>
      <c r="H718" s="507"/>
      <c r="I718" s="507" t="s">
        <v>1093</v>
      </c>
      <c r="J718" s="510"/>
      <c r="K718" s="507"/>
    </row>
    <row r="719" spans="1:11" ht="66">
      <c r="A719" s="521">
        <v>10</v>
      </c>
      <c r="B719" s="507" t="s">
        <v>563</v>
      </c>
      <c r="C719" s="509">
        <v>8</v>
      </c>
      <c r="D719" s="509"/>
      <c r="E719" s="509">
        <v>8</v>
      </c>
      <c r="F719" s="510" t="s">
        <v>37</v>
      </c>
      <c r="G719" s="507" t="s">
        <v>379</v>
      </c>
      <c r="H719" s="507" t="s">
        <v>1012</v>
      </c>
      <c r="I719" s="507" t="s">
        <v>1067</v>
      </c>
      <c r="J719" s="510"/>
      <c r="K719" s="507"/>
    </row>
    <row r="720" spans="1:11">
      <c r="A720" s="521">
        <v>11</v>
      </c>
      <c r="B720" s="507" t="s">
        <v>1013</v>
      </c>
      <c r="C720" s="509">
        <v>0.81</v>
      </c>
      <c r="D720" s="509"/>
      <c r="E720" s="509">
        <v>0.81</v>
      </c>
      <c r="F720" s="510" t="s">
        <v>37</v>
      </c>
      <c r="G720" s="507" t="s">
        <v>408</v>
      </c>
      <c r="H720" s="507"/>
      <c r="I720" s="507"/>
      <c r="J720" s="510"/>
      <c r="K720" s="507"/>
    </row>
    <row r="721" spans="1:11" ht="26.4">
      <c r="A721" s="521">
        <v>12</v>
      </c>
      <c r="B721" s="507" t="s">
        <v>1014</v>
      </c>
      <c r="C721" s="509">
        <v>9.6</v>
      </c>
      <c r="D721" s="509"/>
      <c r="E721" s="509">
        <v>9.6</v>
      </c>
      <c r="F721" s="510" t="s">
        <v>39</v>
      </c>
      <c r="G721" s="507" t="s">
        <v>408</v>
      </c>
      <c r="H721" s="507"/>
      <c r="I721" s="507" t="s">
        <v>1103</v>
      </c>
      <c r="J721" s="510"/>
      <c r="K721" s="507"/>
    </row>
    <row r="722" spans="1:11" ht="66">
      <c r="A722" s="521">
        <v>13</v>
      </c>
      <c r="B722" s="507" t="s">
        <v>562</v>
      </c>
      <c r="C722" s="509">
        <v>30</v>
      </c>
      <c r="D722" s="509"/>
      <c r="E722" s="509">
        <v>30</v>
      </c>
      <c r="F722" s="485"/>
      <c r="I722" s="507" t="s">
        <v>1067</v>
      </c>
      <c r="J722" s="510"/>
      <c r="K722" s="507"/>
    </row>
    <row r="723" spans="1:11" s="499" customFormat="1" ht="26.4">
      <c r="A723" s="524"/>
      <c r="B723" s="514"/>
      <c r="C723" s="516">
        <v>10</v>
      </c>
      <c r="D723" s="516"/>
      <c r="E723" s="516">
        <v>10</v>
      </c>
      <c r="F723" s="517" t="s">
        <v>37</v>
      </c>
      <c r="G723" s="514" t="s">
        <v>380</v>
      </c>
      <c r="H723" s="514" t="s">
        <v>1015</v>
      </c>
      <c r="I723" s="514"/>
      <c r="J723" s="517"/>
      <c r="K723" s="514"/>
    </row>
    <row r="724" spans="1:11" s="499" customFormat="1" ht="26.4">
      <c r="A724" s="524"/>
      <c r="B724" s="514"/>
      <c r="C724" s="516">
        <v>10</v>
      </c>
      <c r="D724" s="516"/>
      <c r="E724" s="516">
        <v>10</v>
      </c>
      <c r="F724" s="517" t="s">
        <v>37</v>
      </c>
      <c r="G724" s="514" t="s">
        <v>379</v>
      </c>
      <c r="H724" s="514" t="s">
        <v>1011</v>
      </c>
      <c r="I724" s="514"/>
      <c r="J724" s="517"/>
      <c r="K724" s="514"/>
    </row>
    <row r="725" spans="1:11" s="499" customFormat="1" ht="26.4">
      <c r="A725" s="524"/>
      <c r="B725" s="514"/>
      <c r="C725" s="516">
        <v>10</v>
      </c>
      <c r="D725" s="516"/>
      <c r="E725" s="516">
        <v>10</v>
      </c>
      <c r="F725" s="517" t="s">
        <v>37</v>
      </c>
      <c r="G725" s="514" t="s">
        <v>417</v>
      </c>
      <c r="H725" s="514" t="s">
        <v>1019</v>
      </c>
      <c r="I725" s="514"/>
      <c r="J725" s="517"/>
      <c r="K725" s="514"/>
    </row>
    <row r="726" spans="1:11" ht="66">
      <c r="A726" s="521">
        <v>14</v>
      </c>
      <c r="B726" s="507" t="s">
        <v>564</v>
      </c>
      <c r="C726" s="509">
        <v>12</v>
      </c>
      <c r="D726" s="509"/>
      <c r="E726" s="509">
        <v>12</v>
      </c>
      <c r="F726" s="510" t="s">
        <v>37</v>
      </c>
      <c r="G726" s="507" t="s">
        <v>380</v>
      </c>
      <c r="H726" s="507" t="s">
        <v>1016</v>
      </c>
      <c r="I726" s="507" t="s">
        <v>1067</v>
      </c>
      <c r="J726" s="510"/>
      <c r="K726" s="507"/>
    </row>
    <row r="727" spans="1:11" ht="66">
      <c r="A727" s="521">
        <v>15</v>
      </c>
      <c r="B727" s="507" t="s">
        <v>565</v>
      </c>
      <c r="C727" s="509">
        <v>10</v>
      </c>
      <c r="D727" s="509"/>
      <c r="E727" s="509">
        <v>10</v>
      </c>
      <c r="F727" s="510" t="s">
        <v>37</v>
      </c>
      <c r="G727" s="507" t="s">
        <v>380</v>
      </c>
      <c r="H727" s="507" t="s">
        <v>1017</v>
      </c>
      <c r="I727" s="507" t="s">
        <v>1067</v>
      </c>
      <c r="J727" s="510"/>
      <c r="K727" s="507"/>
    </row>
    <row r="728" spans="1:11" ht="26.4">
      <c r="A728" s="521">
        <v>16</v>
      </c>
      <c r="B728" s="507" t="s">
        <v>566</v>
      </c>
      <c r="C728" s="509">
        <v>18</v>
      </c>
      <c r="D728" s="509"/>
      <c r="E728" s="509">
        <v>18</v>
      </c>
      <c r="F728" s="510" t="s">
        <v>37</v>
      </c>
      <c r="G728" s="507" t="s">
        <v>380</v>
      </c>
      <c r="H728" s="507"/>
      <c r="I728" s="507" t="s">
        <v>1104</v>
      </c>
      <c r="J728" s="510"/>
      <c r="K728" s="507"/>
    </row>
    <row r="729" spans="1:11" ht="26.4">
      <c r="A729" s="521">
        <v>17</v>
      </c>
      <c r="B729" s="507" t="s">
        <v>567</v>
      </c>
      <c r="C729" s="509">
        <v>0.2</v>
      </c>
      <c r="D729" s="509"/>
      <c r="E729" s="509">
        <v>0.2</v>
      </c>
      <c r="F729" s="510" t="s">
        <v>37</v>
      </c>
      <c r="G729" s="507" t="s">
        <v>380</v>
      </c>
      <c r="H729" s="507"/>
      <c r="I729" s="507" t="s">
        <v>1093</v>
      </c>
      <c r="J729" s="510"/>
      <c r="K729" s="507"/>
    </row>
    <row r="730" spans="1:11" ht="26.4">
      <c r="A730" s="521">
        <v>18</v>
      </c>
      <c r="B730" s="507" t="s">
        <v>1018</v>
      </c>
      <c r="C730" s="509">
        <v>10</v>
      </c>
      <c r="D730" s="509"/>
      <c r="E730" s="509">
        <v>10</v>
      </c>
      <c r="F730" s="510" t="s">
        <v>37</v>
      </c>
      <c r="G730" s="507" t="s">
        <v>380</v>
      </c>
      <c r="H730" s="507"/>
      <c r="I730" s="507" t="s">
        <v>1080</v>
      </c>
      <c r="J730" s="510"/>
      <c r="K730" s="507"/>
    </row>
    <row r="731" spans="1:11" ht="26.4">
      <c r="A731" s="521">
        <v>19</v>
      </c>
      <c r="B731" s="507" t="s">
        <v>568</v>
      </c>
      <c r="C731" s="509">
        <v>1.62</v>
      </c>
      <c r="D731" s="509"/>
      <c r="E731" s="509">
        <v>1.62</v>
      </c>
      <c r="F731" s="510" t="s">
        <v>58</v>
      </c>
      <c r="G731" s="507" t="s">
        <v>417</v>
      </c>
      <c r="H731" s="507"/>
      <c r="I731" s="507" t="s">
        <v>1105</v>
      </c>
      <c r="J731" s="510">
        <v>2021</v>
      </c>
      <c r="K731" s="507"/>
    </row>
    <row r="732" spans="1:11">
      <c r="A732" s="521">
        <v>20</v>
      </c>
      <c r="B732" s="507" t="s">
        <v>1020</v>
      </c>
      <c r="C732" s="509">
        <v>10</v>
      </c>
      <c r="D732" s="509"/>
      <c r="E732" s="509">
        <v>10</v>
      </c>
      <c r="F732" s="510" t="s">
        <v>37</v>
      </c>
      <c r="G732" s="507" t="s">
        <v>417</v>
      </c>
      <c r="H732" s="507"/>
      <c r="I732" s="507"/>
      <c r="J732" s="510"/>
      <c r="K732" s="507"/>
    </row>
    <row r="733" spans="1:11">
      <c r="A733" s="521">
        <v>21</v>
      </c>
      <c r="B733" s="507" t="s">
        <v>1021</v>
      </c>
      <c r="C733" s="509">
        <v>7.4810000000000001E-2</v>
      </c>
      <c r="D733" s="509"/>
      <c r="E733" s="509">
        <v>7.4810000000000001E-2</v>
      </c>
      <c r="F733" s="510" t="s">
        <v>143</v>
      </c>
      <c r="G733" s="507" t="s">
        <v>417</v>
      </c>
      <c r="H733" s="507"/>
      <c r="I733" s="507"/>
      <c r="J733" s="510"/>
      <c r="K733" s="507"/>
    </row>
    <row r="734" spans="1:11" ht="26.4">
      <c r="A734" s="521">
        <v>22</v>
      </c>
      <c r="B734" s="507" t="s">
        <v>1022</v>
      </c>
      <c r="C734" s="509">
        <v>8.7860000000000008E-2</v>
      </c>
      <c r="D734" s="509"/>
      <c r="E734" s="509">
        <v>8.7860000000000008E-2</v>
      </c>
      <c r="F734" s="510" t="s">
        <v>132</v>
      </c>
      <c r="G734" s="507" t="s">
        <v>417</v>
      </c>
      <c r="H734" s="507"/>
      <c r="I734" s="507"/>
      <c r="J734" s="510"/>
      <c r="K734" s="507"/>
    </row>
    <row r="735" spans="1:11" ht="52.8">
      <c r="A735" s="521">
        <v>23</v>
      </c>
      <c r="B735" s="507" t="s">
        <v>1023</v>
      </c>
      <c r="C735" s="509">
        <v>0.5</v>
      </c>
      <c r="D735" s="509"/>
      <c r="E735" s="509">
        <v>0.5</v>
      </c>
      <c r="F735" s="510" t="s">
        <v>37</v>
      </c>
      <c r="G735" s="507" t="s">
        <v>417</v>
      </c>
      <c r="H735" s="507"/>
      <c r="I735" s="507" t="s">
        <v>1080</v>
      </c>
      <c r="J735" s="510"/>
      <c r="K735" s="507"/>
    </row>
    <row r="736" spans="1:11" ht="52.8">
      <c r="A736" s="521">
        <v>24</v>
      </c>
      <c r="B736" s="507" t="s">
        <v>1024</v>
      </c>
      <c r="C736" s="509">
        <v>0.4</v>
      </c>
      <c r="D736" s="509"/>
      <c r="E736" s="509">
        <v>0.4</v>
      </c>
      <c r="F736" s="510" t="s">
        <v>37</v>
      </c>
      <c r="G736" s="507" t="s">
        <v>417</v>
      </c>
      <c r="H736" s="507"/>
      <c r="I736" s="507" t="s">
        <v>1080</v>
      </c>
      <c r="J736" s="510"/>
      <c r="K736" s="507"/>
    </row>
    <row r="737" spans="1:11" ht="66">
      <c r="A737" s="521">
        <v>25</v>
      </c>
      <c r="B737" s="507" t="s">
        <v>569</v>
      </c>
      <c r="C737" s="509">
        <v>6</v>
      </c>
      <c r="D737" s="509"/>
      <c r="E737" s="509">
        <v>6</v>
      </c>
      <c r="F737" s="510" t="s">
        <v>37</v>
      </c>
      <c r="G737" s="507" t="s">
        <v>389</v>
      </c>
      <c r="H737" s="507"/>
      <c r="I737" s="507" t="s">
        <v>1067</v>
      </c>
      <c r="J737" s="510"/>
      <c r="K737" s="507"/>
    </row>
    <row r="738" spans="1:11">
      <c r="A738" s="521">
        <v>26</v>
      </c>
      <c r="B738" s="507" t="s">
        <v>570</v>
      </c>
      <c r="C738" s="509">
        <v>0.87319999999999998</v>
      </c>
      <c r="D738" s="509"/>
      <c r="E738" s="509">
        <v>0.87319999999999998</v>
      </c>
      <c r="F738" s="510" t="s">
        <v>37</v>
      </c>
      <c r="G738" s="507" t="s">
        <v>389</v>
      </c>
      <c r="H738" s="507"/>
      <c r="I738" s="507"/>
      <c r="J738" s="510"/>
      <c r="K738" s="507"/>
    </row>
    <row r="739" spans="1:11" ht="26.4">
      <c r="A739" s="521">
        <v>27</v>
      </c>
      <c r="B739" s="532" t="s">
        <v>1025</v>
      </c>
      <c r="C739" s="509">
        <v>0.35</v>
      </c>
      <c r="D739" s="509"/>
      <c r="E739" s="509">
        <v>0.35</v>
      </c>
      <c r="F739" s="510" t="s">
        <v>63</v>
      </c>
      <c r="G739" s="507" t="s">
        <v>389</v>
      </c>
      <c r="H739" s="507"/>
      <c r="I739" s="507"/>
      <c r="J739" s="510"/>
      <c r="K739" s="507"/>
    </row>
    <row r="740" spans="1:11" ht="39.6">
      <c r="A740" s="521">
        <v>28</v>
      </c>
      <c r="B740" s="532" t="s">
        <v>1007</v>
      </c>
      <c r="C740" s="509">
        <v>64.78</v>
      </c>
      <c r="D740" s="509">
        <v>0</v>
      </c>
      <c r="E740" s="509">
        <v>64.78</v>
      </c>
      <c r="F740" s="510"/>
      <c r="G740" s="507"/>
      <c r="H740" s="507"/>
      <c r="I740" s="507"/>
      <c r="J740" s="510"/>
      <c r="K740" s="507"/>
    </row>
    <row r="741" spans="1:11" s="499" customFormat="1" ht="79.2">
      <c r="A741" s="524"/>
      <c r="B741" s="533"/>
      <c r="C741" s="516">
        <v>41.3</v>
      </c>
      <c r="D741" s="516"/>
      <c r="E741" s="516">
        <v>41.3</v>
      </c>
      <c r="F741" s="517" t="s">
        <v>37</v>
      </c>
      <c r="G741" s="514" t="s">
        <v>390</v>
      </c>
      <c r="H741" s="514"/>
      <c r="I741" s="514" t="s">
        <v>1098</v>
      </c>
      <c r="J741" s="517"/>
      <c r="K741" s="514"/>
    </row>
    <row r="742" spans="1:11" s="499" customFormat="1" ht="52.8">
      <c r="A742" s="524"/>
      <c r="B742" s="533"/>
      <c r="C742" s="516">
        <v>10.07</v>
      </c>
      <c r="D742" s="516"/>
      <c r="E742" s="516">
        <v>10.07</v>
      </c>
      <c r="F742" s="517" t="s">
        <v>37</v>
      </c>
      <c r="G742" s="514" t="s">
        <v>370</v>
      </c>
      <c r="H742" s="514"/>
      <c r="I742" s="514" t="s">
        <v>1100</v>
      </c>
      <c r="J742" s="517">
        <v>2021</v>
      </c>
      <c r="K742" s="514"/>
    </row>
    <row r="743" spans="1:11" s="499" customFormat="1" ht="52.8">
      <c r="A743" s="524"/>
      <c r="B743" s="533"/>
      <c r="C743" s="516">
        <v>13.41</v>
      </c>
      <c r="D743" s="516"/>
      <c r="E743" s="516">
        <v>13.41</v>
      </c>
      <c r="F743" s="517" t="s">
        <v>37</v>
      </c>
      <c r="G743" s="514" t="s">
        <v>417</v>
      </c>
      <c r="H743" s="514"/>
      <c r="I743" s="514" t="s">
        <v>1100</v>
      </c>
      <c r="J743" s="517">
        <v>2021</v>
      </c>
      <c r="K743" s="514"/>
    </row>
    <row r="744" spans="1:11" ht="26.4">
      <c r="A744" s="521">
        <v>29</v>
      </c>
      <c r="B744" s="507" t="s">
        <v>571</v>
      </c>
      <c r="C744" s="509">
        <v>77.309999999999988</v>
      </c>
      <c r="D744" s="509">
        <v>0</v>
      </c>
      <c r="E744" s="509">
        <v>77.309999999999988</v>
      </c>
      <c r="F744" s="510"/>
      <c r="G744" s="507"/>
      <c r="H744" s="507"/>
      <c r="I744" s="507"/>
      <c r="J744" s="510"/>
      <c r="K744" s="507"/>
    </row>
    <row r="745" spans="1:11" s="499" customFormat="1">
      <c r="A745" s="524"/>
      <c r="B745" s="514"/>
      <c r="C745" s="516">
        <v>6.64</v>
      </c>
      <c r="D745" s="516"/>
      <c r="E745" s="516">
        <v>6.64</v>
      </c>
      <c r="F745" s="517" t="s">
        <v>37</v>
      </c>
      <c r="G745" s="514" t="s">
        <v>369</v>
      </c>
      <c r="H745" s="514"/>
      <c r="I745" s="514"/>
      <c r="J745" s="517"/>
      <c r="K745" s="514"/>
    </row>
    <row r="746" spans="1:11" s="499" customFormat="1">
      <c r="A746" s="524"/>
      <c r="B746" s="514"/>
      <c r="C746" s="516">
        <v>3.87</v>
      </c>
      <c r="D746" s="516"/>
      <c r="E746" s="516">
        <v>3.87</v>
      </c>
      <c r="F746" s="517" t="s">
        <v>37</v>
      </c>
      <c r="G746" s="514" t="s">
        <v>390</v>
      </c>
      <c r="H746" s="514"/>
      <c r="I746" s="514"/>
      <c r="J746" s="517"/>
      <c r="K746" s="514"/>
    </row>
    <row r="747" spans="1:11" s="499" customFormat="1">
      <c r="A747" s="524"/>
      <c r="B747" s="514"/>
      <c r="C747" s="516">
        <v>6.79</v>
      </c>
      <c r="D747" s="516"/>
      <c r="E747" s="516">
        <v>6.79</v>
      </c>
      <c r="F747" s="517" t="s">
        <v>1008</v>
      </c>
      <c r="G747" s="514" t="s">
        <v>365</v>
      </c>
      <c r="H747" s="514"/>
      <c r="I747" s="514"/>
      <c r="J747" s="517"/>
      <c r="K747" s="514"/>
    </row>
    <row r="748" spans="1:11" s="499" customFormat="1">
      <c r="A748" s="524"/>
      <c r="B748" s="514"/>
      <c r="C748" s="516">
        <v>6.86</v>
      </c>
      <c r="D748" s="516"/>
      <c r="E748" s="516">
        <v>6.86</v>
      </c>
      <c r="F748" s="517" t="s">
        <v>37</v>
      </c>
      <c r="G748" s="514" t="s">
        <v>367</v>
      </c>
      <c r="H748" s="514"/>
      <c r="I748" s="514"/>
      <c r="J748" s="517"/>
      <c r="K748" s="514"/>
    </row>
    <row r="749" spans="1:11" s="499" customFormat="1">
      <c r="A749" s="524"/>
      <c r="B749" s="514"/>
      <c r="C749" s="516">
        <v>2.94</v>
      </c>
      <c r="D749" s="516"/>
      <c r="E749" s="516">
        <v>2.94</v>
      </c>
      <c r="F749" s="517" t="s">
        <v>37</v>
      </c>
      <c r="G749" s="514" t="s">
        <v>370</v>
      </c>
      <c r="H749" s="514"/>
      <c r="I749" s="514"/>
      <c r="J749" s="517"/>
      <c r="K749" s="514"/>
    </row>
    <row r="750" spans="1:11" s="499" customFormat="1">
      <c r="A750" s="524"/>
      <c r="B750" s="514"/>
      <c r="C750" s="516">
        <v>9.68</v>
      </c>
      <c r="D750" s="516"/>
      <c r="E750" s="516">
        <v>9.68</v>
      </c>
      <c r="F750" s="517" t="s">
        <v>1008</v>
      </c>
      <c r="G750" s="514" t="s">
        <v>372</v>
      </c>
      <c r="H750" s="514"/>
      <c r="I750" s="514"/>
      <c r="J750" s="517"/>
      <c r="K750" s="514"/>
    </row>
    <row r="751" spans="1:11" s="499" customFormat="1">
      <c r="A751" s="524"/>
      <c r="B751" s="514"/>
      <c r="C751" s="516">
        <v>6.51</v>
      </c>
      <c r="D751" s="516"/>
      <c r="E751" s="516">
        <v>6.51</v>
      </c>
      <c r="F751" s="517" t="s">
        <v>37</v>
      </c>
      <c r="G751" s="514" t="s">
        <v>379</v>
      </c>
      <c r="H751" s="514"/>
      <c r="I751" s="514"/>
      <c r="J751" s="517"/>
      <c r="K751" s="514"/>
    </row>
    <row r="752" spans="1:11" s="499" customFormat="1">
      <c r="A752" s="524"/>
      <c r="B752" s="514"/>
      <c r="C752" s="516">
        <v>3.92</v>
      </c>
      <c r="D752" s="516"/>
      <c r="E752" s="516">
        <v>3.92</v>
      </c>
      <c r="F752" s="517" t="s">
        <v>37</v>
      </c>
      <c r="G752" s="514" t="s">
        <v>408</v>
      </c>
      <c r="H752" s="514"/>
      <c r="I752" s="514"/>
      <c r="J752" s="517"/>
      <c r="K752" s="514"/>
    </row>
    <row r="753" spans="1:11" s="499" customFormat="1">
      <c r="A753" s="524"/>
      <c r="B753" s="514"/>
      <c r="C753" s="516">
        <v>2.98</v>
      </c>
      <c r="D753" s="516"/>
      <c r="E753" s="516">
        <v>2.98</v>
      </c>
      <c r="F753" s="517" t="s">
        <v>37</v>
      </c>
      <c r="G753" s="514" t="s">
        <v>380</v>
      </c>
      <c r="H753" s="514"/>
      <c r="I753" s="514"/>
      <c r="J753" s="517"/>
      <c r="K753" s="514"/>
    </row>
    <row r="754" spans="1:11" s="499" customFormat="1">
      <c r="A754" s="524"/>
      <c r="B754" s="514"/>
      <c r="C754" s="516">
        <v>5.45</v>
      </c>
      <c r="D754" s="516"/>
      <c r="E754" s="516">
        <v>5.45</v>
      </c>
      <c r="F754" s="517" t="s">
        <v>37</v>
      </c>
      <c r="G754" s="514" t="s">
        <v>417</v>
      </c>
      <c r="H754" s="514"/>
      <c r="I754" s="514"/>
      <c r="J754" s="517"/>
      <c r="K754" s="514"/>
    </row>
    <row r="755" spans="1:11" s="499" customFormat="1">
      <c r="A755" s="524"/>
      <c r="B755" s="514"/>
      <c r="C755" s="516">
        <v>14.93</v>
      </c>
      <c r="D755" s="516"/>
      <c r="E755" s="516">
        <v>14.93</v>
      </c>
      <c r="F755" s="517" t="s">
        <v>37</v>
      </c>
      <c r="G755" s="514" t="s">
        <v>391</v>
      </c>
      <c r="H755" s="514"/>
      <c r="I755" s="514"/>
      <c r="J755" s="517"/>
      <c r="K755" s="514"/>
    </row>
    <row r="756" spans="1:11" s="499" customFormat="1">
      <c r="A756" s="524"/>
      <c r="B756" s="514"/>
      <c r="C756" s="516">
        <v>6.74</v>
      </c>
      <c r="D756" s="516"/>
      <c r="E756" s="516">
        <v>6.74</v>
      </c>
      <c r="F756" s="517" t="s">
        <v>37</v>
      </c>
      <c r="G756" s="514" t="s">
        <v>389</v>
      </c>
      <c r="H756" s="514"/>
      <c r="I756" s="514"/>
      <c r="J756" s="517"/>
      <c r="K756" s="514"/>
    </row>
    <row r="757" spans="1:11" ht="26.4">
      <c r="A757" s="521">
        <v>30</v>
      </c>
      <c r="B757" s="507" t="s">
        <v>1006</v>
      </c>
      <c r="C757" s="509">
        <v>966.95999999999992</v>
      </c>
      <c r="D757" s="509">
        <v>0</v>
      </c>
      <c r="E757" s="509">
        <v>966.95999999999992</v>
      </c>
      <c r="F757" s="510"/>
      <c r="G757" s="507"/>
      <c r="H757" s="507"/>
      <c r="I757" s="507"/>
      <c r="J757" s="510"/>
      <c r="K757" s="507"/>
    </row>
    <row r="758" spans="1:11" s="499" customFormat="1">
      <c r="A758" s="524"/>
      <c r="B758" s="514"/>
      <c r="C758" s="516">
        <v>80</v>
      </c>
      <c r="D758" s="516"/>
      <c r="E758" s="516">
        <v>80</v>
      </c>
      <c r="F758" s="517" t="s">
        <v>37</v>
      </c>
      <c r="G758" s="514" t="s">
        <v>390</v>
      </c>
      <c r="H758" s="514"/>
      <c r="I758" s="514"/>
      <c r="J758" s="517"/>
      <c r="K758" s="514"/>
    </row>
    <row r="759" spans="1:11" s="499" customFormat="1">
      <c r="A759" s="524"/>
      <c r="B759" s="514"/>
      <c r="C759" s="516">
        <v>75</v>
      </c>
      <c r="D759" s="516"/>
      <c r="E759" s="516">
        <v>75</v>
      </c>
      <c r="F759" s="517" t="s">
        <v>37</v>
      </c>
      <c r="G759" s="514" t="s">
        <v>365</v>
      </c>
      <c r="H759" s="514"/>
      <c r="I759" s="514"/>
      <c r="J759" s="517"/>
      <c r="K759" s="514"/>
    </row>
    <row r="760" spans="1:11" s="499" customFormat="1">
      <c r="A760" s="524"/>
      <c r="B760" s="514"/>
      <c r="C760" s="516">
        <v>83.28</v>
      </c>
      <c r="D760" s="516"/>
      <c r="E760" s="516">
        <v>83.28</v>
      </c>
      <c r="F760" s="517" t="s">
        <v>37</v>
      </c>
      <c r="G760" s="514" t="s">
        <v>367</v>
      </c>
      <c r="H760" s="514"/>
      <c r="I760" s="514"/>
      <c r="J760" s="517"/>
      <c r="K760" s="514"/>
    </row>
    <row r="761" spans="1:11" s="499" customFormat="1" ht="26.4">
      <c r="A761" s="524"/>
      <c r="B761" s="514"/>
      <c r="C761" s="516">
        <v>70</v>
      </c>
      <c r="D761" s="516"/>
      <c r="E761" s="516">
        <v>70</v>
      </c>
      <c r="F761" s="517" t="s">
        <v>1182</v>
      </c>
      <c r="G761" s="514" t="s">
        <v>370</v>
      </c>
      <c r="H761" s="514"/>
      <c r="I761" s="514"/>
      <c r="J761" s="534"/>
      <c r="K761" s="514"/>
    </row>
    <row r="762" spans="1:11" s="499" customFormat="1">
      <c r="A762" s="524"/>
      <c r="B762" s="514"/>
      <c r="C762" s="516">
        <v>95.399999999999991</v>
      </c>
      <c r="D762" s="516"/>
      <c r="E762" s="516">
        <v>95.399999999999991</v>
      </c>
      <c r="F762" s="517" t="s">
        <v>37</v>
      </c>
      <c r="G762" s="514" t="s">
        <v>372</v>
      </c>
      <c r="H762" s="514"/>
      <c r="I762" s="514"/>
      <c r="J762" s="517"/>
      <c r="K762" s="514"/>
    </row>
    <row r="763" spans="1:11" s="499" customFormat="1">
      <c r="A763" s="524"/>
      <c r="B763" s="514"/>
      <c r="C763" s="516">
        <v>60</v>
      </c>
      <c r="D763" s="516"/>
      <c r="E763" s="516">
        <v>60</v>
      </c>
      <c r="F763" s="517" t="s">
        <v>1008</v>
      </c>
      <c r="G763" s="514" t="s">
        <v>379</v>
      </c>
      <c r="H763" s="514"/>
      <c r="I763" s="514"/>
      <c r="J763" s="517"/>
      <c r="K763" s="514"/>
    </row>
    <row r="764" spans="1:11" s="499" customFormat="1" ht="26.4">
      <c r="A764" s="524"/>
      <c r="B764" s="514"/>
      <c r="C764" s="516">
        <v>203.28</v>
      </c>
      <c r="D764" s="516"/>
      <c r="E764" s="516">
        <v>203.28</v>
      </c>
      <c r="F764" s="517" t="s">
        <v>1185</v>
      </c>
      <c r="G764" s="514" t="s">
        <v>408</v>
      </c>
      <c r="H764" s="514"/>
      <c r="I764" s="514"/>
      <c r="J764" s="534"/>
      <c r="K764" s="514"/>
    </row>
    <row r="765" spans="1:11" s="499" customFormat="1">
      <c r="A765" s="524"/>
      <c r="B765" s="514"/>
      <c r="C765" s="516">
        <v>80</v>
      </c>
      <c r="D765" s="516"/>
      <c r="E765" s="516">
        <v>80</v>
      </c>
      <c r="F765" s="517" t="s">
        <v>37</v>
      </c>
      <c r="G765" s="514" t="s">
        <v>380</v>
      </c>
      <c r="H765" s="514"/>
      <c r="I765" s="514"/>
      <c r="J765" s="517"/>
      <c r="K765" s="514"/>
    </row>
    <row r="766" spans="1:11" s="499" customFormat="1">
      <c r="A766" s="524"/>
      <c r="B766" s="514"/>
      <c r="C766" s="516">
        <v>70</v>
      </c>
      <c r="D766" s="516"/>
      <c r="E766" s="516">
        <v>70</v>
      </c>
      <c r="F766" s="517" t="s">
        <v>37</v>
      </c>
      <c r="G766" s="514" t="s">
        <v>417</v>
      </c>
      <c r="H766" s="514"/>
      <c r="I766" s="514"/>
      <c r="J766" s="517"/>
      <c r="K766" s="514"/>
    </row>
    <row r="767" spans="1:11" s="499" customFormat="1">
      <c r="A767" s="524"/>
      <c r="B767" s="514"/>
      <c r="C767" s="516">
        <v>80</v>
      </c>
      <c r="D767" s="516"/>
      <c r="E767" s="516">
        <v>80</v>
      </c>
      <c r="F767" s="517" t="s">
        <v>37</v>
      </c>
      <c r="G767" s="514" t="s">
        <v>391</v>
      </c>
      <c r="H767" s="514"/>
      <c r="I767" s="514"/>
      <c r="J767" s="517"/>
      <c r="K767" s="514"/>
    </row>
    <row r="768" spans="1:11" s="499" customFormat="1">
      <c r="A768" s="535"/>
      <c r="B768" s="514"/>
      <c r="C768" s="516">
        <v>70</v>
      </c>
      <c r="D768" s="516"/>
      <c r="E768" s="516">
        <v>70</v>
      </c>
      <c r="F768" s="517" t="s">
        <v>37</v>
      </c>
      <c r="G768" s="514" t="s">
        <v>389</v>
      </c>
      <c r="H768" s="514"/>
      <c r="I768" s="514"/>
      <c r="J768" s="517"/>
      <c r="K768" s="514"/>
    </row>
    <row r="769" spans="1:11" s="492" customFormat="1">
      <c r="A769" s="529" t="s">
        <v>345</v>
      </c>
      <c r="B769" s="501" t="s">
        <v>239</v>
      </c>
      <c r="C769" s="502">
        <v>462.24516225000019</v>
      </c>
      <c r="D769" s="502">
        <v>0</v>
      </c>
      <c r="E769" s="502">
        <v>462.24516225000019</v>
      </c>
      <c r="F769" s="503"/>
      <c r="G769" s="501"/>
      <c r="H769" s="512"/>
      <c r="I769" s="512"/>
      <c r="J769" s="503"/>
      <c r="K769" s="512"/>
    </row>
    <row r="770" spans="1:11" ht="26.4">
      <c r="A770" s="521">
        <v>1</v>
      </c>
      <c r="B770" s="507" t="s">
        <v>573</v>
      </c>
      <c r="C770" s="509">
        <v>3.84</v>
      </c>
      <c r="D770" s="509"/>
      <c r="E770" s="509">
        <v>3.84</v>
      </c>
      <c r="F770" s="510" t="s">
        <v>37</v>
      </c>
      <c r="G770" s="507" t="s">
        <v>393</v>
      </c>
      <c r="H770" s="507"/>
      <c r="I770" s="507" t="s">
        <v>1086</v>
      </c>
      <c r="J770" s="510">
        <v>2021</v>
      </c>
      <c r="K770" s="507"/>
    </row>
    <row r="771" spans="1:11" ht="26.4">
      <c r="A771" s="521">
        <v>2</v>
      </c>
      <c r="B771" s="507" t="s">
        <v>574</v>
      </c>
      <c r="C771" s="509">
        <v>3</v>
      </c>
      <c r="D771" s="509"/>
      <c r="E771" s="509">
        <v>3</v>
      </c>
      <c r="F771" s="510" t="s">
        <v>37</v>
      </c>
      <c r="G771" s="507" t="s">
        <v>393</v>
      </c>
      <c r="H771" s="507"/>
      <c r="I771" s="507" t="s">
        <v>1086</v>
      </c>
      <c r="J771" s="510"/>
      <c r="K771" s="507"/>
    </row>
    <row r="772" spans="1:11" ht="26.4">
      <c r="A772" s="521">
        <v>3</v>
      </c>
      <c r="B772" s="507" t="s">
        <v>1026</v>
      </c>
      <c r="C772" s="509">
        <v>8.73</v>
      </c>
      <c r="D772" s="509"/>
      <c r="E772" s="509">
        <v>8.73</v>
      </c>
      <c r="F772" s="510" t="s">
        <v>1027</v>
      </c>
      <c r="G772" s="507" t="s">
        <v>393</v>
      </c>
      <c r="H772" s="507"/>
      <c r="I772" s="507" t="s">
        <v>606</v>
      </c>
      <c r="J772" s="510">
        <v>2021</v>
      </c>
      <c r="K772" s="507"/>
    </row>
    <row r="773" spans="1:11" ht="39.6">
      <c r="A773" s="521">
        <v>4</v>
      </c>
      <c r="B773" s="507" t="s">
        <v>575</v>
      </c>
      <c r="C773" s="509">
        <v>39.75</v>
      </c>
      <c r="D773" s="509"/>
      <c r="E773" s="509">
        <v>39.75</v>
      </c>
      <c r="F773" s="510" t="s">
        <v>90</v>
      </c>
      <c r="G773" s="507" t="s">
        <v>393</v>
      </c>
      <c r="H773" s="507"/>
      <c r="I773" s="507" t="s">
        <v>607</v>
      </c>
      <c r="J773" s="510">
        <v>2021</v>
      </c>
      <c r="K773" s="507"/>
    </row>
    <row r="774" spans="1:11" ht="26.4">
      <c r="A774" s="521">
        <v>5</v>
      </c>
      <c r="B774" s="507" t="s">
        <v>576</v>
      </c>
      <c r="C774" s="509">
        <v>1.78</v>
      </c>
      <c r="D774" s="509"/>
      <c r="E774" s="509">
        <v>1.78</v>
      </c>
      <c r="F774" s="510" t="s">
        <v>37</v>
      </c>
      <c r="G774" s="507" t="s">
        <v>393</v>
      </c>
      <c r="H774" s="507"/>
      <c r="I774" s="507" t="s">
        <v>1086</v>
      </c>
      <c r="J774" s="510"/>
      <c r="K774" s="507"/>
    </row>
    <row r="775" spans="1:11" ht="26.4">
      <c r="A775" s="521">
        <v>6</v>
      </c>
      <c r="B775" s="507" t="s">
        <v>1028</v>
      </c>
      <c r="C775" s="509">
        <v>5.3</v>
      </c>
      <c r="D775" s="509"/>
      <c r="E775" s="509">
        <v>5.3</v>
      </c>
      <c r="F775" s="510" t="s">
        <v>90</v>
      </c>
      <c r="G775" s="507" t="s">
        <v>393</v>
      </c>
      <c r="H775" s="507"/>
      <c r="I775" s="507" t="s">
        <v>1106</v>
      </c>
      <c r="J775" s="510">
        <v>2021</v>
      </c>
      <c r="K775" s="507"/>
    </row>
    <row r="776" spans="1:11" ht="79.2">
      <c r="A776" s="521">
        <v>7</v>
      </c>
      <c r="B776" s="507" t="s">
        <v>1029</v>
      </c>
      <c r="C776" s="509">
        <v>7</v>
      </c>
      <c r="D776" s="509"/>
      <c r="E776" s="509">
        <v>7</v>
      </c>
      <c r="F776" s="510" t="s">
        <v>37</v>
      </c>
      <c r="G776" s="507" t="s">
        <v>393</v>
      </c>
      <c r="H776" s="507"/>
      <c r="I776" s="507" t="s">
        <v>1107</v>
      </c>
      <c r="J776" s="510">
        <v>2022</v>
      </c>
      <c r="K776" s="507"/>
    </row>
    <row r="777" spans="1:11">
      <c r="A777" s="521">
        <v>8</v>
      </c>
      <c r="B777" s="507" t="s">
        <v>1030</v>
      </c>
      <c r="C777" s="509">
        <v>2.04</v>
      </c>
      <c r="D777" s="509"/>
      <c r="E777" s="509">
        <v>2.04</v>
      </c>
      <c r="F777" s="510" t="s">
        <v>37</v>
      </c>
      <c r="G777" s="507" t="s">
        <v>393</v>
      </c>
      <c r="H777" s="507"/>
      <c r="I777" s="507"/>
      <c r="J777" s="510"/>
      <c r="K777" s="507"/>
    </row>
    <row r="778" spans="1:11" ht="39.6">
      <c r="A778" s="521">
        <v>9</v>
      </c>
      <c r="B778" s="507" t="s">
        <v>1031</v>
      </c>
      <c r="C778" s="509">
        <v>2.91</v>
      </c>
      <c r="D778" s="509"/>
      <c r="E778" s="509">
        <v>2.91</v>
      </c>
      <c r="F778" s="510" t="s">
        <v>37</v>
      </c>
      <c r="G778" s="507" t="s">
        <v>393</v>
      </c>
      <c r="H778" s="507"/>
      <c r="I778" s="507" t="s">
        <v>1108</v>
      </c>
      <c r="J778" s="510"/>
      <c r="K778" s="507"/>
    </row>
    <row r="779" spans="1:11">
      <c r="A779" s="521">
        <v>10</v>
      </c>
      <c r="B779" s="507" t="s">
        <v>559</v>
      </c>
      <c r="C779" s="509">
        <v>1.79</v>
      </c>
      <c r="D779" s="509"/>
      <c r="E779" s="509">
        <v>1.79</v>
      </c>
      <c r="F779" s="510" t="s">
        <v>37</v>
      </c>
      <c r="G779" s="507" t="s">
        <v>369</v>
      </c>
      <c r="H779" s="507"/>
      <c r="I779" s="507"/>
      <c r="J779" s="510"/>
      <c r="K779" s="507"/>
    </row>
    <row r="780" spans="1:11" ht="26.4">
      <c r="A780" s="521">
        <v>11</v>
      </c>
      <c r="B780" s="507" t="s">
        <v>1032</v>
      </c>
      <c r="C780" s="509">
        <v>6.4</v>
      </c>
      <c r="D780" s="509"/>
      <c r="E780" s="509">
        <v>6.4</v>
      </c>
      <c r="F780" s="510" t="s">
        <v>39</v>
      </c>
      <c r="G780" s="507" t="s">
        <v>369</v>
      </c>
      <c r="H780" s="507"/>
      <c r="I780" s="507" t="s">
        <v>1103</v>
      </c>
      <c r="J780" s="510">
        <v>2021</v>
      </c>
      <c r="K780" s="507"/>
    </row>
    <row r="781" spans="1:11">
      <c r="A781" s="521">
        <v>12</v>
      </c>
      <c r="B781" s="507" t="s">
        <v>1033</v>
      </c>
      <c r="C781" s="509">
        <v>1.5162250000145301E-2</v>
      </c>
      <c r="D781" s="509"/>
      <c r="E781" s="509">
        <v>1.5162250000145301E-2</v>
      </c>
      <c r="F781" s="510" t="s">
        <v>143</v>
      </c>
      <c r="G781" s="507" t="s">
        <v>369</v>
      </c>
      <c r="H781" s="507"/>
      <c r="I781" s="507"/>
      <c r="J781" s="510"/>
      <c r="K781" s="507"/>
    </row>
    <row r="782" spans="1:11" ht="26.4">
      <c r="A782" s="521">
        <v>13</v>
      </c>
      <c r="B782" s="507" t="s">
        <v>1034</v>
      </c>
      <c r="C782" s="509">
        <v>41</v>
      </c>
      <c r="D782" s="509"/>
      <c r="E782" s="509">
        <v>41</v>
      </c>
      <c r="F782" s="510" t="s">
        <v>37</v>
      </c>
      <c r="G782" s="507" t="s">
        <v>369</v>
      </c>
      <c r="H782" s="507"/>
      <c r="I782" s="507"/>
      <c r="J782" s="510"/>
      <c r="K782" s="507"/>
    </row>
    <row r="783" spans="1:11" ht="26.4">
      <c r="A783" s="521">
        <v>14</v>
      </c>
      <c r="B783" s="507" t="s">
        <v>571</v>
      </c>
      <c r="C783" s="509">
        <v>34.950000000000003</v>
      </c>
      <c r="D783" s="509"/>
      <c r="E783" s="509">
        <v>34.950000000000003</v>
      </c>
      <c r="F783" s="510" t="s">
        <v>1008</v>
      </c>
      <c r="G783" s="507" t="s">
        <v>393</v>
      </c>
      <c r="H783" s="507"/>
      <c r="I783" s="507"/>
      <c r="J783" s="510"/>
      <c r="K783" s="507"/>
    </row>
    <row r="784" spans="1:11" ht="26.4">
      <c r="A784" s="521">
        <v>15</v>
      </c>
      <c r="B784" s="507" t="s">
        <v>572</v>
      </c>
      <c r="C784" s="509">
        <v>303.74</v>
      </c>
      <c r="D784" s="509">
        <v>0</v>
      </c>
      <c r="E784" s="509">
        <v>303.74</v>
      </c>
      <c r="F784" s="510"/>
      <c r="G784" s="507"/>
      <c r="H784" s="507"/>
      <c r="I784" s="507"/>
      <c r="J784" s="510"/>
      <c r="K784" s="507"/>
    </row>
    <row r="785" spans="1:11" s="499" customFormat="1">
      <c r="A785" s="524"/>
      <c r="B785" s="514"/>
      <c r="C785" s="516">
        <v>161.28</v>
      </c>
      <c r="D785" s="516"/>
      <c r="E785" s="516">
        <v>161.28</v>
      </c>
      <c r="F785" s="517" t="s">
        <v>1174</v>
      </c>
      <c r="G785" s="514" t="s">
        <v>393</v>
      </c>
      <c r="H785" s="514"/>
      <c r="I785" s="514"/>
      <c r="J785" s="517"/>
      <c r="K785" s="514"/>
    </row>
    <row r="786" spans="1:11" s="499" customFormat="1" ht="26.4">
      <c r="A786" s="524"/>
      <c r="B786" s="514"/>
      <c r="C786" s="516">
        <v>142.46</v>
      </c>
      <c r="D786" s="516"/>
      <c r="E786" s="516">
        <v>142.46</v>
      </c>
      <c r="F786" s="517" t="s">
        <v>1184</v>
      </c>
      <c r="G786" s="514" t="s">
        <v>369</v>
      </c>
      <c r="H786" s="514"/>
      <c r="I786" s="516"/>
      <c r="J786" s="517"/>
      <c r="K786" s="514"/>
    </row>
    <row r="787" spans="1:11" s="492" customFormat="1">
      <c r="A787" s="529" t="s">
        <v>345</v>
      </c>
      <c r="B787" s="501" t="s">
        <v>62</v>
      </c>
      <c r="C787" s="502">
        <v>12.13172800000001</v>
      </c>
      <c r="D787" s="502">
        <v>2.5671850000000003</v>
      </c>
      <c r="E787" s="502">
        <v>9.5645430000000093</v>
      </c>
      <c r="F787" s="503"/>
      <c r="G787" s="501"/>
      <c r="H787" s="512"/>
      <c r="I787" s="512"/>
      <c r="J787" s="503"/>
      <c r="K787" s="512"/>
    </row>
    <row r="788" spans="1:11" ht="26.4">
      <c r="A788" s="521">
        <v>1</v>
      </c>
      <c r="B788" s="522" t="s">
        <v>577</v>
      </c>
      <c r="C788" s="508">
        <v>8.5956580000000091</v>
      </c>
      <c r="D788" s="509"/>
      <c r="E788" s="508">
        <v>8.5956580000000091</v>
      </c>
      <c r="F788" s="510" t="s">
        <v>37</v>
      </c>
      <c r="G788" s="507" t="s">
        <v>393</v>
      </c>
      <c r="H788" s="507"/>
      <c r="I788" s="507" t="s">
        <v>1086</v>
      </c>
      <c r="J788" s="510"/>
      <c r="K788" s="507"/>
    </row>
    <row r="789" spans="1:11">
      <c r="A789" s="521">
        <v>2</v>
      </c>
      <c r="B789" s="522" t="s">
        <v>1035</v>
      </c>
      <c r="C789" s="508">
        <v>1</v>
      </c>
      <c r="D789" s="509">
        <v>0.45865699999999998</v>
      </c>
      <c r="E789" s="508">
        <v>0.54134300000000002</v>
      </c>
      <c r="F789" s="510" t="s">
        <v>37</v>
      </c>
      <c r="G789" s="522" t="s">
        <v>379</v>
      </c>
      <c r="H789" s="507"/>
      <c r="I789" s="507"/>
      <c r="J789" s="510"/>
      <c r="K789" s="507"/>
    </row>
    <row r="790" spans="1:11">
      <c r="A790" s="521">
        <v>3</v>
      </c>
      <c r="B790" s="507" t="s">
        <v>578</v>
      </c>
      <c r="C790" s="509">
        <v>0.93673999999999991</v>
      </c>
      <c r="D790" s="509">
        <v>0.90919799999999995</v>
      </c>
      <c r="E790" s="509">
        <v>2.7541999999999955E-2</v>
      </c>
      <c r="F790" s="510" t="s">
        <v>126</v>
      </c>
      <c r="G790" s="507" t="s">
        <v>380</v>
      </c>
      <c r="H790" s="507"/>
      <c r="I790" s="507"/>
      <c r="J790" s="510"/>
      <c r="K790" s="507"/>
    </row>
    <row r="791" spans="1:11">
      <c r="A791" s="521">
        <v>4</v>
      </c>
      <c r="B791" s="507" t="s">
        <v>579</v>
      </c>
      <c r="C791" s="509">
        <v>1.5993300000000001</v>
      </c>
      <c r="D791" s="509">
        <v>1.19933</v>
      </c>
      <c r="E791" s="509">
        <v>0.40000000000000013</v>
      </c>
      <c r="F791" s="510" t="s">
        <v>37</v>
      </c>
      <c r="G791" s="507" t="s">
        <v>417</v>
      </c>
      <c r="H791" s="507"/>
      <c r="I791" s="507"/>
      <c r="J791" s="510"/>
      <c r="K791" s="507"/>
    </row>
    <row r="792" spans="1:11" s="492" customFormat="1">
      <c r="A792" s="500" t="s">
        <v>345</v>
      </c>
      <c r="B792" s="512" t="s">
        <v>108</v>
      </c>
      <c r="C792" s="536">
        <v>3.8</v>
      </c>
      <c r="D792" s="536">
        <v>0</v>
      </c>
      <c r="E792" s="536">
        <v>3.8</v>
      </c>
      <c r="F792" s="503"/>
      <c r="G792" s="512"/>
      <c r="H792" s="512"/>
      <c r="I792" s="512"/>
      <c r="J792" s="503"/>
      <c r="K792" s="512"/>
    </row>
    <row r="793" spans="1:11">
      <c r="A793" s="521">
        <v>1</v>
      </c>
      <c r="B793" s="507" t="s">
        <v>1036</v>
      </c>
      <c r="C793" s="509">
        <v>2.2999999999999998</v>
      </c>
      <c r="D793" s="509">
        <v>0</v>
      </c>
      <c r="E793" s="509">
        <v>2.2999999999999998</v>
      </c>
      <c r="F793" s="510"/>
      <c r="G793" s="507"/>
      <c r="H793" s="507"/>
      <c r="I793" s="507"/>
      <c r="J793" s="510"/>
      <c r="K793" s="507"/>
    </row>
    <row r="794" spans="1:11" s="499" customFormat="1">
      <c r="A794" s="524"/>
      <c r="B794" s="514"/>
      <c r="C794" s="516">
        <v>2</v>
      </c>
      <c r="D794" s="516"/>
      <c r="E794" s="516">
        <v>2</v>
      </c>
      <c r="F794" s="517" t="s">
        <v>37</v>
      </c>
      <c r="G794" s="514" t="s">
        <v>365</v>
      </c>
      <c r="H794" s="514"/>
      <c r="I794" s="514"/>
      <c r="J794" s="517"/>
      <c r="K794" s="514"/>
    </row>
    <row r="795" spans="1:11" s="499" customFormat="1">
      <c r="A795" s="524"/>
      <c r="B795" s="514"/>
      <c r="C795" s="516">
        <v>0.3</v>
      </c>
      <c r="D795" s="516"/>
      <c r="E795" s="516">
        <v>0.3</v>
      </c>
      <c r="F795" s="517" t="s">
        <v>37</v>
      </c>
      <c r="G795" s="514" t="s">
        <v>379</v>
      </c>
      <c r="H795" s="514"/>
      <c r="I795" s="514"/>
      <c r="J795" s="517"/>
      <c r="K795" s="514"/>
    </row>
    <row r="796" spans="1:11">
      <c r="A796" s="521">
        <v>2</v>
      </c>
      <c r="B796" s="507" t="s">
        <v>1037</v>
      </c>
      <c r="C796" s="509">
        <v>1.5</v>
      </c>
      <c r="D796" s="509">
        <v>0</v>
      </c>
      <c r="E796" s="509">
        <v>1.5</v>
      </c>
      <c r="F796" s="510"/>
      <c r="G796" s="507"/>
      <c r="H796" s="507"/>
      <c r="I796" s="507"/>
      <c r="J796" s="510"/>
      <c r="K796" s="507"/>
    </row>
    <row r="797" spans="1:11" s="499" customFormat="1">
      <c r="A797" s="524"/>
      <c r="B797" s="514"/>
      <c r="C797" s="516">
        <v>1</v>
      </c>
      <c r="D797" s="516"/>
      <c r="E797" s="516">
        <v>1</v>
      </c>
      <c r="F797" s="517" t="s">
        <v>37</v>
      </c>
      <c r="G797" s="514" t="s">
        <v>370</v>
      </c>
      <c r="H797" s="514"/>
      <c r="I797" s="514"/>
      <c r="J797" s="517"/>
      <c r="K797" s="514"/>
    </row>
    <row r="798" spans="1:11" s="499" customFormat="1">
      <c r="A798" s="524"/>
      <c r="B798" s="514"/>
      <c r="C798" s="516">
        <v>0.5</v>
      </c>
      <c r="D798" s="516"/>
      <c r="E798" s="516">
        <v>0.5</v>
      </c>
      <c r="F798" s="517" t="s">
        <v>37</v>
      </c>
      <c r="G798" s="514" t="s">
        <v>408</v>
      </c>
      <c r="H798" s="514"/>
      <c r="I798" s="514"/>
      <c r="J798" s="517"/>
      <c r="K798" s="514"/>
    </row>
    <row r="799" spans="1:11" s="492" customFormat="1">
      <c r="A799" s="529" t="s">
        <v>345</v>
      </c>
      <c r="B799" s="501" t="s">
        <v>148</v>
      </c>
      <c r="C799" s="502">
        <v>92.866968510008675</v>
      </c>
      <c r="D799" s="502">
        <v>0</v>
      </c>
      <c r="E799" s="502">
        <v>92.866968510008675</v>
      </c>
      <c r="F799" s="503"/>
      <c r="G799" s="501"/>
      <c r="H799" s="512"/>
      <c r="I799" s="512"/>
      <c r="J799" s="503"/>
      <c r="K799" s="512"/>
    </row>
    <row r="800" spans="1:11" ht="26.4">
      <c r="A800" s="521">
        <v>1</v>
      </c>
      <c r="B800" s="522" t="s">
        <v>580</v>
      </c>
      <c r="C800" s="508">
        <v>2.1284599999999996</v>
      </c>
      <c r="D800" s="509"/>
      <c r="E800" s="508">
        <v>2.1284599999999996</v>
      </c>
      <c r="F800" s="510" t="s">
        <v>37</v>
      </c>
      <c r="G800" s="522" t="s">
        <v>393</v>
      </c>
      <c r="H800" s="507"/>
      <c r="I800" s="507" t="s">
        <v>1086</v>
      </c>
      <c r="J800" s="510"/>
      <c r="K800" s="507"/>
    </row>
    <row r="801" spans="1:11" ht="26.4">
      <c r="A801" s="521">
        <v>2</v>
      </c>
      <c r="B801" s="522" t="s">
        <v>1191</v>
      </c>
      <c r="C801" s="508">
        <v>26.949999999999989</v>
      </c>
      <c r="D801" s="509"/>
      <c r="E801" s="508">
        <v>26.949999999999989</v>
      </c>
      <c r="F801" s="510" t="s">
        <v>37</v>
      </c>
      <c r="G801" s="522" t="s">
        <v>390</v>
      </c>
      <c r="H801" s="507"/>
      <c r="I801" s="507"/>
      <c r="J801" s="510"/>
      <c r="K801" s="507"/>
    </row>
    <row r="802" spans="1:11">
      <c r="A802" s="521">
        <v>3</v>
      </c>
      <c r="B802" s="522" t="s">
        <v>584</v>
      </c>
      <c r="C802" s="508">
        <v>0.1</v>
      </c>
      <c r="D802" s="509"/>
      <c r="E802" s="508">
        <v>0.1</v>
      </c>
      <c r="F802" s="510" t="s">
        <v>37</v>
      </c>
      <c r="G802" s="522" t="s">
        <v>369</v>
      </c>
      <c r="H802" s="507"/>
      <c r="I802" s="507"/>
      <c r="J802" s="510"/>
      <c r="K802" s="507"/>
    </row>
    <row r="803" spans="1:11">
      <c r="A803" s="521">
        <v>4</v>
      </c>
      <c r="B803" s="522" t="s">
        <v>1039</v>
      </c>
      <c r="C803" s="508">
        <v>0.1</v>
      </c>
      <c r="D803" s="509"/>
      <c r="E803" s="508">
        <v>0.1</v>
      </c>
      <c r="F803" s="510" t="s">
        <v>37</v>
      </c>
      <c r="G803" s="522" t="s">
        <v>390</v>
      </c>
      <c r="H803" s="507"/>
      <c r="I803" s="507"/>
      <c r="J803" s="510"/>
      <c r="K803" s="507"/>
    </row>
    <row r="804" spans="1:11" ht="26.4">
      <c r="A804" s="521">
        <v>5</v>
      </c>
      <c r="B804" s="522" t="s">
        <v>1040</v>
      </c>
      <c r="C804" s="508">
        <v>0.62</v>
      </c>
      <c r="D804" s="509"/>
      <c r="E804" s="508">
        <v>0.62</v>
      </c>
      <c r="F804" s="510" t="s">
        <v>37</v>
      </c>
      <c r="G804" s="522" t="s">
        <v>365</v>
      </c>
      <c r="H804" s="507"/>
      <c r="I804" s="507"/>
      <c r="J804" s="510"/>
      <c r="K804" s="507"/>
    </row>
    <row r="805" spans="1:11">
      <c r="A805" s="521">
        <v>6</v>
      </c>
      <c r="B805" s="522" t="s">
        <v>1041</v>
      </c>
      <c r="C805" s="508">
        <v>0.11112926000170401</v>
      </c>
      <c r="D805" s="509"/>
      <c r="E805" s="508">
        <v>0.11112926000170401</v>
      </c>
      <c r="F805" s="510" t="s">
        <v>143</v>
      </c>
      <c r="G805" s="522" t="s">
        <v>408</v>
      </c>
      <c r="H805" s="507"/>
      <c r="I805" s="507"/>
      <c r="J805" s="510"/>
      <c r="K805" s="507"/>
    </row>
    <row r="806" spans="1:11">
      <c r="A806" s="521">
        <v>7</v>
      </c>
      <c r="B806" s="507" t="s">
        <v>1038</v>
      </c>
      <c r="C806" s="509">
        <v>0.48737925000697402</v>
      </c>
      <c r="D806" s="509">
        <v>0</v>
      </c>
      <c r="E806" s="509">
        <v>0.48737925000697402</v>
      </c>
      <c r="F806" s="510"/>
      <c r="G806" s="507"/>
      <c r="H806" s="507"/>
      <c r="I806" s="507"/>
      <c r="J806" s="510"/>
      <c r="K806" s="507"/>
    </row>
    <row r="807" spans="1:11" s="499" customFormat="1">
      <c r="A807" s="524"/>
      <c r="B807" s="514"/>
      <c r="C807" s="516">
        <v>0.39131925000697398</v>
      </c>
      <c r="D807" s="516"/>
      <c r="E807" s="516">
        <v>0.39131925000697398</v>
      </c>
      <c r="F807" s="517" t="s">
        <v>132</v>
      </c>
      <c r="G807" s="514" t="s">
        <v>369</v>
      </c>
      <c r="H807" s="514"/>
      <c r="I807" s="514"/>
      <c r="J807" s="517"/>
      <c r="K807" s="514"/>
    </row>
    <row r="808" spans="1:11" s="499" customFormat="1">
      <c r="A808" s="524"/>
      <c r="B808" s="514"/>
      <c r="C808" s="516">
        <v>9.6060000000000006E-2</v>
      </c>
      <c r="D808" s="516"/>
      <c r="E808" s="516">
        <v>9.6060000000000006E-2</v>
      </c>
      <c r="F808" s="517" t="s">
        <v>132</v>
      </c>
      <c r="G808" s="514" t="s">
        <v>365</v>
      </c>
      <c r="H808" s="514"/>
      <c r="I808" s="514"/>
      <c r="J808" s="517"/>
      <c r="K808" s="514"/>
    </row>
    <row r="809" spans="1:11" ht="26.4">
      <c r="A809" s="521">
        <v>8</v>
      </c>
      <c r="B809" s="507" t="s">
        <v>571</v>
      </c>
      <c r="C809" s="509">
        <v>0.37</v>
      </c>
      <c r="D809" s="509"/>
      <c r="E809" s="509">
        <v>0.37</v>
      </c>
      <c r="F809" s="510" t="s">
        <v>37</v>
      </c>
      <c r="G809" s="507" t="s">
        <v>393</v>
      </c>
      <c r="H809" s="507"/>
      <c r="I809" s="507"/>
      <c r="J809" s="510"/>
      <c r="K809" s="507"/>
    </row>
    <row r="810" spans="1:11" ht="26.4">
      <c r="A810" s="521">
        <v>9</v>
      </c>
      <c r="B810" s="507" t="s">
        <v>582</v>
      </c>
      <c r="C810" s="509">
        <v>62</v>
      </c>
      <c r="D810" s="509">
        <v>0</v>
      </c>
      <c r="E810" s="509">
        <v>62</v>
      </c>
      <c r="F810" s="510"/>
      <c r="G810" s="507"/>
      <c r="H810" s="507"/>
      <c r="I810" s="507"/>
      <c r="J810" s="510"/>
      <c r="K810" s="507"/>
    </row>
    <row r="811" spans="1:11" s="499" customFormat="1">
      <c r="A811" s="524"/>
      <c r="B811" s="514"/>
      <c r="C811" s="516">
        <v>3</v>
      </c>
      <c r="D811" s="516"/>
      <c r="E811" s="516">
        <v>3</v>
      </c>
      <c r="F811" s="517" t="s">
        <v>37</v>
      </c>
      <c r="G811" s="514" t="s">
        <v>369</v>
      </c>
      <c r="H811" s="514"/>
      <c r="I811" s="514"/>
      <c r="J811" s="517"/>
      <c r="K811" s="514"/>
    </row>
    <row r="812" spans="1:11" s="499" customFormat="1">
      <c r="A812" s="524"/>
      <c r="B812" s="514"/>
      <c r="C812" s="516">
        <v>10</v>
      </c>
      <c r="D812" s="516"/>
      <c r="E812" s="516">
        <v>10</v>
      </c>
      <c r="F812" s="517" t="s">
        <v>37</v>
      </c>
      <c r="G812" s="514" t="s">
        <v>365</v>
      </c>
      <c r="H812" s="514"/>
      <c r="I812" s="514"/>
      <c r="J812" s="517"/>
      <c r="K812" s="514"/>
    </row>
    <row r="813" spans="1:11" s="499" customFormat="1">
      <c r="A813" s="524"/>
      <c r="B813" s="514"/>
      <c r="C813" s="516">
        <v>7</v>
      </c>
      <c r="D813" s="516"/>
      <c r="E813" s="516">
        <v>7</v>
      </c>
      <c r="F813" s="517" t="s">
        <v>37</v>
      </c>
      <c r="G813" s="514" t="s">
        <v>367</v>
      </c>
      <c r="H813" s="514"/>
      <c r="I813" s="514"/>
      <c r="J813" s="517"/>
      <c r="K813" s="514"/>
    </row>
    <row r="814" spans="1:11" s="499" customFormat="1">
      <c r="A814" s="524"/>
      <c r="B814" s="514"/>
      <c r="C814" s="516">
        <v>16</v>
      </c>
      <c r="D814" s="516"/>
      <c r="E814" s="516">
        <v>16</v>
      </c>
      <c r="F814" s="517" t="s">
        <v>37</v>
      </c>
      <c r="G814" s="514" t="s">
        <v>370</v>
      </c>
      <c r="H814" s="514"/>
      <c r="I814" s="514"/>
      <c r="J814" s="517"/>
      <c r="K814" s="514"/>
    </row>
    <row r="815" spans="1:11" s="499" customFormat="1">
      <c r="A815" s="524"/>
      <c r="B815" s="514"/>
      <c r="C815" s="516">
        <v>6</v>
      </c>
      <c r="D815" s="516"/>
      <c r="E815" s="516">
        <v>6</v>
      </c>
      <c r="F815" s="517" t="s">
        <v>37</v>
      </c>
      <c r="G815" s="514" t="s">
        <v>372</v>
      </c>
      <c r="H815" s="514"/>
      <c r="I815" s="514"/>
      <c r="J815" s="517"/>
      <c r="K815" s="514"/>
    </row>
    <row r="816" spans="1:11" s="499" customFormat="1">
      <c r="A816" s="524"/>
      <c r="B816" s="514"/>
      <c r="C816" s="516">
        <v>6</v>
      </c>
      <c r="D816" s="516"/>
      <c r="E816" s="516">
        <v>6</v>
      </c>
      <c r="F816" s="517" t="s">
        <v>37</v>
      </c>
      <c r="G816" s="514" t="s">
        <v>379</v>
      </c>
      <c r="H816" s="514"/>
      <c r="I816" s="514"/>
      <c r="J816" s="517"/>
      <c r="K816" s="514"/>
    </row>
    <row r="817" spans="1:11" s="499" customFormat="1">
      <c r="A817" s="524"/>
      <c r="B817" s="514"/>
      <c r="C817" s="516">
        <v>3</v>
      </c>
      <c r="D817" s="516"/>
      <c r="E817" s="516">
        <v>3</v>
      </c>
      <c r="F817" s="517" t="s">
        <v>37</v>
      </c>
      <c r="G817" s="514" t="s">
        <v>408</v>
      </c>
      <c r="H817" s="514"/>
      <c r="I817" s="514"/>
      <c r="J817" s="517"/>
      <c r="K817" s="514"/>
    </row>
    <row r="818" spans="1:11" s="499" customFormat="1">
      <c r="A818" s="524"/>
      <c r="B818" s="514"/>
      <c r="C818" s="516">
        <v>3</v>
      </c>
      <c r="D818" s="516"/>
      <c r="E818" s="516">
        <v>3</v>
      </c>
      <c r="F818" s="517" t="s">
        <v>37</v>
      </c>
      <c r="G818" s="514" t="s">
        <v>380</v>
      </c>
      <c r="H818" s="514"/>
      <c r="I818" s="514"/>
      <c r="J818" s="517"/>
      <c r="K818" s="514"/>
    </row>
    <row r="819" spans="1:11" s="499" customFormat="1">
      <c r="A819" s="524"/>
      <c r="B819" s="514"/>
      <c r="C819" s="516">
        <v>2</v>
      </c>
      <c r="D819" s="516"/>
      <c r="E819" s="516">
        <v>2</v>
      </c>
      <c r="F819" s="517" t="s">
        <v>37</v>
      </c>
      <c r="G819" s="514" t="s">
        <v>417</v>
      </c>
      <c r="H819" s="514"/>
      <c r="I819" s="514"/>
      <c r="J819" s="517"/>
      <c r="K819" s="514"/>
    </row>
    <row r="820" spans="1:11" s="499" customFormat="1">
      <c r="A820" s="524"/>
      <c r="B820" s="514"/>
      <c r="C820" s="516">
        <v>3</v>
      </c>
      <c r="D820" s="516"/>
      <c r="E820" s="516">
        <v>3</v>
      </c>
      <c r="F820" s="517" t="s">
        <v>37</v>
      </c>
      <c r="G820" s="514" t="s">
        <v>391</v>
      </c>
      <c r="H820" s="514"/>
      <c r="I820" s="514"/>
      <c r="J820" s="517"/>
      <c r="K820" s="514"/>
    </row>
    <row r="821" spans="1:11" s="499" customFormat="1">
      <c r="A821" s="521"/>
      <c r="B821" s="514"/>
      <c r="C821" s="516">
        <v>3</v>
      </c>
      <c r="D821" s="516"/>
      <c r="E821" s="516">
        <v>3</v>
      </c>
      <c r="F821" s="517" t="s">
        <v>37</v>
      </c>
      <c r="G821" s="514" t="s">
        <v>389</v>
      </c>
      <c r="H821" s="514"/>
      <c r="I821" s="514"/>
      <c r="J821" s="517"/>
      <c r="K821" s="514"/>
    </row>
    <row r="822" spans="1:11">
      <c r="A822" s="529" t="s">
        <v>345</v>
      </c>
      <c r="B822" s="501" t="s">
        <v>36</v>
      </c>
      <c r="C822" s="502">
        <v>5249.9501306316397</v>
      </c>
      <c r="D822" s="502">
        <v>0</v>
      </c>
      <c r="E822" s="502">
        <v>5249.9501306316397</v>
      </c>
      <c r="F822" s="503"/>
      <c r="G822" s="501"/>
      <c r="H822" s="512"/>
      <c r="I822" s="512"/>
      <c r="J822" s="503"/>
      <c r="K822" s="512"/>
    </row>
    <row r="823" spans="1:11" ht="26.4">
      <c r="A823" s="524">
        <v>1</v>
      </c>
      <c r="B823" s="507" t="s">
        <v>1042</v>
      </c>
      <c r="C823" s="509">
        <v>488.36785800000001</v>
      </c>
      <c r="D823" s="509">
        <v>0</v>
      </c>
      <c r="E823" s="509">
        <v>488.36785800000001</v>
      </c>
      <c r="F823" s="510"/>
      <c r="G823" s="507"/>
      <c r="H823" s="507"/>
      <c r="I823" s="507"/>
      <c r="J823" s="510"/>
      <c r="K823" s="507"/>
    </row>
    <row r="824" spans="1:11" s="499" customFormat="1">
      <c r="A824" s="524"/>
      <c r="B824" s="514"/>
      <c r="C824" s="516">
        <v>1.5</v>
      </c>
      <c r="D824" s="516"/>
      <c r="E824" s="516">
        <v>1.5</v>
      </c>
      <c r="F824" s="517" t="s">
        <v>29</v>
      </c>
      <c r="G824" s="514" t="s">
        <v>393</v>
      </c>
      <c r="H824" s="514"/>
      <c r="I824" s="514"/>
      <c r="J824" s="517"/>
      <c r="K824" s="514"/>
    </row>
    <row r="825" spans="1:11" s="499" customFormat="1">
      <c r="A825" s="524"/>
      <c r="B825" s="514"/>
      <c r="C825" s="516">
        <v>50</v>
      </c>
      <c r="D825" s="516"/>
      <c r="E825" s="516">
        <v>50</v>
      </c>
      <c r="F825" s="517" t="s">
        <v>29</v>
      </c>
      <c r="G825" s="514" t="s">
        <v>390</v>
      </c>
      <c r="H825" s="514"/>
      <c r="I825" s="514"/>
      <c r="J825" s="517"/>
      <c r="K825" s="514"/>
    </row>
    <row r="826" spans="1:11" s="499" customFormat="1">
      <c r="A826" s="524"/>
      <c r="B826" s="514"/>
      <c r="C826" s="516">
        <v>78</v>
      </c>
      <c r="D826" s="516"/>
      <c r="E826" s="516">
        <v>78</v>
      </c>
      <c r="F826" s="517" t="s">
        <v>29</v>
      </c>
      <c r="G826" s="514" t="s">
        <v>365</v>
      </c>
      <c r="H826" s="514"/>
      <c r="I826" s="514"/>
      <c r="J826" s="517"/>
      <c r="K826" s="514"/>
    </row>
    <row r="827" spans="1:11" s="499" customFormat="1">
      <c r="A827" s="524"/>
      <c r="B827" s="514"/>
      <c r="C827" s="516">
        <v>6.070208</v>
      </c>
      <c r="D827" s="516"/>
      <c r="E827" s="516">
        <v>6.070208</v>
      </c>
      <c r="F827" s="517" t="s">
        <v>29</v>
      </c>
      <c r="G827" s="514" t="s">
        <v>367</v>
      </c>
      <c r="H827" s="514"/>
      <c r="I827" s="514"/>
      <c r="J827" s="517"/>
      <c r="K827" s="514"/>
    </row>
    <row r="828" spans="1:11" s="499" customFormat="1">
      <c r="A828" s="524"/>
      <c r="B828" s="514"/>
      <c r="C828" s="516">
        <v>29.27</v>
      </c>
      <c r="D828" s="516"/>
      <c r="E828" s="516">
        <v>29.27</v>
      </c>
      <c r="F828" s="517" t="s">
        <v>29</v>
      </c>
      <c r="G828" s="514" t="s">
        <v>370</v>
      </c>
      <c r="H828" s="514"/>
      <c r="I828" s="514"/>
      <c r="J828" s="517"/>
      <c r="K828" s="514"/>
    </row>
    <row r="829" spans="1:11" s="499" customFormat="1">
      <c r="A829" s="524"/>
      <c r="B829" s="514"/>
      <c r="C829" s="516">
        <v>96.61703</v>
      </c>
      <c r="D829" s="516"/>
      <c r="E829" s="516">
        <v>96.61703</v>
      </c>
      <c r="F829" s="517" t="s">
        <v>29</v>
      </c>
      <c r="G829" s="514" t="s">
        <v>372</v>
      </c>
      <c r="H829" s="514"/>
      <c r="I829" s="514"/>
      <c r="J829" s="517"/>
      <c r="K829" s="514"/>
    </row>
    <row r="830" spans="1:11" s="499" customFormat="1">
      <c r="A830" s="524"/>
      <c r="B830" s="514"/>
      <c r="C830" s="516">
        <v>70</v>
      </c>
      <c r="D830" s="516"/>
      <c r="E830" s="516">
        <v>70</v>
      </c>
      <c r="F830" s="517" t="s">
        <v>29</v>
      </c>
      <c r="G830" s="514" t="s">
        <v>379</v>
      </c>
      <c r="H830" s="514"/>
      <c r="I830" s="514"/>
      <c r="J830" s="517"/>
      <c r="K830" s="514"/>
    </row>
    <row r="831" spans="1:11" s="499" customFormat="1">
      <c r="A831" s="524"/>
      <c r="B831" s="514"/>
      <c r="C831" s="516">
        <v>41.94</v>
      </c>
      <c r="D831" s="516"/>
      <c r="E831" s="516">
        <v>41.94</v>
      </c>
      <c r="F831" s="517" t="s">
        <v>29</v>
      </c>
      <c r="G831" s="514" t="s">
        <v>380</v>
      </c>
      <c r="H831" s="514"/>
      <c r="I831" s="514"/>
      <c r="J831" s="517"/>
      <c r="K831" s="514"/>
    </row>
    <row r="832" spans="1:11" s="499" customFormat="1">
      <c r="A832" s="524"/>
      <c r="B832" s="514"/>
      <c r="C832" s="516">
        <v>30</v>
      </c>
      <c r="D832" s="516"/>
      <c r="E832" s="516">
        <v>30</v>
      </c>
      <c r="F832" s="517" t="s">
        <v>29</v>
      </c>
      <c r="G832" s="514" t="s">
        <v>417</v>
      </c>
      <c r="H832" s="514"/>
      <c r="I832" s="514"/>
      <c r="J832" s="517"/>
      <c r="K832" s="514"/>
    </row>
    <row r="833" spans="1:11" s="499" customFormat="1">
      <c r="A833" s="524"/>
      <c r="B833" s="514"/>
      <c r="C833" s="516">
        <v>14.97062</v>
      </c>
      <c r="D833" s="516"/>
      <c r="E833" s="516">
        <v>14.97062</v>
      </c>
      <c r="F833" s="517" t="s">
        <v>29</v>
      </c>
      <c r="G833" s="514" t="s">
        <v>391</v>
      </c>
      <c r="H833" s="514"/>
      <c r="I833" s="514"/>
      <c r="J833" s="517"/>
      <c r="K833" s="514"/>
    </row>
    <row r="834" spans="1:11" s="499" customFormat="1">
      <c r="A834" s="524"/>
      <c r="B834" s="514"/>
      <c r="C834" s="516">
        <v>70</v>
      </c>
      <c r="D834" s="516"/>
      <c r="E834" s="516">
        <v>70</v>
      </c>
      <c r="F834" s="517" t="s">
        <v>29</v>
      </c>
      <c r="G834" s="514" t="s">
        <v>389</v>
      </c>
      <c r="H834" s="514"/>
      <c r="I834" s="514"/>
      <c r="J834" s="517"/>
      <c r="K834" s="514"/>
    </row>
    <row r="835" spans="1:11" ht="26.4">
      <c r="A835" s="521">
        <v>2</v>
      </c>
      <c r="B835" s="507" t="s">
        <v>1043</v>
      </c>
      <c r="C835" s="509">
        <v>2.88</v>
      </c>
      <c r="D835" s="509"/>
      <c r="E835" s="509">
        <v>2.88</v>
      </c>
      <c r="F835" s="510" t="s">
        <v>34</v>
      </c>
      <c r="G835" s="507" t="s">
        <v>365</v>
      </c>
      <c r="H835" s="507"/>
      <c r="I835" s="507"/>
      <c r="J835" s="510"/>
      <c r="K835" s="507"/>
    </row>
    <row r="836" spans="1:11">
      <c r="A836" s="521">
        <v>3</v>
      </c>
      <c r="B836" s="507" t="s">
        <v>1175</v>
      </c>
      <c r="C836" s="509">
        <v>1.3411726316398924</v>
      </c>
      <c r="D836" s="509"/>
      <c r="E836" s="509">
        <v>1.3411726316398924</v>
      </c>
      <c r="F836" s="510"/>
      <c r="G836" s="507"/>
      <c r="H836" s="507"/>
      <c r="I836" s="507"/>
      <c r="J836" s="510"/>
      <c r="K836" s="507"/>
    </row>
    <row r="837" spans="1:11" s="499" customFormat="1">
      <c r="A837" s="524"/>
      <c r="B837" s="514"/>
      <c r="C837" s="516">
        <v>1.5082E-2</v>
      </c>
      <c r="D837" s="516"/>
      <c r="E837" s="516">
        <v>1.5082E-2</v>
      </c>
      <c r="F837" s="517" t="s">
        <v>143</v>
      </c>
      <c r="G837" s="514" t="s">
        <v>393</v>
      </c>
      <c r="H837" s="514"/>
      <c r="I837" s="516"/>
      <c r="J837" s="517"/>
      <c r="K837" s="514"/>
    </row>
    <row r="838" spans="1:11" s="499" customFormat="1">
      <c r="A838" s="524"/>
      <c r="B838" s="514"/>
      <c r="C838" s="516">
        <v>1.204645</v>
      </c>
      <c r="D838" s="516"/>
      <c r="E838" s="516">
        <v>1.204645</v>
      </c>
      <c r="F838" s="517" t="s">
        <v>1044</v>
      </c>
      <c r="G838" s="514" t="s">
        <v>365</v>
      </c>
      <c r="H838" s="514"/>
      <c r="I838" s="514"/>
      <c r="J838" s="517"/>
      <c r="K838" s="514"/>
    </row>
    <row r="839" spans="1:11" s="499" customFormat="1">
      <c r="A839" s="524"/>
      <c r="B839" s="514"/>
      <c r="C839" s="516">
        <v>1.04370899997652E-2</v>
      </c>
      <c r="D839" s="516"/>
      <c r="E839" s="516">
        <v>1.04370899997652E-2</v>
      </c>
      <c r="F839" s="517" t="s">
        <v>143</v>
      </c>
      <c r="G839" s="514" t="s">
        <v>370</v>
      </c>
      <c r="H839" s="514"/>
      <c r="I839" s="514"/>
      <c r="J839" s="517"/>
      <c r="K839" s="514"/>
    </row>
    <row r="840" spans="1:11" s="499" customFormat="1">
      <c r="A840" s="524"/>
      <c r="B840" s="514"/>
      <c r="C840" s="516">
        <v>7.8843285001488406E-2</v>
      </c>
      <c r="D840" s="516"/>
      <c r="E840" s="516">
        <v>7.8843285001488406E-2</v>
      </c>
      <c r="F840" s="517" t="s">
        <v>132</v>
      </c>
      <c r="G840" s="514" t="s">
        <v>379</v>
      </c>
      <c r="H840" s="514"/>
      <c r="I840" s="514"/>
      <c r="J840" s="517"/>
      <c r="K840" s="514"/>
    </row>
    <row r="841" spans="1:11" s="499" customFormat="1">
      <c r="A841" s="524"/>
      <c r="B841" s="514"/>
      <c r="C841" s="516">
        <v>3.2165256638638701E-2</v>
      </c>
      <c r="D841" s="516"/>
      <c r="E841" s="516">
        <v>3.2165256638638701E-2</v>
      </c>
      <c r="F841" s="517" t="s">
        <v>111</v>
      </c>
      <c r="G841" s="514" t="s">
        <v>380</v>
      </c>
      <c r="H841" s="514"/>
      <c r="I841" s="514"/>
      <c r="J841" s="517"/>
      <c r="K841" s="514"/>
    </row>
    <row r="842" spans="1:11" ht="39.6">
      <c r="A842" s="521">
        <v>4</v>
      </c>
      <c r="B842" s="507" t="s">
        <v>1176</v>
      </c>
      <c r="C842" s="509">
        <v>4250.4743749999998</v>
      </c>
      <c r="D842" s="509">
        <v>0</v>
      </c>
      <c r="E842" s="509">
        <v>4250.4743749999998</v>
      </c>
      <c r="F842" s="510"/>
      <c r="G842" s="507"/>
      <c r="H842" s="507"/>
      <c r="I842" s="507"/>
      <c r="J842" s="510"/>
      <c r="K842" s="507"/>
    </row>
    <row r="843" spans="1:11" s="499" customFormat="1">
      <c r="A843" s="524"/>
      <c r="B843" s="514"/>
      <c r="C843" s="516">
        <v>1048.593345</v>
      </c>
      <c r="D843" s="516"/>
      <c r="E843" s="516">
        <v>1048.593345</v>
      </c>
      <c r="F843" s="517" t="s">
        <v>39</v>
      </c>
      <c r="G843" s="514" t="s">
        <v>369</v>
      </c>
      <c r="H843" s="514"/>
      <c r="I843" s="514"/>
      <c r="J843" s="517"/>
      <c r="K843" s="514"/>
    </row>
    <row r="844" spans="1:11" s="499" customFormat="1">
      <c r="A844" s="524"/>
      <c r="B844" s="514"/>
      <c r="C844" s="516">
        <v>629.48126300000001</v>
      </c>
      <c r="D844" s="516"/>
      <c r="E844" s="516">
        <v>629.48126300000001</v>
      </c>
      <c r="F844" s="517" t="s">
        <v>39</v>
      </c>
      <c r="G844" s="514" t="s">
        <v>370</v>
      </c>
      <c r="H844" s="514"/>
      <c r="I844" s="514"/>
      <c r="J844" s="517"/>
      <c r="K844" s="514"/>
    </row>
    <row r="845" spans="1:11" s="499" customFormat="1">
      <c r="A845" s="524"/>
      <c r="B845" s="514"/>
      <c r="C845" s="516">
        <v>81.585235999999995</v>
      </c>
      <c r="D845" s="516"/>
      <c r="E845" s="516">
        <v>81.585235999999995</v>
      </c>
      <c r="F845" s="517" t="s">
        <v>39</v>
      </c>
      <c r="G845" s="514" t="s">
        <v>372</v>
      </c>
      <c r="H845" s="514"/>
      <c r="I845" s="514"/>
      <c r="J845" s="517"/>
      <c r="K845" s="514"/>
    </row>
    <row r="846" spans="1:11" s="499" customFormat="1">
      <c r="A846" s="524"/>
      <c r="B846" s="514"/>
      <c r="C846" s="516">
        <v>2490.814531</v>
      </c>
      <c r="D846" s="516"/>
      <c r="E846" s="516">
        <v>2490.814531</v>
      </c>
      <c r="F846" s="517" t="s">
        <v>39</v>
      </c>
      <c r="G846" s="514" t="s">
        <v>408</v>
      </c>
      <c r="H846" s="514"/>
      <c r="I846" s="514"/>
      <c r="J846" s="517"/>
      <c r="K846" s="514"/>
    </row>
    <row r="847" spans="1:11">
      <c r="A847" s="521">
        <v>5</v>
      </c>
      <c r="B847" s="507" t="s">
        <v>1045</v>
      </c>
      <c r="C847" s="509">
        <v>506.88672500000001</v>
      </c>
      <c r="D847" s="509">
        <v>0</v>
      </c>
      <c r="E847" s="509">
        <v>506.88672500000001</v>
      </c>
      <c r="F847" s="510"/>
      <c r="G847" s="507"/>
      <c r="H847" s="507"/>
      <c r="I847" s="507"/>
      <c r="J847" s="510"/>
      <c r="K847" s="507"/>
    </row>
    <row r="848" spans="1:11" s="499" customFormat="1">
      <c r="A848" s="524"/>
      <c r="B848" s="514"/>
      <c r="C848" s="516">
        <v>66.067524000000006</v>
      </c>
      <c r="D848" s="516"/>
      <c r="E848" s="516">
        <v>66.067524000000006</v>
      </c>
      <c r="F848" s="517" t="s">
        <v>42</v>
      </c>
      <c r="G848" s="514" t="s">
        <v>370</v>
      </c>
      <c r="H848" s="514"/>
      <c r="I848" s="514"/>
      <c r="J848" s="517"/>
      <c r="K848" s="514"/>
    </row>
    <row r="849" spans="1:11" s="499" customFormat="1">
      <c r="A849" s="524"/>
      <c r="B849" s="514"/>
      <c r="C849" s="516">
        <v>29.087444000000001</v>
      </c>
      <c r="D849" s="516"/>
      <c r="E849" s="516">
        <v>29.087444000000001</v>
      </c>
      <c r="F849" s="517" t="s">
        <v>42</v>
      </c>
      <c r="G849" s="514" t="s">
        <v>372</v>
      </c>
      <c r="H849" s="514"/>
      <c r="I849" s="514"/>
      <c r="J849" s="517"/>
      <c r="K849" s="514"/>
    </row>
    <row r="850" spans="1:11" s="499" customFormat="1">
      <c r="A850" s="524"/>
      <c r="B850" s="514"/>
      <c r="C850" s="516">
        <v>411.73175700000002</v>
      </c>
      <c r="D850" s="516"/>
      <c r="E850" s="516">
        <v>411.73175700000002</v>
      </c>
      <c r="F850" s="517" t="s">
        <v>42</v>
      </c>
      <c r="G850" s="514" t="s">
        <v>408</v>
      </c>
      <c r="H850" s="514"/>
      <c r="I850" s="514"/>
      <c r="J850" s="517"/>
      <c r="K850" s="514"/>
    </row>
    <row r="851" spans="1:11">
      <c r="A851" s="529" t="s">
        <v>345</v>
      </c>
      <c r="B851" s="501" t="s">
        <v>1046</v>
      </c>
      <c r="C851" s="502">
        <v>10</v>
      </c>
      <c r="D851" s="502">
        <v>0</v>
      </c>
      <c r="E851" s="502">
        <v>10</v>
      </c>
      <c r="F851" s="503"/>
      <c r="G851" s="501"/>
      <c r="H851" s="512"/>
      <c r="I851" s="512"/>
      <c r="J851" s="503"/>
      <c r="K851" s="512"/>
    </row>
    <row r="852" spans="1:11" ht="26.4">
      <c r="A852" s="521">
        <v>1</v>
      </c>
      <c r="B852" s="507" t="s">
        <v>1047</v>
      </c>
      <c r="C852" s="509">
        <v>10</v>
      </c>
      <c r="D852" s="509"/>
      <c r="E852" s="509">
        <v>10</v>
      </c>
      <c r="F852" s="510" t="s">
        <v>29</v>
      </c>
      <c r="G852" s="507" t="s">
        <v>379</v>
      </c>
      <c r="H852" s="507"/>
      <c r="I852" s="507"/>
      <c r="J852" s="510"/>
      <c r="K852" s="507"/>
    </row>
    <row r="853" spans="1:11">
      <c r="A853" s="529" t="s">
        <v>345</v>
      </c>
      <c r="B853" s="501" t="s">
        <v>47</v>
      </c>
      <c r="C853" s="502">
        <v>5</v>
      </c>
      <c r="D853" s="502">
        <v>0</v>
      </c>
      <c r="E853" s="502">
        <v>5</v>
      </c>
      <c r="F853" s="503"/>
      <c r="G853" s="501"/>
      <c r="H853" s="512"/>
      <c r="I853" s="512"/>
      <c r="J853" s="503"/>
      <c r="K853" s="512"/>
    </row>
    <row r="854" spans="1:11" ht="26.4">
      <c r="A854" s="521">
        <v>1</v>
      </c>
      <c r="B854" s="507" t="s">
        <v>1048</v>
      </c>
      <c r="C854" s="509">
        <v>5</v>
      </c>
      <c r="D854" s="509"/>
      <c r="E854" s="509">
        <v>5</v>
      </c>
      <c r="F854" s="510" t="s">
        <v>34</v>
      </c>
      <c r="G854" s="507" t="s">
        <v>379</v>
      </c>
      <c r="H854" s="507"/>
      <c r="I854" s="507"/>
      <c r="J854" s="510"/>
      <c r="K854" s="507"/>
    </row>
    <row r="855" spans="1:11">
      <c r="A855" s="529" t="s">
        <v>345</v>
      </c>
      <c r="B855" s="501" t="s">
        <v>53</v>
      </c>
      <c r="C855" s="502">
        <v>2374.7880500000001</v>
      </c>
      <c r="D855" s="502">
        <v>8.7561983194559794</v>
      </c>
      <c r="E855" s="502">
        <v>2366.0318516805442</v>
      </c>
      <c r="F855" s="503"/>
      <c r="G855" s="501"/>
      <c r="H855" s="512"/>
      <c r="I855" s="512"/>
      <c r="J855" s="503"/>
      <c r="K855" s="512"/>
    </row>
    <row r="856" spans="1:11" ht="79.2">
      <c r="A856" s="521">
        <v>1</v>
      </c>
      <c r="B856" s="507" t="s">
        <v>1051</v>
      </c>
      <c r="C856" s="509">
        <v>851.17</v>
      </c>
      <c r="D856" s="509">
        <v>0</v>
      </c>
      <c r="E856" s="509">
        <v>851.17</v>
      </c>
      <c r="F856" s="510"/>
      <c r="G856" s="507"/>
      <c r="H856" s="507"/>
      <c r="I856" s="507" t="s">
        <v>1060</v>
      </c>
      <c r="J856" s="510" t="s">
        <v>1061</v>
      </c>
      <c r="K856" s="507"/>
    </row>
    <row r="857" spans="1:11" s="499" customFormat="1">
      <c r="A857" s="524"/>
      <c r="B857" s="514"/>
      <c r="C857" s="516">
        <v>71.17</v>
      </c>
      <c r="D857" s="516"/>
      <c r="E857" s="516">
        <v>71.17</v>
      </c>
      <c r="F857" s="517" t="s">
        <v>37</v>
      </c>
      <c r="G857" s="514" t="s">
        <v>393</v>
      </c>
      <c r="H857" s="514" t="s">
        <v>394</v>
      </c>
      <c r="I857" s="514"/>
      <c r="J857" s="517"/>
      <c r="K857" s="514"/>
    </row>
    <row r="858" spans="1:11" s="499" customFormat="1" ht="39.6">
      <c r="A858" s="524"/>
      <c r="B858" s="514"/>
      <c r="C858" s="516">
        <v>83.03</v>
      </c>
      <c r="D858" s="516"/>
      <c r="E858" s="516">
        <v>83.03</v>
      </c>
      <c r="F858" s="517" t="s">
        <v>37</v>
      </c>
      <c r="G858" s="514" t="s">
        <v>369</v>
      </c>
      <c r="H858" s="514" t="s">
        <v>1052</v>
      </c>
      <c r="I858" s="514"/>
      <c r="J858" s="517"/>
      <c r="K858" s="514"/>
    </row>
    <row r="859" spans="1:11" s="499" customFormat="1">
      <c r="A859" s="524"/>
      <c r="B859" s="514"/>
      <c r="C859" s="516">
        <v>220.14999999999998</v>
      </c>
      <c r="D859" s="516"/>
      <c r="E859" s="516">
        <v>220.14999999999998</v>
      </c>
      <c r="F859" s="517" t="s">
        <v>37</v>
      </c>
      <c r="G859" s="514" t="s">
        <v>379</v>
      </c>
      <c r="H859" s="514" t="s">
        <v>734</v>
      </c>
      <c r="I859" s="514"/>
      <c r="J859" s="517"/>
      <c r="K859" s="514"/>
    </row>
    <row r="860" spans="1:11" s="499" customFormat="1">
      <c r="A860" s="524"/>
      <c r="B860" s="514"/>
      <c r="C860" s="516">
        <v>295.04000000000002</v>
      </c>
      <c r="D860" s="516"/>
      <c r="E860" s="516">
        <v>295.04000000000002</v>
      </c>
      <c r="F860" s="517" t="s">
        <v>37</v>
      </c>
      <c r="G860" s="514" t="s">
        <v>380</v>
      </c>
      <c r="H860" s="514" t="s">
        <v>1053</v>
      </c>
      <c r="I860" s="514"/>
      <c r="J860" s="517"/>
      <c r="K860" s="514"/>
    </row>
    <row r="861" spans="1:11" s="499" customFormat="1">
      <c r="A861" s="524"/>
      <c r="B861" s="514"/>
      <c r="C861" s="516">
        <v>181.78</v>
      </c>
      <c r="D861" s="516"/>
      <c r="E861" s="516">
        <v>181.78</v>
      </c>
      <c r="F861" s="517" t="s">
        <v>37</v>
      </c>
      <c r="G861" s="514" t="s">
        <v>391</v>
      </c>
      <c r="H861" s="514" t="s">
        <v>734</v>
      </c>
      <c r="I861" s="514"/>
      <c r="J861" s="517"/>
      <c r="K861" s="514"/>
    </row>
    <row r="862" spans="1:11">
      <c r="A862" s="521">
        <v>2</v>
      </c>
      <c r="B862" s="507" t="s">
        <v>1054</v>
      </c>
      <c r="C862" s="509">
        <v>4</v>
      </c>
      <c r="D862" s="509"/>
      <c r="E862" s="509">
        <v>4</v>
      </c>
      <c r="F862" s="510" t="s">
        <v>37</v>
      </c>
      <c r="G862" s="507" t="s">
        <v>369</v>
      </c>
      <c r="H862" s="507"/>
      <c r="I862" s="507"/>
      <c r="J862" s="510"/>
      <c r="K862" s="507"/>
    </row>
    <row r="863" spans="1:11">
      <c r="A863" s="521">
        <v>3</v>
      </c>
      <c r="B863" s="507" t="s">
        <v>368</v>
      </c>
      <c r="C863" s="509">
        <v>2</v>
      </c>
      <c r="D863" s="509"/>
      <c r="E863" s="509">
        <v>2</v>
      </c>
      <c r="F863" s="510" t="s">
        <v>37</v>
      </c>
      <c r="G863" s="507" t="s">
        <v>369</v>
      </c>
      <c r="H863" s="507"/>
      <c r="I863" s="507"/>
      <c r="J863" s="510"/>
      <c r="K863" s="507"/>
    </row>
    <row r="864" spans="1:11" ht="26.4">
      <c r="A864" s="521">
        <v>4</v>
      </c>
      <c r="B864" s="507" t="s">
        <v>1055</v>
      </c>
      <c r="C864" s="509">
        <v>1</v>
      </c>
      <c r="D864" s="509"/>
      <c r="E864" s="509">
        <v>1</v>
      </c>
      <c r="F864" s="510" t="s">
        <v>37</v>
      </c>
      <c r="G864" s="507" t="s">
        <v>369</v>
      </c>
      <c r="H864" s="507"/>
      <c r="I864" s="507"/>
      <c r="J864" s="510"/>
      <c r="K864" s="507"/>
    </row>
    <row r="865" spans="1:11">
      <c r="A865" s="521">
        <v>5</v>
      </c>
      <c r="B865" s="507" t="s">
        <v>388</v>
      </c>
      <c r="C865" s="509">
        <v>10</v>
      </c>
      <c r="D865" s="509"/>
      <c r="E865" s="509">
        <v>10</v>
      </c>
      <c r="F865" s="510" t="s">
        <v>37</v>
      </c>
      <c r="G865" s="507" t="s">
        <v>390</v>
      </c>
      <c r="H865" s="507"/>
      <c r="I865" s="507"/>
      <c r="J865" s="510"/>
      <c r="K865" s="507"/>
    </row>
    <row r="866" spans="1:11" ht="79.2">
      <c r="A866" s="521">
        <v>6</v>
      </c>
      <c r="B866" s="507" t="s">
        <v>1056</v>
      </c>
      <c r="C866" s="509">
        <v>4</v>
      </c>
      <c r="D866" s="509"/>
      <c r="E866" s="509">
        <v>4</v>
      </c>
      <c r="F866" s="510" t="s">
        <v>37</v>
      </c>
      <c r="G866" s="507" t="s">
        <v>365</v>
      </c>
      <c r="H866" s="507"/>
      <c r="I866" s="507" t="s">
        <v>585</v>
      </c>
      <c r="J866" s="510">
        <v>2021</v>
      </c>
      <c r="K866" s="507"/>
    </row>
    <row r="867" spans="1:11" ht="26.4">
      <c r="A867" s="521">
        <v>7</v>
      </c>
      <c r="B867" s="507" t="s">
        <v>1057</v>
      </c>
      <c r="C867" s="509">
        <v>3.5368599999999999</v>
      </c>
      <c r="D867" s="509"/>
      <c r="E867" s="509">
        <v>3.5368599999999999</v>
      </c>
      <c r="F867" s="510" t="s">
        <v>37</v>
      </c>
      <c r="G867" s="507" t="s">
        <v>367</v>
      </c>
      <c r="H867" s="507"/>
      <c r="I867" s="507" t="s">
        <v>586</v>
      </c>
      <c r="J867" s="510">
        <v>2021</v>
      </c>
      <c r="K867" s="507"/>
    </row>
    <row r="868" spans="1:11" ht="26.4">
      <c r="A868" s="521">
        <v>8</v>
      </c>
      <c r="B868" s="507" t="s">
        <v>366</v>
      </c>
      <c r="C868" s="509">
        <v>9.2751000000000001</v>
      </c>
      <c r="D868" s="509"/>
      <c r="E868" s="509">
        <v>9.2751000000000001</v>
      </c>
      <c r="F868" s="510" t="s">
        <v>37</v>
      </c>
      <c r="G868" s="507" t="s">
        <v>367</v>
      </c>
      <c r="H868" s="507"/>
      <c r="I868" s="507" t="s">
        <v>587</v>
      </c>
      <c r="J868" s="510">
        <v>2021</v>
      </c>
      <c r="K868" s="507"/>
    </row>
    <row r="869" spans="1:11" ht="26.4">
      <c r="A869" s="521"/>
      <c r="B869" s="507" t="s">
        <v>1062</v>
      </c>
      <c r="C869" s="509">
        <v>27</v>
      </c>
      <c r="D869" s="509"/>
      <c r="E869" s="509">
        <v>27</v>
      </c>
      <c r="F869" s="510" t="s">
        <v>37</v>
      </c>
      <c r="G869" s="507" t="s">
        <v>367</v>
      </c>
      <c r="H869" s="507"/>
      <c r="I869" s="507" t="s">
        <v>1063</v>
      </c>
      <c r="J869" s="510">
        <v>2022</v>
      </c>
      <c r="K869" s="507"/>
    </row>
    <row r="870" spans="1:11" ht="39.6">
      <c r="A870" s="521">
        <v>9</v>
      </c>
      <c r="B870" s="507" t="s">
        <v>1058</v>
      </c>
      <c r="C870" s="509">
        <v>650.24</v>
      </c>
      <c r="D870" s="509"/>
      <c r="E870" s="509">
        <v>650.24</v>
      </c>
      <c r="F870" s="510" t="s">
        <v>39</v>
      </c>
      <c r="G870" s="507" t="s">
        <v>370</v>
      </c>
      <c r="H870" s="507"/>
      <c r="I870" s="507" t="s">
        <v>588</v>
      </c>
      <c r="J870" s="510">
        <v>2021</v>
      </c>
      <c r="K870" s="507"/>
    </row>
    <row r="871" spans="1:11" ht="52.8">
      <c r="A871" s="521">
        <v>10</v>
      </c>
      <c r="B871" s="507" t="s">
        <v>371</v>
      </c>
      <c r="C871" s="509">
        <v>12.51624</v>
      </c>
      <c r="D871" s="509"/>
      <c r="E871" s="509">
        <v>12.51624</v>
      </c>
      <c r="F871" s="510" t="s">
        <v>37</v>
      </c>
      <c r="G871" s="507" t="s">
        <v>372</v>
      </c>
      <c r="H871" s="507"/>
      <c r="I871" s="507" t="s">
        <v>1064</v>
      </c>
      <c r="J871" s="510">
        <v>2021</v>
      </c>
      <c r="K871" s="507"/>
    </row>
    <row r="872" spans="1:11" ht="26.4">
      <c r="A872" s="521">
        <v>11</v>
      </c>
      <c r="B872" s="507" t="s">
        <v>1065</v>
      </c>
      <c r="C872" s="509">
        <v>3.5</v>
      </c>
      <c r="D872" s="509"/>
      <c r="E872" s="509">
        <v>3.5</v>
      </c>
      <c r="F872" s="510" t="s">
        <v>37</v>
      </c>
      <c r="G872" s="507" t="s">
        <v>372</v>
      </c>
      <c r="H872" s="507"/>
      <c r="I872" s="507"/>
      <c r="J872" s="510"/>
      <c r="K872" s="507"/>
    </row>
    <row r="873" spans="1:11" ht="26.4">
      <c r="A873" s="521">
        <v>12</v>
      </c>
      <c r="B873" s="507" t="s">
        <v>373</v>
      </c>
      <c r="C873" s="509">
        <v>6</v>
      </c>
      <c r="D873" s="509"/>
      <c r="E873" s="509">
        <v>6</v>
      </c>
      <c r="F873" s="510" t="s">
        <v>37</v>
      </c>
      <c r="G873" s="507" t="s">
        <v>379</v>
      </c>
      <c r="H873" s="507"/>
      <c r="I873" s="507" t="s">
        <v>589</v>
      </c>
      <c r="J873" s="510">
        <v>2021</v>
      </c>
      <c r="K873" s="507"/>
    </row>
    <row r="874" spans="1:11" ht="26.4">
      <c r="A874" s="521">
        <v>13</v>
      </c>
      <c r="B874" s="507" t="s">
        <v>374</v>
      </c>
      <c r="C874" s="509">
        <v>10.77839</v>
      </c>
      <c r="D874" s="509"/>
      <c r="E874" s="509">
        <v>10.77839</v>
      </c>
      <c r="F874" s="510" t="s">
        <v>37</v>
      </c>
      <c r="G874" s="507" t="s">
        <v>380</v>
      </c>
      <c r="H874" s="507"/>
      <c r="I874" s="507" t="s">
        <v>592</v>
      </c>
      <c r="J874" s="510">
        <v>2021</v>
      </c>
      <c r="K874" s="507"/>
    </row>
    <row r="875" spans="1:11" ht="26.4">
      <c r="A875" s="521">
        <v>14</v>
      </c>
      <c r="B875" s="507" t="s">
        <v>375</v>
      </c>
      <c r="C875" s="509">
        <v>10.5</v>
      </c>
      <c r="D875" s="509"/>
      <c r="E875" s="509">
        <v>10.5</v>
      </c>
      <c r="F875" s="510" t="s">
        <v>37</v>
      </c>
      <c r="G875" s="507" t="s">
        <v>380</v>
      </c>
      <c r="H875" s="507"/>
      <c r="I875" s="507" t="s">
        <v>595</v>
      </c>
      <c r="J875" s="510">
        <v>2021</v>
      </c>
      <c r="K875" s="507"/>
    </row>
    <row r="876" spans="1:11" ht="39.6">
      <c r="A876" s="521">
        <v>15</v>
      </c>
      <c r="B876" s="507" t="s">
        <v>376</v>
      </c>
      <c r="C876" s="509">
        <v>74.093090000000004</v>
      </c>
      <c r="D876" s="509"/>
      <c r="E876" s="509">
        <v>74.093090000000004</v>
      </c>
      <c r="F876" s="510" t="s">
        <v>37</v>
      </c>
      <c r="G876" s="507" t="s">
        <v>380</v>
      </c>
      <c r="H876" s="507"/>
      <c r="I876" s="507" t="s">
        <v>591</v>
      </c>
      <c r="J876" s="510">
        <v>2021</v>
      </c>
      <c r="K876" s="507"/>
    </row>
    <row r="877" spans="1:11" ht="26.4">
      <c r="A877" s="521">
        <v>16</v>
      </c>
      <c r="B877" s="507" t="s">
        <v>377</v>
      </c>
      <c r="C877" s="509">
        <v>31.324629999999999</v>
      </c>
      <c r="D877" s="509"/>
      <c r="E877" s="509">
        <v>31.324629999999999</v>
      </c>
      <c r="F877" s="510" t="s">
        <v>37</v>
      </c>
      <c r="G877" s="507" t="s">
        <v>380</v>
      </c>
      <c r="H877" s="507"/>
      <c r="I877" s="507" t="s">
        <v>596</v>
      </c>
      <c r="J877" s="510">
        <v>2021</v>
      </c>
      <c r="K877" s="507"/>
    </row>
    <row r="878" spans="1:11" ht="39.6">
      <c r="A878" s="521">
        <v>17</v>
      </c>
      <c r="B878" s="507" t="s">
        <v>378</v>
      </c>
      <c r="C878" s="509">
        <v>11.610849999999999</v>
      </c>
      <c r="D878" s="509"/>
      <c r="E878" s="509">
        <v>11.610849999999999</v>
      </c>
      <c r="F878" s="510" t="s">
        <v>37</v>
      </c>
      <c r="G878" s="507" t="s">
        <v>380</v>
      </c>
      <c r="H878" s="507"/>
      <c r="I878" s="507" t="s">
        <v>600</v>
      </c>
      <c r="J878" s="510">
        <v>2021</v>
      </c>
      <c r="K878" s="507"/>
    </row>
    <row r="879" spans="1:11" ht="26.4">
      <c r="A879" s="521">
        <v>18</v>
      </c>
      <c r="B879" s="507" t="s">
        <v>384</v>
      </c>
      <c r="C879" s="509">
        <v>9.0060099999999998</v>
      </c>
      <c r="D879" s="509">
        <v>8.7561983194559794</v>
      </c>
      <c r="E879" s="509">
        <v>0.24981168054402048</v>
      </c>
      <c r="F879" s="510" t="s">
        <v>37</v>
      </c>
      <c r="G879" s="507" t="s">
        <v>389</v>
      </c>
      <c r="H879" s="507"/>
      <c r="I879" s="507"/>
      <c r="J879" s="510"/>
      <c r="K879" s="507"/>
    </row>
    <row r="880" spans="1:11" ht="26.4">
      <c r="A880" s="521">
        <v>19</v>
      </c>
      <c r="B880" s="507" t="s">
        <v>381</v>
      </c>
      <c r="C880" s="509">
        <v>12.31636</v>
      </c>
      <c r="D880" s="509"/>
      <c r="E880" s="509">
        <v>12.31636</v>
      </c>
      <c r="F880" s="510" t="s">
        <v>37</v>
      </c>
      <c r="G880" s="507" t="s">
        <v>389</v>
      </c>
      <c r="H880" s="507"/>
      <c r="I880" s="507" t="s">
        <v>594</v>
      </c>
      <c r="J880" s="510">
        <v>2021</v>
      </c>
      <c r="K880" s="507"/>
    </row>
    <row r="881" spans="1:11" ht="26.4">
      <c r="A881" s="521">
        <v>20</v>
      </c>
      <c r="B881" s="507" t="s">
        <v>382</v>
      </c>
      <c r="C881" s="509">
        <v>3.4375200000000001</v>
      </c>
      <c r="D881" s="509"/>
      <c r="E881" s="509">
        <v>3.4375200000000001</v>
      </c>
      <c r="F881" s="510" t="s">
        <v>37</v>
      </c>
      <c r="G881" s="507" t="s">
        <v>389</v>
      </c>
      <c r="H881" s="507"/>
      <c r="I881" s="507" t="s">
        <v>590</v>
      </c>
      <c r="J881" s="510">
        <v>2021</v>
      </c>
      <c r="K881" s="507"/>
    </row>
    <row r="882" spans="1:11" ht="26.4">
      <c r="A882" s="521">
        <v>21</v>
      </c>
      <c r="B882" s="507" t="s">
        <v>383</v>
      </c>
      <c r="C882" s="509">
        <v>11.9</v>
      </c>
      <c r="D882" s="509"/>
      <c r="E882" s="509">
        <v>11.9</v>
      </c>
      <c r="F882" s="510" t="s">
        <v>37</v>
      </c>
      <c r="G882" s="507" t="s">
        <v>389</v>
      </c>
      <c r="H882" s="507"/>
      <c r="I882" s="507" t="s">
        <v>593</v>
      </c>
      <c r="J882" s="510">
        <v>2021</v>
      </c>
      <c r="K882" s="507"/>
    </row>
    <row r="883" spans="1:11" ht="26.4">
      <c r="A883" s="521">
        <v>22</v>
      </c>
      <c r="B883" s="507" t="s">
        <v>385</v>
      </c>
      <c r="C883" s="509">
        <v>7.4829999999999997</v>
      </c>
      <c r="D883" s="509"/>
      <c r="E883" s="509">
        <v>7.4829999999999997</v>
      </c>
      <c r="F883" s="510" t="s">
        <v>37</v>
      </c>
      <c r="G883" s="507" t="s">
        <v>389</v>
      </c>
      <c r="H883" s="507"/>
      <c r="I883" s="507" t="s">
        <v>597</v>
      </c>
      <c r="J883" s="510">
        <v>2021</v>
      </c>
      <c r="K883" s="507"/>
    </row>
    <row r="884" spans="1:11" ht="52.8">
      <c r="A884" s="521">
        <v>23</v>
      </c>
      <c r="B884" s="507" t="s">
        <v>386</v>
      </c>
      <c r="C884" s="509">
        <v>32.200000000000003</v>
      </c>
      <c r="D884" s="509"/>
      <c r="E884" s="509">
        <v>32.200000000000003</v>
      </c>
      <c r="F884" s="510" t="s">
        <v>37</v>
      </c>
      <c r="G884" s="507" t="s">
        <v>389</v>
      </c>
      <c r="H884" s="507"/>
      <c r="I884" s="507" t="s">
        <v>599</v>
      </c>
      <c r="J884" s="510">
        <v>2021</v>
      </c>
      <c r="K884" s="507"/>
    </row>
    <row r="885" spans="1:11" ht="26.4">
      <c r="A885" s="521">
        <v>24</v>
      </c>
      <c r="B885" s="507" t="s">
        <v>387</v>
      </c>
      <c r="C885" s="509">
        <v>18.5</v>
      </c>
      <c r="D885" s="509"/>
      <c r="E885" s="509">
        <v>18.5</v>
      </c>
      <c r="F885" s="510" t="s">
        <v>37</v>
      </c>
      <c r="G885" s="507" t="s">
        <v>389</v>
      </c>
      <c r="H885" s="507"/>
      <c r="I885" s="507" t="s">
        <v>598</v>
      </c>
      <c r="J885" s="510">
        <v>2021</v>
      </c>
      <c r="K885" s="507"/>
    </row>
    <row r="886" spans="1:11">
      <c r="A886" s="521">
        <v>25</v>
      </c>
      <c r="B886" s="507" t="s">
        <v>1050</v>
      </c>
      <c r="C886" s="509">
        <v>0.4</v>
      </c>
      <c r="D886" s="509">
        <v>0</v>
      </c>
      <c r="E886" s="509">
        <v>0.4</v>
      </c>
      <c r="F886" s="510"/>
      <c r="G886" s="507"/>
      <c r="H886" s="507"/>
      <c r="I886" s="507"/>
      <c r="J886" s="510">
        <v>2021</v>
      </c>
      <c r="K886" s="507"/>
    </row>
    <row r="887" spans="1:11" s="499" customFormat="1">
      <c r="A887" s="524"/>
      <c r="B887" s="514"/>
      <c r="C887" s="516">
        <v>0.3</v>
      </c>
      <c r="D887" s="516"/>
      <c r="E887" s="516">
        <v>0.3</v>
      </c>
      <c r="F887" s="517" t="s">
        <v>37</v>
      </c>
      <c r="G887" s="514" t="s">
        <v>393</v>
      </c>
      <c r="H887" s="514"/>
      <c r="I887" s="514"/>
      <c r="J887" s="517"/>
      <c r="K887" s="514"/>
    </row>
    <row r="888" spans="1:11" s="499" customFormat="1">
      <c r="A888" s="524"/>
      <c r="B888" s="514"/>
      <c r="C888" s="516">
        <v>0.1</v>
      </c>
      <c r="D888" s="516"/>
      <c r="E888" s="516">
        <v>0.1</v>
      </c>
      <c r="F888" s="517" t="s">
        <v>37</v>
      </c>
      <c r="G888" s="514" t="s">
        <v>365</v>
      </c>
      <c r="H888" s="514"/>
      <c r="I888" s="514"/>
      <c r="J888" s="517"/>
      <c r="K888" s="514"/>
    </row>
    <row r="889" spans="1:11" ht="26.4">
      <c r="A889" s="521">
        <v>26</v>
      </c>
      <c r="B889" s="507" t="s">
        <v>1049</v>
      </c>
      <c r="C889" s="509">
        <v>557</v>
      </c>
      <c r="D889" s="509">
        <v>0</v>
      </c>
      <c r="E889" s="509">
        <v>557</v>
      </c>
      <c r="F889" s="510"/>
      <c r="G889" s="507"/>
      <c r="H889" s="507"/>
      <c r="I889" s="507"/>
      <c r="J889" s="510"/>
      <c r="K889" s="507"/>
    </row>
    <row r="890" spans="1:11" s="499" customFormat="1">
      <c r="A890" s="524"/>
      <c r="B890" s="514"/>
      <c r="C890" s="516">
        <v>10</v>
      </c>
      <c r="D890" s="516"/>
      <c r="E890" s="516">
        <v>10</v>
      </c>
      <c r="F890" s="517" t="s">
        <v>37</v>
      </c>
      <c r="G890" s="514" t="s">
        <v>369</v>
      </c>
      <c r="H890" s="514"/>
      <c r="I890" s="514"/>
      <c r="J890" s="517"/>
      <c r="K890" s="514"/>
    </row>
    <row r="891" spans="1:11" s="499" customFormat="1">
      <c r="A891" s="524"/>
      <c r="B891" s="514"/>
      <c r="C891" s="516">
        <v>50</v>
      </c>
      <c r="D891" s="516"/>
      <c r="E891" s="516">
        <v>50</v>
      </c>
      <c r="F891" s="517" t="s">
        <v>37</v>
      </c>
      <c r="G891" s="514" t="s">
        <v>365</v>
      </c>
      <c r="H891" s="514"/>
      <c r="I891" s="514"/>
      <c r="J891" s="517"/>
      <c r="K891" s="514"/>
    </row>
    <row r="892" spans="1:11" s="499" customFormat="1">
      <c r="A892" s="524"/>
      <c r="B892" s="514"/>
      <c r="C892" s="516">
        <v>30</v>
      </c>
      <c r="D892" s="516"/>
      <c r="E892" s="516">
        <v>30</v>
      </c>
      <c r="F892" s="517" t="s">
        <v>37</v>
      </c>
      <c r="G892" s="514" t="s">
        <v>367</v>
      </c>
      <c r="H892" s="514"/>
      <c r="I892" s="514"/>
      <c r="J892" s="517"/>
      <c r="K892" s="514"/>
    </row>
    <row r="893" spans="1:11" s="499" customFormat="1">
      <c r="A893" s="524"/>
      <c r="B893" s="514"/>
      <c r="C893" s="516">
        <v>160</v>
      </c>
      <c r="D893" s="516"/>
      <c r="E893" s="516">
        <v>160</v>
      </c>
      <c r="F893" s="517" t="s">
        <v>37</v>
      </c>
      <c r="G893" s="514" t="s">
        <v>370</v>
      </c>
      <c r="H893" s="514"/>
      <c r="I893" s="514"/>
      <c r="J893" s="517"/>
      <c r="K893" s="514"/>
    </row>
    <row r="894" spans="1:11" s="499" customFormat="1">
      <c r="A894" s="524"/>
      <c r="B894" s="514"/>
      <c r="C894" s="516">
        <v>37</v>
      </c>
      <c r="D894" s="516"/>
      <c r="E894" s="516">
        <v>37</v>
      </c>
      <c r="F894" s="517" t="s">
        <v>37</v>
      </c>
      <c r="G894" s="514" t="s">
        <v>372</v>
      </c>
      <c r="H894" s="514"/>
      <c r="I894" s="514"/>
      <c r="J894" s="517"/>
      <c r="K894" s="514"/>
    </row>
    <row r="895" spans="1:11" s="499" customFormat="1">
      <c r="A895" s="524"/>
      <c r="B895" s="514"/>
      <c r="C895" s="516">
        <v>30</v>
      </c>
      <c r="D895" s="516"/>
      <c r="E895" s="516">
        <v>30</v>
      </c>
      <c r="F895" s="517" t="s">
        <v>37</v>
      </c>
      <c r="G895" s="514" t="s">
        <v>379</v>
      </c>
      <c r="H895" s="514"/>
      <c r="I895" s="514"/>
      <c r="J895" s="517"/>
      <c r="K895" s="514"/>
    </row>
    <row r="896" spans="1:11" s="499" customFormat="1">
      <c r="A896" s="524"/>
      <c r="B896" s="514"/>
      <c r="C896" s="516">
        <v>50</v>
      </c>
      <c r="D896" s="516"/>
      <c r="E896" s="516">
        <v>50</v>
      </c>
      <c r="F896" s="517" t="s">
        <v>37</v>
      </c>
      <c r="G896" s="514" t="s">
        <v>408</v>
      </c>
      <c r="H896" s="514"/>
      <c r="I896" s="514"/>
      <c r="J896" s="517"/>
      <c r="K896" s="514"/>
    </row>
    <row r="897" spans="1:11" s="499" customFormat="1">
      <c r="A897" s="524"/>
      <c r="B897" s="514"/>
      <c r="C897" s="516">
        <v>50</v>
      </c>
      <c r="D897" s="516"/>
      <c r="E897" s="516">
        <v>50</v>
      </c>
      <c r="F897" s="517" t="s">
        <v>37</v>
      </c>
      <c r="G897" s="514" t="s">
        <v>380</v>
      </c>
      <c r="H897" s="514"/>
      <c r="I897" s="514"/>
      <c r="J897" s="517"/>
      <c r="K897" s="514"/>
    </row>
    <row r="898" spans="1:11" s="499" customFormat="1">
      <c r="A898" s="524"/>
      <c r="B898" s="514"/>
      <c r="C898" s="516">
        <v>40</v>
      </c>
      <c r="D898" s="516"/>
      <c r="E898" s="516">
        <v>40</v>
      </c>
      <c r="F898" s="517" t="s">
        <v>37</v>
      </c>
      <c r="G898" s="514" t="s">
        <v>417</v>
      </c>
      <c r="H898" s="514"/>
      <c r="I898" s="514"/>
      <c r="J898" s="517"/>
      <c r="K898" s="514"/>
    </row>
    <row r="899" spans="1:11" s="499" customFormat="1">
      <c r="A899" s="524"/>
      <c r="B899" s="514"/>
      <c r="C899" s="516">
        <v>50</v>
      </c>
      <c r="D899" s="516"/>
      <c r="E899" s="516">
        <v>50</v>
      </c>
      <c r="F899" s="517" t="s">
        <v>37</v>
      </c>
      <c r="G899" s="514" t="s">
        <v>391</v>
      </c>
      <c r="H899" s="514"/>
      <c r="I899" s="514"/>
      <c r="J899" s="517"/>
      <c r="K899" s="514"/>
    </row>
    <row r="900" spans="1:11" s="499" customFormat="1">
      <c r="A900" s="524"/>
      <c r="B900" s="514"/>
      <c r="C900" s="516">
        <v>50</v>
      </c>
      <c r="D900" s="516"/>
      <c r="E900" s="516">
        <v>50</v>
      </c>
      <c r="F900" s="517" t="s">
        <v>37</v>
      </c>
      <c r="G900" s="514" t="s">
        <v>389</v>
      </c>
      <c r="H900" s="514"/>
      <c r="I900" s="514"/>
      <c r="J900" s="517"/>
      <c r="K900" s="514"/>
    </row>
  </sheetData>
  <mergeCells count="19">
    <mergeCell ref="B46:K46"/>
    <mergeCell ref="A3:K3"/>
    <mergeCell ref="K5:K6"/>
    <mergeCell ref="B8:K8"/>
    <mergeCell ref="B9:K9"/>
    <mergeCell ref="B39:K39"/>
    <mergeCell ref="B40:K40"/>
    <mergeCell ref="I5:I6"/>
    <mergeCell ref="J5:J6"/>
    <mergeCell ref="B43:K43"/>
    <mergeCell ref="A1:H1"/>
    <mergeCell ref="A5:A6"/>
    <mergeCell ref="B5:B6"/>
    <mergeCell ref="C5:C6"/>
    <mergeCell ref="D5:D6"/>
    <mergeCell ref="E5:F5"/>
    <mergeCell ref="G5:G6"/>
    <mergeCell ref="H5:H6"/>
    <mergeCell ref="A2:K2"/>
  </mergeCells>
  <phoneticPr fontId="2" type="noConversion"/>
  <printOptions horizontalCentered="1"/>
  <pageMargins left="0.39370078740157483" right="0.39370078740157483" top="0.51181102362204722" bottom="0.39370078740157483" header="0.51181102362204722" footer="0.39370078740157483"/>
  <pageSetup paperSize="9" orientation="landscape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9</vt:i4>
      </vt:variant>
    </vt:vector>
  </HeadingPairs>
  <TitlesOfParts>
    <vt:vector size="51" baseType="lpstr">
      <vt:lpstr>CANDOI</vt:lpstr>
      <vt:lpstr>BIEU 01 CH</vt:lpstr>
      <vt:lpstr>BIEU 02 CH</vt:lpstr>
      <vt:lpstr>BIEU 03 CH</vt:lpstr>
      <vt:lpstr>BIEU 04 CH</vt:lpstr>
      <vt:lpstr>BIEU 05 CH</vt:lpstr>
      <vt:lpstr>BIEU 11 CH</vt:lpstr>
      <vt:lpstr>BIEU 12 CH</vt:lpstr>
      <vt:lpstr>PHULUC</vt:lpstr>
      <vt:lpstr>ngaigiao (2016)</vt:lpstr>
      <vt:lpstr>bauchinh (2016)</vt:lpstr>
      <vt:lpstr>binhba (2016)</vt:lpstr>
      <vt:lpstr>binhgia (2016)</vt:lpstr>
      <vt:lpstr>binhtrung (2016)</vt:lpstr>
      <vt:lpstr>cubi (2016)</vt:lpstr>
      <vt:lpstr>dabac (2016)</vt:lpstr>
      <vt:lpstr>kimlong (2016)</vt:lpstr>
      <vt:lpstr>langlon (2016)</vt:lpstr>
      <vt:lpstr>nghiathanh (2016)</vt:lpstr>
      <vt:lpstr>quangthanh (2016)</vt:lpstr>
      <vt:lpstr>sonbinh (2016)</vt:lpstr>
      <vt:lpstr>suoinghe (2016)</vt:lpstr>
      <vt:lpstr>suoirao (2016)</vt:lpstr>
      <vt:lpstr>xabang (2016)</vt:lpstr>
      <vt:lpstr>xuanson (2016)</vt:lpstr>
      <vt:lpstr>toanhuyen (2016)</vt:lpstr>
      <vt:lpstr>TNG (2016)</vt:lpstr>
      <vt:lpstr>XBC (2016)</vt:lpstr>
      <vt:lpstr>XBB (2016)</vt:lpstr>
      <vt:lpstr>XBG (2016)</vt:lpstr>
      <vt:lpstr>XBT (2016)</vt:lpstr>
      <vt:lpstr>XCB (2016)</vt:lpstr>
      <vt:lpstr>XDB (2016)</vt:lpstr>
      <vt:lpstr>XKL (2016)</vt:lpstr>
      <vt:lpstr>XLL (2016)</vt:lpstr>
      <vt:lpstr>XNT (2016)</vt:lpstr>
      <vt:lpstr>XQT (2016)</vt:lpstr>
      <vt:lpstr>XSB (2016)</vt:lpstr>
      <vt:lpstr>XSN (2016)</vt:lpstr>
      <vt:lpstr>XSR (2016)</vt:lpstr>
      <vt:lpstr>XXB (2016)</vt:lpstr>
      <vt:lpstr>XXS (2016)</vt:lpstr>
      <vt:lpstr>'BIEU 01 CH'!Print_Area</vt:lpstr>
      <vt:lpstr>'BIEU 04 CH'!Print_Area</vt:lpstr>
      <vt:lpstr>'BIEU 01 CH'!Print_Titles</vt:lpstr>
      <vt:lpstr>'BIEU 02 CH'!Print_Titles</vt:lpstr>
      <vt:lpstr>'BIEU 03 CH'!Print_Titles</vt:lpstr>
      <vt:lpstr>'BIEU 05 CH'!Print_Titles</vt:lpstr>
      <vt:lpstr>'BIEU 11 CH'!Print_Titles</vt:lpstr>
      <vt:lpstr>CANDOI!Print_Titles</vt:lpstr>
      <vt:lpstr>PHULUC!Print_Titles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 Thai</dc:creator>
  <cp:lastModifiedBy>Huong Duong</cp:lastModifiedBy>
  <cp:lastPrinted>2021-07-23T09:45:53Z</cp:lastPrinted>
  <dcterms:created xsi:type="dcterms:W3CDTF">2014-09-17T02:17:55Z</dcterms:created>
  <dcterms:modified xsi:type="dcterms:W3CDTF">2022-03-27T16:58:07Z</dcterms:modified>
</cp:coreProperties>
</file>